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A7002F-2FBC-4F73-92A8-C0979CF4EED5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" r:id="rId1"/>
    <sheet name="Feb 1" sheetId="2" r:id="rId2"/>
    <sheet name="Feb 5" sheetId="3" r:id="rId3"/>
    <sheet name="Feb 21" sheetId="4" r:id="rId4"/>
    <sheet name="Feb 26" sheetId="5" r:id="rId5"/>
    <sheet name="Mar 20" sheetId="6" r:id="rId6"/>
    <sheet name="Mar 21" sheetId="7" r:id="rId7"/>
    <sheet name="Mar 22" sheetId="8" r:id="rId8"/>
  </sheets>
  <definedNames>
    <definedName name="ctar0201">'Feb 1'!$A$10:$X$25</definedName>
    <definedName name="ctar0205">'Feb 5'!$A$10:$Y$25</definedName>
    <definedName name="ctar0221">'Feb 21'!$A$10:$Y$25</definedName>
    <definedName name="ctar0226">'Feb 26'!$A$10:$Y$25</definedName>
    <definedName name="ctar0320">'Mar 20'!$A$10:$Y$23</definedName>
    <definedName name="ctar0321">'Mar 21'!$A$10:$Y$23</definedName>
    <definedName name="ctar0322">'Mar 22'!$A$10:$Y$23</definedName>
    <definedName name="ctar0412" localSheetId="4">'Feb 26'!$A$10:$U$25</definedName>
    <definedName name="ctar0412" localSheetId="5">'Mar 20'!$A$10:$U$23</definedName>
    <definedName name="ctar0412" localSheetId="6">'Mar 21'!$A$10:$U$23</definedName>
    <definedName name="ctar0412" localSheetId="7">'Mar 22'!$A$10:$U$42</definedName>
    <definedName name="ctarTEMP">#REF!</definedName>
    <definedName name="nbaa0201">'Feb 1'!$A$26:$X$47</definedName>
    <definedName name="nbaa0205">'Feb 5'!$A$26:$X$48</definedName>
    <definedName name="nbaa0221">'Feb 21'!$A$26:$X$47</definedName>
    <definedName name="nbaa0226">'Feb 26'!$A$26:$X$48</definedName>
    <definedName name="nbaa0320">'Mar 20'!$A$24:$X$44</definedName>
    <definedName name="nbaa0321">'Mar 21'!$A$24:$X$44</definedName>
    <definedName name="nbaa0322">'Mar 22'!$A$24:$X$44</definedName>
    <definedName name="nbaa0412" localSheetId="4">'Feb 26'!$A$26:$U$43</definedName>
    <definedName name="nbaa0412" localSheetId="5">'Mar 20'!$A$24:$U$44</definedName>
    <definedName name="nbaa0412" localSheetId="7">'Mar 22'!$A$44:$U$59</definedName>
    <definedName name="nbaaTEMP">#REF!</definedName>
    <definedName name="ngsa0201">'Feb 1'!$A$48:$X$81</definedName>
    <definedName name="ngsa0205">'Feb 5'!$A$49:$X$76</definedName>
    <definedName name="ngsa0221">'Feb 21'!$A$48:$X$74</definedName>
    <definedName name="ngsa0226">'Feb 26'!$A$49:$X$75</definedName>
    <definedName name="ngsa0320">'Mar 20'!$A$45:$X$58</definedName>
    <definedName name="ngsa0321">'Mar 21'!$A$45:$X$59</definedName>
    <definedName name="ngsa0322">'Mar 22'!$A$45:$X$60</definedName>
    <definedName name="ngsa0412" localSheetId="4">'Feb 26'!$A$46:$U$76</definedName>
    <definedName name="ngsa0412" localSheetId="5">'Mar 20'!$A$45:$U$59</definedName>
    <definedName name="ngsa0412" localSheetId="7">'Mar 22'!#REF!</definedName>
    <definedName name="ngsa1005">'Feb 1'!$A$48:$X$81</definedName>
    <definedName name="ngsa1007">'Feb 5'!$A$49:$X$76</definedName>
    <definedName name="ngsa1015">'Feb 21'!$A$48:$X$74</definedName>
    <definedName name="ngsa1020">'Feb 26'!$A$49:$X$75</definedName>
    <definedName name="ngsa1021">'Mar 20'!$A$47:$X$58</definedName>
    <definedName name="ngsa1030">'Mar 21'!$A$47:$X$59</definedName>
    <definedName name="ngsa1115">'Mar 22'!$A$47:$X$60</definedName>
    <definedName name="ngsa1121">#REF!</definedName>
    <definedName name="ngsa1129">#REF!</definedName>
    <definedName name="ngsa1205">#REF!</definedName>
    <definedName name="ngsa1213">#REF!</definedName>
    <definedName name="ngsaTEMP">#REF!</definedName>
    <definedName name="_xlnm.Print_Area" localSheetId="1">'Feb 1'!$A$1:$S$84</definedName>
    <definedName name="_xlnm.Print_Area" localSheetId="3">'Feb 21'!$A$1:$S$78</definedName>
    <definedName name="_xlnm.Print_Area" localSheetId="4">'Feb 26'!$A$1:$S$79</definedName>
    <definedName name="_xlnm.Print_Area" localSheetId="2">'Feb 5'!$A$1:$S$80</definedName>
    <definedName name="_xlnm.Print_Area" localSheetId="5">'Mar 20'!$A$1:$S$62</definedName>
    <definedName name="_xlnm.Print_Area" localSheetId="6">'Mar 21'!$A$1:$S$64</definedName>
    <definedName name="_xlnm.Print_Area" localSheetId="7">'Mar 22'!$A$1:$S$64</definedName>
    <definedName name="_xlnm.Print_Area" localSheetId="0">Summary!$A$1:$G$112</definedName>
    <definedName name="_xlnm.Print_Titles" localSheetId="1">'Feb 1'!$1:$8</definedName>
    <definedName name="_xlnm.Print_Titles" localSheetId="3">'Feb 21'!$1:$8</definedName>
    <definedName name="_xlnm.Print_Titles" localSheetId="4">'Feb 26'!$1:$8</definedName>
    <definedName name="_xlnm.Print_Titles" localSheetId="2">'Feb 5'!$1:$8</definedName>
    <definedName name="_xlnm.Print_Titles" localSheetId="5">'Mar 20'!$1:$8</definedName>
    <definedName name="_xlnm.Print_Titles" localSheetId="6">'Mar 21'!$1:$8</definedName>
    <definedName name="_xlnm.Print_Titles" localSheetId="7">'Mar 22'!$1:$8</definedName>
    <definedName name="_xlnm.Print_Titles" localSheetId="0">Summary!$1:$6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8" i="2"/>
  <c r="E8" i="2"/>
  <c r="F8" i="2"/>
  <c r="H8" i="2"/>
  <c r="I8" i="2"/>
  <c r="K8" i="2"/>
  <c r="L8" i="2"/>
  <c r="N8" i="2"/>
  <c r="S8" i="2"/>
  <c r="O10" i="2"/>
  <c r="P10" i="2"/>
  <c r="R10" i="2"/>
  <c r="S10" i="2"/>
  <c r="T10" i="2"/>
  <c r="U10" i="2"/>
  <c r="V10" i="2"/>
  <c r="W10" i="2"/>
  <c r="X10" i="2"/>
  <c r="O11" i="2"/>
  <c r="P11" i="2"/>
  <c r="R11" i="2"/>
  <c r="S11" i="2"/>
  <c r="T11" i="2"/>
  <c r="U11" i="2"/>
  <c r="V11" i="2"/>
  <c r="W11" i="2"/>
  <c r="X11" i="2"/>
  <c r="O12" i="2"/>
  <c r="P12" i="2"/>
  <c r="R12" i="2"/>
  <c r="S12" i="2"/>
  <c r="T12" i="2"/>
  <c r="U12" i="2"/>
  <c r="V12" i="2"/>
  <c r="W12" i="2"/>
  <c r="X12" i="2"/>
  <c r="O13" i="2"/>
  <c r="P13" i="2"/>
  <c r="R13" i="2"/>
  <c r="S13" i="2"/>
  <c r="T13" i="2"/>
  <c r="U13" i="2"/>
  <c r="V13" i="2"/>
  <c r="W13" i="2"/>
  <c r="X13" i="2"/>
  <c r="O14" i="2"/>
  <c r="P14" i="2"/>
  <c r="R14" i="2"/>
  <c r="S14" i="2"/>
  <c r="T14" i="2"/>
  <c r="U14" i="2"/>
  <c r="V14" i="2"/>
  <c r="W14" i="2"/>
  <c r="X14" i="2"/>
  <c r="O15" i="2"/>
  <c r="P15" i="2"/>
  <c r="R15" i="2"/>
  <c r="S15" i="2"/>
  <c r="T15" i="2"/>
  <c r="U15" i="2"/>
  <c r="V15" i="2"/>
  <c r="W15" i="2"/>
  <c r="X15" i="2"/>
  <c r="O16" i="2"/>
  <c r="P16" i="2"/>
  <c r="R16" i="2"/>
  <c r="S16" i="2"/>
  <c r="T16" i="2"/>
  <c r="U16" i="2"/>
  <c r="V16" i="2"/>
  <c r="W16" i="2"/>
  <c r="X16" i="2"/>
  <c r="O17" i="2"/>
  <c r="P17" i="2"/>
  <c r="R17" i="2"/>
  <c r="S17" i="2"/>
  <c r="T17" i="2"/>
  <c r="U17" i="2"/>
  <c r="V17" i="2"/>
  <c r="W17" i="2"/>
  <c r="X17" i="2"/>
  <c r="O18" i="2"/>
  <c r="P18" i="2"/>
  <c r="R18" i="2"/>
  <c r="S18" i="2"/>
  <c r="T18" i="2"/>
  <c r="U18" i="2"/>
  <c r="V18" i="2"/>
  <c r="W18" i="2"/>
  <c r="X18" i="2"/>
  <c r="O19" i="2"/>
  <c r="P19" i="2"/>
  <c r="R19" i="2"/>
  <c r="S19" i="2"/>
  <c r="T19" i="2"/>
  <c r="U19" i="2"/>
  <c r="V19" i="2"/>
  <c r="W19" i="2"/>
  <c r="X19" i="2"/>
  <c r="O20" i="2"/>
  <c r="P20" i="2"/>
  <c r="R20" i="2"/>
  <c r="S20" i="2"/>
  <c r="T20" i="2"/>
  <c r="U20" i="2"/>
  <c r="V20" i="2"/>
  <c r="W20" i="2"/>
  <c r="X20" i="2"/>
  <c r="O21" i="2"/>
  <c r="P21" i="2"/>
  <c r="R21" i="2"/>
  <c r="S21" i="2"/>
  <c r="T21" i="2"/>
  <c r="U21" i="2"/>
  <c r="V21" i="2"/>
  <c r="W21" i="2"/>
  <c r="X21" i="2"/>
  <c r="O22" i="2"/>
  <c r="P22" i="2"/>
  <c r="R22" i="2"/>
  <c r="S22" i="2"/>
  <c r="T22" i="2"/>
  <c r="U22" i="2"/>
  <c r="V22" i="2"/>
  <c r="W22" i="2"/>
  <c r="X22" i="2"/>
  <c r="O23" i="2"/>
  <c r="P23" i="2"/>
  <c r="R23" i="2"/>
  <c r="S23" i="2"/>
  <c r="T23" i="2"/>
  <c r="U23" i="2"/>
  <c r="V23" i="2"/>
  <c r="W23" i="2"/>
  <c r="X23" i="2"/>
  <c r="O24" i="2"/>
  <c r="P24" i="2"/>
  <c r="R24" i="2"/>
  <c r="S24" i="2"/>
  <c r="T24" i="2"/>
  <c r="U24" i="2"/>
  <c r="V24" i="2"/>
  <c r="W24" i="2"/>
  <c r="X24" i="2"/>
  <c r="O25" i="2"/>
  <c r="P25" i="2"/>
  <c r="R25" i="2"/>
  <c r="S25" i="2"/>
  <c r="T25" i="2"/>
  <c r="U25" i="2"/>
  <c r="V25" i="2"/>
  <c r="W25" i="2"/>
  <c r="X25" i="2"/>
  <c r="O26" i="2"/>
  <c r="P26" i="2"/>
  <c r="R26" i="2"/>
  <c r="S26" i="2"/>
  <c r="T26" i="2"/>
  <c r="U26" i="2"/>
  <c r="V26" i="2"/>
  <c r="W26" i="2"/>
  <c r="X26" i="2"/>
  <c r="O27" i="2"/>
  <c r="P27" i="2"/>
  <c r="R27" i="2"/>
  <c r="S27" i="2"/>
  <c r="T27" i="2"/>
  <c r="U27" i="2"/>
  <c r="V27" i="2"/>
  <c r="W27" i="2"/>
  <c r="X27" i="2"/>
  <c r="O28" i="2"/>
  <c r="P28" i="2"/>
  <c r="R28" i="2"/>
  <c r="S28" i="2"/>
  <c r="T28" i="2"/>
  <c r="U28" i="2"/>
  <c r="V28" i="2"/>
  <c r="W28" i="2"/>
  <c r="X28" i="2"/>
  <c r="O29" i="2"/>
  <c r="P29" i="2"/>
  <c r="R29" i="2"/>
  <c r="S29" i="2"/>
  <c r="T29" i="2"/>
  <c r="U29" i="2"/>
  <c r="V29" i="2"/>
  <c r="W29" i="2"/>
  <c r="X29" i="2"/>
  <c r="O30" i="2"/>
  <c r="P30" i="2"/>
  <c r="R30" i="2"/>
  <c r="S30" i="2"/>
  <c r="T30" i="2"/>
  <c r="U30" i="2"/>
  <c r="V30" i="2"/>
  <c r="W30" i="2"/>
  <c r="X30" i="2"/>
  <c r="O31" i="2"/>
  <c r="P31" i="2"/>
  <c r="R31" i="2"/>
  <c r="S31" i="2"/>
  <c r="T31" i="2"/>
  <c r="U31" i="2"/>
  <c r="V31" i="2"/>
  <c r="W31" i="2"/>
  <c r="X31" i="2"/>
  <c r="O32" i="2"/>
  <c r="P32" i="2"/>
  <c r="R32" i="2"/>
  <c r="S32" i="2"/>
  <c r="T32" i="2"/>
  <c r="U32" i="2"/>
  <c r="V32" i="2"/>
  <c r="W32" i="2"/>
  <c r="X32" i="2"/>
  <c r="O33" i="2"/>
  <c r="P33" i="2"/>
  <c r="R33" i="2"/>
  <c r="S33" i="2"/>
  <c r="T33" i="2"/>
  <c r="U33" i="2"/>
  <c r="V33" i="2"/>
  <c r="W33" i="2"/>
  <c r="X33" i="2"/>
  <c r="O34" i="2"/>
  <c r="P34" i="2"/>
  <c r="R34" i="2"/>
  <c r="S34" i="2"/>
  <c r="T34" i="2"/>
  <c r="U34" i="2"/>
  <c r="V34" i="2"/>
  <c r="W34" i="2"/>
  <c r="X34" i="2"/>
  <c r="O35" i="2"/>
  <c r="P35" i="2"/>
  <c r="R35" i="2"/>
  <c r="S35" i="2"/>
  <c r="T35" i="2"/>
  <c r="U35" i="2"/>
  <c r="V35" i="2"/>
  <c r="W35" i="2"/>
  <c r="X35" i="2"/>
  <c r="O36" i="2"/>
  <c r="P36" i="2"/>
  <c r="R36" i="2"/>
  <c r="S36" i="2"/>
  <c r="T36" i="2"/>
  <c r="U36" i="2"/>
  <c r="V36" i="2"/>
  <c r="W36" i="2"/>
  <c r="X36" i="2"/>
  <c r="O37" i="2"/>
  <c r="P37" i="2"/>
  <c r="R37" i="2"/>
  <c r="S37" i="2"/>
  <c r="T37" i="2"/>
  <c r="U37" i="2"/>
  <c r="V37" i="2"/>
  <c r="W37" i="2"/>
  <c r="X37" i="2"/>
  <c r="O38" i="2"/>
  <c r="P38" i="2"/>
  <c r="R38" i="2"/>
  <c r="S38" i="2"/>
  <c r="T38" i="2"/>
  <c r="U38" i="2"/>
  <c r="V38" i="2"/>
  <c r="W38" i="2"/>
  <c r="X38" i="2"/>
  <c r="O39" i="2"/>
  <c r="P39" i="2"/>
  <c r="R39" i="2"/>
  <c r="S39" i="2"/>
  <c r="T39" i="2"/>
  <c r="U39" i="2"/>
  <c r="V39" i="2"/>
  <c r="W39" i="2"/>
  <c r="X39" i="2"/>
  <c r="O40" i="2"/>
  <c r="P40" i="2"/>
  <c r="R40" i="2"/>
  <c r="S40" i="2"/>
  <c r="T40" i="2"/>
  <c r="U40" i="2"/>
  <c r="V40" i="2"/>
  <c r="W40" i="2"/>
  <c r="X40" i="2"/>
  <c r="O41" i="2"/>
  <c r="P41" i="2"/>
  <c r="R41" i="2"/>
  <c r="S41" i="2"/>
  <c r="T41" i="2"/>
  <c r="U41" i="2"/>
  <c r="V41" i="2"/>
  <c r="W41" i="2"/>
  <c r="X41" i="2"/>
  <c r="O42" i="2"/>
  <c r="P42" i="2"/>
  <c r="R42" i="2"/>
  <c r="S42" i="2"/>
  <c r="T42" i="2"/>
  <c r="U42" i="2"/>
  <c r="V42" i="2"/>
  <c r="W42" i="2"/>
  <c r="X42" i="2"/>
  <c r="O43" i="2"/>
  <c r="P43" i="2"/>
  <c r="R43" i="2"/>
  <c r="S43" i="2"/>
  <c r="T43" i="2"/>
  <c r="U43" i="2"/>
  <c r="V43" i="2"/>
  <c r="W43" i="2"/>
  <c r="X43" i="2"/>
  <c r="O44" i="2"/>
  <c r="P44" i="2"/>
  <c r="R44" i="2"/>
  <c r="S44" i="2"/>
  <c r="T44" i="2"/>
  <c r="U44" i="2"/>
  <c r="V44" i="2"/>
  <c r="W44" i="2"/>
  <c r="X44" i="2"/>
  <c r="O45" i="2"/>
  <c r="P45" i="2"/>
  <c r="R45" i="2"/>
  <c r="S45" i="2"/>
  <c r="T45" i="2"/>
  <c r="U45" i="2"/>
  <c r="V45" i="2"/>
  <c r="W45" i="2"/>
  <c r="X45" i="2"/>
  <c r="O46" i="2"/>
  <c r="P46" i="2"/>
  <c r="R46" i="2"/>
  <c r="S46" i="2"/>
  <c r="T46" i="2"/>
  <c r="U46" i="2"/>
  <c r="V46" i="2"/>
  <c r="W46" i="2"/>
  <c r="X46" i="2"/>
  <c r="O47" i="2"/>
  <c r="P47" i="2"/>
  <c r="R47" i="2"/>
  <c r="S47" i="2"/>
  <c r="T47" i="2"/>
  <c r="U47" i="2"/>
  <c r="V47" i="2"/>
  <c r="W47" i="2"/>
  <c r="X47" i="2"/>
  <c r="O48" i="2"/>
  <c r="P48" i="2"/>
  <c r="R48" i="2"/>
  <c r="S48" i="2"/>
  <c r="T48" i="2"/>
  <c r="U48" i="2"/>
  <c r="V48" i="2"/>
  <c r="W48" i="2"/>
  <c r="X48" i="2"/>
  <c r="O49" i="2"/>
  <c r="P49" i="2"/>
  <c r="R49" i="2"/>
  <c r="S49" i="2"/>
  <c r="T49" i="2"/>
  <c r="U49" i="2"/>
  <c r="V49" i="2"/>
  <c r="W49" i="2"/>
  <c r="X49" i="2"/>
  <c r="O50" i="2"/>
  <c r="P50" i="2"/>
  <c r="R50" i="2"/>
  <c r="S50" i="2"/>
  <c r="T50" i="2"/>
  <c r="U50" i="2"/>
  <c r="V50" i="2"/>
  <c r="W50" i="2"/>
  <c r="X50" i="2"/>
  <c r="O51" i="2"/>
  <c r="P51" i="2"/>
  <c r="R51" i="2"/>
  <c r="S51" i="2"/>
  <c r="T51" i="2"/>
  <c r="U51" i="2"/>
  <c r="V51" i="2"/>
  <c r="W51" i="2"/>
  <c r="O52" i="2"/>
  <c r="P52" i="2"/>
  <c r="S52" i="2"/>
  <c r="T52" i="2"/>
  <c r="U52" i="2"/>
  <c r="V52" i="2"/>
  <c r="W52" i="2"/>
  <c r="X52" i="2"/>
  <c r="O53" i="2"/>
  <c r="P53" i="2"/>
  <c r="S53" i="2"/>
  <c r="V53" i="2"/>
  <c r="O54" i="2"/>
  <c r="P54" i="2"/>
  <c r="R54" i="2"/>
  <c r="S54" i="2"/>
  <c r="T54" i="2"/>
  <c r="U54" i="2"/>
  <c r="V54" i="2"/>
  <c r="W54" i="2"/>
  <c r="X54" i="2"/>
  <c r="O55" i="2"/>
  <c r="P55" i="2"/>
  <c r="R55" i="2"/>
  <c r="S55" i="2"/>
  <c r="T55" i="2"/>
  <c r="U55" i="2"/>
  <c r="V55" i="2"/>
  <c r="W55" i="2"/>
  <c r="X55" i="2"/>
  <c r="O56" i="2"/>
  <c r="P56" i="2"/>
  <c r="R56" i="2"/>
  <c r="S56" i="2"/>
  <c r="T56" i="2"/>
  <c r="U56" i="2"/>
  <c r="V56" i="2"/>
  <c r="W56" i="2"/>
  <c r="X56" i="2"/>
  <c r="O57" i="2"/>
  <c r="P57" i="2"/>
  <c r="S57" i="2"/>
  <c r="O58" i="2"/>
  <c r="P58" i="2"/>
  <c r="R58" i="2"/>
  <c r="S58" i="2"/>
  <c r="T58" i="2"/>
  <c r="U58" i="2"/>
  <c r="V58" i="2"/>
  <c r="W58" i="2"/>
  <c r="O59" i="2"/>
  <c r="P59" i="2"/>
  <c r="S59" i="2"/>
  <c r="O60" i="2"/>
  <c r="P60" i="2"/>
  <c r="S60" i="2"/>
  <c r="O61" i="2"/>
  <c r="P61" i="2"/>
  <c r="R61" i="2"/>
  <c r="S61" i="2"/>
  <c r="T61" i="2"/>
  <c r="U61" i="2"/>
  <c r="V61" i="2"/>
  <c r="W61" i="2"/>
  <c r="X61" i="2"/>
  <c r="O62" i="2"/>
  <c r="P62" i="2"/>
  <c r="R62" i="2"/>
  <c r="S62" i="2"/>
  <c r="T62" i="2"/>
  <c r="U62" i="2"/>
  <c r="V62" i="2"/>
  <c r="W62" i="2"/>
  <c r="X62" i="2"/>
  <c r="O63" i="2"/>
  <c r="P63" i="2"/>
  <c r="R63" i="2"/>
  <c r="S63" i="2"/>
  <c r="T63" i="2"/>
  <c r="U63" i="2"/>
  <c r="V63" i="2"/>
  <c r="W63" i="2"/>
  <c r="X63" i="2"/>
  <c r="O64" i="2"/>
  <c r="P64" i="2"/>
  <c r="S64" i="2"/>
  <c r="O65" i="2"/>
  <c r="P65" i="2"/>
  <c r="R65" i="2"/>
  <c r="S65" i="2"/>
  <c r="T65" i="2"/>
  <c r="U65" i="2"/>
  <c r="V65" i="2"/>
  <c r="W65" i="2"/>
  <c r="X65" i="2"/>
  <c r="O66" i="2"/>
  <c r="P66" i="2"/>
  <c r="R66" i="2"/>
  <c r="S66" i="2"/>
  <c r="T66" i="2"/>
  <c r="U66" i="2"/>
  <c r="V66" i="2"/>
  <c r="W66" i="2"/>
  <c r="X66" i="2"/>
  <c r="O67" i="2"/>
  <c r="P67" i="2"/>
  <c r="R67" i="2"/>
  <c r="S67" i="2"/>
  <c r="T67" i="2"/>
  <c r="U67" i="2"/>
  <c r="V67" i="2"/>
  <c r="W67" i="2"/>
  <c r="X67" i="2"/>
  <c r="O68" i="2"/>
  <c r="P68" i="2"/>
  <c r="R68" i="2"/>
  <c r="S68" i="2"/>
  <c r="T68" i="2"/>
  <c r="U68" i="2"/>
  <c r="V68" i="2"/>
  <c r="W68" i="2"/>
  <c r="O69" i="2"/>
  <c r="P69" i="2"/>
  <c r="R69" i="2"/>
  <c r="S69" i="2"/>
  <c r="T69" i="2"/>
  <c r="U69" i="2"/>
  <c r="V69" i="2"/>
  <c r="W69" i="2"/>
  <c r="O70" i="2"/>
  <c r="P70" i="2"/>
  <c r="S70" i="2"/>
  <c r="O71" i="2"/>
  <c r="P71" i="2"/>
  <c r="S71" i="2"/>
  <c r="O72" i="2"/>
  <c r="P72" i="2"/>
  <c r="R72" i="2"/>
  <c r="S72" i="2"/>
  <c r="T72" i="2"/>
  <c r="U72" i="2"/>
  <c r="V72" i="2"/>
  <c r="W72" i="2"/>
  <c r="X72" i="2"/>
  <c r="O73" i="2"/>
  <c r="P73" i="2"/>
  <c r="R73" i="2"/>
  <c r="S73" i="2"/>
  <c r="T73" i="2"/>
  <c r="U73" i="2"/>
  <c r="V73" i="2"/>
  <c r="W73" i="2"/>
  <c r="X73" i="2"/>
  <c r="O74" i="2"/>
  <c r="P74" i="2"/>
  <c r="R74" i="2"/>
  <c r="S74" i="2"/>
  <c r="T74" i="2"/>
  <c r="U74" i="2"/>
  <c r="V74" i="2"/>
  <c r="W74" i="2"/>
  <c r="X74" i="2"/>
  <c r="O75" i="2"/>
  <c r="P75" i="2"/>
  <c r="R75" i="2"/>
  <c r="S75" i="2"/>
  <c r="T75" i="2"/>
  <c r="U75" i="2"/>
  <c r="V75" i="2"/>
  <c r="W75" i="2"/>
  <c r="X75" i="2"/>
  <c r="O76" i="2"/>
  <c r="P76" i="2"/>
  <c r="R76" i="2"/>
  <c r="S76" i="2"/>
  <c r="T76" i="2"/>
  <c r="U76" i="2"/>
  <c r="V76" i="2"/>
  <c r="W76" i="2"/>
  <c r="X76" i="2"/>
  <c r="O77" i="2"/>
  <c r="P77" i="2"/>
  <c r="R77" i="2"/>
  <c r="S77" i="2"/>
  <c r="T77" i="2"/>
  <c r="U77" i="2"/>
  <c r="V77" i="2"/>
  <c r="W77" i="2"/>
  <c r="X77" i="2"/>
  <c r="O78" i="2"/>
  <c r="P78" i="2"/>
  <c r="S78" i="2"/>
  <c r="O79" i="2"/>
  <c r="P79" i="2"/>
  <c r="S79" i="2"/>
  <c r="O80" i="2"/>
  <c r="P80" i="2"/>
  <c r="S80" i="2"/>
  <c r="T80" i="2"/>
  <c r="U80" i="2"/>
  <c r="V80" i="2"/>
  <c r="W80" i="2"/>
  <c r="X80" i="2"/>
  <c r="O81" i="2"/>
  <c r="P81" i="2"/>
  <c r="R81" i="2"/>
  <c r="S81" i="2"/>
  <c r="T81" i="2"/>
  <c r="U81" i="2"/>
  <c r="V81" i="2"/>
  <c r="W81" i="2"/>
  <c r="E82" i="2"/>
  <c r="H82" i="2"/>
  <c r="K82" i="2"/>
  <c r="M82" i="2"/>
  <c r="N82" i="2"/>
  <c r="O82" i="2"/>
  <c r="Q82" i="2"/>
  <c r="R82" i="2"/>
  <c r="S82" i="2"/>
  <c r="T82" i="2"/>
  <c r="U82" i="2"/>
  <c r="W82" i="2"/>
  <c r="X82" i="2"/>
  <c r="N83" i="2"/>
  <c r="R83" i="2"/>
  <c r="R84" i="2"/>
  <c r="C3" i="4"/>
  <c r="C8" i="4"/>
  <c r="E8" i="4"/>
  <c r="F8" i="4"/>
  <c r="H8" i="4"/>
  <c r="I8" i="4"/>
  <c r="K8" i="4"/>
  <c r="L8" i="4"/>
  <c r="N8" i="4"/>
  <c r="S8" i="4"/>
  <c r="O9" i="4"/>
  <c r="O10" i="4"/>
  <c r="P10" i="4"/>
  <c r="R10" i="4"/>
  <c r="S10" i="4"/>
  <c r="T10" i="4"/>
  <c r="U10" i="4"/>
  <c r="V10" i="4"/>
  <c r="W10" i="4"/>
  <c r="X10" i="4"/>
  <c r="O11" i="4"/>
  <c r="P11" i="4"/>
  <c r="R11" i="4"/>
  <c r="S11" i="4"/>
  <c r="T11" i="4"/>
  <c r="U11" i="4"/>
  <c r="V11" i="4"/>
  <c r="W11" i="4"/>
  <c r="X11" i="4"/>
  <c r="O12" i="4"/>
  <c r="P12" i="4"/>
  <c r="R12" i="4"/>
  <c r="S12" i="4"/>
  <c r="T12" i="4"/>
  <c r="U12" i="4"/>
  <c r="V12" i="4"/>
  <c r="W12" i="4"/>
  <c r="X12" i="4"/>
  <c r="O13" i="4"/>
  <c r="P13" i="4"/>
  <c r="R13" i="4"/>
  <c r="S13" i="4"/>
  <c r="T13" i="4"/>
  <c r="U13" i="4"/>
  <c r="V13" i="4"/>
  <c r="W13" i="4"/>
  <c r="X13" i="4"/>
  <c r="O14" i="4"/>
  <c r="P14" i="4"/>
  <c r="R14" i="4"/>
  <c r="S14" i="4"/>
  <c r="T14" i="4"/>
  <c r="U14" i="4"/>
  <c r="V14" i="4"/>
  <c r="W14" i="4"/>
  <c r="X14" i="4"/>
  <c r="O15" i="4"/>
  <c r="P15" i="4"/>
  <c r="R15" i="4"/>
  <c r="S15" i="4"/>
  <c r="T15" i="4"/>
  <c r="U15" i="4"/>
  <c r="V15" i="4"/>
  <c r="W15" i="4"/>
  <c r="X15" i="4"/>
  <c r="O16" i="4"/>
  <c r="P16" i="4"/>
  <c r="R16" i="4"/>
  <c r="S16" i="4"/>
  <c r="T16" i="4"/>
  <c r="U16" i="4"/>
  <c r="V16" i="4"/>
  <c r="W16" i="4"/>
  <c r="X16" i="4"/>
  <c r="O17" i="4"/>
  <c r="P17" i="4"/>
  <c r="R17" i="4"/>
  <c r="S17" i="4"/>
  <c r="T17" i="4"/>
  <c r="U17" i="4"/>
  <c r="V17" i="4"/>
  <c r="W17" i="4"/>
  <c r="X17" i="4"/>
  <c r="O18" i="4"/>
  <c r="P18" i="4"/>
  <c r="R18" i="4"/>
  <c r="S18" i="4"/>
  <c r="T18" i="4"/>
  <c r="U18" i="4"/>
  <c r="V18" i="4"/>
  <c r="W18" i="4"/>
  <c r="X18" i="4"/>
  <c r="O19" i="4"/>
  <c r="P19" i="4"/>
  <c r="R19" i="4"/>
  <c r="S19" i="4"/>
  <c r="T19" i="4"/>
  <c r="U19" i="4"/>
  <c r="V19" i="4"/>
  <c r="W19" i="4"/>
  <c r="X19" i="4"/>
  <c r="O20" i="4"/>
  <c r="P20" i="4"/>
  <c r="R20" i="4"/>
  <c r="S20" i="4"/>
  <c r="T20" i="4"/>
  <c r="U20" i="4"/>
  <c r="V20" i="4"/>
  <c r="W20" i="4"/>
  <c r="X20" i="4"/>
  <c r="O21" i="4"/>
  <c r="P21" i="4"/>
  <c r="R21" i="4"/>
  <c r="S21" i="4"/>
  <c r="T21" i="4"/>
  <c r="U21" i="4"/>
  <c r="V21" i="4"/>
  <c r="W21" i="4"/>
  <c r="X21" i="4"/>
  <c r="O22" i="4"/>
  <c r="P22" i="4"/>
  <c r="R22" i="4"/>
  <c r="S22" i="4"/>
  <c r="T22" i="4"/>
  <c r="U22" i="4"/>
  <c r="V22" i="4"/>
  <c r="W22" i="4"/>
  <c r="X22" i="4"/>
  <c r="O23" i="4"/>
  <c r="P23" i="4"/>
  <c r="R23" i="4"/>
  <c r="S23" i="4"/>
  <c r="T23" i="4"/>
  <c r="U23" i="4"/>
  <c r="V23" i="4"/>
  <c r="W23" i="4"/>
  <c r="X23" i="4"/>
  <c r="O24" i="4"/>
  <c r="P24" i="4"/>
  <c r="R24" i="4"/>
  <c r="S24" i="4"/>
  <c r="T24" i="4"/>
  <c r="U24" i="4"/>
  <c r="V24" i="4"/>
  <c r="W24" i="4"/>
  <c r="X24" i="4"/>
  <c r="O25" i="4"/>
  <c r="P25" i="4"/>
  <c r="R25" i="4"/>
  <c r="S25" i="4"/>
  <c r="T25" i="4"/>
  <c r="U25" i="4"/>
  <c r="V25" i="4"/>
  <c r="W25" i="4"/>
  <c r="X25" i="4"/>
  <c r="O26" i="4"/>
  <c r="P26" i="4"/>
  <c r="R26" i="4"/>
  <c r="S26" i="4"/>
  <c r="T26" i="4"/>
  <c r="U26" i="4"/>
  <c r="V26" i="4"/>
  <c r="W26" i="4"/>
  <c r="X26" i="4"/>
  <c r="O27" i="4"/>
  <c r="P27" i="4"/>
  <c r="R27" i="4"/>
  <c r="S27" i="4"/>
  <c r="T27" i="4"/>
  <c r="U27" i="4"/>
  <c r="V27" i="4"/>
  <c r="W27" i="4"/>
  <c r="X27" i="4"/>
  <c r="O28" i="4"/>
  <c r="P28" i="4"/>
  <c r="R28" i="4"/>
  <c r="S28" i="4"/>
  <c r="T28" i="4"/>
  <c r="U28" i="4"/>
  <c r="V28" i="4"/>
  <c r="W28" i="4"/>
  <c r="X28" i="4"/>
  <c r="O29" i="4"/>
  <c r="P29" i="4"/>
  <c r="R29" i="4"/>
  <c r="S29" i="4"/>
  <c r="T29" i="4"/>
  <c r="U29" i="4"/>
  <c r="V29" i="4"/>
  <c r="W29" i="4"/>
  <c r="X29" i="4"/>
  <c r="O30" i="4"/>
  <c r="P30" i="4"/>
  <c r="R30" i="4"/>
  <c r="S30" i="4"/>
  <c r="T30" i="4"/>
  <c r="U30" i="4"/>
  <c r="V30" i="4"/>
  <c r="W30" i="4"/>
  <c r="X30" i="4"/>
  <c r="O31" i="4"/>
  <c r="P31" i="4"/>
  <c r="R31" i="4"/>
  <c r="S31" i="4"/>
  <c r="T31" i="4"/>
  <c r="U31" i="4"/>
  <c r="V31" i="4"/>
  <c r="W31" i="4"/>
  <c r="X31" i="4"/>
  <c r="O32" i="4"/>
  <c r="P32" i="4"/>
  <c r="R32" i="4"/>
  <c r="S32" i="4"/>
  <c r="T32" i="4"/>
  <c r="U32" i="4"/>
  <c r="V32" i="4"/>
  <c r="W32" i="4"/>
  <c r="X32" i="4"/>
  <c r="O33" i="4"/>
  <c r="P33" i="4"/>
  <c r="R33" i="4"/>
  <c r="S33" i="4"/>
  <c r="T33" i="4"/>
  <c r="U33" i="4"/>
  <c r="V33" i="4"/>
  <c r="W33" i="4"/>
  <c r="X33" i="4"/>
  <c r="O34" i="4"/>
  <c r="P34" i="4"/>
  <c r="R34" i="4"/>
  <c r="S34" i="4"/>
  <c r="T34" i="4"/>
  <c r="U34" i="4"/>
  <c r="V34" i="4"/>
  <c r="W34" i="4"/>
  <c r="X34" i="4"/>
  <c r="O35" i="4"/>
  <c r="P35" i="4"/>
  <c r="R35" i="4"/>
  <c r="S35" i="4"/>
  <c r="T35" i="4"/>
  <c r="U35" i="4"/>
  <c r="V35" i="4"/>
  <c r="W35" i="4"/>
  <c r="X35" i="4"/>
  <c r="O36" i="4"/>
  <c r="P36" i="4"/>
  <c r="R36" i="4"/>
  <c r="S36" i="4"/>
  <c r="T36" i="4"/>
  <c r="U36" i="4"/>
  <c r="V36" i="4"/>
  <c r="W36" i="4"/>
  <c r="X36" i="4"/>
  <c r="O37" i="4"/>
  <c r="P37" i="4"/>
  <c r="R37" i="4"/>
  <c r="S37" i="4"/>
  <c r="T37" i="4"/>
  <c r="U37" i="4"/>
  <c r="V37" i="4"/>
  <c r="W37" i="4"/>
  <c r="X37" i="4"/>
  <c r="O38" i="4"/>
  <c r="P38" i="4"/>
  <c r="R38" i="4"/>
  <c r="S38" i="4"/>
  <c r="T38" i="4"/>
  <c r="U38" i="4"/>
  <c r="V38" i="4"/>
  <c r="W38" i="4"/>
  <c r="X38" i="4"/>
  <c r="O39" i="4"/>
  <c r="P39" i="4"/>
  <c r="R39" i="4"/>
  <c r="S39" i="4"/>
  <c r="T39" i="4"/>
  <c r="U39" i="4"/>
  <c r="V39" i="4"/>
  <c r="W39" i="4"/>
  <c r="X39" i="4"/>
  <c r="O40" i="4"/>
  <c r="P40" i="4"/>
  <c r="R40" i="4"/>
  <c r="S40" i="4"/>
  <c r="T40" i="4"/>
  <c r="U40" i="4"/>
  <c r="V40" i="4"/>
  <c r="W40" i="4"/>
  <c r="X40" i="4"/>
  <c r="O41" i="4"/>
  <c r="P41" i="4"/>
  <c r="R41" i="4"/>
  <c r="S41" i="4"/>
  <c r="T41" i="4"/>
  <c r="U41" i="4"/>
  <c r="V41" i="4"/>
  <c r="W41" i="4"/>
  <c r="X41" i="4"/>
  <c r="O42" i="4"/>
  <c r="P42" i="4"/>
  <c r="R42" i="4"/>
  <c r="S42" i="4"/>
  <c r="T42" i="4"/>
  <c r="U42" i="4"/>
  <c r="V42" i="4"/>
  <c r="W42" i="4"/>
  <c r="X42" i="4"/>
  <c r="O43" i="4"/>
  <c r="P43" i="4"/>
  <c r="R43" i="4"/>
  <c r="S43" i="4"/>
  <c r="T43" i="4"/>
  <c r="U43" i="4"/>
  <c r="V43" i="4"/>
  <c r="W43" i="4"/>
  <c r="X43" i="4"/>
  <c r="O44" i="4"/>
  <c r="P44" i="4"/>
  <c r="R44" i="4"/>
  <c r="S44" i="4"/>
  <c r="T44" i="4"/>
  <c r="U44" i="4"/>
  <c r="V44" i="4"/>
  <c r="W44" i="4"/>
  <c r="X44" i="4"/>
  <c r="O45" i="4"/>
  <c r="P45" i="4"/>
  <c r="R45" i="4"/>
  <c r="S45" i="4"/>
  <c r="T45" i="4"/>
  <c r="U45" i="4"/>
  <c r="V45" i="4"/>
  <c r="W45" i="4"/>
  <c r="X45" i="4"/>
  <c r="O46" i="4"/>
  <c r="P46" i="4"/>
  <c r="R46" i="4"/>
  <c r="S46" i="4"/>
  <c r="T46" i="4"/>
  <c r="U46" i="4"/>
  <c r="V46" i="4"/>
  <c r="W46" i="4"/>
  <c r="X46" i="4"/>
  <c r="O47" i="4"/>
  <c r="P47" i="4"/>
  <c r="R47" i="4"/>
  <c r="S47" i="4"/>
  <c r="T47" i="4"/>
  <c r="U47" i="4"/>
  <c r="V47" i="4"/>
  <c r="W47" i="4"/>
  <c r="X47" i="4"/>
  <c r="O48" i="4"/>
  <c r="P48" i="4"/>
  <c r="R48" i="4"/>
  <c r="S48" i="4"/>
  <c r="T48" i="4"/>
  <c r="U48" i="4"/>
  <c r="V48" i="4"/>
  <c r="W48" i="4"/>
  <c r="X48" i="4"/>
  <c r="O49" i="4"/>
  <c r="P49" i="4"/>
  <c r="R49" i="4"/>
  <c r="S49" i="4"/>
  <c r="T49" i="4"/>
  <c r="U49" i="4"/>
  <c r="V49" i="4"/>
  <c r="W49" i="4"/>
  <c r="X49" i="4"/>
  <c r="O50" i="4"/>
  <c r="P50" i="4"/>
  <c r="R50" i="4"/>
  <c r="S50" i="4"/>
  <c r="T50" i="4"/>
  <c r="U50" i="4"/>
  <c r="V50" i="4"/>
  <c r="W50" i="4"/>
  <c r="X50" i="4"/>
  <c r="O51" i="4"/>
  <c r="P51" i="4"/>
  <c r="R51" i="4"/>
  <c r="S51" i="4"/>
  <c r="T51" i="4"/>
  <c r="U51" i="4"/>
  <c r="V51" i="4"/>
  <c r="W51" i="4"/>
  <c r="X51" i="4"/>
  <c r="O52" i="4"/>
  <c r="P52" i="4"/>
  <c r="R52" i="4"/>
  <c r="S52" i="4"/>
  <c r="T52" i="4"/>
  <c r="U52" i="4"/>
  <c r="V52" i="4"/>
  <c r="W52" i="4"/>
  <c r="X52" i="4"/>
  <c r="O53" i="4"/>
  <c r="P53" i="4"/>
  <c r="R53" i="4"/>
  <c r="S53" i="4"/>
  <c r="T53" i="4"/>
  <c r="U53" i="4"/>
  <c r="V53" i="4"/>
  <c r="W53" i="4"/>
  <c r="X53" i="4"/>
  <c r="O54" i="4"/>
  <c r="P54" i="4"/>
  <c r="R54" i="4"/>
  <c r="S54" i="4"/>
  <c r="T54" i="4"/>
  <c r="U54" i="4"/>
  <c r="V54" i="4"/>
  <c r="W54" i="4"/>
  <c r="X54" i="4"/>
  <c r="O55" i="4"/>
  <c r="P55" i="4"/>
  <c r="R55" i="4"/>
  <c r="S55" i="4"/>
  <c r="T55" i="4"/>
  <c r="U55" i="4"/>
  <c r="V55" i="4"/>
  <c r="W55" i="4"/>
  <c r="X55" i="4"/>
  <c r="O56" i="4"/>
  <c r="P56" i="4"/>
  <c r="R56" i="4"/>
  <c r="S56" i="4"/>
  <c r="T56" i="4"/>
  <c r="U56" i="4"/>
  <c r="V56" i="4"/>
  <c r="W56" i="4"/>
  <c r="X56" i="4"/>
  <c r="O57" i="4"/>
  <c r="P57" i="4"/>
  <c r="R57" i="4"/>
  <c r="S57" i="4"/>
  <c r="T57" i="4"/>
  <c r="U57" i="4"/>
  <c r="V57" i="4"/>
  <c r="W57" i="4"/>
  <c r="X57" i="4"/>
  <c r="O58" i="4"/>
  <c r="P58" i="4"/>
  <c r="R58" i="4"/>
  <c r="S58" i="4"/>
  <c r="T58" i="4"/>
  <c r="U58" i="4"/>
  <c r="V58" i="4"/>
  <c r="W58" i="4"/>
  <c r="X58" i="4"/>
  <c r="O59" i="4"/>
  <c r="P59" i="4"/>
  <c r="R59" i="4"/>
  <c r="S59" i="4"/>
  <c r="T59" i="4"/>
  <c r="U59" i="4"/>
  <c r="V59" i="4"/>
  <c r="W59" i="4"/>
  <c r="X59" i="4"/>
  <c r="O60" i="4"/>
  <c r="P60" i="4"/>
  <c r="R60" i="4"/>
  <c r="S60" i="4"/>
  <c r="T60" i="4"/>
  <c r="U60" i="4"/>
  <c r="V60" i="4"/>
  <c r="W60" i="4"/>
  <c r="X60" i="4"/>
  <c r="O61" i="4"/>
  <c r="P61" i="4"/>
  <c r="R61" i="4"/>
  <c r="S61" i="4"/>
  <c r="T61" i="4"/>
  <c r="U61" i="4"/>
  <c r="V61" i="4"/>
  <c r="W61" i="4"/>
  <c r="X61" i="4"/>
  <c r="O62" i="4"/>
  <c r="P62" i="4"/>
  <c r="R62" i="4"/>
  <c r="S62" i="4"/>
  <c r="T62" i="4"/>
  <c r="U62" i="4"/>
  <c r="V62" i="4"/>
  <c r="W62" i="4"/>
  <c r="X62" i="4"/>
  <c r="O63" i="4"/>
  <c r="P63" i="4"/>
  <c r="R63" i="4"/>
  <c r="S63" i="4"/>
  <c r="T63" i="4"/>
  <c r="U63" i="4"/>
  <c r="V63" i="4"/>
  <c r="W63" i="4"/>
  <c r="X63" i="4"/>
  <c r="O64" i="4"/>
  <c r="P64" i="4"/>
  <c r="R64" i="4"/>
  <c r="S64" i="4"/>
  <c r="T64" i="4"/>
  <c r="U64" i="4"/>
  <c r="V64" i="4"/>
  <c r="W64" i="4"/>
  <c r="X64" i="4"/>
  <c r="O65" i="4"/>
  <c r="P65" i="4"/>
  <c r="R65" i="4"/>
  <c r="S65" i="4"/>
  <c r="T65" i="4"/>
  <c r="U65" i="4"/>
  <c r="V65" i="4"/>
  <c r="W65" i="4"/>
  <c r="X65" i="4"/>
  <c r="O66" i="4"/>
  <c r="P66" i="4"/>
  <c r="R66" i="4"/>
  <c r="S66" i="4"/>
  <c r="T66" i="4"/>
  <c r="U66" i="4"/>
  <c r="V66" i="4"/>
  <c r="W66" i="4"/>
  <c r="X66" i="4"/>
  <c r="O67" i="4"/>
  <c r="P67" i="4"/>
  <c r="R67" i="4"/>
  <c r="S67" i="4"/>
  <c r="T67" i="4"/>
  <c r="U67" i="4"/>
  <c r="V67" i="4"/>
  <c r="W67" i="4"/>
  <c r="X67" i="4"/>
  <c r="O68" i="4"/>
  <c r="P68" i="4"/>
  <c r="R68" i="4"/>
  <c r="S68" i="4"/>
  <c r="T68" i="4"/>
  <c r="U68" i="4"/>
  <c r="V68" i="4"/>
  <c r="W68" i="4"/>
  <c r="X68" i="4"/>
  <c r="O69" i="4"/>
  <c r="P69" i="4"/>
  <c r="R69" i="4"/>
  <c r="S69" i="4"/>
  <c r="T69" i="4"/>
  <c r="U69" i="4"/>
  <c r="V69" i="4"/>
  <c r="W69" i="4"/>
  <c r="X69" i="4"/>
  <c r="O70" i="4"/>
  <c r="P70" i="4"/>
  <c r="R70" i="4"/>
  <c r="S70" i="4"/>
  <c r="T70" i="4"/>
  <c r="U70" i="4"/>
  <c r="V70" i="4"/>
  <c r="W70" i="4"/>
  <c r="X70" i="4"/>
  <c r="O71" i="4"/>
  <c r="P71" i="4"/>
  <c r="R71" i="4"/>
  <c r="S71" i="4"/>
  <c r="T71" i="4"/>
  <c r="U71" i="4"/>
  <c r="V71" i="4"/>
  <c r="W71" i="4"/>
  <c r="X71" i="4"/>
  <c r="O72" i="4"/>
  <c r="P72" i="4"/>
  <c r="R72" i="4"/>
  <c r="S72" i="4"/>
  <c r="T72" i="4"/>
  <c r="U72" i="4"/>
  <c r="V72" i="4"/>
  <c r="W72" i="4"/>
  <c r="X72" i="4"/>
  <c r="O73" i="4"/>
  <c r="P73" i="4"/>
  <c r="R73" i="4"/>
  <c r="S73" i="4"/>
  <c r="T73" i="4"/>
  <c r="U73" i="4"/>
  <c r="V73" i="4"/>
  <c r="W73" i="4"/>
  <c r="X73" i="4"/>
  <c r="O74" i="4"/>
  <c r="P74" i="4"/>
  <c r="R74" i="4"/>
  <c r="S74" i="4"/>
  <c r="T74" i="4"/>
  <c r="U74" i="4"/>
  <c r="V74" i="4"/>
  <c r="W74" i="4"/>
  <c r="X74" i="4"/>
  <c r="O75" i="4"/>
  <c r="P75" i="4"/>
  <c r="R75" i="4"/>
  <c r="S75" i="4"/>
  <c r="T75" i="4"/>
  <c r="U75" i="4"/>
  <c r="V75" i="4"/>
  <c r="W75" i="4"/>
  <c r="X75" i="4"/>
  <c r="E76" i="4"/>
  <c r="H76" i="4"/>
  <c r="K76" i="4"/>
  <c r="M76" i="4"/>
  <c r="N76" i="4"/>
  <c r="Q76" i="4"/>
  <c r="R76" i="4"/>
  <c r="S76" i="4"/>
  <c r="T76" i="4"/>
  <c r="U76" i="4"/>
  <c r="V76" i="4"/>
  <c r="N77" i="4"/>
  <c r="R77" i="4"/>
  <c r="S77" i="4"/>
  <c r="R78" i="4"/>
  <c r="S78" i="4"/>
  <c r="C3" i="5"/>
  <c r="C8" i="5"/>
  <c r="E8" i="5"/>
  <c r="F8" i="5"/>
  <c r="H8" i="5"/>
  <c r="I8" i="5"/>
  <c r="K8" i="5"/>
  <c r="L8" i="5"/>
  <c r="N8" i="5"/>
  <c r="S8" i="5"/>
  <c r="O9" i="5"/>
  <c r="P9" i="5"/>
  <c r="Q9" i="5"/>
  <c r="R9" i="5"/>
  <c r="S9" i="5"/>
  <c r="T9" i="5"/>
  <c r="U9" i="5"/>
  <c r="V9" i="5"/>
  <c r="W9" i="5"/>
  <c r="X9" i="5"/>
  <c r="O10" i="5"/>
  <c r="P10" i="5"/>
  <c r="R10" i="5"/>
  <c r="S10" i="5"/>
  <c r="T10" i="5"/>
  <c r="U10" i="5"/>
  <c r="V10" i="5"/>
  <c r="W10" i="5"/>
  <c r="X10" i="5"/>
  <c r="O11" i="5"/>
  <c r="P11" i="5"/>
  <c r="R11" i="5"/>
  <c r="S11" i="5"/>
  <c r="T11" i="5"/>
  <c r="U11" i="5"/>
  <c r="V11" i="5"/>
  <c r="W11" i="5"/>
  <c r="X11" i="5"/>
  <c r="O12" i="5"/>
  <c r="P12" i="5"/>
  <c r="R12" i="5"/>
  <c r="S12" i="5"/>
  <c r="T12" i="5"/>
  <c r="U12" i="5"/>
  <c r="V12" i="5"/>
  <c r="W12" i="5"/>
  <c r="X12" i="5"/>
  <c r="O13" i="5"/>
  <c r="P13" i="5"/>
  <c r="R13" i="5"/>
  <c r="S13" i="5"/>
  <c r="T13" i="5"/>
  <c r="U13" i="5"/>
  <c r="V13" i="5"/>
  <c r="W13" i="5"/>
  <c r="X13" i="5"/>
  <c r="O14" i="5"/>
  <c r="P14" i="5"/>
  <c r="R14" i="5"/>
  <c r="S14" i="5"/>
  <c r="T14" i="5"/>
  <c r="U14" i="5"/>
  <c r="V14" i="5"/>
  <c r="W14" i="5"/>
  <c r="X14" i="5"/>
  <c r="O15" i="5"/>
  <c r="P15" i="5"/>
  <c r="R15" i="5"/>
  <c r="S15" i="5"/>
  <c r="T15" i="5"/>
  <c r="U15" i="5"/>
  <c r="V15" i="5"/>
  <c r="W15" i="5"/>
  <c r="X15" i="5"/>
  <c r="O16" i="5"/>
  <c r="P16" i="5"/>
  <c r="R16" i="5"/>
  <c r="S16" i="5"/>
  <c r="T16" i="5"/>
  <c r="U16" i="5"/>
  <c r="V16" i="5"/>
  <c r="W16" i="5"/>
  <c r="X16" i="5"/>
  <c r="O17" i="5"/>
  <c r="P17" i="5"/>
  <c r="R17" i="5"/>
  <c r="S17" i="5"/>
  <c r="T17" i="5"/>
  <c r="U17" i="5"/>
  <c r="V17" i="5"/>
  <c r="W17" i="5"/>
  <c r="X17" i="5"/>
  <c r="O18" i="5"/>
  <c r="P18" i="5"/>
  <c r="R18" i="5"/>
  <c r="S18" i="5"/>
  <c r="T18" i="5"/>
  <c r="U18" i="5"/>
  <c r="V18" i="5"/>
  <c r="W18" i="5"/>
  <c r="X18" i="5"/>
  <c r="O19" i="5"/>
  <c r="P19" i="5"/>
  <c r="R19" i="5"/>
  <c r="S19" i="5"/>
  <c r="T19" i="5"/>
  <c r="U19" i="5"/>
  <c r="V19" i="5"/>
  <c r="W19" i="5"/>
  <c r="X19" i="5"/>
  <c r="O20" i="5"/>
  <c r="P20" i="5"/>
  <c r="R20" i="5"/>
  <c r="S20" i="5"/>
  <c r="T20" i="5"/>
  <c r="U20" i="5"/>
  <c r="V20" i="5"/>
  <c r="W20" i="5"/>
  <c r="X20" i="5"/>
  <c r="O21" i="5"/>
  <c r="P21" i="5"/>
  <c r="R21" i="5"/>
  <c r="S21" i="5"/>
  <c r="T21" i="5"/>
  <c r="U21" i="5"/>
  <c r="V21" i="5"/>
  <c r="W21" i="5"/>
  <c r="X21" i="5"/>
  <c r="O22" i="5"/>
  <c r="P22" i="5"/>
  <c r="R22" i="5"/>
  <c r="S22" i="5"/>
  <c r="T22" i="5"/>
  <c r="U22" i="5"/>
  <c r="V22" i="5"/>
  <c r="W22" i="5"/>
  <c r="X22" i="5"/>
  <c r="O23" i="5"/>
  <c r="P23" i="5"/>
  <c r="R23" i="5"/>
  <c r="S23" i="5"/>
  <c r="T23" i="5"/>
  <c r="U23" i="5"/>
  <c r="V23" i="5"/>
  <c r="W23" i="5"/>
  <c r="X23" i="5"/>
  <c r="O24" i="5"/>
  <c r="P24" i="5"/>
  <c r="R24" i="5"/>
  <c r="S24" i="5"/>
  <c r="T24" i="5"/>
  <c r="U24" i="5"/>
  <c r="V24" i="5"/>
  <c r="W24" i="5"/>
  <c r="X24" i="5"/>
  <c r="O25" i="5"/>
  <c r="P25" i="5"/>
  <c r="R25" i="5"/>
  <c r="S25" i="5"/>
  <c r="T25" i="5"/>
  <c r="U25" i="5"/>
  <c r="V25" i="5"/>
  <c r="W25" i="5"/>
  <c r="X25" i="5"/>
  <c r="O26" i="5"/>
  <c r="P26" i="5"/>
  <c r="R26" i="5"/>
  <c r="S26" i="5"/>
  <c r="T26" i="5"/>
  <c r="U26" i="5"/>
  <c r="V26" i="5"/>
  <c r="W26" i="5"/>
  <c r="X26" i="5"/>
  <c r="O27" i="5"/>
  <c r="P27" i="5"/>
  <c r="R27" i="5"/>
  <c r="S27" i="5"/>
  <c r="T27" i="5"/>
  <c r="U27" i="5"/>
  <c r="V27" i="5"/>
  <c r="W27" i="5"/>
  <c r="X27" i="5"/>
  <c r="O28" i="5"/>
  <c r="P28" i="5"/>
  <c r="R28" i="5"/>
  <c r="S28" i="5"/>
  <c r="T28" i="5"/>
  <c r="U28" i="5"/>
  <c r="V28" i="5"/>
  <c r="W28" i="5"/>
  <c r="X28" i="5"/>
  <c r="O29" i="5"/>
  <c r="P29" i="5"/>
  <c r="R29" i="5"/>
  <c r="S29" i="5"/>
  <c r="T29" i="5"/>
  <c r="U29" i="5"/>
  <c r="V29" i="5"/>
  <c r="W29" i="5"/>
  <c r="X29" i="5"/>
  <c r="O30" i="5"/>
  <c r="P30" i="5"/>
  <c r="R30" i="5"/>
  <c r="S30" i="5"/>
  <c r="T30" i="5"/>
  <c r="U30" i="5"/>
  <c r="V30" i="5"/>
  <c r="W30" i="5"/>
  <c r="X30" i="5"/>
  <c r="O31" i="5"/>
  <c r="P31" i="5"/>
  <c r="R31" i="5"/>
  <c r="S31" i="5"/>
  <c r="T31" i="5"/>
  <c r="U31" i="5"/>
  <c r="V31" i="5"/>
  <c r="W31" i="5"/>
  <c r="X31" i="5"/>
  <c r="O32" i="5"/>
  <c r="P32" i="5"/>
  <c r="R32" i="5"/>
  <c r="S32" i="5"/>
  <c r="T32" i="5"/>
  <c r="U32" i="5"/>
  <c r="V32" i="5"/>
  <c r="W32" i="5"/>
  <c r="X32" i="5"/>
  <c r="O33" i="5"/>
  <c r="P33" i="5"/>
  <c r="R33" i="5"/>
  <c r="S33" i="5"/>
  <c r="T33" i="5"/>
  <c r="U33" i="5"/>
  <c r="V33" i="5"/>
  <c r="W33" i="5"/>
  <c r="X33" i="5"/>
  <c r="O34" i="5"/>
  <c r="P34" i="5"/>
  <c r="R34" i="5"/>
  <c r="S34" i="5"/>
  <c r="T34" i="5"/>
  <c r="U34" i="5"/>
  <c r="V34" i="5"/>
  <c r="W34" i="5"/>
  <c r="X34" i="5"/>
  <c r="O35" i="5"/>
  <c r="P35" i="5"/>
  <c r="R35" i="5"/>
  <c r="S35" i="5"/>
  <c r="T35" i="5"/>
  <c r="U35" i="5"/>
  <c r="V35" i="5"/>
  <c r="W35" i="5"/>
  <c r="X35" i="5"/>
  <c r="O36" i="5"/>
  <c r="P36" i="5"/>
  <c r="R36" i="5"/>
  <c r="S36" i="5"/>
  <c r="T36" i="5"/>
  <c r="U36" i="5"/>
  <c r="V36" i="5"/>
  <c r="W36" i="5"/>
  <c r="X36" i="5"/>
  <c r="O37" i="5"/>
  <c r="P37" i="5"/>
  <c r="R37" i="5"/>
  <c r="S37" i="5"/>
  <c r="T37" i="5"/>
  <c r="U37" i="5"/>
  <c r="V37" i="5"/>
  <c r="W37" i="5"/>
  <c r="X37" i="5"/>
  <c r="O38" i="5"/>
  <c r="P38" i="5"/>
  <c r="R38" i="5"/>
  <c r="S38" i="5"/>
  <c r="T38" i="5"/>
  <c r="U38" i="5"/>
  <c r="V38" i="5"/>
  <c r="W38" i="5"/>
  <c r="X38" i="5"/>
  <c r="O39" i="5"/>
  <c r="P39" i="5"/>
  <c r="R39" i="5"/>
  <c r="S39" i="5"/>
  <c r="T39" i="5"/>
  <c r="U39" i="5"/>
  <c r="V39" i="5"/>
  <c r="W39" i="5"/>
  <c r="X39" i="5"/>
  <c r="O40" i="5"/>
  <c r="P40" i="5"/>
  <c r="R40" i="5"/>
  <c r="S40" i="5"/>
  <c r="T40" i="5"/>
  <c r="U40" i="5"/>
  <c r="V40" i="5"/>
  <c r="W40" i="5"/>
  <c r="X40" i="5"/>
  <c r="O41" i="5"/>
  <c r="P41" i="5"/>
  <c r="R41" i="5"/>
  <c r="S41" i="5"/>
  <c r="T41" i="5"/>
  <c r="U41" i="5"/>
  <c r="V41" i="5"/>
  <c r="W41" i="5"/>
  <c r="X41" i="5"/>
  <c r="O42" i="5"/>
  <c r="P42" i="5"/>
  <c r="R42" i="5"/>
  <c r="S42" i="5"/>
  <c r="T42" i="5"/>
  <c r="U42" i="5"/>
  <c r="V42" i="5"/>
  <c r="W42" i="5"/>
  <c r="X42" i="5"/>
  <c r="O43" i="5"/>
  <c r="P43" i="5"/>
  <c r="R43" i="5"/>
  <c r="S43" i="5"/>
  <c r="T43" i="5"/>
  <c r="U43" i="5"/>
  <c r="V43" i="5"/>
  <c r="W43" i="5"/>
  <c r="X43" i="5"/>
  <c r="O44" i="5"/>
  <c r="P44" i="5"/>
  <c r="R44" i="5"/>
  <c r="S44" i="5"/>
  <c r="T44" i="5"/>
  <c r="U44" i="5"/>
  <c r="V44" i="5"/>
  <c r="W44" i="5"/>
  <c r="X44" i="5"/>
  <c r="O45" i="5"/>
  <c r="P45" i="5"/>
  <c r="R45" i="5"/>
  <c r="S45" i="5"/>
  <c r="T45" i="5"/>
  <c r="U45" i="5"/>
  <c r="V45" i="5"/>
  <c r="W45" i="5"/>
  <c r="X45" i="5"/>
  <c r="O46" i="5"/>
  <c r="P46" i="5"/>
  <c r="R46" i="5"/>
  <c r="S46" i="5"/>
  <c r="T46" i="5"/>
  <c r="U46" i="5"/>
  <c r="V46" i="5"/>
  <c r="W46" i="5"/>
  <c r="X46" i="5"/>
  <c r="O47" i="5"/>
  <c r="P47" i="5"/>
  <c r="R47" i="5"/>
  <c r="S47" i="5"/>
  <c r="T47" i="5"/>
  <c r="U47" i="5"/>
  <c r="V47" i="5"/>
  <c r="W47" i="5"/>
  <c r="X47" i="5"/>
  <c r="O48" i="5"/>
  <c r="P48" i="5"/>
  <c r="R48" i="5"/>
  <c r="S48" i="5"/>
  <c r="T48" i="5"/>
  <c r="U48" i="5"/>
  <c r="V48" i="5"/>
  <c r="W48" i="5"/>
  <c r="X48" i="5"/>
  <c r="O49" i="5"/>
  <c r="P49" i="5"/>
  <c r="R49" i="5"/>
  <c r="S49" i="5"/>
  <c r="T49" i="5"/>
  <c r="U49" i="5"/>
  <c r="V49" i="5"/>
  <c r="W49" i="5"/>
  <c r="X49" i="5"/>
  <c r="O50" i="5"/>
  <c r="P50" i="5"/>
  <c r="R50" i="5"/>
  <c r="S50" i="5"/>
  <c r="T50" i="5"/>
  <c r="U50" i="5"/>
  <c r="V50" i="5"/>
  <c r="W50" i="5"/>
  <c r="X50" i="5"/>
  <c r="O51" i="5"/>
  <c r="P51" i="5"/>
  <c r="R51" i="5"/>
  <c r="S51" i="5"/>
  <c r="T51" i="5"/>
  <c r="U51" i="5"/>
  <c r="V51" i="5"/>
  <c r="W51" i="5"/>
  <c r="X51" i="5"/>
  <c r="O52" i="5"/>
  <c r="P52" i="5"/>
  <c r="R52" i="5"/>
  <c r="S52" i="5"/>
  <c r="T52" i="5"/>
  <c r="U52" i="5"/>
  <c r="V52" i="5"/>
  <c r="W52" i="5"/>
  <c r="X52" i="5"/>
  <c r="O53" i="5"/>
  <c r="P53" i="5"/>
  <c r="R53" i="5"/>
  <c r="S53" i="5"/>
  <c r="T53" i="5"/>
  <c r="U53" i="5"/>
  <c r="V53" i="5"/>
  <c r="W53" i="5"/>
  <c r="X53" i="5"/>
  <c r="O54" i="5"/>
  <c r="P54" i="5"/>
  <c r="R54" i="5"/>
  <c r="S54" i="5"/>
  <c r="T54" i="5"/>
  <c r="U54" i="5"/>
  <c r="V54" i="5"/>
  <c r="W54" i="5"/>
  <c r="X54" i="5"/>
  <c r="O55" i="5"/>
  <c r="P55" i="5"/>
  <c r="R55" i="5"/>
  <c r="S55" i="5"/>
  <c r="T55" i="5"/>
  <c r="U55" i="5"/>
  <c r="V55" i="5"/>
  <c r="W55" i="5"/>
  <c r="X55" i="5"/>
  <c r="O56" i="5"/>
  <c r="P56" i="5"/>
  <c r="R56" i="5"/>
  <c r="S56" i="5"/>
  <c r="T56" i="5"/>
  <c r="U56" i="5"/>
  <c r="V56" i="5"/>
  <c r="W56" i="5"/>
  <c r="X56" i="5"/>
  <c r="O57" i="5"/>
  <c r="P57" i="5"/>
  <c r="R57" i="5"/>
  <c r="S57" i="5"/>
  <c r="T57" i="5"/>
  <c r="U57" i="5"/>
  <c r="V57" i="5"/>
  <c r="W57" i="5"/>
  <c r="X57" i="5"/>
  <c r="O58" i="5"/>
  <c r="P58" i="5"/>
  <c r="R58" i="5"/>
  <c r="S58" i="5"/>
  <c r="T58" i="5"/>
  <c r="U58" i="5"/>
  <c r="V58" i="5"/>
  <c r="W58" i="5"/>
  <c r="X58" i="5"/>
  <c r="O59" i="5"/>
  <c r="P59" i="5"/>
  <c r="R59" i="5"/>
  <c r="S59" i="5"/>
  <c r="T59" i="5"/>
  <c r="U59" i="5"/>
  <c r="V59" i="5"/>
  <c r="W59" i="5"/>
  <c r="X59" i="5"/>
  <c r="O60" i="5"/>
  <c r="P60" i="5"/>
  <c r="R60" i="5"/>
  <c r="S60" i="5"/>
  <c r="T60" i="5"/>
  <c r="U60" i="5"/>
  <c r="V60" i="5"/>
  <c r="W60" i="5"/>
  <c r="X60" i="5"/>
  <c r="O61" i="5"/>
  <c r="P61" i="5"/>
  <c r="R61" i="5"/>
  <c r="S61" i="5"/>
  <c r="T61" i="5"/>
  <c r="U61" i="5"/>
  <c r="V61" i="5"/>
  <c r="W61" i="5"/>
  <c r="X61" i="5"/>
  <c r="O62" i="5"/>
  <c r="P62" i="5"/>
  <c r="R62" i="5"/>
  <c r="S62" i="5"/>
  <c r="T62" i="5"/>
  <c r="U62" i="5"/>
  <c r="V62" i="5"/>
  <c r="W62" i="5"/>
  <c r="X62" i="5"/>
  <c r="O63" i="5"/>
  <c r="P63" i="5"/>
  <c r="R63" i="5"/>
  <c r="S63" i="5"/>
  <c r="T63" i="5"/>
  <c r="U63" i="5"/>
  <c r="V63" i="5"/>
  <c r="W63" i="5"/>
  <c r="X63" i="5"/>
  <c r="O64" i="5"/>
  <c r="P64" i="5"/>
  <c r="R64" i="5"/>
  <c r="S64" i="5"/>
  <c r="T64" i="5"/>
  <c r="U64" i="5"/>
  <c r="V64" i="5"/>
  <c r="W64" i="5"/>
  <c r="X64" i="5"/>
  <c r="O65" i="5"/>
  <c r="P65" i="5"/>
  <c r="R65" i="5"/>
  <c r="S65" i="5"/>
  <c r="T65" i="5"/>
  <c r="U65" i="5"/>
  <c r="V65" i="5"/>
  <c r="W65" i="5"/>
  <c r="X65" i="5"/>
  <c r="O66" i="5"/>
  <c r="P66" i="5"/>
  <c r="R66" i="5"/>
  <c r="S66" i="5"/>
  <c r="T66" i="5"/>
  <c r="U66" i="5"/>
  <c r="V66" i="5"/>
  <c r="W66" i="5"/>
  <c r="X66" i="5"/>
  <c r="O67" i="5"/>
  <c r="P67" i="5"/>
  <c r="R67" i="5"/>
  <c r="S67" i="5"/>
  <c r="T67" i="5"/>
  <c r="U67" i="5"/>
  <c r="V67" i="5"/>
  <c r="W67" i="5"/>
  <c r="X67" i="5"/>
  <c r="O68" i="5"/>
  <c r="P68" i="5"/>
  <c r="R68" i="5"/>
  <c r="S68" i="5"/>
  <c r="T68" i="5"/>
  <c r="U68" i="5"/>
  <c r="V68" i="5"/>
  <c r="W68" i="5"/>
  <c r="X68" i="5"/>
  <c r="O69" i="5"/>
  <c r="P69" i="5"/>
  <c r="R69" i="5"/>
  <c r="S69" i="5"/>
  <c r="T69" i="5"/>
  <c r="U69" i="5"/>
  <c r="V69" i="5"/>
  <c r="W69" i="5"/>
  <c r="X69" i="5"/>
  <c r="O70" i="5"/>
  <c r="P70" i="5"/>
  <c r="R70" i="5"/>
  <c r="S70" i="5"/>
  <c r="T70" i="5"/>
  <c r="U70" i="5"/>
  <c r="V70" i="5"/>
  <c r="W70" i="5"/>
  <c r="X70" i="5"/>
  <c r="O71" i="5"/>
  <c r="P71" i="5"/>
  <c r="R71" i="5"/>
  <c r="S71" i="5"/>
  <c r="T71" i="5"/>
  <c r="U71" i="5"/>
  <c r="V71" i="5"/>
  <c r="W71" i="5"/>
  <c r="X71" i="5"/>
  <c r="O72" i="5"/>
  <c r="P72" i="5"/>
  <c r="R72" i="5"/>
  <c r="S72" i="5"/>
  <c r="T72" i="5"/>
  <c r="U72" i="5"/>
  <c r="V72" i="5"/>
  <c r="W72" i="5"/>
  <c r="X72" i="5"/>
  <c r="O73" i="5"/>
  <c r="P73" i="5"/>
  <c r="R73" i="5"/>
  <c r="S73" i="5"/>
  <c r="T73" i="5"/>
  <c r="U73" i="5"/>
  <c r="V73" i="5"/>
  <c r="W73" i="5"/>
  <c r="X73" i="5"/>
  <c r="O74" i="5"/>
  <c r="P74" i="5"/>
  <c r="R74" i="5"/>
  <c r="S74" i="5"/>
  <c r="T74" i="5"/>
  <c r="U74" i="5"/>
  <c r="V74" i="5"/>
  <c r="W74" i="5"/>
  <c r="X74" i="5"/>
  <c r="O75" i="5"/>
  <c r="P75" i="5"/>
  <c r="R75" i="5"/>
  <c r="S75" i="5"/>
  <c r="T75" i="5"/>
  <c r="U75" i="5"/>
  <c r="V75" i="5"/>
  <c r="W75" i="5"/>
  <c r="X75" i="5"/>
  <c r="O76" i="5"/>
  <c r="P76" i="5"/>
  <c r="R76" i="5"/>
  <c r="S76" i="5"/>
  <c r="T76" i="5"/>
  <c r="U76" i="5"/>
  <c r="V76" i="5"/>
  <c r="E77" i="5"/>
  <c r="H77" i="5"/>
  <c r="K77" i="5"/>
  <c r="M77" i="5"/>
  <c r="N77" i="5"/>
  <c r="Q77" i="5"/>
  <c r="R77" i="5"/>
  <c r="S77" i="5"/>
  <c r="T77" i="5"/>
  <c r="U77" i="5"/>
  <c r="V77" i="5"/>
  <c r="N78" i="5"/>
  <c r="R78" i="5"/>
  <c r="S78" i="5"/>
  <c r="R79" i="5"/>
  <c r="S79" i="5"/>
  <c r="C3" i="3"/>
  <c r="C8" i="3"/>
  <c r="E8" i="3"/>
  <c r="F8" i="3"/>
  <c r="H8" i="3"/>
  <c r="I8" i="3"/>
  <c r="K8" i="3"/>
  <c r="L8" i="3"/>
  <c r="N8" i="3"/>
  <c r="S8" i="3"/>
  <c r="O9" i="3"/>
  <c r="O10" i="3"/>
  <c r="P10" i="3"/>
  <c r="R10" i="3"/>
  <c r="S10" i="3"/>
  <c r="T10" i="3"/>
  <c r="U10" i="3"/>
  <c r="V10" i="3"/>
  <c r="W10" i="3"/>
  <c r="X10" i="3"/>
  <c r="O11" i="3"/>
  <c r="P11" i="3"/>
  <c r="R11" i="3"/>
  <c r="S11" i="3"/>
  <c r="T11" i="3"/>
  <c r="U11" i="3"/>
  <c r="V11" i="3"/>
  <c r="W11" i="3"/>
  <c r="X11" i="3"/>
  <c r="O12" i="3"/>
  <c r="P12" i="3"/>
  <c r="R12" i="3"/>
  <c r="S12" i="3"/>
  <c r="T12" i="3"/>
  <c r="U12" i="3"/>
  <c r="V12" i="3"/>
  <c r="W12" i="3"/>
  <c r="X12" i="3"/>
  <c r="O13" i="3"/>
  <c r="P13" i="3"/>
  <c r="R13" i="3"/>
  <c r="S13" i="3"/>
  <c r="T13" i="3"/>
  <c r="U13" i="3"/>
  <c r="V13" i="3"/>
  <c r="W13" i="3"/>
  <c r="X13" i="3"/>
  <c r="O14" i="3"/>
  <c r="P14" i="3"/>
  <c r="R14" i="3"/>
  <c r="S14" i="3"/>
  <c r="T14" i="3"/>
  <c r="U14" i="3"/>
  <c r="V14" i="3"/>
  <c r="W14" i="3"/>
  <c r="X14" i="3"/>
  <c r="O15" i="3"/>
  <c r="P15" i="3"/>
  <c r="R15" i="3"/>
  <c r="S15" i="3"/>
  <c r="T15" i="3"/>
  <c r="U15" i="3"/>
  <c r="V15" i="3"/>
  <c r="W15" i="3"/>
  <c r="X15" i="3"/>
  <c r="O16" i="3"/>
  <c r="P16" i="3"/>
  <c r="R16" i="3"/>
  <c r="S16" i="3"/>
  <c r="T16" i="3"/>
  <c r="U16" i="3"/>
  <c r="V16" i="3"/>
  <c r="W16" i="3"/>
  <c r="X16" i="3"/>
  <c r="O17" i="3"/>
  <c r="P17" i="3"/>
  <c r="R17" i="3"/>
  <c r="S17" i="3"/>
  <c r="T17" i="3"/>
  <c r="U17" i="3"/>
  <c r="V17" i="3"/>
  <c r="W17" i="3"/>
  <c r="X17" i="3"/>
  <c r="O18" i="3"/>
  <c r="P18" i="3"/>
  <c r="R18" i="3"/>
  <c r="S18" i="3"/>
  <c r="T18" i="3"/>
  <c r="U18" i="3"/>
  <c r="V18" i="3"/>
  <c r="W18" i="3"/>
  <c r="X18" i="3"/>
  <c r="O19" i="3"/>
  <c r="P19" i="3"/>
  <c r="R19" i="3"/>
  <c r="S19" i="3"/>
  <c r="T19" i="3"/>
  <c r="U19" i="3"/>
  <c r="V19" i="3"/>
  <c r="W19" i="3"/>
  <c r="X19" i="3"/>
  <c r="O20" i="3"/>
  <c r="P20" i="3"/>
  <c r="R20" i="3"/>
  <c r="S20" i="3"/>
  <c r="T20" i="3"/>
  <c r="U20" i="3"/>
  <c r="V20" i="3"/>
  <c r="W20" i="3"/>
  <c r="X20" i="3"/>
  <c r="O21" i="3"/>
  <c r="P21" i="3"/>
  <c r="R21" i="3"/>
  <c r="S21" i="3"/>
  <c r="T21" i="3"/>
  <c r="U21" i="3"/>
  <c r="V21" i="3"/>
  <c r="W21" i="3"/>
  <c r="X21" i="3"/>
  <c r="O22" i="3"/>
  <c r="P22" i="3"/>
  <c r="R22" i="3"/>
  <c r="S22" i="3"/>
  <c r="T22" i="3"/>
  <c r="U22" i="3"/>
  <c r="V22" i="3"/>
  <c r="W22" i="3"/>
  <c r="X22" i="3"/>
  <c r="O23" i="3"/>
  <c r="P23" i="3"/>
  <c r="R23" i="3"/>
  <c r="S23" i="3"/>
  <c r="T23" i="3"/>
  <c r="U23" i="3"/>
  <c r="V23" i="3"/>
  <c r="W23" i="3"/>
  <c r="X23" i="3"/>
  <c r="O24" i="3"/>
  <c r="P24" i="3"/>
  <c r="R24" i="3"/>
  <c r="S24" i="3"/>
  <c r="T24" i="3"/>
  <c r="U24" i="3"/>
  <c r="V24" i="3"/>
  <c r="W24" i="3"/>
  <c r="X24" i="3"/>
  <c r="O25" i="3"/>
  <c r="P25" i="3"/>
  <c r="R25" i="3"/>
  <c r="S25" i="3"/>
  <c r="T25" i="3"/>
  <c r="U25" i="3"/>
  <c r="V25" i="3"/>
  <c r="W25" i="3"/>
  <c r="X25" i="3"/>
  <c r="O26" i="3"/>
  <c r="P26" i="3"/>
  <c r="R26" i="3"/>
  <c r="S26" i="3"/>
  <c r="T26" i="3"/>
  <c r="U26" i="3"/>
  <c r="V26" i="3"/>
  <c r="W26" i="3"/>
  <c r="X26" i="3"/>
  <c r="O27" i="3"/>
  <c r="P27" i="3"/>
  <c r="R27" i="3"/>
  <c r="S27" i="3"/>
  <c r="T27" i="3"/>
  <c r="U27" i="3"/>
  <c r="V27" i="3"/>
  <c r="W27" i="3"/>
  <c r="X27" i="3"/>
  <c r="O28" i="3"/>
  <c r="P28" i="3"/>
  <c r="R28" i="3"/>
  <c r="S28" i="3"/>
  <c r="T28" i="3"/>
  <c r="U28" i="3"/>
  <c r="V28" i="3"/>
  <c r="W28" i="3"/>
  <c r="X28" i="3"/>
  <c r="O29" i="3"/>
  <c r="P29" i="3"/>
  <c r="R29" i="3"/>
  <c r="S29" i="3"/>
  <c r="T29" i="3"/>
  <c r="U29" i="3"/>
  <c r="V29" i="3"/>
  <c r="W29" i="3"/>
  <c r="X29" i="3"/>
  <c r="O30" i="3"/>
  <c r="P30" i="3"/>
  <c r="R30" i="3"/>
  <c r="S30" i="3"/>
  <c r="T30" i="3"/>
  <c r="U30" i="3"/>
  <c r="V30" i="3"/>
  <c r="W30" i="3"/>
  <c r="X30" i="3"/>
  <c r="O31" i="3"/>
  <c r="P31" i="3"/>
  <c r="R31" i="3"/>
  <c r="S31" i="3"/>
  <c r="T31" i="3"/>
  <c r="U31" i="3"/>
  <c r="V31" i="3"/>
  <c r="W31" i="3"/>
  <c r="X31" i="3"/>
  <c r="O32" i="3"/>
  <c r="P32" i="3"/>
  <c r="R32" i="3"/>
  <c r="S32" i="3"/>
  <c r="T32" i="3"/>
  <c r="U32" i="3"/>
  <c r="V32" i="3"/>
  <c r="W32" i="3"/>
  <c r="X32" i="3"/>
  <c r="O33" i="3"/>
  <c r="P33" i="3"/>
  <c r="R33" i="3"/>
  <c r="S33" i="3"/>
  <c r="T33" i="3"/>
  <c r="U33" i="3"/>
  <c r="V33" i="3"/>
  <c r="W33" i="3"/>
  <c r="X33" i="3"/>
  <c r="O34" i="3"/>
  <c r="P34" i="3"/>
  <c r="R34" i="3"/>
  <c r="S34" i="3"/>
  <c r="T34" i="3"/>
  <c r="U34" i="3"/>
  <c r="V34" i="3"/>
  <c r="W34" i="3"/>
  <c r="X34" i="3"/>
  <c r="O35" i="3"/>
  <c r="P35" i="3"/>
  <c r="R35" i="3"/>
  <c r="S35" i="3"/>
  <c r="T35" i="3"/>
  <c r="U35" i="3"/>
  <c r="V35" i="3"/>
  <c r="W35" i="3"/>
  <c r="X35" i="3"/>
  <c r="O36" i="3"/>
  <c r="P36" i="3"/>
  <c r="R36" i="3"/>
  <c r="S36" i="3"/>
  <c r="T36" i="3"/>
  <c r="U36" i="3"/>
  <c r="V36" i="3"/>
  <c r="W36" i="3"/>
  <c r="X36" i="3"/>
  <c r="O37" i="3"/>
  <c r="P37" i="3"/>
  <c r="R37" i="3"/>
  <c r="S37" i="3"/>
  <c r="T37" i="3"/>
  <c r="U37" i="3"/>
  <c r="V37" i="3"/>
  <c r="W37" i="3"/>
  <c r="X37" i="3"/>
  <c r="O38" i="3"/>
  <c r="P38" i="3"/>
  <c r="R38" i="3"/>
  <c r="S38" i="3"/>
  <c r="T38" i="3"/>
  <c r="U38" i="3"/>
  <c r="V38" i="3"/>
  <c r="W38" i="3"/>
  <c r="X38" i="3"/>
  <c r="O39" i="3"/>
  <c r="P39" i="3"/>
  <c r="R39" i="3"/>
  <c r="S39" i="3"/>
  <c r="T39" i="3"/>
  <c r="U39" i="3"/>
  <c r="V39" i="3"/>
  <c r="W39" i="3"/>
  <c r="X39" i="3"/>
  <c r="O40" i="3"/>
  <c r="P40" i="3"/>
  <c r="R40" i="3"/>
  <c r="S40" i="3"/>
  <c r="T40" i="3"/>
  <c r="U40" i="3"/>
  <c r="V40" i="3"/>
  <c r="W40" i="3"/>
  <c r="X40" i="3"/>
  <c r="O41" i="3"/>
  <c r="P41" i="3"/>
  <c r="R41" i="3"/>
  <c r="S41" i="3"/>
  <c r="T41" i="3"/>
  <c r="U41" i="3"/>
  <c r="V41" i="3"/>
  <c r="W41" i="3"/>
  <c r="X41" i="3"/>
  <c r="O42" i="3"/>
  <c r="P42" i="3"/>
  <c r="R42" i="3"/>
  <c r="S42" i="3"/>
  <c r="T42" i="3"/>
  <c r="U42" i="3"/>
  <c r="V42" i="3"/>
  <c r="W42" i="3"/>
  <c r="X42" i="3"/>
  <c r="O43" i="3"/>
  <c r="P43" i="3"/>
  <c r="R43" i="3"/>
  <c r="S43" i="3"/>
  <c r="T43" i="3"/>
  <c r="U43" i="3"/>
  <c r="V43" i="3"/>
  <c r="W43" i="3"/>
  <c r="X43" i="3"/>
  <c r="O44" i="3"/>
  <c r="P44" i="3"/>
  <c r="R44" i="3"/>
  <c r="S44" i="3"/>
  <c r="T44" i="3"/>
  <c r="U44" i="3"/>
  <c r="V44" i="3"/>
  <c r="W44" i="3"/>
  <c r="X44" i="3"/>
  <c r="O45" i="3"/>
  <c r="P45" i="3"/>
  <c r="R45" i="3"/>
  <c r="S45" i="3"/>
  <c r="T45" i="3"/>
  <c r="U45" i="3"/>
  <c r="V45" i="3"/>
  <c r="W45" i="3"/>
  <c r="X45" i="3"/>
  <c r="O46" i="3"/>
  <c r="P46" i="3"/>
  <c r="R46" i="3"/>
  <c r="S46" i="3"/>
  <c r="T46" i="3"/>
  <c r="U46" i="3"/>
  <c r="V46" i="3"/>
  <c r="W46" i="3"/>
  <c r="X46" i="3"/>
  <c r="O47" i="3"/>
  <c r="P47" i="3"/>
  <c r="R47" i="3"/>
  <c r="S47" i="3"/>
  <c r="T47" i="3"/>
  <c r="U47" i="3"/>
  <c r="V47" i="3"/>
  <c r="W47" i="3"/>
  <c r="X47" i="3"/>
  <c r="O48" i="3"/>
  <c r="P48" i="3"/>
  <c r="R48" i="3"/>
  <c r="S48" i="3"/>
  <c r="T48" i="3"/>
  <c r="U48" i="3"/>
  <c r="V48" i="3"/>
  <c r="W48" i="3"/>
  <c r="X48" i="3"/>
  <c r="O49" i="3"/>
  <c r="P49" i="3"/>
  <c r="R49" i="3"/>
  <c r="S49" i="3"/>
  <c r="W49" i="3"/>
  <c r="X49" i="3"/>
  <c r="O50" i="3"/>
  <c r="P50" i="3"/>
  <c r="R50" i="3"/>
  <c r="S50" i="3"/>
  <c r="T50" i="3"/>
  <c r="U50" i="3"/>
  <c r="V50" i="3"/>
  <c r="W50" i="3"/>
  <c r="X50" i="3"/>
  <c r="O51" i="3"/>
  <c r="P51" i="3"/>
  <c r="R51" i="3"/>
  <c r="S51" i="3"/>
  <c r="W51" i="3"/>
  <c r="X51" i="3"/>
  <c r="O52" i="3"/>
  <c r="P52" i="3"/>
  <c r="R52" i="3"/>
  <c r="S52" i="3"/>
  <c r="T52" i="3"/>
  <c r="U52" i="3"/>
  <c r="V52" i="3"/>
  <c r="W52" i="3"/>
  <c r="X52" i="3"/>
  <c r="O53" i="3"/>
  <c r="P53" i="3"/>
  <c r="R53" i="3"/>
  <c r="S53" i="3"/>
  <c r="W53" i="3"/>
  <c r="X53" i="3"/>
  <c r="O54" i="3"/>
  <c r="P54" i="3"/>
  <c r="R54" i="3"/>
  <c r="S54" i="3"/>
  <c r="T54" i="3"/>
  <c r="U54" i="3"/>
  <c r="V54" i="3"/>
  <c r="W54" i="3"/>
  <c r="X54" i="3"/>
  <c r="O55" i="3"/>
  <c r="P55" i="3"/>
  <c r="R55" i="3"/>
  <c r="S55" i="3"/>
  <c r="T55" i="3"/>
  <c r="U55" i="3"/>
  <c r="V55" i="3"/>
  <c r="W55" i="3"/>
  <c r="X55" i="3"/>
  <c r="O56" i="3"/>
  <c r="P56" i="3"/>
  <c r="R56" i="3"/>
  <c r="S56" i="3"/>
  <c r="T56" i="3"/>
  <c r="U56" i="3"/>
  <c r="V56" i="3"/>
  <c r="W56" i="3"/>
  <c r="X56" i="3"/>
  <c r="O57" i="3"/>
  <c r="P57" i="3"/>
  <c r="R57" i="3"/>
  <c r="S57" i="3"/>
  <c r="W57" i="3"/>
  <c r="X57" i="3"/>
  <c r="O58" i="3"/>
  <c r="P58" i="3"/>
  <c r="R58" i="3"/>
  <c r="S58" i="3"/>
  <c r="W58" i="3"/>
  <c r="X58" i="3"/>
  <c r="O59" i="3"/>
  <c r="P59" i="3"/>
  <c r="R59" i="3"/>
  <c r="S59" i="3"/>
  <c r="W59" i="3"/>
  <c r="X59" i="3"/>
  <c r="O60" i="3"/>
  <c r="P60" i="3"/>
  <c r="R60" i="3"/>
  <c r="S60" i="3"/>
  <c r="T60" i="3"/>
  <c r="U60" i="3"/>
  <c r="V60" i="3"/>
  <c r="W60" i="3"/>
  <c r="X60" i="3"/>
  <c r="O61" i="3"/>
  <c r="P61" i="3"/>
  <c r="R61" i="3"/>
  <c r="S61" i="3"/>
  <c r="W61" i="3"/>
  <c r="X61" i="3"/>
  <c r="O62" i="3"/>
  <c r="P62" i="3"/>
  <c r="R62" i="3"/>
  <c r="S62" i="3"/>
  <c r="T62" i="3"/>
  <c r="U62" i="3"/>
  <c r="V62" i="3"/>
  <c r="W62" i="3"/>
  <c r="X62" i="3"/>
  <c r="O63" i="3"/>
  <c r="P63" i="3"/>
  <c r="R63" i="3"/>
  <c r="S63" i="3"/>
  <c r="T63" i="3"/>
  <c r="U63" i="3"/>
  <c r="V63" i="3"/>
  <c r="W63" i="3"/>
  <c r="X63" i="3"/>
  <c r="O64" i="3"/>
  <c r="P64" i="3"/>
  <c r="R64" i="3"/>
  <c r="S64" i="3"/>
  <c r="W64" i="3"/>
  <c r="X64" i="3"/>
  <c r="O65" i="3"/>
  <c r="P65" i="3"/>
  <c r="R65" i="3"/>
  <c r="S65" i="3"/>
  <c r="T65" i="3"/>
  <c r="U65" i="3"/>
  <c r="V65" i="3"/>
  <c r="W65" i="3"/>
  <c r="X65" i="3"/>
  <c r="O66" i="3"/>
  <c r="P66" i="3"/>
  <c r="R66" i="3"/>
  <c r="S66" i="3"/>
  <c r="W66" i="3"/>
  <c r="X66" i="3"/>
  <c r="O67" i="3"/>
  <c r="P67" i="3"/>
  <c r="R67" i="3"/>
  <c r="S67" i="3"/>
  <c r="T67" i="3"/>
  <c r="U67" i="3"/>
  <c r="V67" i="3"/>
  <c r="W67" i="3"/>
  <c r="X67" i="3"/>
  <c r="O68" i="3"/>
  <c r="P68" i="3"/>
  <c r="R68" i="3"/>
  <c r="S68" i="3"/>
  <c r="W68" i="3"/>
  <c r="X68" i="3"/>
  <c r="O69" i="3"/>
  <c r="P69" i="3"/>
  <c r="R69" i="3"/>
  <c r="S69" i="3"/>
  <c r="T69" i="3"/>
  <c r="U69" i="3"/>
  <c r="V69" i="3"/>
  <c r="W69" i="3"/>
  <c r="X69" i="3"/>
  <c r="O70" i="3"/>
  <c r="P70" i="3"/>
  <c r="R70" i="3"/>
  <c r="S70" i="3"/>
  <c r="W70" i="3"/>
  <c r="X70" i="3"/>
  <c r="O71" i="3"/>
  <c r="P71" i="3"/>
  <c r="R71" i="3"/>
  <c r="S71" i="3"/>
  <c r="W71" i="3"/>
  <c r="X71" i="3"/>
  <c r="O72" i="3"/>
  <c r="P72" i="3"/>
  <c r="R72" i="3"/>
  <c r="S72" i="3"/>
  <c r="W72" i="3"/>
  <c r="X72" i="3"/>
  <c r="O73" i="3"/>
  <c r="P73" i="3"/>
  <c r="R73" i="3"/>
  <c r="S73" i="3"/>
  <c r="T73" i="3"/>
  <c r="U73" i="3"/>
  <c r="V73" i="3"/>
  <c r="W73" i="3"/>
  <c r="X73" i="3"/>
  <c r="O74" i="3"/>
  <c r="P74" i="3"/>
  <c r="R74" i="3"/>
  <c r="S74" i="3"/>
  <c r="T74" i="3"/>
  <c r="U74" i="3"/>
  <c r="V74" i="3"/>
  <c r="W74" i="3"/>
  <c r="X74" i="3"/>
  <c r="O75" i="3"/>
  <c r="P75" i="3"/>
  <c r="R75" i="3"/>
  <c r="S75" i="3"/>
  <c r="T75" i="3"/>
  <c r="U75" i="3"/>
  <c r="V75" i="3"/>
  <c r="W75" i="3"/>
  <c r="X75" i="3"/>
  <c r="O76" i="3"/>
  <c r="P76" i="3"/>
  <c r="R76" i="3"/>
  <c r="S76" i="3"/>
  <c r="T76" i="3"/>
  <c r="U76" i="3"/>
  <c r="V76" i="3"/>
  <c r="W76" i="3"/>
  <c r="X76" i="3"/>
  <c r="O77" i="3"/>
  <c r="P77" i="3"/>
  <c r="Q77" i="3"/>
  <c r="R77" i="3"/>
  <c r="S77" i="3"/>
  <c r="T77" i="3"/>
  <c r="U77" i="3"/>
  <c r="V77" i="3"/>
  <c r="E78" i="3"/>
  <c r="H78" i="3"/>
  <c r="K78" i="3"/>
  <c r="M78" i="3"/>
  <c r="N78" i="3"/>
  <c r="Q78" i="3"/>
  <c r="R78" i="3"/>
  <c r="S78" i="3"/>
  <c r="T78" i="3"/>
  <c r="U78" i="3"/>
  <c r="V78" i="3"/>
  <c r="W78" i="3"/>
  <c r="X78" i="3"/>
  <c r="N79" i="3"/>
  <c r="R79" i="3"/>
  <c r="S79" i="3"/>
  <c r="R80" i="3"/>
  <c r="S80" i="3"/>
  <c r="S1" i="6"/>
  <c r="C3" i="6"/>
  <c r="C8" i="6"/>
  <c r="E8" i="6"/>
  <c r="F8" i="6"/>
  <c r="H8" i="6"/>
  <c r="I8" i="6"/>
  <c r="K8" i="6"/>
  <c r="L8" i="6"/>
  <c r="N8" i="6"/>
  <c r="S8" i="6"/>
  <c r="O9" i="6"/>
  <c r="O10" i="6"/>
  <c r="P10" i="6"/>
  <c r="Q10" i="6"/>
  <c r="R10" i="6"/>
  <c r="S10" i="6"/>
  <c r="T10" i="6"/>
  <c r="U10" i="6"/>
  <c r="V10" i="6"/>
  <c r="W10" i="6"/>
  <c r="X10" i="6"/>
  <c r="O11" i="6"/>
  <c r="P11" i="6"/>
  <c r="R11" i="6"/>
  <c r="S11" i="6"/>
  <c r="T11" i="6"/>
  <c r="U11" i="6"/>
  <c r="V11" i="6"/>
  <c r="W11" i="6"/>
  <c r="X11" i="6"/>
  <c r="O12" i="6"/>
  <c r="P12" i="6"/>
  <c r="R12" i="6"/>
  <c r="S12" i="6"/>
  <c r="T12" i="6"/>
  <c r="U12" i="6"/>
  <c r="V12" i="6"/>
  <c r="W12" i="6"/>
  <c r="X12" i="6"/>
  <c r="O13" i="6"/>
  <c r="P13" i="6"/>
  <c r="Q13" i="6"/>
  <c r="R13" i="6"/>
  <c r="S13" i="6"/>
  <c r="T13" i="6"/>
  <c r="U13" i="6"/>
  <c r="V13" i="6"/>
  <c r="W13" i="6"/>
  <c r="X13" i="6"/>
  <c r="O14" i="6"/>
  <c r="P14" i="6"/>
  <c r="Q14" i="6"/>
  <c r="R14" i="6"/>
  <c r="S14" i="6"/>
  <c r="T14" i="6"/>
  <c r="U14" i="6"/>
  <c r="V14" i="6"/>
  <c r="W14" i="6"/>
  <c r="X14" i="6"/>
  <c r="O15" i="6"/>
  <c r="P15" i="6"/>
  <c r="R15" i="6"/>
  <c r="S15" i="6"/>
  <c r="T15" i="6"/>
  <c r="U15" i="6"/>
  <c r="V15" i="6"/>
  <c r="W15" i="6"/>
  <c r="X15" i="6"/>
  <c r="O16" i="6"/>
  <c r="P16" i="6"/>
  <c r="R16" i="6"/>
  <c r="S16" i="6"/>
  <c r="T16" i="6"/>
  <c r="U16" i="6"/>
  <c r="V16" i="6"/>
  <c r="W16" i="6"/>
  <c r="X16" i="6"/>
  <c r="O17" i="6"/>
  <c r="P17" i="6"/>
  <c r="R17" i="6"/>
  <c r="S17" i="6"/>
  <c r="T17" i="6"/>
  <c r="U17" i="6"/>
  <c r="V17" i="6"/>
  <c r="W17" i="6"/>
  <c r="X17" i="6"/>
  <c r="O18" i="6"/>
  <c r="P18" i="6"/>
  <c r="R18" i="6"/>
  <c r="S18" i="6"/>
  <c r="T18" i="6"/>
  <c r="U18" i="6"/>
  <c r="V18" i="6"/>
  <c r="W18" i="6"/>
  <c r="X18" i="6"/>
  <c r="O19" i="6"/>
  <c r="P19" i="6"/>
  <c r="Q19" i="6"/>
  <c r="R19" i="6"/>
  <c r="S19" i="6"/>
  <c r="T19" i="6"/>
  <c r="U19" i="6"/>
  <c r="V19" i="6"/>
  <c r="W19" i="6"/>
  <c r="X19" i="6"/>
  <c r="O20" i="6"/>
  <c r="P20" i="6"/>
  <c r="R20" i="6"/>
  <c r="S20" i="6"/>
  <c r="T20" i="6"/>
  <c r="U20" i="6"/>
  <c r="V20" i="6"/>
  <c r="W20" i="6"/>
  <c r="X20" i="6"/>
  <c r="O21" i="6"/>
  <c r="P21" i="6"/>
  <c r="R21" i="6"/>
  <c r="S21" i="6"/>
  <c r="T21" i="6"/>
  <c r="U21" i="6"/>
  <c r="V21" i="6"/>
  <c r="W21" i="6"/>
  <c r="X21" i="6"/>
  <c r="O22" i="6"/>
  <c r="P22" i="6"/>
  <c r="R22" i="6"/>
  <c r="S22" i="6"/>
  <c r="T22" i="6"/>
  <c r="U22" i="6"/>
  <c r="V22" i="6"/>
  <c r="W22" i="6"/>
  <c r="X22" i="6"/>
  <c r="O23" i="6"/>
  <c r="P23" i="6"/>
  <c r="Q23" i="6"/>
  <c r="R23" i="6"/>
  <c r="S23" i="6"/>
  <c r="T23" i="6"/>
  <c r="U23" i="6"/>
  <c r="V23" i="6"/>
  <c r="W23" i="6"/>
  <c r="X23" i="6"/>
  <c r="O24" i="6"/>
  <c r="P24" i="6"/>
  <c r="R24" i="6"/>
  <c r="S24" i="6"/>
  <c r="T24" i="6"/>
  <c r="U24" i="6"/>
  <c r="V24" i="6"/>
  <c r="W24" i="6"/>
  <c r="X24" i="6"/>
  <c r="O25" i="6"/>
  <c r="P25" i="6"/>
  <c r="R25" i="6"/>
  <c r="S25" i="6"/>
  <c r="T25" i="6"/>
  <c r="U25" i="6"/>
  <c r="V25" i="6"/>
  <c r="W25" i="6"/>
  <c r="X25" i="6"/>
  <c r="O26" i="6"/>
  <c r="P26" i="6"/>
  <c r="R26" i="6"/>
  <c r="S26" i="6"/>
  <c r="T26" i="6"/>
  <c r="U26" i="6"/>
  <c r="V26" i="6"/>
  <c r="W26" i="6"/>
  <c r="X26" i="6"/>
  <c r="O27" i="6"/>
  <c r="P27" i="6"/>
  <c r="R27" i="6"/>
  <c r="S27" i="6"/>
  <c r="T27" i="6"/>
  <c r="U27" i="6"/>
  <c r="V27" i="6"/>
  <c r="W27" i="6"/>
  <c r="X27" i="6"/>
  <c r="O28" i="6"/>
  <c r="P28" i="6"/>
  <c r="R28" i="6"/>
  <c r="S28" i="6"/>
  <c r="T28" i="6"/>
  <c r="U28" i="6"/>
  <c r="V28" i="6"/>
  <c r="W28" i="6"/>
  <c r="X28" i="6"/>
  <c r="O29" i="6"/>
  <c r="P29" i="6"/>
  <c r="R29" i="6"/>
  <c r="S29" i="6"/>
  <c r="T29" i="6"/>
  <c r="U29" i="6"/>
  <c r="V29" i="6"/>
  <c r="W29" i="6"/>
  <c r="X29" i="6"/>
  <c r="O30" i="6"/>
  <c r="P30" i="6"/>
  <c r="R30" i="6"/>
  <c r="S30" i="6"/>
  <c r="T30" i="6"/>
  <c r="U30" i="6"/>
  <c r="V30" i="6"/>
  <c r="W30" i="6"/>
  <c r="X30" i="6"/>
  <c r="O31" i="6"/>
  <c r="P31" i="6"/>
  <c r="R31" i="6"/>
  <c r="S31" i="6"/>
  <c r="T31" i="6"/>
  <c r="U31" i="6"/>
  <c r="V31" i="6"/>
  <c r="W31" i="6"/>
  <c r="X31" i="6"/>
  <c r="O32" i="6"/>
  <c r="P32" i="6"/>
  <c r="R32" i="6"/>
  <c r="S32" i="6"/>
  <c r="T32" i="6"/>
  <c r="U32" i="6"/>
  <c r="V32" i="6"/>
  <c r="W32" i="6"/>
  <c r="X32" i="6"/>
  <c r="O33" i="6"/>
  <c r="P33" i="6"/>
  <c r="R33" i="6"/>
  <c r="S33" i="6"/>
  <c r="T33" i="6"/>
  <c r="U33" i="6"/>
  <c r="V33" i="6"/>
  <c r="W33" i="6"/>
  <c r="X33" i="6"/>
  <c r="O34" i="6"/>
  <c r="P34" i="6"/>
  <c r="R34" i="6"/>
  <c r="S34" i="6"/>
  <c r="T34" i="6"/>
  <c r="U34" i="6"/>
  <c r="V34" i="6"/>
  <c r="W34" i="6"/>
  <c r="X34" i="6"/>
  <c r="O35" i="6"/>
  <c r="P35" i="6"/>
  <c r="R35" i="6"/>
  <c r="S35" i="6"/>
  <c r="T35" i="6"/>
  <c r="U35" i="6"/>
  <c r="V35" i="6"/>
  <c r="W35" i="6"/>
  <c r="X35" i="6"/>
  <c r="O36" i="6"/>
  <c r="P36" i="6"/>
  <c r="R36" i="6"/>
  <c r="S36" i="6"/>
  <c r="T36" i="6"/>
  <c r="U36" i="6"/>
  <c r="V36" i="6"/>
  <c r="W36" i="6"/>
  <c r="X36" i="6"/>
  <c r="O37" i="6"/>
  <c r="P37" i="6"/>
  <c r="R37" i="6"/>
  <c r="S37" i="6"/>
  <c r="T37" i="6"/>
  <c r="U37" i="6"/>
  <c r="V37" i="6"/>
  <c r="W37" i="6"/>
  <c r="X37" i="6"/>
  <c r="O38" i="6"/>
  <c r="P38" i="6"/>
  <c r="R38" i="6"/>
  <c r="S38" i="6"/>
  <c r="T38" i="6"/>
  <c r="U38" i="6"/>
  <c r="V38" i="6"/>
  <c r="W38" i="6"/>
  <c r="X38" i="6"/>
  <c r="O39" i="6"/>
  <c r="P39" i="6"/>
  <c r="R39" i="6"/>
  <c r="S39" i="6"/>
  <c r="T39" i="6"/>
  <c r="U39" i="6"/>
  <c r="V39" i="6"/>
  <c r="W39" i="6"/>
  <c r="X39" i="6"/>
  <c r="O40" i="6"/>
  <c r="P40" i="6"/>
  <c r="R40" i="6"/>
  <c r="S40" i="6"/>
  <c r="T40" i="6"/>
  <c r="U40" i="6"/>
  <c r="V40" i="6"/>
  <c r="W40" i="6"/>
  <c r="X40" i="6"/>
  <c r="O41" i="6"/>
  <c r="P41" i="6"/>
  <c r="R41" i="6"/>
  <c r="S41" i="6"/>
  <c r="T41" i="6"/>
  <c r="U41" i="6"/>
  <c r="V41" i="6"/>
  <c r="W41" i="6"/>
  <c r="X41" i="6"/>
  <c r="O42" i="6"/>
  <c r="P42" i="6"/>
  <c r="R42" i="6"/>
  <c r="S42" i="6"/>
  <c r="T42" i="6"/>
  <c r="U42" i="6"/>
  <c r="V42" i="6"/>
  <c r="W42" i="6"/>
  <c r="X42" i="6"/>
  <c r="O43" i="6"/>
  <c r="P43" i="6"/>
  <c r="R43" i="6"/>
  <c r="S43" i="6"/>
  <c r="T43" i="6"/>
  <c r="U43" i="6"/>
  <c r="V43" i="6"/>
  <c r="W43" i="6"/>
  <c r="X43" i="6"/>
  <c r="O44" i="6"/>
  <c r="P44" i="6"/>
  <c r="R44" i="6"/>
  <c r="S44" i="6"/>
  <c r="T44" i="6"/>
  <c r="U44" i="6"/>
  <c r="V44" i="6"/>
  <c r="W44" i="6"/>
  <c r="X44" i="6"/>
  <c r="O45" i="6"/>
  <c r="P45" i="6"/>
  <c r="R45" i="6"/>
  <c r="S45" i="6"/>
  <c r="T45" i="6"/>
  <c r="U45" i="6"/>
  <c r="V45" i="6"/>
  <c r="W45" i="6"/>
  <c r="X45" i="6"/>
  <c r="O46" i="6"/>
  <c r="P46" i="6"/>
  <c r="R46" i="6"/>
  <c r="S46" i="6"/>
  <c r="T46" i="6"/>
  <c r="U46" i="6"/>
  <c r="V46" i="6"/>
  <c r="W46" i="6"/>
  <c r="X46" i="6"/>
  <c r="O47" i="6"/>
  <c r="P47" i="6"/>
  <c r="R47" i="6"/>
  <c r="S47" i="6"/>
  <c r="T47" i="6"/>
  <c r="U47" i="6"/>
  <c r="V47" i="6"/>
  <c r="W47" i="6"/>
  <c r="X47" i="6"/>
  <c r="O48" i="6"/>
  <c r="P48" i="6"/>
  <c r="R48" i="6"/>
  <c r="S48" i="6"/>
  <c r="T48" i="6"/>
  <c r="U48" i="6"/>
  <c r="V48" i="6"/>
  <c r="W48" i="6"/>
  <c r="X48" i="6"/>
  <c r="O49" i="6"/>
  <c r="P49" i="6"/>
  <c r="R49" i="6"/>
  <c r="S49" i="6"/>
  <c r="T49" i="6"/>
  <c r="U49" i="6"/>
  <c r="V49" i="6"/>
  <c r="W49" i="6"/>
  <c r="X49" i="6"/>
  <c r="O50" i="6"/>
  <c r="P50" i="6"/>
  <c r="R50" i="6"/>
  <c r="S50" i="6"/>
  <c r="T50" i="6"/>
  <c r="U50" i="6"/>
  <c r="V50" i="6"/>
  <c r="W50" i="6"/>
  <c r="X50" i="6"/>
  <c r="O51" i="6"/>
  <c r="P51" i="6"/>
  <c r="R51" i="6"/>
  <c r="S51" i="6"/>
  <c r="T51" i="6"/>
  <c r="U51" i="6"/>
  <c r="V51" i="6"/>
  <c r="W51" i="6"/>
  <c r="X51" i="6"/>
  <c r="O52" i="6"/>
  <c r="P52" i="6"/>
  <c r="R52" i="6"/>
  <c r="S52" i="6"/>
  <c r="T52" i="6"/>
  <c r="U52" i="6"/>
  <c r="V52" i="6"/>
  <c r="W52" i="6"/>
  <c r="X52" i="6"/>
  <c r="O53" i="6"/>
  <c r="P53" i="6"/>
  <c r="R53" i="6"/>
  <c r="S53" i="6"/>
  <c r="T53" i="6"/>
  <c r="U53" i="6"/>
  <c r="V53" i="6"/>
  <c r="W53" i="6"/>
  <c r="X53" i="6"/>
  <c r="O54" i="6"/>
  <c r="P54" i="6"/>
  <c r="R54" i="6"/>
  <c r="S54" i="6"/>
  <c r="T54" i="6"/>
  <c r="U54" i="6"/>
  <c r="V54" i="6"/>
  <c r="W54" i="6"/>
  <c r="X54" i="6"/>
  <c r="O55" i="6"/>
  <c r="P55" i="6"/>
  <c r="R55" i="6"/>
  <c r="S55" i="6"/>
  <c r="T55" i="6"/>
  <c r="U55" i="6"/>
  <c r="V55" i="6"/>
  <c r="W55" i="6"/>
  <c r="X55" i="6"/>
  <c r="O56" i="6"/>
  <c r="P56" i="6"/>
  <c r="R56" i="6"/>
  <c r="S56" i="6"/>
  <c r="T56" i="6"/>
  <c r="U56" i="6"/>
  <c r="V56" i="6"/>
  <c r="W56" i="6"/>
  <c r="X56" i="6"/>
  <c r="O57" i="6"/>
  <c r="P57" i="6"/>
  <c r="R57" i="6"/>
  <c r="S57" i="6"/>
  <c r="T57" i="6"/>
  <c r="U57" i="6"/>
  <c r="V57" i="6"/>
  <c r="W57" i="6"/>
  <c r="X57" i="6"/>
  <c r="O58" i="6"/>
  <c r="P58" i="6"/>
  <c r="R58" i="6"/>
  <c r="S58" i="6"/>
  <c r="T58" i="6"/>
  <c r="U58" i="6"/>
  <c r="V58" i="6"/>
  <c r="W58" i="6"/>
  <c r="X58" i="6"/>
  <c r="O59" i="6"/>
  <c r="P59" i="6"/>
  <c r="R59" i="6"/>
  <c r="S59" i="6"/>
  <c r="T59" i="6"/>
  <c r="U59" i="6"/>
  <c r="V59" i="6"/>
  <c r="W59" i="6"/>
  <c r="X59" i="6"/>
  <c r="E60" i="6"/>
  <c r="H60" i="6"/>
  <c r="K60" i="6"/>
  <c r="M60" i="6"/>
  <c r="N60" i="6"/>
  <c r="Q60" i="6"/>
  <c r="R60" i="6"/>
  <c r="S60" i="6"/>
  <c r="T60" i="6"/>
  <c r="U60" i="6"/>
  <c r="V60" i="6"/>
  <c r="N61" i="6"/>
  <c r="R61" i="6"/>
  <c r="S61" i="6"/>
  <c r="R62" i="6"/>
  <c r="C3" i="7"/>
  <c r="C8" i="7"/>
  <c r="E8" i="7"/>
  <c r="F8" i="7"/>
  <c r="H8" i="7"/>
  <c r="I8" i="7"/>
  <c r="K8" i="7"/>
  <c r="L8" i="7"/>
  <c r="N8" i="7"/>
  <c r="S8" i="7"/>
  <c r="O9" i="7"/>
  <c r="O10" i="7"/>
  <c r="P10" i="7"/>
  <c r="R10" i="7"/>
  <c r="S10" i="7"/>
  <c r="T10" i="7"/>
  <c r="U10" i="7"/>
  <c r="V10" i="7"/>
  <c r="W10" i="7"/>
  <c r="X10" i="7"/>
  <c r="O11" i="7"/>
  <c r="P11" i="7"/>
  <c r="R11" i="7"/>
  <c r="S11" i="7"/>
  <c r="T11" i="7"/>
  <c r="U11" i="7"/>
  <c r="V11" i="7"/>
  <c r="W11" i="7"/>
  <c r="X11" i="7"/>
  <c r="O12" i="7"/>
  <c r="P12" i="7"/>
  <c r="R12" i="7"/>
  <c r="S12" i="7"/>
  <c r="T12" i="7"/>
  <c r="U12" i="7"/>
  <c r="V12" i="7"/>
  <c r="W12" i="7"/>
  <c r="X12" i="7"/>
  <c r="O13" i="7"/>
  <c r="P13" i="7"/>
  <c r="R13" i="7"/>
  <c r="S13" i="7"/>
  <c r="T13" i="7"/>
  <c r="U13" i="7"/>
  <c r="V13" i="7"/>
  <c r="W13" i="7"/>
  <c r="X13" i="7"/>
  <c r="O14" i="7"/>
  <c r="P14" i="7"/>
  <c r="R14" i="7"/>
  <c r="S14" i="7"/>
  <c r="T14" i="7"/>
  <c r="U14" i="7"/>
  <c r="V14" i="7"/>
  <c r="W14" i="7"/>
  <c r="X14" i="7"/>
  <c r="O15" i="7"/>
  <c r="P15" i="7"/>
  <c r="R15" i="7"/>
  <c r="S15" i="7"/>
  <c r="T15" i="7"/>
  <c r="U15" i="7"/>
  <c r="V15" i="7"/>
  <c r="W15" i="7"/>
  <c r="X15" i="7"/>
  <c r="O16" i="7"/>
  <c r="P16" i="7"/>
  <c r="R16" i="7"/>
  <c r="S16" i="7"/>
  <c r="T16" i="7"/>
  <c r="U16" i="7"/>
  <c r="V16" i="7"/>
  <c r="W16" i="7"/>
  <c r="X16" i="7"/>
  <c r="O17" i="7"/>
  <c r="P17" i="7"/>
  <c r="R17" i="7"/>
  <c r="S17" i="7"/>
  <c r="T17" i="7"/>
  <c r="U17" i="7"/>
  <c r="V17" i="7"/>
  <c r="W17" i="7"/>
  <c r="X17" i="7"/>
  <c r="O18" i="7"/>
  <c r="P18" i="7"/>
  <c r="R18" i="7"/>
  <c r="S18" i="7"/>
  <c r="T18" i="7"/>
  <c r="U18" i="7"/>
  <c r="V18" i="7"/>
  <c r="W18" i="7"/>
  <c r="X18" i="7"/>
  <c r="O19" i="7"/>
  <c r="P19" i="7"/>
  <c r="R19" i="7"/>
  <c r="S19" i="7"/>
  <c r="T19" i="7"/>
  <c r="U19" i="7"/>
  <c r="V19" i="7"/>
  <c r="W19" i="7"/>
  <c r="X19" i="7"/>
  <c r="O20" i="7"/>
  <c r="P20" i="7"/>
  <c r="R20" i="7"/>
  <c r="S20" i="7"/>
  <c r="T20" i="7"/>
  <c r="U20" i="7"/>
  <c r="V20" i="7"/>
  <c r="W20" i="7"/>
  <c r="X20" i="7"/>
  <c r="O21" i="7"/>
  <c r="P21" i="7"/>
  <c r="R21" i="7"/>
  <c r="S21" i="7"/>
  <c r="T21" i="7"/>
  <c r="U21" i="7"/>
  <c r="V21" i="7"/>
  <c r="W21" i="7"/>
  <c r="X21" i="7"/>
  <c r="O22" i="7"/>
  <c r="P22" i="7"/>
  <c r="R22" i="7"/>
  <c r="S22" i="7"/>
  <c r="T22" i="7"/>
  <c r="U22" i="7"/>
  <c r="V22" i="7"/>
  <c r="W22" i="7"/>
  <c r="X22" i="7"/>
  <c r="O23" i="7"/>
  <c r="P23" i="7"/>
  <c r="R23" i="7"/>
  <c r="S23" i="7"/>
  <c r="T23" i="7"/>
  <c r="U23" i="7"/>
  <c r="V23" i="7"/>
  <c r="W23" i="7"/>
  <c r="X23" i="7"/>
  <c r="O24" i="7"/>
  <c r="P24" i="7"/>
  <c r="R24" i="7"/>
  <c r="S24" i="7"/>
  <c r="T24" i="7"/>
  <c r="U24" i="7"/>
  <c r="V24" i="7"/>
  <c r="W24" i="7"/>
  <c r="X24" i="7"/>
  <c r="O25" i="7"/>
  <c r="P25" i="7"/>
  <c r="R25" i="7"/>
  <c r="S25" i="7"/>
  <c r="T25" i="7"/>
  <c r="U25" i="7"/>
  <c r="V25" i="7"/>
  <c r="W25" i="7"/>
  <c r="X25" i="7"/>
  <c r="O26" i="7"/>
  <c r="P26" i="7"/>
  <c r="R26" i="7"/>
  <c r="S26" i="7"/>
  <c r="T26" i="7"/>
  <c r="U26" i="7"/>
  <c r="V26" i="7"/>
  <c r="W26" i="7"/>
  <c r="X26" i="7"/>
  <c r="O27" i="7"/>
  <c r="P27" i="7"/>
  <c r="R27" i="7"/>
  <c r="S27" i="7"/>
  <c r="T27" i="7"/>
  <c r="U27" i="7"/>
  <c r="V27" i="7"/>
  <c r="W27" i="7"/>
  <c r="X27" i="7"/>
  <c r="O28" i="7"/>
  <c r="P28" i="7"/>
  <c r="R28" i="7"/>
  <c r="S28" i="7"/>
  <c r="T28" i="7"/>
  <c r="U28" i="7"/>
  <c r="V28" i="7"/>
  <c r="W28" i="7"/>
  <c r="X28" i="7"/>
  <c r="O29" i="7"/>
  <c r="P29" i="7"/>
  <c r="R29" i="7"/>
  <c r="S29" i="7"/>
  <c r="T29" i="7"/>
  <c r="U29" i="7"/>
  <c r="V29" i="7"/>
  <c r="W29" i="7"/>
  <c r="X29" i="7"/>
  <c r="O30" i="7"/>
  <c r="P30" i="7"/>
  <c r="R30" i="7"/>
  <c r="S30" i="7"/>
  <c r="T30" i="7"/>
  <c r="U30" i="7"/>
  <c r="V30" i="7"/>
  <c r="W30" i="7"/>
  <c r="X30" i="7"/>
  <c r="O31" i="7"/>
  <c r="P31" i="7"/>
  <c r="R31" i="7"/>
  <c r="S31" i="7"/>
  <c r="T31" i="7"/>
  <c r="U31" i="7"/>
  <c r="V31" i="7"/>
  <c r="W31" i="7"/>
  <c r="X31" i="7"/>
  <c r="O32" i="7"/>
  <c r="P32" i="7"/>
  <c r="R32" i="7"/>
  <c r="S32" i="7"/>
  <c r="T32" i="7"/>
  <c r="U32" i="7"/>
  <c r="V32" i="7"/>
  <c r="W32" i="7"/>
  <c r="X32" i="7"/>
  <c r="O33" i="7"/>
  <c r="P33" i="7"/>
  <c r="R33" i="7"/>
  <c r="S33" i="7"/>
  <c r="T33" i="7"/>
  <c r="U33" i="7"/>
  <c r="V33" i="7"/>
  <c r="W33" i="7"/>
  <c r="X33" i="7"/>
  <c r="O34" i="7"/>
  <c r="P34" i="7"/>
  <c r="R34" i="7"/>
  <c r="S34" i="7"/>
  <c r="T34" i="7"/>
  <c r="U34" i="7"/>
  <c r="V34" i="7"/>
  <c r="W34" i="7"/>
  <c r="X34" i="7"/>
  <c r="O35" i="7"/>
  <c r="P35" i="7"/>
  <c r="R35" i="7"/>
  <c r="S35" i="7"/>
  <c r="T35" i="7"/>
  <c r="U35" i="7"/>
  <c r="V35" i="7"/>
  <c r="W35" i="7"/>
  <c r="X35" i="7"/>
  <c r="O36" i="7"/>
  <c r="P36" i="7"/>
  <c r="R36" i="7"/>
  <c r="S36" i="7"/>
  <c r="T36" i="7"/>
  <c r="U36" i="7"/>
  <c r="V36" i="7"/>
  <c r="W36" i="7"/>
  <c r="X36" i="7"/>
  <c r="O37" i="7"/>
  <c r="P37" i="7"/>
  <c r="R37" i="7"/>
  <c r="S37" i="7"/>
  <c r="T37" i="7"/>
  <c r="U37" i="7"/>
  <c r="V37" i="7"/>
  <c r="W37" i="7"/>
  <c r="X37" i="7"/>
  <c r="O38" i="7"/>
  <c r="P38" i="7"/>
  <c r="R38" i="7"/>
  <c r="S38" i="7"/>
  <c r="T38" i="7"/>
  <c r="U38" i="7"/>
  <c r="V38" i="7"/>
  <c r="W38" i="7"/>
  <c r="X38" i="7"/>
  <c r="O39" i="7"/>
  <c r="P39" i="7"/>
  <c r="R39" i="7"/>
  <c r="S39" i="7"/>
  <c r="T39" i="7"/>
  <c r="U39" i="7"/>
  <c r="V39" i="7"/>
  <c r="W39" i="7"/>
  <c r="X39" i="7"/>
  <c r="O40" i="7"/>
  <c r="P40" i="7"/>
  <c r="R40" i="7"/>
  <c r="S40" i="7"/>
  <c r="T40" i="7"/>
  <c r="U40" i="7"/>
  <c r="V40" i="7"/>
  <c r="W40" i="7"/>
  <c r="X40" i="7"/>
  <c r="O41" i="7"/>
  <c r="P41" i="7"/>
  <c r="R41" i="7"/>
  <c r="S41" i="7"/>
  <c r="T41" i="7"/>
  <c r="U41" i="7"/>
  <c r="V41" i="7"/>
  <c r="W41" i="7"/>
  <c r="X41" i="7"/>
  <c r="O42" i="7"/>
  <c r="P42" i="7"/>
  <c r="R42" i="7"/>
  <c r="S42" i="7"/>
  <c r="T42" i="7"/>
  <c r="U42" i="7"/>
  <c r="V42" i="7"/>
  <c r="W42" i="7"/>
  <c r="X42" i="7"/>
  <c r="O43" i="7"/>
  <c r="P43" i="7"/>
  <c r="R43" i="7"/>
  <c r="S43" i="7"/>
  <c r="T43" i="7"/>
  <c r="U43" i="7"/>
  <c r="V43" i="7"/>
  <c r="W43" i="7"/>
  <c r="X43" i="7"/>
  <c r="O44" i="7"/>
  <c r="P44" i="7"/>
  <c r="R44" i="7"/>
  <c r="S44" i="7"/>
  <c r="T44" i="7"/>
  <c r="U44" i="7"/>
  <c r="V44" i="7"/>
  <c r="W44" i="7"/>
  <c r="X44" i="7"/>
  <c r="O45" i="7"/>
  <c r="P45" i="7"/>
  <c r="R45" i="7"/>
  <c r="S45" i="7"/>
  <c r="T45" i="7"/>
  <c r="U45" i="7"/>
  <c r="V45" i="7"/>
  <c r="W45" i="7"/>
  <c r="X45" i="7"/>
  <c r="O46" i="7"/>
  <c r="P46" i="7"/>
  <c r="R46" i="7"/>
  <c r="S46" i="7"/>
  <c r="T46" i="7"/>
  <c r="U46" i="7"/>
  <c r="V46" i="7"/>
  <c r="W46" i="7"/>
  <c r="X46" i="7"/>
  <c r="O47" i="7"/>
  <c r="P47" i="7"/>
  <c r="R47" i="7"/>
  <c r="S47" i="7"/>
  <c r="T47" i="7"/>
  <c r="U47" i="7"/>
  <c r="V47" i="7"/>
  <c r="W47" i="7"/>
  <c r="X47" i="7"/>
  <c r="O48" i="7"/>
  <c r="P48" i="7"/>
  <c r="R48" i="7"/>
  <c r="S48" i="7"/>
  <c r="T48" i="7"/>
  <c r="U48" i="7"/>
  <c r="V48" i="7"/>
  <c r="W48" i="7"/>
  <c r="X48" i="7"/>
  <c r="O49" i="7"/>
  <c r="P49" i="7"/>
  <c r="R49" i="7"/>
  <c r="S49" i="7"/>
  <c r="T49" i="7"/>
  <c r="U49" i="7"/>
  <c r="V49" i="7"/>
  <c r="W49" i="7"/>
  <c r="X49" i="7"/>
  <c r="O50" i="7"/>
  <c r="P50" i="7"/>
  <c r="R50" i="7"/>
  <c r="S50" i="7"/>
  <c r="T50" i="7"/>
  <c r="U50" i="7"/>
  <c r="V50" i="7"/>
  <c r="W50" i="7"/>
  <c r="X50" i="7"/>
  <c r="O51" i="7"/>
  <c r="P51" i="7"/>
  <c r="R51" i="7"/>
  <c r="S51" i="7"/>
  <c r="T51" i="7"/>
  <c r="U51" i="7"/>
  <c r="V51" i="7"/>
  <c r="W51" i="7"/>
  <c r="X51" i="7"/>
  <c r="O52" i="7"/>
  <c r="P52" i="7"/>
  <c r="R52" i="7"/>
  <c r="S52" i="7"/>
  <c r="T52" i="7"/>
  <c r="U52" i="7"/>
  <c r="V52" i="7"/>
  <c r="W52" i="7"/>
  <c r="X52" i="7"/>
  <c r="O53" i="7"/>
  <c r="P53" i="7"/>
  <c r="R53" i="7"/>
  <c r="S53" i="7"/>
  <c r="T53" i="7"/>
  <c r="U53" i="7"/>
  <c r="V53" i="7"/>
  <c r="W53" i="7"/>
  <c r="X53" i="7"/>
  <c r="O54" i="7"/>
  <c r="P54" i="7"/>
  <c r="R54" i="7"/>
  <c r="S54" i="7"/>
  <c r="T54" i="7"/>
  <c r="U54" i="7"/>
  <c r="V54" i="7"/>
  <c r="W54" i="7"/>
  <c r="X54" i="7"/>
  <c r="O55" i="7"/>
  <c r="P55" i="7"/>
  <c r="R55" i="7"/>
  <c r="S55" i="7"/>
  <c r="T55" i="7"/>
  <c r="U55" i="7"/>
  <c r="V55" i="7"/>
  <c r="W55" i="7"/>
  <c r="X55" i="7"/>
  <c r="O56" i="7"/>
  <c r="P56" i="7"/>
  <c r="R56" i="7"/>
  <c r="S56" i="7"/>
  <c r="T56" i="7"/>
  <c r="U56" i="7"/>
  <c r="V56" i="7"/>
  <c r="W56" i="7"/>
  <c r="X56" i="7"/>
  <c r="O57" i="7"/>
  <c r="P57" i="7"/>
  <c r="R57" i="7"/>
  <c r="S57" i="7"/>
  <c r="T57" i="7"/>
  <c r="U57" i="7"/>
  <c r="V57" i="7"/>
  <c r="W57" i="7"/>
  <c r="X57" i="7"/>
  <c r="O58" i="7"/>
  <c r="P58" i="7"/>
  <c r="R58" i="7"/>
  <c r="S58" i="7"/>
  <c r="T58" i="7"/>
  <c r="U58" i="7"/>
  <c r="V58" i="7"/>
  <c r="W58" i="7"/>
  <c r="X58" i="7"/>
  <c r="O59" i="7"/>
  <c r="P59" i="7"/>
  <c r="R59" i="7"/>
  <c r="S59" i="7"/>
  <c r="T59" i="7"/>
  <c r="U59" i="7"/>
  <c r="V59" i="7"/>
  <c r="W59" i="7"/>
  <c r="X59" i="7"/>
  <c r="O60" i="7"/>
  <c r="P60" i="7"/>
  <c r="R60" i="7"/>
  <c r="S60" i="7"/>
  <c r="T60" i="7"/>
  <c r="U60" i="7"/>
  <c r="V60" i="7"/>
  <c r="W60" i="7"/>
  <c r="X60" i="7"/>
  <c r="O61" i="7"/>
  <c r="P61" i="7"/>
  <c r="R61" i="7"/>
  <c r="S61" i="7"/>
  <c r="T61" i="7"/>
  <c r="U61" i="7"/>
  <c r="V61" i="7"/>
  <c r="W61" i="7"/>
  <c r="X61" i="7"/>
  <c r="E62" i="7"/>
  <c r="H62" i="7"/>
  <c r="K62" i="7"/>
  <c r="M62" i="7"/>
  <c r="N62" i="7"/>
  <c r="O62" i="7"/>
  <c r="Q62" i="7"/>
  <c r="R62" i="7"/>
  <c r="S62" i="7"/>
  <c r="T62" i="7"/>
  <c r="U62" i="7"/>
  <c r="V62" i="7"/>
  <c r="N63" i="7"/>
  <c r="R63" i="7"/>
  <c r="S63" i="7"/>
  <c r="R64" i="7"/>
  <c r="S64" i="7"/>
  <c r="C3" i="8"/>
  <c r="C8" i="8"/>
  <c r="E8" i="8"/>
  <c r="F8" i="8"/>
  <c r="H8" i="8"/>
  <c r="I8" i="8"/>
  <c r="K8" i="8"/>
  <c r="L8" i="8"/>
  <c r="N8" i="8"/>
  <c r="S8" i="8"/>
  <c r="O9" i="8"/>
  <c r="O10" i="8"/>
  <c r="P10" i="8"/>
  <c r="R10" i="8"/>
  <c r="S10" i="8"/>
  <c r="T10" i="8"/>
  <c r="U10" i="8"/>
  <c r="V10" i="8"/>
  <c r="W10" i="8"/>
  <c r="X10" i="8"/>
  <c r="O11" i="8"/>
  <c r="P11" i="8"/>
  <c r="R11" i="8"/>
  <c r="S11" i="8"/>
  <c r="T11" i="8"/>
  <c r="U11" i="8"/>
  <c r="V11" i="8"/>
  <c r="W11" i="8"/>
  <c r="X11" i="8"/>
  <c r="O12" i="8"/>
  <c r="P12" i="8"/>
  <c r="R12" i="8"/>
  <c r="S12" i="8"/>
  <c r="T12" i="8"/>
  <c r="U12" i="8"/>
  <c r="V12" i="8"/>
  <c r="W12" i="8"/>
  <c r="X12" i="8"/>
  <c r="O13" i="8"/>
  <c r="P13" i="8"/>
  <c r="R13" i="8"/>
  <c r="S13" i="8"/>
  <c r="T13" i="8"/>
  <c r="U13" i="8"/>
  <c r="V13" i="8"/>
  <c r="W13" i="8"/>
  <c r="X13" i="8"/>
  <c r="O14" i="8"/>
  <c r="P14" i="8"/>
  <c r="R14" i="8"/>
  <c r="S14" i="8"/>
  <c r="T14" i="8"/>
  <c r="U14" i="8"/>
  <c r="V14" i="8"/>
  <c r="W14" i="8"/>
  <c r="X14" i="8"/>
  <c r="O15" i="8"/>
  <c r="P15" i="8"/>
  <c r="R15" i="8"/>
  <c r="S15" i="8"/>
  <c r="T15" i="8"/>
  <c r="U15" i="8"/>
  <c r="V15" i="8"/>
  <c r="W15" i="8"/>
  <c r="X15" i="8"/>
  <c r="O16" i="8"/>
  <c r="P16" i="8"/>
  <c r="R16" i="8"/>
  <c r="S16" i="8"/>
  <c r="T16" i="8"/>
  <c r="U16" i="8"/>
  <c r="V16" i="8"/>
  <c r="W16" i="8"/>
  <c r="X16" i="8"/>
  <c r="O17" i="8"/>
  <c r="P17" i="8"/>
  <c r="R17" i="8"/>
  <c r="S17" i="8"/>
  <c r="T17" i="8"/>
  <c r="U17" i="8"/>
  <c r="V17" i="8"/>
  <c r="W17" i="8"/>
  <c r="X17" i="8"/>
  <c r="O18" i="8"/>
  <c r="P18" i="8"/>
  <c r="R18" i="8"/>
  <c r="S18" i="8"/>
  <c r="T18" i="8"/>
  <c r="U18" i="8"/>
  <c r="V18" i="8"/>
  <c r="W18" i="8"/>
  <c r="X18" i="8"/>
  <c r="O19" i="8"/>
  <c r="P19" i="8"/>
  <c r="R19" i="8"/>
  <c r="S19" i="8"/>
  <c r="T19" i="8"/>
  <c r="U19" i="8"/>
  <c r="V19" i="8"/>
  <c r="W19" i="8"/>
  <c r="X19" i="8"/>
  <c r="O20" i="8"/>
  <c r="P20" i="8"/>
  <c r="R20" i="8"/>
  <c r="S20" i="8"/>
  <c r="T20" i="8"/>
  <c r="U20" i="8"/>
  <c r="V20" i="8"/>
  <c r="W20" i="8"/>
  <c r="X20" i="8"/>
  <c r="O21" i="8"/>
  <c r="P21" i="8"/>
  <c r="R21" i="8"/>
  <c r="S21" i="8"/>
  <c r="T21" i="8"/>
  <c r="U21" i="8"/>
  <c r="V21" i="8"/>
  <c r="W21" i="8"/>
  <c r="X21" i="8"/>
  <c r="O22" i="8"/>
  <c r="P22" i="8"/>
  <c r="R22" i="8"/>
  <c r="S22" i="8"/>
  <c r="T22" i="8"/>
  <c r="U22" i="8"/>
  <c r="V22" i="8"/>
  <c r="W22" i="8"/>
  <c r="X22" i="8"/>
  <c r="O23" i="8"/>
  <c r="P23" i="8"/>
  <c r="R23" i="8"/>
  <c r="S23" i="8"/>
  <c r="T23" i="8"/>
  <c r="U23" i="8"/>
  <c r="V23" i="8"/>
  <c r="W23" i="8"/>
  <c r="X23" i="8"/>
  <c r="O24" i="8"/>
  <c r="P24" i="8"/>
  <c r="R24" i="8"/>
  <c r="S24" i="8"/>
  <c r="T24" i="8"/>
  <c r="U24" i="8"/>
  <c r="V24" i="8"/>
  <c r="W24" i="8"/>
  <c r="X24" i="8"/>
  <c r="O25" i="8"/>
  <c r="P25" i="8"/>
  <c r="R25" i="8"/>
  <c r="S25" i="8"/>
  <c r="T25" i="8"/>
  <c r="U25" i="8"/>
  <c r="V25" i="8"/>
  <c r="W25" i="8"/>
  <c r="X25" i="8"/>
  <c r="O26" i="8"/>
  <c r="P26" i="8"/>
  <c r="R26" i="8"/>
  <c r="S26" i="8"/>
  <c r="T26" i="8"/>
  <c r="U26" i="8"/>
  <c r="V26" i="8"/>
  <c r="W26" i="8"/>
  <c r="X26" i="8"/>
  <c r="O27" i="8"/>
  <c r="P27" i="8"/>
  <c r="R27" i="8"/>
  <c r="S27" i="8"/>
  <c r="T27" i="8"/>
  <c r="U27" i="8"/>
  <c r="V27" i="8"/>
  <c r="W27" i="8"/>
  <c r="X27" i="8"/>
  <c r="O28" i="8"/>
  <c r="P28" i="8"/>
  <c r="R28" i="8"/>
  <c r="S28" i="8"/>
  <c r="T28" i="8"/>
  <c r="U28" i="8"/>
  <c r="V28" i="8"/>
  <c r="W28" i="8"/>
  <c r="X28" i="8"/>
  <c r="O29" i="8"/>
  <c r="P29" i="8"/>
  <c r="R29" i="8"/>
  <c r="S29" i="8"/>
  <c r="T29" i="8"/>
  <c r="U29" i="8"/>
  <c r="V29" i="8"/>
  <c r="W29" i="8"/>
  <c r="X29" i="8"/>
  <c r="O30" i="8"/>
  <c r="P30" i="8"/>
  <c r="R30" i="8"/>
  <c r="S30" i="8"/>
  <c r="T30" i="8"/>
  <c r="U30" i="8"/>
  <c r="V30" i="8"/>
  <c r="W30" i="8"/>
  <c r="X30" i="8"/>
  <c r="O31" i="8"/>
  <c r="P31" i="8"/>
  <c r="R31" i="8"/>
  <c r="S31" i="8"/>
  <c r="T31" i="8"/>
  <c r="U31" i="8"/>
  <c r="V31" i="8"/>
  <c r="W31" i="8"/>
  <c r="X31" i="8"/>
  <c r="O32" i="8"/>
  <c r="P32" i="8"/>
  <c r="R32" i="8"/>
  <c r="S32" i="8"/>
  <c r="T32" i="8"/>
  <c r="U32" i="8"/>
  <c r="V32" i="8"/>
  <c r="W32" i="8"/>
  <c r="X32" i="8"/>
  <c r="O33" i="8"/>
  <c r="P33" i="8"/>
  <c r="R33" i="8"/>
  <c r="S33" i="8"/>
  <c r="T33" i="8"/>
  <c r="U33" i="8"/>
  <c r="V33" i="8"/>
  <c r="W33" i="8"/>
  <c r="X33" i="8"/>
  <c r="O34" i="8"/>
  <c r="P34" i="8"/>
  <c r="R34" i="8"/>
  <c r="S34" i="8"/>
  <c r="T34" i="8"/>
  <c r="U34" i="8"/>
  <c r="V34" i="8"/>
  <c r="W34" i="8"/>
  <c r="X34" i="8"/>
  <c r="O35" i="8"/>
  <c r="P35" i="8"/>
  <c r="R35" i="8"/>
  <c r="S35" i="8"/>
  <c r="T35" i="8"/>
  <c r="U35" i="8"/>
  <c r="V35" i="8"/>
  <c r="W35" i="8"/>
  <c r="X35" i="8"/>
  <c r="O36" i="8"/>
  <c r="P36" i="8"/>
  <c r="R36" i="8"/>
  <c r="S36" i="8"/>
  <c r="T36" i="8"/>
  <c r="U36" i="8"/>
  <c r="V36" i="8"/>
  <c r="W36" i="8"/>
  <c r="X36" i="8"/>
  <c r="O37" i="8"/>
  <c r="P37" i="8"/>
  <c r="R37" i="8"/>
  <c r="S37" i="8"/>
  <c r="T37" i="8"/>
  <c r="U37" i="8"/>
  <c r="V37" i="8"/>
  <c r="W37" i="8"/>
  <c r="X37" i="8"/>
  <c r="O38" i="8"/>
  <c r="P38" i="8"/>
  <c r="R38" i="8"/>
  <c r="S38" i="8"/>
  <c r="T38" i="8"/>
  <c r="U38" i="8"/>
  <c r="V38" i="8"/>
  <c r="W38" i="8"/>
  <c r="X38" i="8"/>
  <c r="O39" i="8"/>
  <c r="P39" i="8"/>
  <c r="R39" i="8"/>
  <c r="S39" i="8"/>
  <c r="T39" i="8"/>
  <c r="U39" i="8"/>
  <c r="V39" i="8"/>
  <c r="W39" i="8"/>
  <c r="X39" i="8"/>
  <c r="O40" i="8"/>
  <c r="P40" i="8"/>
  <c r="R40" i="8"/>
  <c r="S40" i="8"/>
  <c r="T40" i="8"/>
  <c r="U40" i="8"/>
  <c r="V40" i="8"/>
  <c r="W40" i="8"/>
  <c r="X40" i="8"/>
  <c r="O41" i="8"/>
  <c r="P41" i="8"/>
  <c r="R41" i="8"/>
  <c r="S41" i="8"/>
  <c r="T41" i="8"/>
  <c r="U41" i="8"/>
  <c r="V41" i="8"/>
  <c r="W41" i="8"/>
  <c r="X41" i="8"/>
  <c r="O42" i="8"/>
  <c r="P42" i="8"/>
  <c r="R42" i="8"/>
  <c r="S42" i="8"/>
  <c r="T42" i="8"/>
  <c r="U42" i="8"/>
  <c r="V42" i="8"/>
  <c r="W42" i="8"/>
  <c r="X42" i="8"/>
  <c r="O43" i="8"/>
  <c r="P43" i="8"/>
  <c r="R43" i="8"/>
  <c r="S43" i="8"/>
  <c r="T43" i="8"/>
  <c r="U43" i="8"/>
  <c r="V43" i="8"/>
  <c r="W43" i="8"/>
  <c r="X43" i="8"/>
  <c r="O44" i="8"/>
  <c r="P44" i="8"/>
  <c r="R44" i="8"/>
  <c r="S44" i="8"/>
  <c r="T44" i="8"/>
  <c r="U44" i="8"/>
  <c r="V44" i="8"/>
  <c r="W44" i="8"/>
  <c r="X44" i="8"/>
  <c r="O45" i="8"/>
  <c r="P45" i="8"/>
  <c r="R45" i="8"/>
  <c r="S45" i="8"/>
  <c r="T45" i="8"/>
  <c r="U45" i="8"/>
  <c r="V45" i="8"/>
  <c r="W45" i="8"/>
  <c r="X45" i="8"/>
  <c r="O46" i="8"/>
  <c r="P46" i="8"/>
  <c r="R46" i="8"/>
  <c r="S46" i="8"/>
  <c r="T46" i="8"/>
  <c r="U46" i="8"/>
  <c r="V46" i="8"/>
  <c r="W46" i="8"/>
  <c r="X46" i="8"/>
  <c r="O47" i="8"/>
  <c r="P47" i="8"/>
  <c r="R47" i="8"/>
  <c r="S47" i="8"/>
  <c r="T47" i="8"/>
  <c r="U47" i="8"/>
  <c r="V47" i="8"/>
  <c r="W47" i="8"/>
  <c r="X47" i="8"/>
  <c r="O48" i="8"/>
  <c r="P48" i="8"/>
  <c r="R48" i="8"/>
  <c r="S48" i="8"/>
  <c r="T48" i="8"/>
  <c r="U48" i="8"/>
  <c r="V48" i="8"/>
  <c r="W48" i="8"/>
  <c r="X48" i="8"/>
  <c r="O49" i="8"/>
  <c r="P49" i="8"/>
  <c r="R49" i="8"/>
  <c r="S49" i="8"/>
  <c r="T49" i="8"/>
  <c r="U49" i="8"/>
  <c r="V49" i="8"/>
  <c r="W49" i="8"/>
  <c r="X49" i="8"/>
  <c r="O50" i="8"/>
  <c r="P50" i="8"/>
  <c r="R50" i="8"/>
  <c r="S50" i="8"/>
  <c r="T50" i="8"/>
  <c r="U50" i="8"/>
  <c r="V50" i="8"/>
  <c r="W50" i="8"/>
  <c r="X50" i="8"/>
  <c r="O51" i="8"/>
  <c r="P51" i="8"/>
  <c r="R51" i="8"/>
  <c r="S51" i="8"/>
  <c r="T51" i="8"/>
  <c r="U51" i="8"/>
  <c r="V51" i="8"/>
  <c r="W51" i="8"/>
  <c r="X51" i="8"/>
  <c r="O52" i="8"/>
  <c r="P52" i="8"/>
  <c r="R52" i="8"/>
  <c r="S52" i="8"/>
  <c r="T52" i="8"/>
  <c r="U52" i="8"/>
  <c r="V52" i="8"/>
  <c r="W52" i="8"/>
  <c r="X52" i="8"/>
  <c r="O53" i="8"/>
  <c r="P53" i="8"/>
  <c r="R53" i="8"/>
  <c r="S53" i="8"/>
  <c r="T53" i="8"/>
  <c r="U53" i="8"/>
  <c r="V53" i="8"/>
  <c r="W53" i="8"/>
  <c r="X53" i="8"/>
  <c r="O54" i="8"/>
  <c r="P54" i="8"/>
  <c r="R54" i="8"/>
  <c r="S54" i="8"/>
  <c r="T54" i="8"/>
  <c r="U54" i="8"/>
  <c r="V54" i="8"/>
  <c r="W54" i="8"/>
  <c r="X54" i="8"/>
  <c r="O55" i="8"/>
  <c r="P55" i="8"/>
  <c r="R55" i="8"/>
  <c r="S55" i="8"/>
  <c r="T55" i="8"/>
  <c r="U55" i="8"/>
  <c r="V55" i="8"/>
  <c r="W55" i="8"/>
  <c r="X55" i="8"/>
  <c r="O56" i="8"/>
  <c r="P56" i="8"/>
  <c r="R56" i="8"/>
  <c r="S56" i="8"/>
  <c r="T56" i="8"/>
  <c r="U56" i="8"/>
  <c r="V56" i="8"/>
  <c r="W56" i="8"/>
  <c r="X56" i="8"/>
  <c r="O57" i="8"/>
  <c r="P57" i="8"/>
  <c r="R57" i="8"/>
  <c r="S57" i="8"/>
  <c r="T57" i="8"/>
  <c r="U57" i="8"/>
  <c r="V57" i="8"/>
  <c r="W57" i="8"/>
  <c r="X57" i="8"/>
  <c r="O58" i="8"/>
  <c r="P58" i="8"/>
  <c r="R58" i="8"/>
  <c r="S58" i="8"/>
  <c r="T58" i="8"/>
  <c r="U58" i="8"/>
  <c r="V58" i="8"/>
  <c r="W58" i="8"/>
  <c r="X58" i="8"/>
  <c r="O59" i="8"/>
  <c r="P59" i="8"/>
  <c r="R59" i="8"/>
  <c r="S59" i="8"/>
  <c r="T59" i="8"/>
  <c r="U59" i="8"/>
  <c r="V59" i="8"/>
  <c r="W59" i="8"/>
  <c r="X59" i="8"/>
  <c r="O60" i="8"/>
  <c r="P60" i="8"/>
  <c r="R60" i="8"/>
  <c r="S60" i="8"/>
  <c r="W60" i="8"/>
  <c r="X60" i="8"/>
  <c r="E61" i="8"/>
  <c r="H61" i="8"/>
  <c r="K61" i="8"/>
  <c r="M61" i="8"/>
  <c r="N61" i="8"/>
  <c r="Q61" i="8"/>
  <c r="R61" i="8"/>
  <c r="S61" i="8"/>
  <c r="N62" i="8"/>
  <c r="BG3" i="1"/>
  <c r="BQ3" i="1"/>
  <c r="CP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5" i="1"/>
  <c r="E5" i="1"/>
  <c r="G5" i="1"/>
  <c r="D6" i="1"/>
  <c r="F6" i="1"/>
  <c r="A7" i="1"/>
  <c r="B7" i="1"/>
  <c r="C7" i="1"/>
  <c r="D7" i="1"/>
  <c r="E7" i="1"/>
  <c r="F7" i="1"/>
  <c r="G7" i="1"/>
  <c r="K7" i="1"/>
  <c r="L7" i="1"/>
  <c r="M7" i="1"/>
  <c r="N7" i="1"/>
  <c r="O7" i="1"/>
  <c r="P7" i="1"/>
  <c r="Q7" i="1"/>
  <c r="R7" i="1"/>
  <c r="S7" i="1"/>
  <c r="T7" i="1"/>
  <c r="U7" i="1"/>
  <c r="Z7" i="1"/>
  <c r="AB7" i="1"/>
  <c r="AC7" i="1"/>
  <c r="AD7" i="1"/>
  <c r="AE7" i="1"/>
  <c r="AF7" i="1"/>
  <c r="AG7" i="1"/>
  <c r="AH7" i="1"/>
  <c r="AI7" i="1"/>
  <c r="AJ7" i="1"/>
  <c r="AK7" i="1"/>
  <c r="AL7" i="1"/>
  <c r="AQ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J7" i="1"/>
  <c r="BL7" i="1"/>
  <c r="BM7" i="1"/>
  <c r="BN7" i="1"/>
  <c r="BO7" i="1"/>
  <c r="BP7" i="1"/>
  <c r="BQ7" i="1"/>
  <c r="BR7" i="1"/>
  <c r="BS7" i="1"/>
  <c r="BT7" i="1"/>
  <c r="BU7" i="1"/>
  <c r="BV7" i="1"/>
  <c r="CA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T7" i="1"/>
  <c r="CV7" i="1"/>
  <c r="CW7" i="1"/>
  <c r="CX7" i="1"/>
  <c r="CY7" i="1"/>
  <c r="CZ7" i="1"/>
  <c r="DA7" i="1"/>
  <c r="DB7" i="1"/>
  <c r="DC7" i="1"/>
  <c r="DD7" i="1"/>
  <c r="DM7" i="1"/>
  <c r="A8" i="1"/>
  <c r="B8" i="1"/>
  <c r="C8" i="1"/>
  <c r="D8" i="1"/>
  <c r="E8" i="1"/>
  <c r="F8" i="1"/>
  <c r="G8" i="1"/>
  <c r="K8" i="1"/>
  <c r="L8" i="1"/>
  <c r="M8" i="1"/>
  <c r="N8" i="1"/>
  <c r="O8" i="1"/>
  <c r="P8" i="1"/>
  <c r="Q8" i="1"/>
  <c r="R8" i="1"/>
  <c r="S8" i="1"/>
  <c r="T8" i="1"/>
  <c r="U8" i="1"/>
  <c r="Z8" i="1"/>
  <c r="AB8" i="1"/>
  <c r="AC8" i="1"/>
  <c r="AD8" i="1"/>
  <c r="AE8" i="1"/>
  <c r="AF8" i="1"/>
  <c r="AG8" i="1"/>
  <c r="AH8" i="1"/>
  <c r="AI8" i="1"/>
  <c r="AJ8" i="1"/>
  <c r="AK8" i="1"/>
  <c r="AL8" i="1"/>
  <c r="AQ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J8" i="1"/>
  <c r="BL8" i="1"/>
  <c r="BM8" i="1"/>
  <c r="BN8" i="1"/>
  <c r="BO8" i="1"/>
  <c r="BP8" i="1"/>
  <c r="BQ8" i="1"/>
  <c r="BR8" i="1"/>
  <c r="BS8" i="1"/>
  <c r="BT8" i="1"/>
  <c r="BU8" i="1"/>
  <c r="BV8" i="1"/>
  <c r="CA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T8" i="1"/>
  <c r="CV8" i="1"/>
  <c r="CW8" i="1"/>
  <c r="CX8" i="1"/>
  <c r="CY8" i="1"/>
  <c r="CZ8" i="1"/>
  <c r="DA8" i="1"/>
  <c r="DB8" i="1"/>
  <c r="DC8" i="1"/>
  <c r="DD8" i="1"/>
  <c r="DM8" i="1"/>
  <c r="A9" i="1"/>
  <c r="B9" i="1"/>
  <c r="C9" i="1"/>
  <c r="D9" i="1"/>
  <c r="E9" i="1"/>
  <c r="F9" i="1"/>
  <c r="G9" i="1"/>
  <c r="K9" i="1"/>
  <c r="L9" i="1"/>
  <c r="M9" i="1"/>
  <c r="N9" i="1"/>
  <c r="O9" i="1"/>
  <c r="P9" i="1"/>
  <c r="Q9" i="1"/>
  <c r="R9" i="1"/>
  <c r="S9" i="1"/>
  <c r="T9" i="1"/>
  <c r="U9" i="1"/>
  <c r="Z9" i="1"/>
  <c r="AB9" i="1"/>
  <c r="AC9" i="1"/>
  <c r="AD9" i="1"/>
  <c r="AE9" i="1"/>
  <c r="AF9" i="1"/>
  <c r="AG9" i="1"/>
  <c r="AH9" i="1"/>
  <c r="AI9" i="1"/>
  <c r="AJ9" i="1"/>
  <c r="AK9" i="1"/>
  <c r="AL9" i="1"/>
  <c r="AQ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J9" i="1"/>
  <c r="BL9" i="1"/>
  <c r="BM9" i="1"/>
  <c r="BN9" i="1"/>
  <c r="BO9" i="1"/>
  <c r="BP9" i="1"/>
  <c r="BQ9" i="1"/>
  <c r="BR9" i="1"/>
  <c r="BS9" i="1"/>
  <c r="BT9" i="1"/>
  <c r="BU9" i="1"/>
  <c r="BV9" i="1"/>
  <c r="CA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T9" i="1"/>
  <c r="CV9" i="1"/>
  <c r="CW9" i="1"/>
  <c r="CX9" i="1"/>
  <c r="CY9" i="1"/>
  <c r="CZ9" i="1"/>
  <c r="DA9" i="1"/>
  <c r="DB9" i="1"/>
  <c r="DC9" i="1"/>
  <c r="DD9" i="1"/>
  <c r="DM9" i="1"/>
  <c r="A10" i="1"/>
  <c r="B10" i="1"/>
  <c r="C10" i="1"/>
  <c r="D10" i="1"/>
  <c r="E10" i="1"/>
  <c r="F10" i="1"/>
  <c r="G10" i="1"/>
  <c r="K10" i="1"/>
  <c r="L10" i="1"/>
  <c r="M10" i="1"/>
  <c r="N10" i="1"/>
  <c r="O10" i="1"/>
  <c r="P10" i="1"/>
  <c r="Q10" i="1"/>
  <c r="R10" i="1"/>
  <c r="S10" i="1"/>
  <c r="T10" i="1"/>
  <c r="U10" i="1"/>
  <c r="Z10" i="1"/>
  <c r="AB10" i="1"/>
  <c r="AC10" i="1"/>
  <c r="AD10" i="1"/>
  <c r="AE10" i="1"/>
  <c r="AF10" i="1"/>
  <c r="AG10" i="1"/>
  <c r="AH10" i="1"/>
  <c r="AI10" i="1"/>
  <c r="AJ10" i="1"/>
  <c r="AK10" i="1"/>
  <c r="AL10" i="1"/>
  <c r="AQ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J10" i="1"/>
  <c r="BL10" i="1"/>
  <c r="BM10" i="1"/>
  <c r="BN10" i="1"/>
  <c r="BO10" i="1"/>
  <c r="BP10" i="1"/>
  <c r="BQ10" i="1"/>
  <c r="BR10" i="1"/>
  <c r="BS10" i="1"/>
  <c r="BT10" i="1"/>
  <c r="BU10" i="1"/>
  <c r="BV10" i="1"/>
  <c r="CA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T10" i="1"/>
  <c r="CV10" i="1"/>
  <c r="CW10" i="1"/>
  <c r="CX10" i="1"/>
  <c r="CY10" i="1"/>
  <c r="CZ10" i="1"/>
  <c r="DA10" i="1"/>
  <c r="DB10" i="1"/>
  <c r="DC10" i="1"/>
  <c r="DD10" i="1"/>
  <c r="DM10" i="1"/>
  <c r="A11" i="1"/>
  <c r="B11" i="1"/>
  <c r="C11" i="1"/>
  <c r="D11" i="1"/>
  <c r="E11" i="1"/>
  <c r="F11" i="1"/>
  <c r="G11" i="1"/>
  <c r="K11" i="1"/>
  <c r="L11" i="1"/>
  <c r="M11" i="1"/>
  <c r="N11" i="1"/>
  <c r="O11" i="1"/>
  <c r="P11" i="1"/>
  <c r="Q11" i="1"/>
  <c r="R11" i="1"/>
  <c r="S11" i="1"/>
  <c r="T11" i="1"/>
  <c r="U11" i="1"/>
  <c r="Z11" i="1"/>
  <c r="AB11" i="1"/>
  <c r="AC11" i="1"/>
  <c r="AD11" i="1"/>
  <c r="AE11" i="1"/>
  <c r="AF11" i="1"/>
  <c r="AG11" i="1"/>
  <c r="AH11" i="1"/>
  <c r="AI11" i="1"/>
  <c r="AJ11" i="1"/>
  <c r="AK11" i="1"/>
  <c r="AL11" i="1"/>
  <c r="AQ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J11" i="1"/>
  <c r="BL11" i="1"/>
  <c r="BM11" i="1"/>
  <c r="BN11" i="1"/>
  <c r="BO11" i="1"/>
  <c r="BP11" i="1"/>
  <c r="BQ11" i="1"/>
  <c r="BR11" i="1"/>
  <c r="BS11" i="1"/>
  <c r="BT11" i="1"/>
  <c r="BU11" i="1"/>
  <c r="BV11" i="1"/>
  <c r="CA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T11" i="1"/>
  <c r="CV11" i="1"/>
  <c r="CW11" i="1"/>
  <c r="CX11" i="1"/>
  <c r="CY11" i="1"/>
  <c r="CZ11" i="1"/>
  <c r="DA11" i="1"/>
  <c r="DB11" i="1"/>
  <c r="DC11" i="1"/>
  <c r="DD11" i="1"/>
  <c r="DM11" i="1"/>
  <c r="A12" i="1"/>
  <c r="B12" i="1"/>
  <c r="C12" i="1"/>
  <c r="D12" i="1"/>
  <c r="E12" i="1"/>
  <c r="F12" i="1"/>
  <c r="G12" i="1"/>
  <c r="K12" i="1"/>
  <c r="L12" i="1"/>
  <c r="M12" i="1"/>
  <c r="N12" i="1"/>
  <c r="O12" i="1"/>
  <c r="P12" i="1"/>
  <c r="Q12" i="1"/>
  <c r="R12" i="1"/>
  <c r="S12" i="1"/>
  <c r="T12" i="1"/>
  <c r="U12" i="1"/>
  <c r="Z12" i="1"/>
  <c r="AB12" i="1"/>
  <c r="AC12" i="1"/>
  <c r="AD12" i="1"/>
  <c r="AE12" i="1"/>
  <c r="AF12" i="1"/>
  <c r="AG12" i="1"/>
  <c r="AH12" i="1"/>
  <c r="AI12" i="1"/>
  <c r="AJ12" i="1"/>
  <c r="AK12" i="1"/>
  <c r="AL12" i="1"/>
  <c r="AQ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J12" i="1"/>
  <c r="BL12" i="1"/>
  <c r="BM12" i="1"/>
  <c r="BN12" i="1"/>
  <c r="BO12" i="1"/>
  <c r="BP12" i="1"/>
  <c r="BQ12" i="1"/>
  <c r="BR12" i="1"/>
  <c r="BS12" i="1"/>
  <c r="BT12" i="1"/>
  <c r="BU12" i="1"/>
  <c r="BV12" i="1"/>
  <c r="CA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T12" i="1"/>
  <c r="CV12" i="1"/>
  <c r="CW12" i="1"/>
  <c r="CX12" i="1"/>
  <c r="CY12" i="1"/>
  <c r="CZ12" i="1"/>
  <c r="DA12" i="1"/>
  <c r="DB12" i="1"/>
  <c r="DC12" i="1"/>
  <c r="DD12" i="1"/>
  <c r="DM12" i="1"/>
  <c r="A13" i="1"/>
  <c r="B13" i="1"/>
  <c r="C13" i="1"/>
  <c r="D13" i="1"/>
  <c r="E13" i="1"/>
  <c r="F13" i="1"/>
  <c r="G13" i="1"/>
  <c r="K13" i="1"/>
  <c r="L13" i="1"/>
  <c r="M13" i="1"/>
  <c r="N13" i="1"/>
  <c r="O13" i="1"/>
  <c r="P13" i="1"/>
  <c r="Q13" i="1"/>
  <c r="R13" i="1"/>
  <c r="S13" i="1"/>
  <c r="T13" i="1"/>
  <c r="U13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AQ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J13" i="1"/>
  <c r="BL13" i="1"/>
  <c r="BM13" i="1"/>
  <c r="BN13" i="1"/>
  <c r="BO13" i="1"/>
  <c r="BP13" i="1"/>
  <c r="BQ13" i="1"/>
  <c r="BR13" i="1"/>
  <c r="BS13" i="1"/>
  <c r="BT13" i="1"/>
  <c r="BU13" i="1"/>
  <c r="BV13" i="1"/>
  <c r="CA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T13" i="1"/>
  <c r="CV13" i="1"/>
  <c r="CW13" i="1"/>
  <c r="CX13" i="1"/>
  <c r="CY13" i="1"/>
  <c r="CZ13" i="1"/>
  <c r="DA13" i="1"/>
  <c r="DB13" i="1"/>
  <c r="DC13" i="1"/>
  <c r="DD13" i="1"/>
  <c r="DM13" i="1"/>
  <c r="A14" i="1"/>
  <c r="B14" i="1"/>
  <c r="C14" i="1"/>
  <c r="D14" i="1"/>
  <c r="E14" i="1"/>
  <c r="F14" i="1"/>
  <c r="G14" i="1"/>
  <c r="K14" i="1"/>
  <c r="L14" i="1"/>
  <c r="M14" i="1"/>
  <c r="N14" i="1"/>
  <c r="O14" i="1"/>
  <c r="P14" i="1"/>
  <c r="Q14" i="1"/>
  <c r="R14" i="1"/>
  <c r="S14" i="1"/>
  <c r="T14" i="1"/>
  <c r="U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AQ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J14" i="1"/>
  <c r="BL14" i="1"/>
  <c r="BM14" i="1"/>
  <c r="BN14" i="1"/>
  <c r="BO14" i="1"/>
  <c r="BP14" i="1"/>
  <c r="BQ14" i="1"/>
  <c r="BR14" i="1"/>
  <c r="BS14" i="1"/>
  <c r="BT14" i="1"/>
  <c r="BU14" i="1"/>
  <c r="BV14" i="1"/>
  <c r="CA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T14" i="1"/>
  <c r="CV14" i="1"/>
  <c r="CW14" i="1"/>
  <c r="CX14" i="1"/>
  <c r="CY14" i="1"/>
  <c r="CZ14" i="1"/>
  <c r="DA14" i="1"/>
  <c r="DB14" i="1"/>
  <c r="DC14" i="1"/>
  <c r="DD14" i="1"/>
  <c r="DM14" i="1"/>
  <c r="A15" i="1"/>
  <c r="B15" i="1"/>
  <c r="C15" i="1"/>
  <c r="D15" i="1"/>
  <c r="E15" i="1"/>
  <c r="F15" i="1"/>
  <c r="G15" i="1"/>
  <c r="K15" i="1"/>
  <c r="L15" i="1"/>
  <c r="M15" i="1"/>
  <c r="N15" i="1"/>
  <c r="O15" i="1"/>
  <c r="P15" i="1"/>
  <c r="Q15" i="1"/>
  <c r="R15" i="1"/>
  <c r="S15" i="1"/>
  <c r="T15" i="1"/>
  <c r="U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AQ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J15" i="1"/>
  <c r="BL15" i="1"/>
  <c r="BM15" i="1"/>
  <c r="BN15" i="1"/>
  <c r="BO15" i="1"/>
  <c r="BP15" i="1"/>
  <c r="BQ15" i="1"/>
  <c r="BR15" i="1"/>
  <c r="BS15" i="1"/>
  <c r="BT15" i="1"/>
  <c r="BU15" i="1"/>
  <c r="BV15" i="1"/>
  <c r="CA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T15" i="1"/>
  <c r="CV15" i="1"/>
  <c r="CW15" i="1"/>
  <c r="CX15" i="1"/>
  <c r="CY15" i="1"/>
  <c r="CZ15" i="1"/>
  <c r="DA15" i="1"/>
  <c r="DB15" i="1"/>
  <c r="DC15" i="1"/>
  <c r="DD15" i="1"/>
  <c r="DM15" i="1"/>
  <c r="A16" i="1"/>
  <c r="B16" i="1"/>
  <c r="C16" i="1"/>
  <c r="D16" i="1"/>
  <c r="E16" i="1"/>
  <c r="F16" i="1"/>
  <c r="G16" i="1"/>
  <c r="K16" i="1"/>
  <c r="L16" i="1"/>
  <c r="M16" i="1"/>
  <c r="N16" i="1"/>
  <c r="O16" i="1"/>
  <c r="P16" i="1"/>
  <c r="Q16" i="1"/>
  <c r="R16" i="1"/>
  <c r="S16" i="1"/>
  <c r="T16" i="1"/>
  <c r="U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AQ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J16" i="1"/>
  <c r="BL16" i="1"/>
  <c r="BM16" i="1"/>
  <c r="BN16" i="1"/>
  <c r="BO16" i="1"/>
  <c r="BP16" i="1"/>
  <c r="BQ16" i="1"/>
  <c r="BR16" i="1"/>
  <c r="BS16" i="1"/>
  <c r="BT16" i="1"/>
  <c r="BU16" i="1"/>
  <c r="BV16" i="1"/>
  <c r="CA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T16" i="1"/>
  <c r="CV16" i="1"/>
  <c r="CW16" i="1"/>
  <c r="CX16" i="1"/>
  <c r="CY16" i="1"/>
  <c r="CZ16" i="1"/>
  <c r="DA16" i="1"/>
  <c r="DB16" i="1"/>
  <c r="DC16" i="1"/>
  <c r="DD16" i="1"/>
  <c r="DM16" i="1"/>
  <c r="A17" i="1"/>
  <c r="B17" i="1"/>
  <c r="C17" i="1"/>
  <c r="D17" i="1"/>
  <c r="E17" i="1"/>
  <c r="F17" i="1"/>
  <c r="G17" i="1"/>
  <c r="K17" i="1"/>
  <c r="L17" i="1"/>
  <c r="M17" i="1"/>
  <c r="N17" i="1"/>
  <c r="O17" i="1"/>
  <c r="P17" i="1"/>
  <c r="Q17" i="1"/>
  <c r="R17" i="1"/>
  <c r="S17" i="1"/>
  <c r="T17" i="1"/>
  <c r="U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AQ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J17" i="1"/>
  <c r="BL17" i="1"/>
  <c r="BM17" i="1"/>
  <c r="BN17" i="1"/>
  <c r="BO17" i="1"/>
  <c r="BP17" i="1"/>
  <c r="BQ17" i="1"/>
  <c r="BR17" i="1"/>
  <c r="BS17" i="1"/>
  <c r="BT17" i="1"/>
  <c r="BU17" i="1"/>
  <c r="BV17" i="1"/>
  <c r="CA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T17" i="1"/>
  <c r="CV17" i="1"/>
  <c r="CW17" i="1"/>
  <c r="CX17" i="1"/>
  <c r="CY17" i="1"/>
  <c r="CZ17" i="1"/>
  <c r="DA17" i="1"/>
  <c r="DB17" i="1"/>
  <c r="DC17" i="1"/>
  <c r="DD17" i="1"/>
  <c r="DM17" i="1"/>
  <c r="A18" i="1"/>
  <c r="B18" i="1"/>
  <c r="C18" i="1"/>
  <c r="D18" i="1"/>
  <c r="E18" i="1"/>
  <c r="F18" i="1"/>
  <c r="G18" i="1"/>
  <c r="K18" i="1"/>
  <c r="L18" i="1"/>
  <c r="M18" i="1"/>
  <c r="N18" i="1"/>
  <c r="O18" i="1"/>
  <c r="P18" i="1"/>
  <c r="Q18" i="1"/>
  <c r="R18" i="1"/>
  <c r="S18" i="1"/>
  <c r="T18" i="1"/>
  <c r="U18" i="1"/>
  <c r="Z18" i="1"/>
  <c r="AB18" i="1"/>
  <c r="AC18" i="1"/>
  <c r="AD18" i="1"/>
  <c r="AE18" i="1"/>
  <c r="AF18" i="1"/>
  <c r="AG18" i="1"/>
  <c r="AH18" i="1"/>
  <c r="AI18" i="1"/>
  <c r="AJ18" i="1"/>
  <c r="AK18" i="1"/>
  <c r="AL18" i="1"/>
  <c r="AQ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J18" i="1"/>
  <c r="BL18" i="1"/>
  <c r="BM18" i="1"/>
  <c r="BN18" i="1"/>
  <c r="BO18" i="1"/>
  <c r="BP18" i="1"/>
  <c r="BQ18" i="1"/>
  <c r="BR18" i="1"/>
  <c r="BS18" i="1"/>
  <c r="BT18" i="1"/>
  <c r="BU18" i="1"/>
  <c r="BV18" i="1"/>
  <c r="CA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T18" i="1"/>
  <c r="CV18" i="1"/>
  <c r="CW18" i="1"/>
  <c r="CX18" i="1"/>
  <c r="CY18" i="1"/>
  <c r="CZ18" i="1"/>
  <c r="DA18" i="1"/>
  <c r="DB18" i="1"/>
  <c r="DC18" i="1"/>
  <c r="DD18" i="1"/>
  <c r="DM18" i="1"/>
  <c r="A19" i="1"/>
  <c r="B19" i="1"/>
  <c r="C19" i="1"/>
  <c r="D19" i="1"/>
  <c r="E19" i="1"/>
  <c r="F19" i="1"/>
  <c r="G19" i="1"/>
  <c r="K19" i="1"/>
  <c r="L19" i="1"/>
  <c r="M19" i="1"/>
  <c r="N19" i="1"/>
  <c r="O19" i="1"/>
  <c r="P19" i="1"/>
  <c r="Q19" i="1"/>
  <c r="R19" i="1"/>
  <c r="S19" i="1"/>
  <c r="T19" i="1"/>
  <c r="U19" i="1"/>
  <c r="Z19" i="1"/>
  <c r="AB19" i="1"/>
  <c r="AC19" i="1"/>
  <c r="AD19" i="1"/>
  <c r="AE19" i="1"/>
  <c r="AF19" i="1"/>
  <c r="AG19" i="1"/>
  <c r="AH19" i="1"/>
  <c r="AI19" i="1"/>
  <c r="AJ19" i="1"/>
  <c r="AK19" i="1"/>
  <c r="AL19" i="1"/>
  <c r="AQ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J19" i="1"/>
  <c r="BL19" i="1"/>
  <c r="BM19" i="1"/>
  <c r="BN19" i="1"/>
  <c r="BO19" i="1"/>
  <c r="BP19" i="1"/>
  <c r="BQ19" i="1"/>
  <c r="BR19" i="1"/>
  <c r="BS19" i="1"/>
  <c r="BT19" i="1"/>
  <c r="BU19" i="1"/>
  <c r="BV19" i="1"/>
  <c r="CA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T19" i="1"/>
  <c r="CV19" i="1"/>
  <c r="CW19" i="1"/>
  <c r="CX19" i="1"/>
  <c r="CY19" i="1"/>
  <c r="CZ19" i="1"/>
  <c r="DA19" i="1"/>
  <c r="DB19" i="1"/>
  <c r="DC19" i="1"/>
  <c r="DD19" i="1"/>
  <c r="DM19" i="1"/>
  <c r="A20" i="1"/>
  <c r="B20" i="1"/>
  <c r="C20" i="1"/>
  <c r="D20" i="1"/>
  <c r="E20" i="1"/>
  <c r="F20" i="1"/>
  <c r="G20" i="1"/>
  <c r="K20" i="1"/>
  <c r="L20" i="1"/>
  <c r="M20" i="1"/>
  <c r="N20" i="1"/>
  <c r="O20" i="1"/>
  <c r="P20" i="1"/>
  <c r="Q20" i="1"/>
  <c r="R20" i="1"/>
  <c r="S20" i="1"/>
  <c r="T20" i="1"/>
  <c r="U20" i="1"/>
  <c r="Z20" i="1"/>
  <c r="AB20" i="1"/>
  <c r="AC20" i="1"/>
  <c r="AD20" i="1"/>
  <c r="AE20" i="1"/>
  <c r="AF20" i="1"/>
  <c r="AG20" i="1"/>
  <c r="AH20" i="1"/>
  <c r="AI20" i="1"/>
  <c r="AJ20" i="1"/>
  <c r="AK20" i="1"/>
  <c r="AL20" i="1"/>
  <c r="AQ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J20" i="1"/>
  <c r="BL20" i="1"/>
  <c r="BM20" i="1"/>
  <c r="BN20" i="1"/>
  <c r="BO20" i="1"/>
  <c r="BP20" i="1"/>
  <c r="BQ20" i="1"/>
  <c r="BR20" i="1"/>
  <c r="BS20" i="1"/>
  <c r="BT20" i="1"/>
  <c r="BU20" i="1"/>
  <c r="BV20" i="1"/>
  <c r="CA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T20" i="1"/>
  <c r="CV20" i="1"/>
  <c r="CW20" i="1"/>
  <c r="CX20" i="1"/>
  <c r="CY20" i="1"/>
  <c r="CZ20" i="1"/>
  <c r="DA20" i="1"/>
  <c r="DB20" i="1"/>
  <c r="DC20" i="1"/>
  <c r="DD20" i="1"/>
  <c r="DM20" i="1"/>
  <c r="A21" i="1"/>
  <c r="B21" i="1"/>
  <c r="C21" i="1"/>
  <c r="D21" i="1"/>
  <c r="E21" i="1"/>
  <c r="F21" i="1"/>
  <c r="G21" i="1"/>
  <c r="K21" i="1"/>
  <c r="L21" i="1"/>
  <c r="M21" i="1"/>
  <c r="N21" i="1"/>
  <c r="O21" i="1"/>
  <c r="P21" i="1"/>
  <c r="Q21" i="1"/>
  <c r="R21" i="1"/>
  <c r="S21" i="1"/>
  <c r="T21" i="1"/>
  <c r="U21" i="1"/>
  <c r="Z21" i="1"/>
  <c r="AB21" i="1"/>
  <c r="AC21" i="1"/>
  <c r="AD21" i="1"/>
  <c r="AE21" i="1"/>
  <c r="AF21" i="1"/>
  <c r="AG21" i="1"/>
  <c r="AH21" i="1"/>
  <c r="AI21" i="1"/>
  <c r="AJ21" i="1"/>
  <c r="AK21" i="1"/>
  <c r="AL21" i="1"/>
  <c r="AQ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J21" i="1"/>
  <c r="BL21" i="1"/>
  <c r="BM21" i="1"/>
  <c r="BN21" i="1"/>
  <c r="BO21" i="1"/>
  <c r="BP21" i="1"/>
  <c r="BQ21" i="1"/>
  <c r="BR21" i="1"/>
  <c r="BS21" i="1"/>
  <c r="BT21" i="1"/>
  <c r="BU21" i="1"/>
  <c r="BV21" i="1"/>
  <c r="CA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T21" i="1"/>
  <c r="CV21" i="1"/>
  <c r="CW21" i="1"/>
  <c r="CX21" i="1"/>
  <c r="CY21" i="1"/>
  <c r="CZ21" i="1"/>
  <c r="DA21" i="1"/>
  <c r="DB21" i="1"/>
  <c r="DC21" i="1"/>
  <c r="DD21" i="1"/>
  <c r="DM21" i="1"/>
  <c r="A22" i="1"/>
  <c r="B22" i="1"/>
  <c r="C22" i="1"/>
  <c r="D22" i="1"/>
  <c r="E22" i="1"/>
  <c r="F22" i="1"/>
  <c r="G22" i="1"/>
  <c r="K22" i="1"/>
  <c r="L22" i="1"/>
  <c r="M22" i="1"/>
  <c r="N22" i="1"/>
  <c r="O22" i="1"/>
  <c r="P22" i="1"/>
  <c r="Q22" i="1"/>
  <c r="R22" i="1"/>
  <c r="S22" i="1"/>
  <c r="T22" i="1"/>
  <c r="U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Q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J22" i="1"/>
  <c r="BL22" i="1"/>
  <c r="BM22" i="1"/>
  <c r="BN22" i="1"/>
  <c r="BO22" i="1"/>
  <c r="BP22" i="1"/>
  <c r="BQ22" i="1"/>
  <c r="BR22" i="1"/>
  <c r="BS22" i="1"/>
  <c r="BT22" i="1"/>
  <c r="BU22" i="1"/>
  <c r="BV22" i="1"/>
  <c r="CA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T22" i="1"/>
  <c r="CV22" i="1"/>
  <c r="CW22" i="1"/>
  <c r="CX22" i="1"/>
  <c r="CY22" i="1"/>
  <c r="CZ22" i="1"/>
  <c r="DA22" i="1"/>
  <c r="DB22" i="1"/>
  <c r="DC22" i="1"/>
  <c r="DD22" i="1"/>
  <c r="DM22" i="1"/>
  <c r="DN22" i="1"/>
  <c r="A23" i="1"/>
  <c r="B23" i="1"/>
  <c r="C23" i="1"/>
  <c r="D23" i="1"/>
  <c r="E23" i="1"/>
  <c r="F23" i="1"/>
  <c r="G23" i="1"/>
  <c r="K23" i="1"/>
  <c r="L23" i="1"/>
  <c r="M23" i="1"/>
  <c r="N23" i="1"/>
  <c r="O23" i="1"/>
  <c r="P23" i="1"/>
  <c r="Q23" i="1"/>
  <c r="R23" i="1"/>
  <c r="S23" i="1"/>
  <c r="T23" i="1"/>
  <c r="U23" i="1"/>
  <c r="Z23" i="1"/>
  <c r="AB23" i="1"/>
  <c r="AC23" i="1"/>
  <c r="AD23" i="1"/>
  <c r="AE23" i="1"/>
  <c r="AF23" i="1"/>
  <c r="AG23" i="1"/>
  <c r="AH23" i="1"/>
  <c r="AI23" i="1"/>
  <c r="AJ23" i="1"/>
  <c r="AK23" i="1"/>
  <c r="AL23" i="1"/>
  <c r="AQ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J23" i="1"/>
  <c r="BL23" i="1"/>
  <c r="BM23" i="1"/>
  <c r="BN23" i="1"/>
  <c r="BO23" i="1"/>
  <c r="BP23" i="1"/>
  <c r="BQ23" i="1"/>
  <c r="BR23" i="1"/>
  <c r="BS23" i="1"/>
  <c r="BT23" i="1"/>
  <c r="BU23" i="1"/>
  <c r="BV23" i="1"/>
  <c r="CA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T23" i="1"/>
  <c r="CV23" i="1"/>
  <c r="CW23" i="1"/>
  <c r="CX23" i="1"/>
  <c r="CY23" i="1"/>
  <c r="CZ23" i="1"/>
  <c r="DA23" i="1"/>
  <c r="DB23" i="1"/>
  <c r="DC23" i="1"/>
  <c r="DD23" i="1"/>
  <c r="DM23" i="1"/>
  <c r="A24" i="1"/>
  <c r="B24" i="1"/>
  <c r="C24" i="1"/>
  <c r="D24" i="1"/>
  <c r="E24" i="1"/>
  <c r="F24" i="1"/>
  <c r="G24" i="1"/>
  <c r="K24" i="1"/>
  <c r="L24" i="1"/>
  <c r="M24" i="1"/>
  <c r="N24" i="1"/>
  <c r="O24" i="1"/>
  <c r="P24" i="1"/>
  <c r="Q24" i="1"/>
  <c r="R24" i="1"/>
  <c r="S24" i="1"/>
  <c r="T24" i="1"/>
  <c r="U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Q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J24" i="1"/>
  <c r="BL24" i="1"/>
  <c r="BM24" i="1"/>
  <c r="BN24" i="1"/>
  <c r="BO24" i="1"/>
  <c r="BP24" i="1"/>
  <c r="BQ24" i="1"/>
  <c r="BR24" i="1"/>
  <c r="BS24" i="1"/>
  <c r="BT24" i="1"/>
  <c r="BU24" i="1"/>
  <c r="BV24" i="1"/>
  <c r="CA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T24" i="1"/>
  <c r="CV24" i="1"/>
  <c r="CW24" i="1"/>
  <c r="CX24" i="1"/>
  <c r="CY24" i="1"/>
  <c r="CZ24" i="1"/>
  <c r="DA24" i="1"/>
  <c r="DB24" i="1"/>
  <c r="DC24" i="1"/>
  <c r="DD24" i="1"/>
  <c r="DM24" i="1"/>
  <c r="A25" i="1"/>
  <c r="B25" i="1"/>
  <c r="C25" i="1"/>
  <c r="D25" i="1"/>
  <c r="E25" i="1"/>
  <c r="F25" i="1"/>
  <c r="G25" i="1"/>
  <c r="K25" i="1"/>
  <c r="L25" i="1"/>
  <c r="M25" i="1"/>
  <c r="N25" i="1"/>
  <c r="O25" i="1"/>
  <c r="P25" i="1"/>
  <c r="Q25" i="1"/>
  <c r="R25" i="1"/>
  <c r="S25" i="1"/>
  <c r="T25" i="1"/>
  <c r="U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Q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J25" i="1"/>
  <c r="BL25" i="1"/>
  <c r="BM25" i="1"/>
  <c r="BN25" i="1"/>
  <c r="BO25" i="1"/>
  <c r="BP25" i="1"/>
  <c r="BQ25" i="1"/>
  <c r="BR25" i="1"/>
  <c r="BS25" i="1"/>
  <c r="BT25" i="1"/>
  <c r="BU25" i="1"/>
  <c r="BV25" i="1"/>
  <c r="CA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T25" i="1"/>
  <c r="CV25" i="1"/>
  <c r="CW25" i="1"/>
  <c r="CX25" i="1"/>
  <c r="CY25" i="1"/>
  <c r="CZ25" i="1"/>
  <c r="DA25" i="1"/>
  <c r="DB25" i="1"/>
  <c r="DC25" i="1"/>
  <c r="DD25" i="1"/>
  <c r="DM25" i="1"/>
  <c r="A26" i="1"/>
  <c r="B26" i="1"/>
  <c r="C26" i="1"/>
  <c r="D26" i="1"/>
  <c r="E26" i="1"/>
  <c r="F26" i="1"/>
  <c r="G26" i="1"/>
  <c r="K26" i="1"/>
  <c r="L26" i="1"/>
  <c r="M26" i="1"/>
  <c r="N26" i="1"/>
  <c r="O26" i="1"/>
  <c r="P26" i="1"/>
  <c r="Q26" i="1"/>
  <c r="R26" i="1"/>
  <c r="S26" i="1"/>
  <c r="T26" i="1"/>
  <c r="U26" i="1"/>
  <c r="Z26" i="1"/>
  <c r="AB26" i="1"/>
  <c r="AC26" i="1"/>
  <c r="AD26" i="1"/>
  <c r="AE26" i="1"/>
  <c r="AF26" i="1"/>
  <c r="AG26" i="1"/>
  <c r="AH26" i="1"/>
  <c r="AI26" i="1"/>
  <c r="AJ26" i="1"/>
  <c r="AK26" i="1"/>
  <c r="AL26" i="1"/>
  <c r="AQ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J26" i="1"/>
  <c r="BL26" i="1"/>
  <c r="BM26" i="1"/>
  <c r="BN26" i="1"/>
  <c r="BO26" i="1"/>
  <c r="BP26" i="1"/>
  <c r="BQ26" i="1"/>
  <c r="BR26" i="1"/>
  <c r="BS26" i="1"/>
  <c r="BT26" i="1"/>
  <c r="BU26" i="1"/>
  <c r="BV26" i="1"/>
  <c r="CA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T26" i="1"/>
  <c r="CV26" i="1"/>
  <c r="CW26" i="1"/>
  <c r="CX26" i="1"/>
  <c r="CY26" i="1"/>
  <c r="CZ26" i="1"/>
  <c r="DA26" i="1"/>
  <c r="DB26" i="1"/>
  <c r="DC26" i="1"/>
  <c r="DD26" i="1"/>
  <c r="DM26" i="1"/>
  <c r="A27" i="1"/>
  <c r="B27" i="1"/>
  <c r="C27" i="1"/>
  <c r="D27" i="1"/>
  <c r="E27" i="1"/>
  <c r="F27" i="1"/>
  <c r="G27" i="1"/>
  <c r="K27" i="1"/>
  <c r="L27" i="1"/>
  <c r="M27" i="1"/>
  <c r="N27" i="1"/>
  <c r="O27" i="1"/>
  <c r="P27" i="1"/>
  <c r="Q27" i="1"/>
  <c r="R27" i="1"/>
  <c r="S27" i="1"/>
  <c r="T27" i="1"/>
  <c r="U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Q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J27" i="1"/>
  <c r="BL27" i="1"/>
  <c r="BM27" i="1"/>
  <c r="BN27" i="1"/>
  <c r="BO27" i="1"/>
  <c r="BP27" i="1"/>
  <c r="BQ27" i="1"/>
  <c r="BR27" i="1"/>
  <c r="BS27" i="1"/>
  <c r="BT27" i="1"/>
  <c r="BU27" i="1"/>
  <c r="BV27" i="1"/>
  <c r="CA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T27" i="1"/>
  <c r="CV27" i="1"/>
  <c r="CW27" i="1"/>
  <c r="CX27" i="1"/>
  <c r="CY27" i="1"/>
  <c r="CZ27" i="1"/>
  <c r="DA27" i="1"/>
  <c r="DB27" i="1"/>
  <c r="DC27" i="1"/>
  <c r="DD27" i="1"/>
  <c r="DM27" i="1"/>
  <c r="A28" i="1"/>
  <c r="B28" i="1"/>
  <c r="C28" i="1"/>
  <c r="D28" i="1"/>
  <c r="E28" i="1"/>
  <c r="F28" i="1"/>
  <c r="G28" i="1"/>
  <c r="K28" i="1"/>
  <c r="L28" i="1"/>
  <c r="M28" i="1"/>
  <c r="N28" i="1"/>
  <c r="O28" i="1"/>
  <c r="P28" i="1"/>
  <c r="Q28" i="1"/>
  <c r="R28" i="1"/>
  <c r="S28" i="1"/>
  <c r="T28" i="1"/>
  <c r="U28" i="1"/>
  <c r="Z28" i="1"/>
  <c r="AB28" i="1"/>
  <c r="AC28" i="1"/>
  <c r="AD28" i="1"/>
  <c r="AE28" i="1"/>
  <c r="AF28" i="1"/>
  <c r="AG28" i="1"/>
  <c r="AH28" i="1"/>
  <c r="AI28" i="1"/>
  <c r="AJ28" i="1"/>
  <c r="AK28" i="1"/>
  <c r="AL28" i="1"/>
  <c r="AQ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J28" i="1"/>
  <c r="BL28" i="1"/>
  <c r="BM28" i="1"/>
  <c r="BN28" i="1"/>
  <c r="BO28" i="1"/>
  <c r="BP28" i="1"/>
  <c r="BQ28" i="1"/>
  <c r="BR28" i="1"/>
  <c r="BS28" i="1"/>
  <c r="BT28" i="1"/>
  <c r="BU28" i="1"/>
  <c r="BV28" i="1"/>
  <c r="CA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T28" i="1"/>
  <c r="CV28" i="1"/>
  <c r="CW28" i="1"/>
  <c r="CX28" i="1"/>
  <c r="CY28" i="1"/>
  <c r="CZ28" i="1"/>
  <c r="DA28" i="1"/>
  <c r="DB28" i="1"/>
  <c r="DC28" i="1"/>
  <c r="DD28" i="1"/>
  <c r="DM28" i="1"/>
  <c r="A29" i="1"/>
  <c r="B29" i="1"/>
  <c r="C29" i="1"/>
  <c r="D29" i="1"/>
  <c r="E29" i="1"/>
  <c r="F29" i="1"/>
  <c r="G29" i="1"/>
  <c r="K29" i="1"/>
  <c r="L29" i="1"/>
  <c r="M29" i="1"/>
  <c r="N29" i="1"/>
  <c r="O29" i="1"/>
  <c r="P29" i="1"/>
  <c r="Q29" i="1"/>
  <c r="R29" i="1"/>
  <c r="S29" i="1"/>
  <c r="T29" i="1"/>
  <c r="U29" i="1"/>
  <c r="Z29" i="1"/>
  <c r="AB29" i="1"/>
  <c r="AC29" i="1"/>
  <c r="AD29" i="1"/>
  <c r="AE29" i="1"/>
  <c r="AF29" i="1"/>
  <c r="AG29" i="1"/>
  <c r="AH29" i="1"/>
  <c r="AI29" i="1"/>
  <c r="AJ29" i="1"/>
  <c r="AK29" i="1"/>
  <c r="AL29" i="1"/>
  <c r="AQ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J29" i="1"/>
  <c r="BL29" i="1"/>
  <c r="BM29" i="1"/>
  <c r="BN29" i="1"/>
  <c r="BO29" i="1"/>
  <c r="BP29" i="1"/>
  <c r="BQ29" i="1"/>
  <c r="BR29" i="1"/>
  <c r="BS29" i="1"/>
  <c r="BT29" i="1"/>
  <c r="BU29" i="1"/>
  <c r="BV29" i="1"/>
  <c r="CA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T29" i="1"/>
  <c r="CV29" i="1"/>
  <c r="CW29" i="1"/>
  <c r="CX29" i="1"/>
  <c r="CY29" i="1"/>
  <c r="CZ29" i="1"/>
  <c r="DA29" i="1"/>
  <c r="DB29" i="1"/>
  <c r="DC29" i="1"/>
  <c r="DD29" i="1"/>
  <c r="DM29" i="1"/>
  <c r="A30" i="1"/>
  <c r="B30" i="1"/>
  <c r="C30" i="1"/>
  <c r="D30" i="1"/>
  <c r="E30" i="1"/>
  <c r="F30" i="1"/>
  <c r="G30" i="1"/>
  <c r="K30" i="1"/>
  <c r="L30" i="1"/>
  <c r="M30" i="1"/>
  <c r="N30" i="1"/>
  <c r="O30" i="1"/>
  <c r="P30" i="1"/>
  <c r="Q30" i="1"/>
  <c r="R30" i="1"/>
  <c r="S30" i="1"/>
  <c r="T30" i="1"/>
  <c r="U30" i="1"/>
  <c r="Z30" i="1"/>
  <c r="AB30" i="1"/>
  <c r="AC30" i="1"/>
  <c r="AD30" i="1"/>
  <c r="AE30" i="1"/>
  <c r="AF30" i="1"/>
  <c r="AG30" i="1"/>
  <c r="AH30" i="1"/>
  <c r="AI30" i="1"/>
  <c r="AJ30" i="1"/>
  <c r="AK30" i="1"/>
  <c r="AL30" i="1"/>
  <c r="AQ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J30" i="1"/>
  <c r="BL30" i="1"/>
  <c r="BM30" i="1"/>
  <c r="BN30" i="1"/>
  <c r="BO30" i="1"/>
  <c r="BP30" i="1"/>
  <c r="BQ30" i="1"/>
  <c r="BR30" i="1"/>
  <c r="BS30" i="1"/>
  <c r="BT30" i="1"/>
  <c r="BU30" i="1"/>
  <c r="BV30" i="1"/>
  <c r="CA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T30" i="1"/>
  <c r="CV30" i="1"/>
  <c r="CW30" i="1"/>
  <c r="CX30" i="1"/>
  <c r="CY30" i="1"/>
  <c r="CZ30" i="1"/>
  <c r="DA30" i="1"/>
  <c r="DB30" i="1"/>
  <c r="DC30" i="1"/>
  <c r="DD30" i="1"/>
  <c r="DM30" i="1"/>
  <c r="A31" i="1"/>
  <c r="B31" i="1"/>
  <c r="C31" i="1"/>
  <c r="D31" i="1"/>
  <c r="E31" i="1"/>
  <c r="F31" i="1"/>
  <c r="G31" i="1"/>
  <c r="K31" i="1"/>
  <c r="L31" i="1"/>
  <c r="M31" i="1"/>
  <c r="N31" i="1"/>
  <c r="O31" i="1"/>
  <c r="P31" i="1"/>
  <c r="Q31" i="1"/>
  <c r="R31" i="1"/>
  <c r="S31" i="1"/>
  <c r="T31" i="1"/>
  <c r="U31" i="1"/>
  <c r="Z31" i="1"/>
  <c r="AB31" i="1"/>
  <c r="AC31" i="1"/>
  <c r="AD31" i="1"/>
  <c r="AE31" i="1"/>
  <c r="AF31" i="1"/>
  <c r="AG31" i="1"/>
  <c r="AH31" i="1"/>
  <c r="AI31" i="1"/>
  <c r="AJ31" i="1"/>
  <c r="AK31" i="1"/>
  <c r="AL31" i="1"/>
  <c r="AQ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J31" i="1"/>
  <c r="BL31" i="1"/>
  <c r="BM31" i="1"/>
  <c r="BN31" i="1"/>
  <c r="BO31" i="1"/>
  <c r="BP31" i="1"/>
  <c r="BQ31" i="1"/>
  <c r="BR31" i="1"/>
  <c r="BS31" i="1"/>
  <c r="BT31" i="1"/>
  <c r="BU31" i="1"/>
  <c r="BV31" i="1"/>
  <c r="CA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T31" i="1"/>
  <c r="CV31" i="1"/>
  <c r="CW31" i="1"/>
  <c r="CX31" i="1"/>
  <c r="CY31" i="1"/>
  <c r="CZ31" i="1"/>
  <c r="DA31" i="1"/>
  <c r="DB31" i="1"/>
  <c r="DC31" i="1"/>
  <c r="DD31" i="1"/>
  <c r="DM31" i="1"/>
  <c r="A32" i="1"/>
  <c r="B32" i="1"/>
  <c r="C32" i="1"/>
  <c r="D32" i="1"/>
  <c r="E32" i="1"/>
  <c r="F32" i="1"/>
  <c r="G32" i="1"/>
  <c r="K32" i="1"/>
  <c r="L32" i="1"/>
  <c r="M32" i="1"/>
  <c r="N32" i="1"/>
  <c r="O32" i="1"/>
  <c r="P32" i="1"/>
  <c r="Q32" i="1"/>
  <c r="R32" i="1"/>
  <c r="S32" i="1"/>
  <c r="T32" i="1"/>
  <c r="U32" i="1"/>
  <c r="Z32" i="1"/>
  <c r="AB32" i="1"/>
  <c r="AC32" i="1"/>
  <c r="AD32" i="1"/>
  <c r="AE32" i="1"/>
  <c r="AF32" i="1"/>
  <c r="AG32" i="1"/>
  <c r="AH32" i="1"/>
  <c r="AI32" i="1"/>
  <c r="AJ32" i="1"/>
  <c r="AK32" i="1"/>
  <c r="AL32" i="1"/>
  <c r="AQ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J32" i="1"/>
  <c r="BL32" i="1"/>
  <c r="BM32" i="1"/>
  <c r="BN32" i="1"/>
  <c r="BO32" i="1"/>
  <c r="BP32" i="1"/>
  <c r="BQ32" i="1"/>
  <c r="BR32" i="1"/>
  <c r="BS32" i="1"/>
  <c r="BT32" i="1"/>
  <c r="BU32" i="1"/>
  <c r="BV32" i="1"/>
  <c r="CA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T32" i="1"/>
  <c r="CV32" i="1"/>
  <c r="CW32" i="1"/>
  <c r="CX32" i="1"/>
  <c r="CY32" i="1"/>
  <c r="CZ32" i="1"/>
  <c r="DA32" i="1"/>
  <c r="DB32" i="1"/>
  <c r="DC32" i="1"/>
  <c r="DD32" i="1"/>
  <c r="DM32" i="1"/>
  <c r="A33" i="1"/>
  <c r="B33" i="1"/>
  <c r="C33" i="1"/>
  <c r="D33" i="1"/>
  <c r="E33" i="1"/>
  <c r="F33" i="1"/>
  <c r="G33" i="1"/>
  <c r="K33" i="1"/>
  <c r="L33" i="1"/>
  <c r="M33" i="1"/>
  <c r="N33" i="1"/>
  <c r="O33" i="1"/>
  <c r="P33" i="1"/>
  <c r="Q33" i="1"/>
  <c r="R33" i="1"/>
  <c r="S33" i="1"/>
  <c r="T33" i="1"/>
  <c r="U33" i="1"/>
  <c r="Z33" i="1"/>
  <c r="AB33" i="1"/>
  <c r="AC33" i="1"/>
  <c r="AD33" i="1"/>
  <c r="AE33" i="1"/>
  <c r="AF33" i="1"/>
  <c r="AG33" i="1"/>
  <c r="AH33" i="1"/>
  <c r="AI33" i="1"/>
  <c r="AJ33" i="1"/>
  <c r="AK33" i="1"/>
  <c r="AL33" i="1"/>
  <c r="AQ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J33" i="1"/>
  <c r="BL33" i="1"/>
  <c r="BM33" i="1"/>
  <c r="BN33" i="1"/>
  <c r="BO33" i="1"/>
  <c r="BP33" i="1"/>
  <c r="BQ33" i="1"/>
  <c r="BR33" i="1"/>
  <c r="BS33" i="1"/>
  <c r="BT33" i="1"/>
  <c r="BU33" i="1"/>
  <c r="BV33" i="1"/>
  <c r="CA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T33" i="1"/>
  <c r="CV33" i="1"/>
  <c r="CW33" i="1"/>
  <c r="CX33" i="1"/>
  <c r="CY33" i="1"/>
  <c r="CZ33" i="1"/>
  <c r="DA33" i="1"/>
  <c r="DB33" i="1"/>
  <c r="DC33" i="1"/>
  <c r="DD33" i="1"/>
  <c r="DM33" i="1"/>
  <c r="A34" i="1"/>
  <c r="B34" i="1"/>
  <c r="C34" i="1"/>
  <c r="D34" i="1"/>
  <c r="E34" i="1"/>
  <c r="F34" i="1"/>
  <c r="G34" i="1"/>
  <c r="K34" i="1"/>
  <c r="L34" i="1"/>
  <c r="M34" i="1"/>
  <c r="N34" i="1"/>
  <c r="O34" i="1"/>
  <c r="P34" i="1"/>
  <c r="Q34" i="1"/>
  <c r="R34" i="1"/>
  <c r="S34" i="1"/>
  <c r="T34" i="1"/>
  <c r="U34" i="1"/>
  <c r="Z34" i="1"/>
  <c r="AB34" i="1"/>
  <c r="AC34" i="1"/>
  <c r="AD34" i="1"/>
  <c r="AE34" i="1"/>
  <c r="AF34" i="1"/>
  <c r="AG34" i="1"/>
  <c r="AH34" i="1"/>
  <c r="AI34" i="1"/>
  <c r="AJ34" i="1"/>
  <c r="AK34" i="1"/>
  <c r="AL34" i="1"/>
  <c r="AQ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J34" i="1"/>
  <c r="BL34" i="1"/>
  <c r="BM34" i="1"/>
  <c r="BN34" i="1"/>
  <c r="BO34" i="1"/>
  <c r="BP34" i="1"/>
  <c r="BQ34" i="1"/>
  <c r="BR34" i="1"/>
  <c r="BS34" i="1"/>
  <c r="BT34" i="1"/>
  <c r="BU34" i="1"/>
  <c r="BV34" i="1"/>
  <c r="CA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T34" i="1"/>
  <c r="CV34" i="1"/>
  <c r="CW34" i="1"/>
  <c r="CX34" i="1"/>
  <c r="CY34" i="1"/>
  <c r="CZ34" i="1"/>
  <c r="DA34" i="1"/>
  <c r="DB34" i="1"/>
  <c r="DC34" i="1"/>
  <c r="DD34" i="1"/>
  <c r="DM34" i="1"/>
  <c r="A35" i="1"/>
  <c r="B35" i="1"/>
  <c r="C35" i="1"/>
  <c r="D35" i="1"/>
  <c r="E35" i="1"/>
  <c r="F35" i="1"/>
  <c r="G35" i="1"/>
  <c r="K35" i="1"/>
  <c r="L35" i="1"/>
  <c r="M35" i="1"/>
  <c r="N35" i="1"/>
  <c r="O35" i="1"/>
  <c r="P35" i="1"/>
  <c r="Q35" i="1"/>
  <c r="R35" i="1"/>
  <c r="S35" i="1"/>
  <c r="T35" i="1"/>
  <c r="U35" i="1"/>
  <c r="Z35" i="1"/>
  <c r="AB35" i="1"/>
  <c r="AC35" i="1"/>
  <c r="AD35" i="1"/>
  <c r="AE35" i="1"/>
  <c r="AF35" i="1"/>
  <c r="AG35" i="1"/>
  <c r="AH35" i="1"/>
  <c r="AI35" i="1"/>
  <c r="AJ35" i="1"/>
  <c r="AK35" i="1"/>
  <c r="AL35" i="1"/>
  <c r="AQ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J35" i="1"/>
  <c r="BL35" i="1"/>
  <c r="BM35" i="1"/>
  <c r="BN35" i="1"/>
  <c r="BO35" i="1"/>
  <c r="BP35" i="1"/>
  <c r="BQ35" i="1"/>
  <c r="BR35" i="1"/>
  <c r="BS35" i="1"/>
  <c r="BT35" i="1"/>
  <c r="BU35" i="1"/>
  <c r="BV35" i="1"/>
  <c r="CA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T35" i="1"/>
  <c r="CV35" i="1"/>
  <c r="CW35" i="1"/>
  <c r="CX35" i="1"/>
  <c r="CY35" i="1"/>
  <c r="CZ35" i="1"/>
  <c r="DA35" i="1"/>
  <c r="DB35" i="1"/>
  <c r="DC35" i="1"/>
  <c r="DD35" i="1"/>
  <c r="DM35" i="1"/>
  <c r="A36" i="1"/>
  <c r="B36" i="1"/>
  <c r="C36" i="1"/>
  <c r="D36" i="1"/>
  <c r="E36" i="1"/>
  <c r="F36" i="1"/>
  <c r="G36" i="1"/>
  <c r="K36" i="1"/>
  <c r="L36" i="1"/>
  <c r="M36" i="1"/>
  <c r="N36" i="1"/>
  <c r="O36" i="1"/>
  <c r="P36" i="1"/>
  <c r="Q36" i="1"/>
  <c r="R36" i="1"/>
  <c r="S36" i="1"/>
  <c r="T36" i="1"/>
  <c r="U36" i="1"/>
  <c r="Z36" i="1"/>
  <c r="AB36" i="1"/>
  <c r="AC36" i="1"/>
  <c r="AD36" i="1"/>
  <c r="AE36" i="1"/>
  <c r="AF36" i="1"/>
  <c r="AG36" i="1"/>
  <c r="AH36" i="1"/>
  <c r="AI36" i="1"/>
  <c r="AJ36" i="1"/>
  <c r="AK36" i="1"/>
  <c r="AL36" i="1"/>
  <c r="AQ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J36" i="1"/>
  <c r="BL36" i="1"/>
  <c r="BM36" i="1"/>
  <c r="BN36" i="1"/>
  <c r="BO36" i="1"/>
  <c r="BP36" i="1"/>
  <c r="BQ36" i="1"/>
  <c r="BR36" i="1"/>
  <c r="BS36" i="1"/>
  <c r="BT36" i="1"/>
  <c r="BU36" i="1"/>
  <c r="BV36" i="1"/>
  <c r="CA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T36" i="1"/>
  <c r="CV36" i="1"/>
  <c r="CW36" i="1"/>
  <c r="CX36" i="1"/>
  <c r="CY36" i="1"/>
  <c r="CZ36" i="1"/>
  <c r="DA36" i="1"/>
  <c r="DB36" i="1"/>
  <c r="DC36" i="1"/>
  <c r="DD36" i="1"/>
  <c r="DM36" i="1"/>
  <c r="A37" i="1"/>
  <c r="B37" i="1"/>
  <c r="C37" i="1"/>
  <c r="D37" i="1"/>
  <c r="E37" i="1"/>
  <c r="F37" i="1"/>
  <c r="G37" i="1"/>
  <c r="K37" i="1"/>
  <c r="L37" i="1"/>
  <c r="M37" i="1"/>
  <c r="N37" i="1"/>
  <c r="O37" i="1"/>
  <c r="P37" i="1"/>
  <c r="Q37" i="1"/>
  <c r="R37" i="1"/>
  <c r="S37" i="1"/>
  <c r="T37" i="1"/>
  <c r="U37" i="1"/>
  <c r="Z37" i="1"/>
  <c r="AB37" i="1"/>
  <c r="AC37" i="1"/>
  <c r="AD37" i="1"/>
  <c r="AE37" i="1"/>
  <c r="AF37" i="1"/>
  <c r="AG37" i="1"/>
  <c r="AH37" i="1"/>
  <c r="AI37" i="1"/>
  <c r="AJ37" i="1"/>
  <c r="AK37" i="1"/>
  <c r="AL37" i="1"/>
  <c r="AQ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J37" i="1"/>
  <c r="BL37" i="1"/>
  <c r="BM37" i="1"/>
  <c r="BN37" i="1"/>
  <c r="BO37" i="1"/>
  <c r="BP37" i="1"/>
  <c r="BQ37" i="1"/>
  <c r="BR37" i="1"/>
  <c r="BS37" i="1"/>
  <c r="BT37" i="1"/>
  <c r="BU37" i="1"/>
  <c r="BV37" i="1"/>
  <c r="CA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T37" i="1"/>
  <c r="CV37" i="1"/>
  <c r="CW37" i="1"/>
  <c r="CX37" i="1"/>
  <c r="CY37" i="1"/>
  <c r="CZ37" i="1"/>
  <c r="DA37" i="1"/>
  <c r="DB37" i="1"/>
  <c r="DC37" i="1"/>
  <c r="DD37" i="1"/>
  <c r="DM37" i="1"/>
  <c r="A38" i="1"/>
  <c r="B38" i="1"/>
  <c r="C38" i="1"/>
  <c r="D38" i="1"/>
  <c r="E38" i="1"/>
  <c r="F38" i="1"/>
  <c r="G38" i="1"/>
  <c r="K38" i="1"/>
  <c r="L38" i="1"/>
  <c r="M38" i="1"/>
  <c r="N38" i="1"/>
  <c r="O38" i="1"/>
  <c r="P38" i="1"/>
  <c r="Q38" i="1"/>
  <c r="R38" i="1"/>
  <c r="S38" i="1"/>
  <c r="T38" i="1"/>
  <c r="U38" i="1"/>
  <c r="Z38" i="1"/>
  <c r="AB38" i="1"/>
  <c r="AC38" i="1"/>
  <c r="AD38" i="1"/>
  <c r="AE38" i="1"/>
  <c r="AF38" i="1"/>
  <c r="AG38" i="1"/>
  <c r="AH38" i="1"/>
  <c r="AI38" i="1"/>
  <c r="AJ38" i="1"/>
  <c r="AK38" i="1"/>
  <c r="AL38" i="1"/>
  <c r="AQ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J38" i="1"/>
  <c r="BL38" i="1"/>
  <c r="BM38" i="1"/>
  <c r="BN38" i="1"/>
  <c r="BO38" i="1"/>
  <c r="BP38" i="1"/>
  <c r="BQ38" i="1"/>
  <c r="BR38" i="1"/>
  <c r="BS38" i="1"/>
  <c r="BT38" i="1"/>
  <c r="BU38" i="1"/>
  <c r="BV38" i="1"/>
  <c r="CA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T38" i="1"/>
  <c r="CV38" i="1"/>
  <c r="CW38" i="1"/>
  <c r="CX38" i="1"/>
  <c r="CY38" i="1"/>
  <c r="CZ38" i="1"/>
  <c r="DA38" i="1"/>
  <c r="DB38" i="1"/>
  <c r="DC38" i="1"/>
  <c r="DD38" i="1"/>
  <c r="DM38" i="1"/>
  <c r="A39" i="1"/>
  <c r="B39" i="1"/>
  <c r="C39" i="1"/>
  <c r="D39" i="1"/>
  <c r="E39" i="1"/>
  <c r="F39" i="1"/>
  <c r="G39" i="1"/>
  <c r="K39" i="1"/>
  <c r="L39" i="1"/>
  <c r="M39" i="1"/>
  <c r="N39" i="1"/>
  <c r="O39" i="1"/>
  <c r="P39" i="1"/>
  <c r="Q39" i="1"/>
  <c r="R39" i="1"/>
  <c r="S39" i="1"/>
  <c r="T39" i="1"/>
  <c r="U39" i="1"/>
  <c r="Z39" i="1"/>
  <c r="AB39" i="1"/>
  <c r="AC39" i="1"/>
  <c r="AD39" i="1"/>
  <c r="AE39" i="1"/>
  <c r="AF39" i="1"/>
  <c r="AG39" i="1"/>
  <c r="AH39" i="1"/>
  <c r="AI39" i="1"/>
  <c r="AJ39" i="1"/>
  <c r="AK39" i="1"/>
  <c r="AL39" i="1"/>
  <c r="AQ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J39" i="1"/>
  <c r="BL39" i="1"/>
  <c r="BM39" i="1"/>
  <c r="BN39" i="1"/>
  <c r="BO39" i="1"/>
  <c r="BP39" i="1"/>
  <c r="BQ39" i="1"/>
  <c r="BR39" i="1"/>
  <c r="BS39" i="1"/>
  <c r="BT39" i="1"/>
  <c r="BU39" i="1"/>
  <c r="BV39" i="1"/>
  <c r="CA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T39" i="1"/>
  <c r="CV39" i="1"/>
  <c r="CW39" i="1"/>
  <c r="CX39" i="1"/>
  <c r="CY39" i="1"/>
  <c r="CZ39" i="1"/>
  <c r="DA39" i="1"/>
  <c r="DB39" i="1"/>
  <c r="DC39" i="1"/>
  <c r="DD39" i="1"/>
  <c r="DM39" i="1"/>
  <c r="A40" i="1"/>
  <c r="B40" i="1"/>
  <c r="C40" i="1"/>
  <c r="D40" i="1"/>
  <c r="E40" i="1"/>
  <c r="F40" i="1"/>
  <c r="G40" i="1"/>
  <c r="K40" i="1"/>
  <c r="L40" i="1"/>
  <c r="M40" i="1"/>
  <c r="N40" i="1"/>
  <c r="O40" i="1"/>
  <c r="P40" i="1"/>
  <c r="Q40" i="1"/>
  <c r="R40" i="1"/>
  <c r="S40" i="1"/>
  <c r="T40" i="1"/>
  <c r="U40" i="1"/>
  <c r="Z40" i="1"/>
  <c r="AB40" i="1"/>
  <c r="AC40" i="1"/>
  <c r="AD40" i="1"/>
  <c r="AE40" i="1"/>
  <c r="AF40" i="1"/>
  <c r="AG40" i="1"/>
  <c r="AH40" i="1"/>
  <c r="AI40" i="1"/>
  <c r="AJ40" i="1"/>
  <c r="AK40" i="1"/>
  <c r="AL40" i="1"/>
  <c r="AQ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J40" i="1"/>
  <c r="BL40" i="1"/>
  <c r="BM40" i="1"/>
  <c r="BN40" i="1"/>
  <c r="BO40" i="1"/>
  <c r="BP40" i="1"/>
  <c r="BQ40" i="1"/>
  <c r="BR40" i="1"/>
  <c r="BS40" i="1"/>
  <c r="BT40" i="1"/>
  <c r="BU40" i="1"/>
  <c r="BV40" i="1"/>
  <c r="CA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T40" i="1"/>
  <c r="CV40" i="1"/>
  <c r="CW40" i="1"/>
  <c r="CX40" i="1"/>
  <c r="CY40" i="1"/>
  <c r="CZ40" i="1"/>
  <c r="DA40" i="1"/>
  <c r="DB40" i="1"/>
  <c r="DC40" i="1"/>
  <c r="DD40" i="1"/>
  <c r="DM40" i="1"/>
  <c r="A41" i="1"/>
  <c r="B41" i="1"/>
  <c r="C41" i="1"/>
  <c r="D41" i="1"/>
  <c r="E41" i="1"/>
  <c r="F41" i="1"/>
  <c r="G41" i="1"/>
  <c r="K41" i="1"/>
  <c r="L41" i="1"/>
  <c r="M41" i="1"/>
  <c r="N41" i="1"/>
  <c r="O41" i="1"/>
  <c r="P41" i="1"/>
  <c r="Q41" i="1"/>
  <c r="R41" i="1"/>
  <c r="S41" i="1"/>
  <c r="T41" i="1"/>
  <c r="U41" i="1"/>
  <c r="Z41" i="1"/>
  <c r="AB41" i="1"/>
  <c r="AC41" i="1"/>
  <c r="AD41" i="1"/>
  <c r="AE41" i="1"/>
  <c r="AF41" i="1"/>
  <c r="AG41" i="1"/>
  <c r="AH41" i="1"/>
  <c r="AI41" i="1"/>
  <c r="AJ41" i="1"/>
  <c r="AK41" i="1"/>
  <c r="AL41" i="1"/>
  <c r="AQ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J41" i="1"/>
  <c r="BL41" i="1"/>
  <c r="BM41" i="1"/>
  <c r="BN41" i="1"/>
  <c r="BO41" i="1"/>
  <c r="BP41" i="1"/>
  <c r="BQ41" i="1"/>
  <c r="BR41" i="1"/>
  <c r="BS41" i="1"/>
  <c r="BT41" i="1"/>
  <c r="BU41" i="1"/>
  <c r="BV41" i="1"/>
  <c r="CA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T41" i="1"/>
  <c r="CV41" i="1"/>
  <c r="CW41" i="1"/>
  <c r="CY41" i="1"/>
  <c r="DA41" i="1"/>
  <c r="A42" i="1"/>
  <c r="B42" i="1"/>
  <c r="K42" i="1"/>
  <c r="L42" i="1"/>
  <c r="M42" i="1"/>
  <c r="N42" i="1"/>
  <c r="O42" i="1"/>
  <c r="P42" i="1"/>
  <c r="Q42" i="1"/>
  <c r="R42" i="1"/>
  <c r="S42" i="1"/>
  <c r="T42" i="1"/>
  <c r="U42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Q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J42" i="1"/>
  <c r="BL42" i="1"/>
  <c r="BM42" i="1"/>
  <c r="BN42" i="1"/>
  <c r="BO42" i="1"/>
  <c r="BP42" i="1"/>
  <c r="BQ42" i="1"/>
  <c r="BR42" i="1"/>
  <c r="BS42" i="1"/>
  <c r="BT42" i="1"/>
  <c r="BU42" i="1"/>
  <c r="BV42" i="1"/>
  <c r="CA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T42" i="1"/>
  <c r="CV42" i="1"/>
  <c r="CW42" i="1"/>
  <c r="CX42" i="1"/>
  <c r="CY42" i="1"/>
  <c r="CZ42" i="1"/>
  <c r="DA42" i="1"/>
  <c r="DB42" i="1"/>
  <c r="DC42" i="1"/>
  <c r="DD42" i="1"/>
  <c r="DM42" i="1"/>
  <c r="A43" i="1"/>
  <c r="B43" i="1"/>
  <c r="C43" i="1"/>
  <c r="D43" i="1"/>
  <c r="E43" i="1"/>
  <c r="F43" i="1"/>
  <c r="G43" i="1"/>
  <c r="K43" i="1"/>
  <c r="L43" i="1"/>
  <c r="M43" i="1"/>
  <c r="N43" i="1"/>
  <c r="O43" i="1"/>
  <c r="P43" i="1"/>
  <c r="Q43" i="1"/>
  <c r="R43" i="1"/>
  <c r="S43" i="1"/>
  <c r="T43" i="1"/>
  <c r="U43" i="1"/>
  <c r="Z43" i="1"/>
  <c r="AB43" i="1"/>
  <c r="AC43" i="1"/>
  <c r="AD43" i="1"/>
  <c r="AE43" i="1"/>
  <c r="AF43" i="1"/>
  <c r="AG43" i="1"/>
  <c r="AH43" i="1"/>
  <c r="AI43" i="1"/>
  <c r="AJ43" i="1"/>
  <c r="AK43" i="1"/>
  <c r="AL43" i="1"/>
  <c r="AQ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J43" i="1"/>
  <c r="BL43" i="1"/>
  <c r="BM43" i="1"/>
  <c r="BN43" i="1"/>
  <c r="BO43" i="1"/>
  <c r="BP43" i="1"/>
  <c r="BQ43" i="1"/>
  <c r="BR43" i="1"/>
  <c r="BS43" i="1"/>
  <c r="BT43" i="1"/>
  <c r="BU43" i="1"/>
  <c r="BV43" i="1"/>
  <c r="CA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T43" i="1"/>
  <c r="CV43" i="1"/>
  <c r="CW43" i="1"/>
  <c r="CX43" i="1"/>
  <c r="CY43" i="1"/>
  <c r="CZ43" i="1"/>
  <c r="DA43" i="1"/>
  <c r="DB43" i="1"/>
  <c r="DC43" i="1"/>
  <c r="DD43" i="1"/>
  <c r="DM43" i="1"/>
  <c r="A44" i="1"/>
  <c r="B44" i="1"/>
  <c r="C44" i="1"/>
  <c r="D44" i="1"/>
  <c r="E44" i="1"/>
  <c r="F44" i="1"/>
  <c r="G44" i="1"/>
  <c r="K44" i="1"/>
  <c r="L44" i="1"/>
  <c r="M44" i="1"/>
  <c r="N44" i="1"/>
  <c r="O44" i="1"/>
  <c r="P44" i="1"/>
  <c r="Q44" i="1"/>
  <c r="R44" i="1"/>
  <c r="S44" i="1"/>
  <c r="T44" i="1"/>
  <c r="U44" i="1"/>
  <c r="Z44" i="1"/>
  <c r="AB44" i="1"/>
  <c r="AC44" i="1"/>
  <c r="AD44" i="1"/>
  <c r="AE44" i="1"/>
  <c r="AF44" i="1"/>
  <c r="AG44" i="1"/>
  <c r="AH44" i="1"/>
  <c r="AI44" i="1"/>
  <c r="AJ44" i="1"/>
  <c r="AK44" i="1"/>
  <c r="AL44" i="1"/>
  <c r="AQ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J44" i="1"/>
  <c r="BL44" i="1"/>
  <c r="BM44" i="1"/>
  <c r="BN44" i="1"/>
  <c r="BO44" i="1"/>
  <c r="BP44" i="1"/>
  <c r="BQ44" i="1"/>
  <c r="BR44" i="1"/>
  <c r="BS44" i="1"/>
  <c r="BT44" i="1"/>
  <c r="BU44" i="1"/>
  <c r="BV44" i="1"/>
  <c r="CA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T44" i="1"/>
  <c r="CV44" i="1"/>
  <c r="CW44" i="1"/>
  <c r="CX44" i="1"/>
  <c r="CY44" i="1"/>
  <c r="CZ44" i="1"/>
  <c r="DA44" i="1"/>
  <c r="DB44" i="1"/>
  <c r="DC44" i="1"/>
  <c r="DD44" i="1"/>
  <c r="DM44" i="1"/>
  <c r="A45" i="1"/>
  <c r="B45" i="1"/>
  <c r="C45" i="1"/>
  <c r="D45" i="1"/>
  <c r="E45" i="1"/>
  <c r="F45" i="1"/>
  <c r="G45" i="1"/>
  <c r="K45" i="1"/>
  <c r="L45" i="1"/>
  <c r="M45" i="1"/>
  <c r="N45" i="1"/>
  <c r="O45" i="1"/>
  <c r="P45" i="1"/>
  <c r="Q45" i="1"/>
  <c r="R45" i="1"/>
  <c r="S45" i="1"/>
  <c r="T45" i="1"/>
  <c r="U45" i="1"/>
  <c r="Z45" i="1"/>
  <c r="AB45" i="1"/>
  <c r="AC45" i="1"/>
  <c r="AD45" i="1"/>
  <c r="AE45" i="1"/>
  <c r="AF45" i="1"/>
  <c r="AG45" i="1"/>
  <c r="AH45" i="1"/>
  <c r="AI45" i="1"/>
  <c r="AJ45" i="1"/>
  <c r="AK45" i="1"/>
  <c r="AL45" i="1"/>
  <c r="AQ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J45" i="1"/>
  <c r="BL45" i="1"/>
  <c r="BM45" i="1"/>
  <c r="BN45" i="1"/>
  <c r="BO45" i="1"/>
  <c r="BP45" i="1"/>
  <c r="BQ45" i="1"/>
  <c r="BR45" i="1"/>
  <c r="BS45" i="1"/>
  <c r="BT45" i="1"/>
  <c r="BU45" i="1"/>
  <c r="BV45" i="1"/>
  <c r="CA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T45" i="1"/>
  <c r="CV45" i="1"/>
  <c r="CW45" i="1"/>
  <c r="CX45" i="1"/>
  <c r="CY45" i="1"/>
  <c r="CZ45" i="1"/>
  <c r="DA45" i="1"/>
  <c r="DB45" i="1"/>
  <c r="DC45" i="1"/>
  <c r="DD45" i="1"/>
  <c r="DM45" i="1"/>
  <c r="DN45" i="1"/>
  <c r="A46" i="1"/>
  <c r="B46" i="1"/>
  <c r="C46" i="1"/>
  <c r="D46" i="1"/>
  <c r="E46" i="1"/>
  <c r="F46" i="1"/>
  <c r="G46" i="1"/>
  <c r="K46" i="1"/>
  <c r="L46" i="1"/>
  <c r="M46" i="1"/>
  <c r="N46" i="1"/>
  <c r="O46" i="1"/>
  <c r="P46" i="1"/>
  <c r="Q46" i="1"/>
  <c r="R46" i="1"/>
  <c r="S46" i="1"/>
  <c r="T46" i="1"/>
  <c r="U46" i="1"/>
  <c r="Z46" i="1"/>
  <c r="AB46" i="1"/>
  <c r="AC46" i="1"/>
  <c r="AD46" i="1"/>
  <c r="AE46" i="1"/>
  <c r="AF46" i="1"/>
  <c r="AG46" i="1"/>
  <c r="AH46" i="1"/>
  <c r="AI46" i="1"/>
  <c r="AJ46" i="1"/>
  <c r="AK46" i="1"/>
  <c r="AL46" i="1"/>
  <c r="AQ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J46" i="1"/>
  <c r="BL46" i="1"/>
  <c r="BM46" i="1"/>
  <c r="BN46" i="1"/>
  <c r="BO46" i="1"/>
  <c r="BP46" i="1"/>
  <c r="BQ46" i="1"/>
  <c r="BR46" i="1"/>
  <c r="BS46" i="1"/>
  <c r="BT46" i="1"/>
  <c r="BU46" i="1"/>
  <c r="BV46" i="1"/>
  <c r="CA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T46" i="1"/>
  <c r="CV46" i="1"/>
  <c r="CW46" i="1"/>
  <c r="CX46" i="1"/>
  <c r="CY46" i="1"/>
  <c r="CZ46" i="1"/>
  <c r="DA46" i="1"/>
  <c r="DB46" i="1"/>
  <c r="DC46" i="1"/>
  <c r="DD46" i="1"/>
  <c r="DM46" i="1"/>
  <c r="A47" i="1"/>
  <c r="B47" i="1"/>
  <c r="C47" i="1"/>
  <c r="D47" i="1"/>
  <c r="E47" i="1"/>
  <c r="F47" i="1"/>
  <c r="G47" i="1"/>
  <c r="K47" i="1"/>
  <c r="L47" i="1"/>
  <c r="M47" i="1"/>
  <c r="N47" i="1"/>
  <c r="O47" i="1"/>
  <c r="P47" i="1"/>
  <c r="Q47" i="1"/>
  <c r="R47" i="1"/>
  <c r="S47" i="1"/>
  <c r="T47" i="1"/>
  <c r="U47" i="1"/>
  <c r="Z47" i="1"/>
  <c r="AB47" i="1"/>
  <c r="AC47" i="1"/>
  <c r="AD47" i="1"/>
  <c r="AE47" i="1"/>
  <c r="AF47" i="1"/>
  <c r="AG47" i="1"/>
  <c r="AH47" i="1"/>
  <c r="AI47" i="1"/>
  <c r="AJ47" i="1"/>
  <c r="AK47" i="1"/>
  <c r="AL47" i="1"/>
  <c r="AQ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J47" i="1"/>
  <c r="BL47" i="1"/>
  <c r="BM47" i="1"/>
  <c r="BN47" i="1"/>
  <c r="BO47" i="1"/>
  <c r="BP47" i="1"/>
  <c r="BQ47" i="1"/>
  <c r="BR47" i="1"/>
  <c r="BS47" i="1"/>
  <c r="BT47" i="1"/>
  <c r="BU47" i="1"/>
  <c r="BV47" i="1"/>
  <c r="CA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T47" i="1"/>
  <c r="CV47" i="1"/>
  <c r="CW47" i="1"/>
  <c r="CX47" i="1"/>
  <c r="CY47" i="1"/>
  <c r="CZ47" i="1"/>
  <c r="DA47" i="1"/>
  <c r="DB47" i="1"/>
  <c r="DC47" i="1"/>
  <c r="DD47" i="1"/>
  <c r="DM47" i="1"/>
  <c r="A48" i="1"/>
  <c r="B48" i="1"/>
  <c r="C48" i="1"/>
  <c r="D48" i="1"/>
  <c r="E48" i="1"/>
  <c r="F48" i="1"/>
  <c r="G48" i="1"/>
  <c r="K48" i="1"/>
  <c r="L48" i="1"/>
  <c r="M48" i="1"/>
  <c r="N48" i="1"/>
  <c r="O48" i="1"/>
  <c r="P48" i="1"/>
  <c r="Q48" i="1"/>
  <c r="R48" i="1"/>
  <c r="S48" i="1"/>
  <c r="T48" i="1"/>
  <c r="U48" i="1"/>
  <c r="Z48" i="1"/>
  <c r="AB48" i="1"/>
  <c r="AC48" i="1"/>
  <c r="AD48" i="1"/>
  <c r="AE48" i="1"/>
  <c r="AF48" i="1"/>
  <c r="AG48" i="1"/>
  <c r="AH48" i="1"/>
  <c r="AI48" i="1"/>
  <c r="AJ48" i="1"/>
  <c r="AK48" i="1"/>
  <c r="AL48" i="1"/>
  <c r="AQ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J48" i="1"/>
  <c r="BL48" i="1"/>
  <c r="BM48" i="1"/>
  <c r="BN48" i="1"/>
  <c r="BO48" i="1"/>
  <c r="BP48" i="1"/>
  <c r="BQ48" i="1"/>
  <c r="BR48" i="1"/>
  <c r="BS48" i="1"/>
  <c r="BT48" i="1"/>
  <c r="BU48" i="1"/>
  <c r="BV48" i="1"/>
  <c r="CA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T48" i="1"/>
  <c r="CV48" i="1"/>
  <c r="CW48" i="1"/>
  <c r="CX48" i="1"/>
  <c r="CY48" i="1"/>
  <c r="CZ48" i="1"/>
  <c r="DA48" i="1"/>
  <c r="DB48" i="1"/>
  <c r="DC48" i="1"/>
  <c r="DD48" i="1"/>
  <c r="DM48" i="1"/>
  <c r="A49" i="1"/>
  <c r="B49" i="1"/>
  <c r="C49" i="1"/>
  <c r="D49" i="1"/>
  <c r="E49" i="1"/>
  <c r="F49" i="1"/>
  <c r="G49" i="1"/>
  <c r="K49" i="1"/>
  <c r="L49" i="1"/>
  <c r="M49" i="1"/>
  <c r="N49" i="1"/>
  <c r="O49" i="1"/>
  <c r="P49" i="1"/>
  <c r="Q49" i="1"/>
  <c r="R49" i="1"/>
  <c r="S49" i="1"/>
  <c r="T49" i="1"/>
  <c r="U49" i="1"/>
  <c r="Z49" i="1"/>
  <c r="AB49" i="1"/>
  <c r="AC49" i="1"/>
  <c r="AD49" i="1"/>
  <c r="AE49" i="1"/>
  <c r="AF49" i="1"/>
  <c r="AG49" i="1"/>
  <c r="AH49" i="1"/>
  <c r="AI49" i="1"/>
  <c r="AJ49" i="1"/>
  <c r="AK49" i="1"/>
  <c r="AL49" i="1"/>
  <c r="AQ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J49" i="1"/>
  <c r="BL49" i="1"/>
  <c r="BM49" i="1"/>
  <c r="BN49" i="1"/>
  <c r="BO49" i="1"/>
  <c r="BP49" i="1"/>
  <c r="BQ49" i="1"/>
  <c r="BR49" i="1"/>
  <c r="BS49" i="1"/>
  <c r="BT49" i="1"/>
  <c r="BU49" i="1"/>
  <c r="BV49" i="1"/>
  <c r="CA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T49" i="1"/>
  <c r="CV49" i="1"/>
  <c r="CW49" i="1"/>
  <c r="CX49" i="1"/>
  <c r="CY49" i="1"/>
  <c r="CZ49" i="1"/>
  <c r="DA49" i="1"/>
  <c r="DB49" i="1"/>
  <c r="DC49" i="1"/>
  <c r="DD49" i="1"/>
  <c r="DM49" i="1"/>
  <c r="DN49" i="1"/>
  <c r="A50" i="1"/>
  <c r="B50" i="1"/>
  <c r="C50" i="1"/>
  <c r="D50" i="1"/>
  <c r="E50" i="1"/>
  <c r="F50" i="1"/>
  <c r="G50" i="1"/>
  <c r="K50" i="1"/>
  <c r="L50" i="1"/>
  <c r="M50" i="1"/>
  <c r="N50" i="1"/>
  <c r="O50" i="1"/>
  <c r="P50" i="1"/>
  <c r="Q50" i="1"/>
  <c r="R50" i="1"/>
  <c r="S50" i="1"/>
  <c r="T50" i="1"/>
  <c r="U50" i="1"/>
  <c r="Z50" i="1"/>
  <c r="AB50" i="1"/>
  <c r="AC50" i="1"/>
  <c r="AD50" i="1"/>
  <c r="AE50" i="1"/>
  <c r="AF50" i="1"/>
  <c r="AG50" i="1"/>
  <c r="AH50" i="1"/>
  <c r="AI50" i="1"/>
  <c r="AJ50" i="1"/>
  <c r="AK50" i="1"/>
  <c r="AL50" i="1"/>
  <c r="AQ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J50" i="1"/>
  <c r="BL50" i="1"/>
  <c r="BM50" i="1"/>
  <c r="BN50" i="1"/>
  <c r="BO50" i="1"/>
  <c r="BP50" i="1"/>
  <c r="BQ50" i="1"/>
  <c r="BR50" i="1"/>
  <c r="BS50" i="1"/>
  <c r="BT50" i="1"/>
  <c r="BU50" i="1"/>
  <c r="BV50" i="1"/>
  <c r="CA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T50" i="1"/>
  <c r="CV50" i="1"/>
  <c r="CW50" i="1"/>
  <c r="CX50" i="1"/>
  <c r="CY50" i="1"/>
  <c r="CZ50" i="1"/>
  <c r="DA50" i="1"/>
  <c r="DB50" i="1"/>
  <c r="DC50" i="1"/>
  <c r="DD50" i="1"/>
  <c r="A51" i="1"/>
  <c r="B51" i="1"/>
  <c r="C51" i="1"/>
  <c r="D51" i="1"/>
  <c r="E51" i="1"/>
  <c r="F51" i="1"/>
  <c r="G51" i="1"/>
  <c r="K51" i="1"/>
  <c r="L51" i="1"/>
  <c r="M51" i="1"/>
  <c r="N51" i="1"/>
  <c r="O51" i="1"/>
  <c r="P51" i="1"/>
  <c r="Q51" i="1"/>
  <c r="R51" i="1"/>
  <c r="S51" i="1"/>
  <c r="T51" i="1"/>
  <c r="U51" i="1"/>
  <c r="Z51" i="1"/>
  <c r="AB51" i="1"/>
  <c r="AC51" i="1"/>
  <c r="AD51" i="1"/>
  <c r="AE51" i="1"/>
  <c r="AF51" i="1"/>
  <c r="AG51" i="1"/>
  <c r="AH51" i="1"/>
  <c r="AI51" i="1"/>
  <c r="AJ51" i="1"/>
  <c r="AK51" i="1"/>
  <c r="AL51" i="1"/>
  <c r="AQ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J51" i="1"/>
  <c r="BL51" i="1"/>
  <c r="BM51" i="1"/>
  <c r="BN51" i="1"/>
  <c r="BO51" i="1"/>
  <c r="BP51" i="1"/>
  <c r="BQ51" i="1"/>
  <c r="BR51" i="1"/>
  <c r="BS51" i="1"/>
  <c r="BT51" i="1"/>
  <c r="BU51" i="1"/>
  <c r="BV51" i="1"/>
  <c r="CA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T51" i="1"/>
  <c r="CV51" i="1"/>
  <c r="CW51" i="1"/>
  <c r="CX51" i="1"/>
  <c r="CY51" i="1"/>
  <c r="CZ51" i="1"/>
  <c r="DA51" i="1"/>
  <c r="DB51" i="1"/>
  <c r="DC51" i="1"/>
  <c r="DD51" i="1"/>
  <c r="DM51" i="1"/>
  <c r="A52" i="1"/>
  <c r="B52" i="1"/>
  <c r="C52" i="1"/>
  <c r="D52" i="1"/>
  <c r="E52" i="1"/>
  <c r="F52" i="1"/>
  <c r="G52" i="1"/>
  <c r="K52" i="1"/>
  <c r="L52" i="1"/>
  <c r="M52" i="1"/>
  <c r="N52" i="1"/>
  <c r="O52" i="1"/>
  <c r="P52" i="1"/>
  <c r="Q52" i="1"/>
  <c r="R52" i="1"/>
  <c r="S52" i="1"/>
  <c r="T52" i="1"/>
  <c r="U52" i="1"/>
  <c r="Z52" i="1"/>
  <c r="AB52" i="1"/>
  <c r="AC52" i="1"/>
  <c r="AD52" i="1"/>
  <c r="AE52" i="1"/>
  <c r="AF52" i="1"/>
  <c r="AG52" i="1"/>
  <c r="AH52" i="1"/>
  <c r="AI52" i="1"/>
  <c r="AJ52" i="1"/>
  <c r="AK52" i="1"/>
  <c r="AL52" i="1"/>
  <c r="AQ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J52" i="1"/>
  <c r="BL52" i="1"/>
  <c r="BM52" i="1"/>
  <c r="BN52" i="1"/>
  <c r="BO52" i="1"/>
  <c r="BP52" i="1"/>
  <c r="BQ52" i="1"/>
  <c r="BR52" i="1"/>
  <c r="BS52" i="1"/>
  <c r="BT52" i="1"/>
  <c r="BU52" i="1"/>
  <c r="BV52" i="1"/>
  <c r="CA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T52" i="1"/>
  <c r="CV52" i="1"/>
  <c r="CW52" i="1"/>
  <c r="CX52" i="1"/>
  <c r="CY52" i="1"/>
  <c r="CZ52" i="1"/>
  <c r="DA52" i="1"/>
  <c r="DB52" i="1"/>
  <c r="DC52" i="1"/>
  <c r="DD52" i="1"/>
  <c r="DM52" i="1"/>
  <c r="A53" i="1"/>
  <c r="B53" i="1"/>
  <c r="C53" i="1"/>
  <c r="D53" i="1"/>
  <c r="E53" i="1"/>
  <c r="F53" i="1"/>
  <c r="G53" i="1"/>
  <c r="K53" i="1"/>
  <c r="L53" i="1"/>
  <c r="M53" i="1"/>
  <c r="N53" i="1"/>
  <c r="O53" i="1"/>
  <c r="P53" i="1"/>
  <c r="Q53" i="1"/>
  <c r="R53" i="1"/>
  <c r="S53" i="1"/>
  <c r="T53" i="1"/>
  <c r="U53" i="1"/>
  <c r="Z53" i="1"/>
  <c r="AB53" i="1"/>
  <c r="AC53" i="1"/>
  <c r="AD53" i="1"/>
  <c r="AE53" i="1"/>
  <c r="AF53" i="1"/>
  <c r="AG53" i="1"/>
  <c r="AH53" i="1"/>
  <c r="AI53" i="1"/>
  <c r="AJ53" i="1"/>
  <c r="AK53" i="1"/>
  <c r="AL53" i="1"/>
  <c r="AQ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J53" i="1"/>
  <c r="BL53" i="1"/>
  <c r="BM53" i="1"/>
  <c r="BN53" i="1"/>
  <c r="BO53" i="1"/>
  <c r="BP53" i="1"/>
  <c r="BQ53" i="1"/>
  <c r="BR53" i="1"/>
  <c r="BS53" i="1"/>
  <c r="BT53" i="1"/>
  <c r="BU53" i="1"/>
  <c r="BV53" i="1"/>
  <c r="CA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T53" i="1"/>
  <c r="CV53" i="1"/>
  <c r="CW53" i="1"/>
  <c r="CX53" i="1"/>
  <c r="CY53" i="1"/>
  <c r="CZ53" i="1"/>
  <c r="DA53" i="1"/>
  <c r="DB53" i="1"/>
  <c r="DC53" i="1"/>
  <c r="DD53" i="1"/>
  <c r="A54" i="1"/>
  <c r="B54" i="1"/>
  <c r="C54" i="1"/>
  <c r="D54" i="1"/>
  <c r="E54" i="1"/>
  <c r="F54" i="1"/>
  <c r="G54" i="1"/>
  <c r="K54" i="1"/>
  <c r="L54" i="1"/>
  <c r="M54" i="1"/>
  <c r="N54" i="1"/>
  <c r="O54" i="1"/>
  <c r="P54" i="1"/>
  <c r="Q54" i="1"/>
  <c r="R54" i="1"/>
  <c r="S54" i="1"/>
  <c r="T54" i="1"/>
  <c r="U54" i="1"/>
  <c r="Z54" i="1"/>
  <c r="AB54" i="1"/>
  <c r="AC54" i="1"/>
  <c r="AD54" i="1"/>
  <c r="AE54" i="1"/>
  <c r="AF54" i="1"/>
  <c r="AG54" i="1"/>
  <c r="AH54" i="1"/>
  <c r="AI54" i="1"/>
  <c r="AJ54" i="1"/>
  <c r="AK54" i="1"/>
  <c r="AL54" i="1"/>
  <c r="AQ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J54" i="1"/>
  <c r="BL54" i="1"/>
  <c r="BM54" i="1"/>
  <c r="BN54" i="1"/>
  <c r="BO54" i="1"/>
  <c r="BP54" i="1"/>
  <c r="BQ54" i="1"/>
  <c r="BR54" i="1"/>
  <c r="BS54" i="1"/>
  <c r="BT54" i="1"/>
  <c r="BU54" i="1"/>
  <c r="BV54" i="1"/>
  <c r="CA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T54" i="1"/>
  <c r="CV54" i="1"/>
  <c r="CW54" i="1"/>
  <c r="CX54" i="1"/>
  <c r="CY54" i="1"/>
  <c r="CZ54" i="1"/>
  <c r="DA54" i="1"/>
  <c r="DB54" i="1"/>
  <c r="DC54" i="1"/>
  <c r="DD54" i="1"/>
  <c r="DM54" i="1"/>
  <c r="A55" i="1"/>
  <c r="B55" i="1"/>
  <c r="C55" i="1"/>
  <c r="D55" i="1"/>
  <c r="E55" i="1"/>
  <c r="F55" i="1"/>
  <c r="G55" i="1"/>
  <c r="K55" i="1"/>
  <c r="L55" i="1"/>
  <c r="M55" i="1"/>
  <c r="N55" i="1"/>
  <c r="O55" i="1"/>
  <c r="P55" i="1"/>
  <c r="Q55" i="1"/>
  <c r="R55" i="1"/>
  <c r="S55" i="1"/>
  <c r="T55" i="1"/>
  <c r="U55" i="1"/>
  <c r="Z55" i="1"/>
  <c r="AB55" i="1"/>
  <c r="AC55" i="1"/>
  <c r="AD55" i="1"/>
  <c r="AE55" i="1"/>
  <c r="AF55" i="1"/>
  <c r="AG55" i="1"/>
  <c r="AH55" i="1"/>
  <c r="AI55" i="1"/>
  <c r="AJ55" i="1"/>
  <c r="AK55" i="1"/>
  <c r="AL55" i="1"/>
  <c r="AQ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J55" i="1"/>
  <c r="BL55" i="1"/>
  <c r="BM55" i="1"/>
  <c r="BN55" i="1"/>
  <c r="BO55" i="1"/>
  <c r="BP55" i="1"/>
  <c r="BQ55" i="1"/>
  <c r="BR55" i="1"/>
  <c r="BS55" i="1"/>
  <c r="BT55" i="1"/>
  <c r="BU55" i="1"/>
  <c r="BV55" i="1"/>
  <c r="CA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T55" i="1"/>
  <c r="CV55" i="1"/>
  <c r="CW55" i="1"/>
  <c r="CX55" i="1"/>
  <c r="CY55" i="1"/>
  <c r="CZ55" i="1"/>
  <c r="DA55" i="1"/>
  <c r="DB55" i="1"/>
  <c r="DC55" i="1"/>
  <c r="DD55" i="1"/>
  <c r="DM55" i="1"/>
  <c r="A56" i="1"/>
  <c r="B56" i="1"/>
  <c r="C56" i="1"/>
  <c r="D56" i="1"/>
  <c r="E56" i="1"/>
  <c r="F56" i="1"/>
  <c r="G56" i="1"/>
  <c r="K56" i="1"/>
  <c r="L56" i="1"/>
  <c r="M56" i="1"/>
  <c r="N56" i="1"/>
  <c r="O56" i="1"/>
  <c r="P56" i="1"/>
  <c r="Q56" i="1"/>
  <c r="R56" i="1"/>
  <c r="S56" i="1"/>
  <c r="T56" i="1"/>
  <c r="U56" i="1"/>
  <c r="Z56" i="1"/>
  <c r="AB56" i="1"/>
  <c r="AC56" i="1"/>
  <c r="AD56" i="1"/>
  <c r="AE56" i="1"/>
  <c r="AF56" i="1"/>
  <c r="AG56" i="1"/>
  <c r="AH56" i="1"/>
  <c r="AI56" i="1"/>
  <c r="AJ56" i="1"/>
  <c r="AK56" i="1"/>
  <c r="AL56" i="1"/>
  <c r="AQ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J56" i="1"/>
  <c r="BL56" i="1"/>
  <c r="BM56" i="1"/>
  <c r="BN56" i="1"/>
  <c r="BO56" i="1"/>
  <c r="BP56" i="1"/>
  <c r="BQ56" i="1"/>
  <c r="BR56" i="1"/>
  <c r="BS56" i="1"/>
  <c r="BT56" i="1"/>
  <c r="BU56" i="1"/>
  <c r="BV56" i="1"/>
  <c r="CA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T56" i="1"/>
  <c r="CV56" i="1"/>
  <c r="CW56" i="1"/>
  <c r="CX56" i="1"/>
  <c r="CY56" i="1"/>
  <c r="CZ56" i="1"/>
  <c r="DA56" i="1"/>
  <c r="DB56" i="1"/>
  <c r="DC56" i="1"/>
  <c r="DD56" i="1"/>
  <c r="DM56" i="1"/>
  <c r="A57" i="1"/>
  <c r="B57" i="1"/>
  <c r="C57" i="1"/>
  <c r="D57" i="1"/>
  <c r="E57" i="1"/>
  <c r="F57" i="1"/>
  <c r="G57" i="1"/>
  <c r="K57" i="1"/>
  <c r="L57" i="1"/>
  <c r="M57" i="1"/>
  <c r="N57" i="1"/>
  <c r="O57" i="1"/>
  <c r="P57" i="1"/>
  <c r="Q57" i="1"/>
  <c r="R57" i="1"/>
  <c r="S57" i="1"/>
  <c r="T57" i="1"/>
  <c r="U57" i="1"/>
  <c r="Z57" i="1"/>
  <c r="AB57" i="1"/>
  <c r="AC57" i="1"/>
  <c r="AD57" i="1"/>
  <c r="AE57" i="1"/>
  <c r="AF57" i="1"/>
  <c r="AG57" i="1"/>
  <c r="AH57" i="1"/>
  <c r="AI57" i="1"/>
  <c r="AJ57" i="1"/>
  <c r="AK57" i="1"/>
  <c r="AL57" i="1"/>
  <c r="AQ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J57" i="1"/>
  <c r="BL57" i="1"/>
  <c r="BM57" i="1"/>
  <c r="BN57" i="1"/>
  <c r="BO57" i="1"/>
  <c r="BP57" i="1"/>
  <c r="BQ57" i="1"/>
  <c r="BR57" i="1"/>
  <c r="BS57" i="1"/>
  <c r="BT57" i="1"/>
  <c r="BU57" i="1"/>
  <c r="BV57" i="1"/>
  <c r="CA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T57" i="1"/>
  <c r="CV57" i="1"/>
  <c r="CW57" i="1"/>
  <c r="CX57" i="1"/>
  <c r="CY57" i="1"/>
  <c r="CZ57" i="1"/>
  <c r="DA57" i="1"/>
  <c r="DB57" i="1"/>
  <c r="DC57" i="1"/>
  <c r="DD57" i="1"/>
  <c r="DM57" i="1"/>
  <c r="A58" i="1"/>
  <c r="B58" i="1"/>
  <c r="C58" i="1"/>
  <c r="D58" i="1"/>
  <c r="E58" i="1"/>
  <c r="F58" i="1"/>
  <c r="G58" i="1"/>
  <c r="K58" i="1"/>
  <c r="L58" i="1"/>
  <c r="M58" i="1"/>
  <c r="N58" i="1"/>
  <c r="O58" i="1"/>
  <c r="P58" i="1"/>
  <c r="Q58" i="1"/>
  <c r="R58" i="1"/>
  <c r="S58" i="1"/>
  <c r="T58" i="1"/>
  <c r="U58" i="1"/>
  <c r="Z58" i="1"/>
  <c r="AB58" i="1"/>
  <c r="AC58" i="1"/>
  <c r="AD58" i="1"/>
  <c r="AE58" i="1"/>
  <c r="AF58" i="1"/>
  <c r="AG58" i="1"/>
  <c r="AH58" i="1"/>
  <c r="AI58" i="1"/>
  <c r="AJ58" i="1"/>
  <c r="AK58" i="1"/>
  <c r="AL58" i="1"/>
  <c r="AQ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J58" i="1"/>
  <c r="BL58" i="1"/>
  <c r="BM58" i="1"/>
  <c r="BN58" i="1"/>
  <c r="BO58" i="1"/>
  <c r="BP58" i="1"/>
  <c r="BQ58" i="1"/>
  <c r="BR58" i="1"/>
  <c r="BS58" i="1"/>
  <c r="BT58" i="1"/>
  <c r="BU58" i="1"/>
  <c r="BV58" i="1"/>
  <c r="CA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T58" i="1"/>
  <c r="CV58" i="1"/>
  <c r="CW58" i="1"/>
  <c r="CX58" i="1"/>
  <c r="CY58" i="1"/>
  <c r="CZ58" i="1"/>
  <c r="DA58" i="1"/>
  <c r="DB58" i="1"/>
  <c r="DC58" i="1"/>
  <c r="DD58" i="1"/>
  <c r="DM58" i="1"/>
  <c r="A59" i="1"/>
  <c r="B59" i="1"/>
  <c r="C59" i="1"/>
  <c r="D59" i="1"/>
  <c r="E59" i="1"/>
  <c r="F59" i="1"/>
  <c r="G59" i="1"/>
  <c r="K59" i="1"/>
  <c r="L59" i="1"/>
  <c r="M59" i="1"/>
  <c r="N59" i="1"/>
  <c r="O59" i="1"/>
  <c r="P59" i="1"/>
  <c r="Q59" i="1"/>
  <c r="R59" i="1"/>
  <c r="S59" i="1"/>
  <c r="T59" i="1"/>
  <c r="U59" i="1"/>
  <c r="Z59" i="1"/>
  <c r="AB59" i="1"/>
  <c r="AC59" i="1"/>
  <c r="AD59" i="1"/>
  <c r="AE59" i="1"/>
  <c r="AF59" i="1"/>
  <c r="AG59" i="1"/>
  <c r="AH59" i="1"/>
  <c r="AI59" i="1"/>
  <c r="AJ59" i="1"/>
  <c r="AK59" i="1"/>
  <c r="AL59" i="1"/>
  <c r="AQ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J59" i="1"/>
  <c r="BL59" i="1"/>
  <c r="BM59" i="1"/>
  <c r="BN59" i="1"/>
  <c r="BO59" i="1"/>
  <c r="BP59" i="1"/>
  <c r="BQ59" i="1"/>
  <c r="BR59" i="1"/>
  <c r="BS59" i="1"/>
  <c r="BT59" i="1"/>
  <c r="BU59" i="1"/>
  <c r="BV59" i="1"/>
  <c r="CA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T59" i="1"/>
  <c r="CV59" i="1"/>
  <c r="CW59" i="1"/>
  <c r="CX59" i="1"/>
  <c r="CY59" i="1"/>
  <c r="CZ59" i="1"/>
  <c r="DA59" i="1"/>
  <c r="DB59" i="1"/>
  <c r="DC59" i="1"/>
  <c r="DD59" i="1"/>
  <c r="A60" i="1"/>
  <c r="B60" i="1"/>
  <c r="C60" i="1"/>
  <c r="D60" i="1"/>
  <c r="E60" i="1"/>
  <c r="F60" i="1"/>
  <c r="G60" i="1"/>
  <c r="K60" i="1"/>
  <c r="L60" i="1"/>
  <c r="M60" i="1"/>
  <c r="N60" i="1"/>
  <c r="O60" i="1"/>
  <c r="P60" i="1"/>
  <c r="Q60" i="1"/>
  <c r="R60" i="1"/>
  <c r="S60" i="1"/>
  <c r="T60" i="1"/>
  <c r="U60" i="1"/>
  <c r="Z60" i="1"/>
  <c r="AB60" i="1"/>
  <c r="AC60" i="1"/>
  <c r="AD60" i="1"/>
  <c r="AE60" i="1"/>
  <c r="AF60" i="1"/>
  <c r="AG60" i="1"/>
  <c r="AH60" i="1"/>
  <c r="AI60" i="1"/>
  <c r="AJ60" i="1"/>
  <c r="AK60" i="1"/>
  <c r="AL60" i="1"/>
  <c r="AQ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J60" i="1"/>
  <c r="BL60" i="1"/>
  <c r="BM60" i="1"/>
  <c r="BN60" i="1"/>
  <c r="BO60" i="1"/>
  <c r="BP60" i="1"/>
  <c r="BQ60" i="1"/>
  <c r="BR60" i="1"/>
  <c r="BS60" i="1"/>
  <c r="BT60" i="1"/>
  <c r="BU60" i="1"/>
  <c r="BV60" i="1"/>
  <c r="CA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T60" i="1"/>
  <c r="CV60" i="1"/>
  <c r="CW60" i="1"/>
  <c r="CX60" i="1"/>
  <c r="CY60" i="1"/>
  <c r="CZ60" i="1"/>
  <c r="DA60" i="1"/>
  <c r="DB60" i="1"/>
  <c r="DC60" i="1"/>
  <c r="DD60" i="1"/>
  <c r="DM60" i="1"/>
  <c r="A61" i="1"/>
  <c r="B61" i="1"/>
  <c r="C61" i="1"/>
  <c r="D61" i="1"/>
  <c r="E61" i="1"/>
  <c r="F61" i="1"/>
  <c r="G61" i="1"/>
  <c r="K61" i="1"/>
  <c r="L61" i="1"/>
  <c r="M61" i="1"/>
  <c r="N61" i="1"/>
  <c r="O61" i="1"/>
  <c r="P61" i="1"/>
  <c r="Q61" i="1"/>
  <c r="R61" i="1"/>
  <c r="S61" i="1"/>
  <c r="T61" i="1"/>
  <c r="U61" i="1"/>
  <c r="Z61" i="1"/>
  <c r="AB61" i="1"/>
  <c r="AC61" i="1"/>
  <c r="AD61" i="1"/>
  <c r="AE61" i="1"/>
  <c r="AF61" i="1"/>
  <c r="AG61" i="1"/>
  <c r="AH61" i="1"/>
  <c r="AI61" i="1"/>
  <c r="AJ61" i="1"/>
  <c r="AK61" i="1"/>
  <c r="AL61" i="1"/>
  <c r="AQ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J61" i="1"/>
  <c r="BL61" i="1"/>
  <c r="BM61" i="1"/>
  <c r="BN61" i="1"/>
  <c r="BO61" i="1"/>
  <c r="BP61" i="1"/>
  <c r="BQ61" i="1"/>
  <c r="BR61" i="1"/>
  <c r="BS61" i="1"/>
  <c r="BT61" i="1"/>
  <c r="BU61" i="1"/>
  <c r="BV61" i="1"/>
  <c r="CA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T61" i="1"/>
  <c r="CV61" i="1"/>
  <c r="CW61" i="1"/>
  <c r="CX61" i="1"/>
  <c r="CY61" i="1"/>
  <c r="CZ61" i="1"/>
  <c r="DA61" i="1"/>
  <c r="DB61" i="1"/>
  <c r="DC61" i="1"/>
  <c r="DD61" i="1"/>
  <c r="A62" i="1"/>
  <c r="B62" i="1"/>
  <c r="C62" i="1"/>
  <c r="D62" i="1"/>
  <c r="E62" i="1"/>
  <c r="F62" i="1"/>
  <c r="G62" i="1"/>
  <c r="K62" i="1"/>
  <c r="L62" i="1"/>
  <c r="M62" i="1"/>
  <c r="N62" i="1"/>
  <c r="O62" i="1"/>
  <c r="P62" i="1"/>
  <c r="Q62" i="1"/>
  <c r="R62" i="1"/>
  <c r="S62" i="1"/>
  <c r="T62" i="1"/>
  <c r="U62" i="1"/>
  <c r="Z62" i="1"/>
  <c r="AB62" i="1"/>
  <c r="AC62" i="1"/>
  <c r="AD62" i="1"/>
  <c r="AE62" i="1"/>
  <c r="AF62" i="1"/>
  <c r="AG62" i="1"/>
  <c r="AH62" i="1"/>
  <c r="AI62" i="1"/>
  <c r="AJ62" i="1"/>
  <c r="AK62" i="1"/>
  <c r="AL62" i="1"/>
  <c r="AQ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J62" i="1"/>
  <c r="BL62" i="1"/>
  <c r="BM62" i="1"/>
  <c r="BN62" i="1"/>
  <c r="BO62" i="1"/>
  <c r="BP62" i="1"/>
  <c r="BQ62" i="1"/>
  <c r="BR62" i="1"/>
  <c r="BS62" i="1"/>
  <c r="BT62" i="1"/>
  <c r="BU62" i="1"/>
  <c r="BV62" i="1"/>
  <c r="CA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T62" i="1"/>
  <c r="CV62" i="1"/>
  <c r="CW62" i="1"/>
  <c r="CX62" i="1"/>
  <c r="CY62" i="1"/>
  <c r="CZ62" i="1"/>
  <c r="DA62" i="1"/>
  <c r="DB62" i="1"/>
  <c r="DC62" i="1"/>
  <c r="DD62" i="1"/>
  <c r="DM62" i="1"/>
  <c r="A63" i="1"/>
  <c r="B63" i="1"/>
  <c r="C63" i="1"/>
  <c r="D63" i="1"/>
  <c r="E63" i="1"/>
  <c r="F63" i="1"/>
  <c r="G63" i="1"/>
  <c r="K63" i="1"/>
  <c r="L63" i="1"/>
  <c r="M63" i="1"/>
  <c r="N63" i="1"/>
  <c r="O63" i="1"/>
  <c r="P63" i="1"/>
  <c r="Q63" i="1"/>
  <c r="R63" i="1"/>
  <c r="S63" i="1"/>
  <c r="T63" i="1"/>
  <c r="U63" i="1"/>
  <c r="Z63" i="1"/>
  <c r="AB63" i="1"/>
  <c r="AC63" i="1"/>
  <c r="AD63" i="1"/>
  <c r="AE63" i="1"/>
  <c r="AF63" i="1"/>
  <c r="AG63" i="1"/>
  <c r="AH63" i="1"/>
  <c r="AI63" i="1"/>
  <c r="AJ63" i="1"/>
  <c r="AK63" i="1"/>
  <c r="AL63" i="1"/>
  <c r="AQ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J63" i="1"/>
  <c r="BL63" i="1"/>
  <c r="BM63" i="1"/>
  <c r="BN63" i="1"/>
  <c r="BO63" i="1"/>
  <c r="BP63" i="1"/>
  <c r="BQ63" i="1"/>
  <c r="BR63" i="1"/>
  <c r="BS63" i="1"/>
  <c r="BT63" i="1"/>
  <c r="BU63" i="1"/>
  <c r="BV63" i="1"/>
  <c r="CA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T63" i="1"/>
  <c r="CV63" i="1"/>
  <c r="CW63" i="1"/>
  <c r="CX63" i="1"/>
  <c r="CY63" i="1"/>
  <c r="CZ63" i="1"/>
  <c r="DA63" i="1"/>
  <c r="DB63" i="1"/>
  <c r="DC63" i="1"/>
  <c r="DD63" i="1"/>
  <c r="DM63" i="1"/>
  <c r="A64" i="1"/>
  <c r="B64" i="1"/>
  <c r="C64" i="1"/>
  <c r="D64" i="1"/>
  <c r="E64" i="1"/>
  <c r="F64" i="1"/>
  <c r="G64" i="1"/>
  <c r="K64" i="1"/>
  <c r="L64" i="1"/>
  <c r="M64" i="1"/>
  <c r="N64" i="1"/>
  <c r="O64" i="1"/>
  <c r="P64" i="1"/>
  <c r="Q64" i="1"/>
  <c r="R64" i="1"/>
  <c r="S64" i="1"/>
  <c r="T64" i="1"/>
  <c r="U64" i="1"/>
  <c r="Z64" i="1"/>
  <c r="AB64" i="1"/>
  <c r="AC64" i="1"/>
  <c r="AD64" i="1"/>
  <c r="AE64" i="1"/>
  <c r="AF64" i="1"/>
  <c r="AG64" i="1"/>
  <c r="AH64" i="1"/>
  <c r="AI64" i="1"/>
  <c r="AJ64" i="1"/>
  <c r="AK64" i="1"/>
  <c r="AL64" i="1"/>
  <c r="AQ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J64" i="1"/>
  <c r="BL64" i="1"/>
  <c r="BM64" i="1"/>
  <c r="BN64" i="1"/>
  <c r="BO64" i="1"/>
  <c r="BP64" i="1"/>
  <c r="BQ64" i="1"/>
  <c r="BR64" i="1"/>
  <c r="BS64" i="1"/>
  <c r="BT64" i="1"/>
  <c r="BU64" i="1"/>
  <c r="BV64" i="1"/>
  <c r="CA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T64" i="1"/>
  <c r="CV64" i="1"/>
  <c r="CW64" i="1"/>
  <c r="CX64" i="1"/>
  <c r="CY64" i="1"/>
  <c r="CZ64" i="1"/>
  <c r="DA64" i="1"/>
  <c r="DB64" i="1"/>
  <c r="DC64" i="1"/>
  <c r="DD64" i="1"/>
  <c r="DM64" i="1"/>
  <c r="A65" i="1"/>
  <c r="B65" i="1"/>
  <c r="C65" i="1"/>
  <c r="D65" i="1"/>
  <c r="E65" i="1"/>
  <c r="F65" i="1"/>
  <c r="G65" i="1"/>
  <c r="K65" i="1"/>
  <c r="L65" i="1"/>
  <c r="M65" i="1"/>
  <c r="N65" i="1"/>
  <c r="O65" i="1"/>
  <c r="P65" i="1"/>
  <c r="Q65" i="1"/>
  <c r="R65" i="1"/>
  <c r="S65" i="1"/>
  <c r="T65" i="1"/>
  <c r="U65" i="1"/>
  <c r="Z65" i="1"/>
  <c r="AB65" i="1"/>
  <c r="AC65" i="1"/>
  <c r="AD65" i="1"/>
  <c r="AE65" i="1"/>
  <c r="AF65" i="1"/>
  <c r="AG65" i="1"/>
  <c r="AH65" i="1"/>
  <c r="AI65" i="1"/>
  <c r="AJ65" i="1"/>
  <c r="AK65" i="1"/>
  <c r="AL65" i="1"/>
  <c r="AQ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J65" i="1"/>
  <c r="BL65" i="1"/>
  <c r="BM65" i="1"/>
  <c r="BN65" i="1"/>
  <c r="BO65" i="1"/>
  <c r="BP65" i="1"/>
  <c r="BQ65" i="1"/>
  <c r="BR65" i="1"/>
  <c r="BS65" i="1"/>
  <c r="BT65" i="1"/>
  <c r="BU65" i="1"/>
  <c r="BV65" i="1"/>
  <c r="CA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T65" i="1"/>
  <c r="CV65" i="1"/>
  <c r="CW65" i="1"/>
  <c r="CX65" i="1"/>
  <c r="CY65" i="1"/>
  <c r="CZ65" i="1"/>
  <c r="DA65" i="1"/>
  <c r="DB65" i="1"/>
  <c r="DC65" i="1"/>
  <c r="DD65" i="1"/>
  <c r="DM65" i="1"/>
  <c r="A66" i="1"/>
  <c r="B66" i="1"/>
  <c r="C66" i="1"/>
  <c r="D66" i="1"/>
  <c r="E66" i="1"/>
  <c r="F66" i="1"/>
  <c r="G66" i="1"/>
  <c r="K66" i="1"/>
  <c r="L66" i="1"/>
  <c r="M66" i="1"/>
  <c r="N66" i="1"/>
  <c r="O66" i="1"/>
  <c r="P66" i="1"/>
  <c r="Q66" i="1"/>
  <c r="R66" i="1"/>
  <c r="S66" i="1"/>
  <c r="T66" i="1"/>
  <c r="U66" i="1"/>
  <c r="Z66" i="1"/>
  <c r="AB66" i="1"/>
  <c r="AC66" i="1"/>
  <c r="AD66" i="1"/>
  <c r="AE66" i="1"/>
  <c r="AF66" i="1"/>
  <c r="AG66" i="1"/>
  <c r="AH66" i="1"/>
  <c r="AI66" i="1"/>
  <c r="AJ66" i="1"/>
  <c r="AK66" i="1"/>
  <c r="AL66" i="1"/>
  <c r="AQ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J66" i="1"/>
  <c r="BL66" i="1"/>
  <c r="BM66" i="1"/>
  <c r="BN66" i="1"/>
  <c r="BO66" i="1"/>
  <c r="BP66" i="1"/>
  <c r="BQ66" i="1"/>
  <c r="BR66" i="1"/>
  <c r="BS66" i="1"/>
  <c r="BT66" i="1"/>
  <c r="BU66" i="1"/>
  <c r="BV66" i="1"/>
  <c r="CA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T66" i="1"/>
  <c r="CV66" i="1"/>
  <c r="CW66" i="1"/>
  <c r="CX66" i="1"/>
  <c r="CY66" i="1"/>
  <c r="CZ66" i="1"/>
  <c r="DA66" i="1"/>
  <c r="DB66" i="1"/>
  <c r="DC66" i="1"/>
  <c r="DD66" i="1"/>
  <c r="DM66" i="1"/>
  <c r="A67" i="1"/>
  <c r="B67" i="1"/>
  <c r="C67" i="1"/>
  <c r="D67" i="1"/>
  <c r="E67" i="1"/>
  <c r="F67" i="1"/>
  <c r="G67" i="1"/>
  <c r="K67" i="1"/>
  <c r="L67" i="1"/>
  <c r="M67" i="1"/>
  <c r="N67" i="1"/>
  <c r="O67" i="1"/>
  <c r="P67" i="1"/>
  <c r="Q67" i="1"/>
  <c r="R67" i="1"/>
  <c r="S67" i="1"/>
  <c r="T67" i="1"/>
  <c r="U67" i="1"/>
  <c r="Z67" i="1"/>
  <c r="AB67" i="1"/>
  <c r="AC67" i="1"/>
  <c r="AD67" i="1"/>
  <c r="AE67" i="1"/>
  <c r="AF67" i="1"/>
  <c r="AG67" i="1"/>
  <c r="AH67" i="1"/>
  <c r="AI67" i="1"/>
  <c r="AJ67" i="1"/>
  <c r="AK67" i="1"/>
  <c r="AL67" i="1"/>
  <c r="AQ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J67" i="1"/>
  <c r="BL67" i="1"/>
  <c r="BM67" i="1"/>
  <c r="BN67" i="1"/>
  <c r="BO67" i="1"/>
  <c r="BP67" i="1"/>
  <c r="BQ67" i="1"/>
  <c r="BR67" i="1"/>
  <c r="BS67" i="1"/>
  <c r="BT67" i="1"/>
  <c r="BU67" i="1"/>
  <c r="BV67" i="1"/>
  <c r="CA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T67" i="1"/>
  <c r="CV67" i="1"/>
  <c r="CW67" i="1"/>
  <c r="CX67" i="1"/>
  <c r="CY67" i="1"/>
  <c r="CZ67" i="1"/>
  <c r="DA67" i="1"/>
  <c r="DB67" i="1"/>
  <c r="DC67" i="1"/>
  <c r="DD67" i="1"/>
  <c r="DM67" i="1"/>
  <c r="A68" i="1"/>
  <c r="B68" i="1"/>
  <c r="C68" i="1"/>
  <c r="D68" i="1"/>
  <c r="E68" i="1"/>
  <c r="F68" i="1"/>
  <c r="G68" i="1"/>
  <c r="K68" i="1"/>
  <c r="L68" i="1"/>
  <c r="M68" i="1"/>
  <c r="N68" i="1"/>
  <c r="O68" i="1"/>
  <c r="P68" i="1"/>
  <c r="Q68" i="1"/>
  <c r="R68" i="1"/>
  <c r="S68" i="1"/>
  <c r="T68" i="1"/>
  <c r="U68" i="1"/>
  <c r="Z68" i="1"/>
  <c r="AB68" i="1"/>
  <c r="AC68" i="1"/>
  <c r="AD68" i="1"/>
  <c r="AE68" i="1"/>
  <c r="AF68" i="1"/>
  <c r="AG68" i="1"/>
  <c r="AH68" i="1"/>
  <c r="AI68" i="1"/>
  <c r="AJ68" i="1"/>
  <c r="AK68" i="1"/>
  <c r="AL68" i="1"/>
  <c r="AQ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J68" i="1"/>
  <c r="BL68" i="1"/>
  <c r="BM68" i="1"/>
  <c r="BN68" i="1"/>
  <c r="BO68" i="1"/>
  <c r="BP68" i="1"/>
  <c r="BQ68" i="1"/>
  <c r="BR68" i="1"/>
  <c r="BS68" i="1"/>
  <c r="BT68" i="1"/>
  <c r="BU68" i="1"/>
  <c r="BV68" i="1"/>
  <c r="CA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T68" i="1"/>
  <c r="CV68" i="1"/>
  <c r="CW68" i="1"/>
  <c r="CX68" i="1"/>
  <c r="CY68" i="1"/>
  <c r="CZ68" i="1"/>
  <c r="DA68" i="1"/>
  <c r="DB68" i="1"/>
  <c r="DC68" i="1"/>
  <c r="DD68" i="1"/>
  <c r="DM68" i="1"/>
  <c r="A69" i="1"/>
  <c r="B69" i="1"/>
  <c r="C69" i="1"/>
  <c r="D69" i="1"/>
  <c r="E69" i="1"/>
  <c r="F69" i="1"/>
  <c r="G69" i="1"/>
  <c r="K69" i="1"/>
  <c r="L69" i="1"/>
  <c r="M69" i="1"/>
  <c r="N69" i="1"/>
  <c r="O69" i="1"/>
  <c r="P69" i="1"/>
  <c r="Q69" i="1"/>
  <c r="R69" i="1"/>
  <c r="S69" i="1"/>
  <c r="T69" i="1"/>
  <c r="U69" i="1"/>
  <c r="Z69" i="1"/>
  <c r="AB69" i="1"/>
  <c r="AC69" i="1"/>
  <c r="AD69" i="1"/>
  <c r="AE69" i="1"/>
  <c r="AF69" i="1"/>
  <c r="AG69" i="1"/>
  <c r="AH69" i="1"/>
  <c r="AI69" i="1"/>
  <c r="AJ69" i="1"/>
  <c r="AK69" i="1"/>
  <c r="AL69" i="1"/>
  <c r="AQ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J69" i="1"/>
  <c r="BL69" i="1"/>
  <c r="BM69" i="1"/>
  <c r="BN69" i="1"/>
  <c r="BO69" i="1"/>
  <c r="BP69" i="1"/>
  <c r="BQ69" i="1"/>
  <c r="BR69" i="1"/>
  <c r="BS69" i="1"/>
  <c r="BT69" i="1"/>
  <c r="BU69" i="1"/>
  <c r="BV69" i="1"/>
  <c r="CA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T69" i="1"/>
  <c r="CV69" i="1"/>
  <c r="CW69" i="1"/>
  <c r="CX69" i="1"/>
  <c r="CY69" i="1"/>
  <c r="CZ69" i="1"/>
  <c r="DA69" i="1"/>
  <c r="DB69" i="1"/>
  <c r="DC69" i="1"/>
  <c r="DD69" i="1"/>
  <c r="A70" i="1"/>
  <c r="B70" i="1"/>
  <c r="C70" i="1"/>
  <c r="D70" i="1"/>
  <c r="E70" i="1"/>
  <c r="F70" i="1"/>
  <c r="G70" i="1"/>
  <c r="K70" i="1"/>
  <c r="L70" i="1"/>
  <c r="M70" i="1"/>
  <c r="N70" i="1"/>
  <c r="O70" i="1"/>
  <c r="P70" i="1"/>
  <c r="Q70" i="1"/>
  <c r="R70" i="1"/>
  <c r="S70" i="1"/>
  <c r="T70" i="1"/>
  <c r="U70" i="1"/>
  <c r="Z70" i="1"/>
  <c r="AB70" i="1"/>
  <c r="AC70" i="1"/>
  <c r="AD70" i="1"/>
  <c r="AE70" i="1"/>
  <c r="AF70" i="1"/>
  <c r="AG70" i="1"/>
  <c r="AH70" i="1"/>
  <c r="AI70" i="1"/>
  <c r="AJ70" i="1"/>
  <c r="AK70" i="1"/>
  <c r="AL70" i="1"/>
  <c r="AQ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J70" i="1"/>
  <c r="BL70" i="1"/>
  <c r="BM70" i="1"/>
  <c r="BN70" i="1"/>
  <c r="BO70" i="1"/>
  <c r="BP70" i="1"/>
  <c r="BQ70" i="1"/>
  <c r="BR70" i="1"/>
  <c r="BS70" i="1"/>
  <c r="BT70" i="1"/>
  <c r="BU70" i="1"/>
  <c r="BV70" i="1"/>
  <c r="CA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T70" i="1"/>
  <c r="CV70" i="1"/>
  <c r="CW70" i="1"/>
  <c r="CX70" i="1"/>
  <c r="CY70" i="1"/>
  <c r="CZ70" i="1"/>
  <c r="DA70" i="1"/>
  <c r="DB70" i="1"/>
  <c r="DC70" i="1"/>
  <c r="DD70" i="1"/>
  <c r="DM70" i="1"/>
  <c r="A71" i="1"/>
  <c r="B71" i="1"/>
  <c r="C71" i="1"/>
  <c r="D71" i="1"/>
  <c r="E71" i="1"/>
  <c r="F71" i="1"/>
  <c r="G71" i="1"/>
  <c r="K71" i="1"/>
  <c r="L71" i="1"/>
  <c r="M71" i="1"/>
  <c r="N71" i="1"/>
  <c r="O71" i="1"/>
  <c r="P71" i="1"/>
  <c r="Q71" i="1"/>
  <c r="R71" i="1"/>
  <c r="S71" i="1"/>
  <c r="T71" i="1"/>
  <c r="U71" i="1"/>
  <c r="Z71" i="1"/>
  <c r="AB71" i="1"/>
  <c r="AC71" i="1"/>
  <c r="AD71" i="1"/>
  <c r="AE71" i="1"/>
  <c r="AF71" i="1"/>
  <c r="AG71" i="1"/>
  <c r="AH71" i="1"/>
  <c r="AI71" i="1"/>
  <c r="AJ71" i="1"/>
  <c r="AK71" i="1"/>
  <c r="AL71" i="1"/>
  <c r="AQ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J71" i="1"/>
  <c r="BL71" i="1"/>
  <c r="BM71" i="1"/>
  <c r="BN71" i="1"/>
  <c r="BO71" i="1"/>
  <c r="BP71" i="1"/>
  <c r="BQ71" i="1"/>
  <c r="BR71" i="1"/>
  <c r="BS71" i="1"/>
  <c r="BT71" i="1"/>
  <c r="BU71" i="1"/>
  <c r="BV71" i="1"/>
  <c r="CA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T71" i="1"/>
  <c r="CV71" i="1"/>
  <c r="CW71" i="1"/>
  <c r="CX71" i="1"/>
  <c r="CY71" i="1"/>
  <c r="CZ71" i="1"/>
  <c r="DA71" i="1"/>
  <c r="DB71" i="1"/>
  <c r="DC71" i="1"/>
  <c r="DD71" i="1"/>
  <c r="A72" i="1"/>
  <c r="B72" i="1"/>
  <c r="C72" i="1"/>
  <c r="D72" i="1"/>
  <c r="E72" i="1"/>
  <c r="F72" i="1"/>
  <c r="G72" i="1"/>
  <c r="K72" i="1"/>
  <c r="L72" i="1"/>
  <c r="M72" i="1"/>
  <c r="N72" i="1"/>
  <c r="O72" i="1"/>
  <c r="P72" i="1"/>
  <c r="Q72" i="1"/>
  <c r="R72" i="1"/>
  <c r="S72" i="1"/>
  <c r="T72" i="1"/>
  <c r="U72" i="1"/>
  <c r="Z72" i="1"/>
  <c r="AB72" i="1"/>
  <c r="AC72" i="1"/>
  <c r="AD72" i="1"/>
  <c r="AE72" i="1"/>
  <c r="AF72" i="1"/>
  <c r="AG72" i="1"/>
  <c r="AH72" i="1"/>
  <c r="AI72" i="1"/>
  <c r="AJ72" i="1"/>
  <c r="AK72" i="1"/>
  <c r="AL72" i="1"/>
  <c r="AQ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J72" i="1"/>
  <c r="BL72" i="1"/>
  <c r="BM72" i="1"/>
  <c r="BN72" i="1"/>
  <c r="BO72" i="1"/>
  <c r="BP72" i="1"/>
  <c r="BQ72" i="1"/>
  <c r="BR72" i="1"/>
  <c r="BS72" i="1"/>
  <c r="BT72" i="1"/>
  <c r="BU72" i="1"/>
  <c r="BV72" i="1"/>
  <c r="CA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T72" i="1"/>
  <c r="CV72" i="1"/>
  <c r="CW72" i="1"/>
  <c r="CX72" i="1"/>
  <c r="CY72" i="1"/>
  <c r="CZ72" i="1"/>
  <c r="DA72" i="1"/>
  <c r="DB72" i="1"/>
  <c r="DC72" i="1"/>
  <c r="DD72" i="1"/>
  <c r="DM72" i="1"/>
  <c r="A73" i="1"/>
  <c r="B73" i="1"/>
  <c r="C73" i="1"/>
  <c r="D73" i="1"/>
  <c r="E73" i="1"/>
  <c r="F73" i="1"/>
  <c r="G73" i="1"/>
  <c r="K73" i="1"/>
  <c r="L73" i="1"/>
  <c r="M73" i="1"/>
  <c r="N73" i="1"/>
  <c r="O73" i="1"/>
  <c r="P73" i="1"/>
  <c r="Q73" i="1"/>
  <c r="R73" i="1"/>
  <c r="S73" i="1"/>
  <c r="T73" i="1"/>
  <c r="U73" i="1"/>
  <c r="Z73" i="1"/>
  <c r="AB73" i="1"/>
  <c r="AC73" i="1"/>
  <c r="AD73" i="1"/>
  <c r="AE73" i="1"/>
  <c r="AF73" i="1"/>
  <c r="AG73" i="1"/>
  <c r="AH73" i="1"/>
  <c r="AI73" i="1"/>
  <c r="AJ73" i="1"/>
  <c r="AK73" i="1"/>
  <c r="AL73" i="1"/>
  <c r="AQ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J73" i="1"/>
  <c r="BL73" i="1"/>
  <c r="BM73" i="1"/>
  <c r="BN73" i="1"/>
  <c r="BO73" i="1"/>
  <c r="BP73" i="1"/>
  <c r="BQ73" i="1"/>
  <c r="BR73" i="1"/>
  <c r="BS73" i="1"/>
  <c r="BT73" i="1"/>
  <c r="BU73" i="1"/>
  <c r="BV73" i="1"/>
  <c r="CA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T73" i="1"/>
  <c r="CV73" i="1"/>
  <c r="CW73" i="1"/>
  <c r="CX73" i="1"/>
  <c r="CY73" i="1"/>
  <c r="CZ73" i="1"/>
  <c r="DA73" i="1"/>
  <c r="DB73" i="1"/>
  <c r="DC73" i="1"/>
  <c r="DD73" i="1"/>
  <c r="DM73" i="1"/>
  <c r="A74" i="1"/>
  <c r="B74" i="1"/>
  <c r="C74" i="1"/>
  <c r="D74" i="1"/>
  <c r="E74" i="1"/>
  <c r="F74" i="1"/>
  <c r="G74" i="1"/>
  <c r="K74" i="1"/>
  <c r="L74" i="1"/>
  <c r="M74" i="1"/>
  <c r="N74" i="1"/>
  <c r="O74" i="1"/>
  <c r="P74" i="1"/>
  <c r="Q74" i="1"/>
  <c r="R74" i="1"/>
  <c r="S74" i="1"/>
  <c r="T74" i="1"/>
  <c r="U74" i="1"/>
  <c r="Z74" i="1"/>
  <c r="AB74" i="1"/>
  <c r="AC74" i="1"/>
  <c r="AD74" i="1"/>
  <c r="AE74" i="1"/>
  <c r="AF74" i="1"/>
  <c r="AG74" i="1"/>
  <c r="AH74" i="1"/>
  <c r="AI74" i="1"/>
  <c r="AJ74" i="1"/>
  <c r="AK74" i="1"/>
  <c r="AL74" i="1"/>
  <c r="AQ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J74" i="1"/>
  <c r="BL74" i="1"/>
  <c r="BM74" i="1"/>
  <c r="BN74" i="1"/>
  <c r="BO74" i="1"/>
  <c r="BP74" i="1"/>
  <c r="BQ74" i="1"/>
  <c r="BR74" i="1"/>
  <c r="BS74" i="1"/>
  <c r="BT74" i="1"/>
  <c r="BU74" i="1"/>
  <c r="BV74" i="1"/>
  <c r="CA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T74" i="1"/>
  <c r="CV74" i="1"/>
  <c r="CW74" i="1"/>
  <c r="CX74" i="1"/>
  <c r="CY74" i="1"/>
  <c r="CZ74" i="1"/>
  <c r="DA74" i="1"/>
  <c r="DB74" i="1"/>
  <c r="DC74" i="1"/>
  <c r="DD74" i="1"/>
  <c r="A75" i="1"/>
  <c r="B75" i="1"/>
  <c r="C75" i="1"/>
  <c r="D75" i="1"/>
  <c r="E75" i="1"/>
  <c r="F75" i="1"/>
  <c r="G75" i="1"/>
  <c r="K75" i="1"/>
  <c r="L75" i="1"/>
  <c r="M75" i="1"/>
  <c r="N75" i="1"/>
  <c r="O75" i="1"/>
  <c r="P75" i="1"/>
  <c r="Q75" i="1"/>
  <c r="R75" i="1"/>
  <c r="S75" i="1"/>
  <c r="T75" i="1"/>
  <c r="U75" i="1"/>
  <c r="Z75" i="1"/>
  <c r="AB75" i="1"/>
  <c r="AC75" i="1"/>
  <c r="AD75" i="1"/>
  <c r="AE75" i="1"/>
  <c r="AF75" i="1"/>
  <c r="AG75" i="1"/>
  <c r="AH75" i="1"/>
  <c r="AI75" i="1"/>
  <c r="AJ75" i="1"/>
  <c r="AK75" i="1"/>
  <c r="AL75" i="1"/>
  <c r="AQ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J75" i="1"/>
  <c r="BL75" i="1"/>
  <c r="BM75" i="1"/>
  <c r="BN75" i="1"/>
  <c r="BO75" i="1"/>
  <c r="BP75" i="1"/>
  <c r="BQ75" i="1"/>
  <c r="BR75" i="1"/>
  <c r="BS75" i="1"/>
  <c r="BT75" i="1"/>
  <c r="BU75" i="1"/>
  <c r="BV75" i="1"/>
  <c r="CA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T75" i="1"/>
  <c r="CV75" i="1"/>
  <c r="CW75" i="1"/>
  <c r="CX75" i="1"/>
  <c r="CY75" i="1"/>
  <c r="CZ75" i="1"/>
  <c r="DA75" i="1"/>
  <c r="DB75" i="1"/>
  <c r="DC75" i="1"/>
  <c r="DD75" i="1"/>
  <c r="DM75" i="1"/>
  <c r="A76" i="1"/>
  <c r="B76" i="1"/>
  <c r="C76" i="1"/>
  <c r="D76" i="1"/>
  <c r="E76" i="1"/>
  <c r="F76" i="1"/>
  <c r="G76" i="1"/>
  <c r="K76" i="1"/>
  <c r="L76" i="1"/>
  <c r="M76" i="1"/>
  <c r="N76" i="1"/>
  <c r="O76" i="1"/>
  <c r="P76" i="1"/>
  <c r="Q76" i="1"/>
  <c r="R76" i="1"/>
  <c r="S76" i="1"/>
  <c r="T76" i="1"/>
  <c r="U76" i="1"/>
  <c r="Z76" i="1"/>
  <c r="AB76" i="1"/>
  <c r="AC76" i="1"/>
  <c r="AD76" i="1"/>
  <c r="AE76" i="1"/>
  <c r="AF76" i="1"/>
  <c r="AG76" i="1"/>
  <c r="AH76" i="1"/>
  <c r="AI76" i="1"/>
  <c r="AJ76" i="1"/>
  <c r="AK76" i="1"/>
  <c r="AL76" i="1"/>
  <c r="AQ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J76" i="1"/>
  <c r="BL76" i="1"/>
  <c r="BM76" i="1"/>
  <c r="BN76" i="1"/>
  <c r="BO76" i="1"/>
  <c r="BP76" i="1"/>
  <c r="BQ76" i="1"/>
  <c r="BR76" i="1"/>
  <c r="BS76" i="1"/>
  <c r="BT76" i="1"/>
  <c r="BU76" i="1"/>
  <c r="BV76" i="1"/>
  <c r="CA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T76" i="1"/>
  <c r="CV76" i="1"/>
  <c r="CW76" i="1"/>
  <c r="CX76" i="1"/>
  <c r="CY76" i="1"/>
  <c r="CZ76" i="1"/>
  <c r="DA76" i="1"/>
  <c r="DB76" i="1"/>
  <c r="DC76" i="1"/>
  <c r="DD76" i="1"/>
  <c r="DM76" i="1"/>
  <c r="A77" i="1"/>
  <c r="B77" i="1"/>
  <c r="C77" i="1"/>
  <c r="D77" i="1"/>
  <c r="E77" i="1"/>
  <c r="F77" i="1"/>
  <c r="G77" i="1"/>
  <c r="K77" i="1"/>
  <c r="L77" i="1"/>
  <c r="M77" i="1"/>
  <c r="N77" i="1"/>
  <c r="O77" i="1"/>
  <c r="P77" i="1"/>
  <c r="Q77" i="1"/>
  <c r="R77" i="1"/>
  <c r="S77" i="1"/>
  <c r="T77" i="1"/>
  <c r="U77" i="1"/>
  <c r="Z77" i="1"/>
  <c r="AB77" i="1"/>
  <c r="AC77" i="1"/>
  <c r="AD77" i="1"/>
  <c r="AE77" i="1"/>
  <c r="AF77" i="1"/>
  <c r="AG77" i="1"/>
  <c r="AH77" i="1"/>
  <c r="AI77" i="1"/>
  <c r="AJ77" i="1"/>
  <c r="AK77" i="1"/>
  <c r="AL77" i="1"/>
  <c r="AQ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J77" i="1"/>
  <c r="BL77" i="1"/>
  <c r="BM77" i="1"/>
  <c r="BN77" i="1"/>
  <c r="BO77" i="1"/>
  <c r="BP77" i="1"/>
  <c r="BQ77" i="1"/>
  <c r="BR77" i="1"/>
  <c r="BS77" i="1"/>
  <c r="BT77" i="1"/>
  <c r="BU77" i="1"/>
  <c r="BV77" i="1"/>
  <c r="CA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T77" i="1"/>
  <c r="CV77" i="1"/>
  <c r="CW77" i="1"/>
  <c r="CX77" i="1"/>
  <c r="CY77" i="1"/>
  <c r="CZ77" i="1"/>
  <c r="DA77" i="1"/>
  <c r="DB77" i="1"/>
  <c r="DC77" i="1"/>
  <c r="DD77" i="1"/>
  <c r="DM77" i="1"/>
  <c r="A78" i="1"/>
  <c r="B78" i="1"/>
  <c r="C78" i="1"/>
  <c r="D78" i="1"/>
  <c r="E78" i="1"/>
  <c r="F78" i="1"/>
  <c r="G78" i="1"/>
  <c r="K78" i="1"/>
  <c r="L78" i="1"/>
  <c r="M78" i="1"/>
  <c r="N78" i="1"/>
  <c r="O78" i="1"/>
  <c r="P78" i="1"/>
  <c r="Q78" i="1"/>
  <c r="R78" i="1"/>
  <c r="S78" i="1"/>
  <c r="T78" i="1"/>
  <c r="U78" i="1"/>
  <c r="Z78" i="1"/>
  <c r="AB78" i="1"/>
  <c r="AC78" i="1"/>
  <c r="AD78" i="1"/>
  <c r="AE78" i="1"/>
  <c r="AF78" i="1"/>
  <c r="AG78" i="1"/>
  <c r="AH78" i="1"/>
  <c r="AI78" i="1"/>
  <c r="AJ78" i="1"/>
  <c r="AK78" i="1"/>
  <c r="AL78" i="1"/>
  <c r="AQ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J78" i="1"/>
  <c r="BL78" i="1"/>
  <c r="BM78" i="1"/>
  <c r="BN78" i="1"/>
  <c r="BO78" i="1"/>
  <c r="BP78" i="1"/>
  <c r="BQ78" i="1"/>
  <c r="BR78" i="1"/>
  <c r="BS78" i="1"/>
  <c r="BT78" i="1"/>
  <c r="BU78" i="1"/>
  <c r="BV78" i="1"/>
  <c r="CA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T78" i="1"/>
  <c r="CV78" i="1"/>
  <c r="CW78" i="1"/>
  <c r="CX78" i="1"/>
  <c r="CY78" i="1"/>
  <c r="CZ78" i="1"/>
  <c r="DA78" i="1"/>
  <c r="DB78" i="1"/>
  <c r="DC78" i="1"/>
  <c r="DD78" i="1"/>
  <c r="DM78" i="1"/>
  <c r="DN78" i="1"/>
  <c r="A79" i="1"/>
  <c r="B79" i="1"/>
  <c r="C79" i="1"/>
  <c r="D79" i="1"/>
  <c r="E79" i="1"/>
  <c r="F79" i="1"/>
  <c r="G79" i="1"/>
  <c r="K79" i="1"/>
  <c r="L79" i="1"/>
  <c r="M79" i="1"/>
  <c r="N79" i="1"/>
  <c r="O79" i="1"/>
  <c r="P79" i="1"/>
  <c r="Q79" i="1"/>
  <c r="R79" i="1"/>
  <c r="S79" i="1"/>
  <c r="T79" i="1"/>
  <c r="U79" i="1"/>
  <c r="Z79" i="1"/>
  <c r="AB79" i="1"/>
  <c r="AC79" i="1"/>
  <c r="AD79" i="1"/>
  <c r="AE79" i="1"/>
  <c r="AF79" i="1"/>
  <c r="AG79" i="1"/>
  <c r="AH79" i="1"/>
  <c r="AI79" i="1"/>
  <c r="AJ79" i="1"/>
  <c r="AK79" i="1"/>
  <c r="AL79" i="1"/>
  <c r="AQ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J79" i="1"/>
  <c r="BL79" i="1"/>
  <c r="BM79" i="1"/>
  <c r="BN79" i="1"/>
  <c r="BO79" i="1"/>
  <c r="BP79" i="1"/>
  <c r="BQ79" i="1"/>
  <c r="BR79" i="1"/>
  <c r="BS79" i="1"/>
  <c r="BT79" i="1"/>
  <c r="BU79" i="1"/>
  <c r="BV79" i="1"/>
  <c r="CA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T79" i="1"/>
  <c r="CV79" i="1"/>
  <c r="CW79" i="1"/>
  <c r="CX79" i="1"/>
  <c r="CY79" i="1"/>
  <c r="CZ79" i="1"/>
  <c r="DA79" i="1"/>
  <c r="DB79" i="1"/>
  <c r="DC79" i="1"/>
  <c r="DD79" i="1"/>
  <c r="DM79" i="1"/>
  <c r="A80" i="1"/>
  <c r="B80" i="1"/>
  <c r="C80" i="1"/>
  <c r="D80" i="1"/>
  <c r="E80" i="1"/>
  <c r="F80" i="1"/>
  <c r="G80" i="1"/>
  <c r="K80" i="1"/>
  <c r="L80" i="1"/>
  <c r="M80" i="1"/>
  <c r="N80" i="1"/>
  <c r="O80" i="1"/>
  <c r="P80" i="1"/>
  <c r="Q80" i="1"/>
  <c r="R80" i="1"/>
  <c r="S80" i="1"/>
  <c r="T80" i="1"/>
  <c r="U80" i="1"/>
  <c r="Z80" i="1"/>
  <c r="AB80" i="1"/>
  <c r="AC80" i="1"/>
  <c r="AD80" i="1"/>
  <c r="AE80" i="1"/>
  <c r="AF80" i="1"/>
  <c r="AG80" i="1"/>
  <c r="AH80" i="1"/>
  <c r="AI80" i="1"/>
  <c r="AJ80" i="1"/>
  <c r="AK80" i="1"/>
  <c r="AL80" i="1"/>
  <c r="AQ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J80" i="1"/>
  <c r="BL80" i="1"/>
  <c r="BM80" i="1"/>
  <c r="BN80" i="1"/>
  <c r="BO80" i="1"/>
  <c r="BP80" i="1"/>
  <c r="BQ80" i="1"/>
  <c r="BR80" i="1"/>
  <c r="BS80" i="1"/>
  <c r="BT80" i="1"/>
  <c r="BU80" i="1"/>
  <c r="BV80" i="1"/>
  <c r="CA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T80" i="1"/>
  <c r="CV80" i="1"/>
  <c r="CW80" i="1"/>
  <c r="CX80" i="1"/>
  <c r="CY80" i="1"/>
  <c r="CZ80" i="1"/>
  <c r="DA80" i="1"/>
  <c r="DB80" i="1"/>
  <c r="DC80" i="1"/>
  <c r="DD80" i="1"/>
  <c r="A81" i="1"/>
  <c r="B81" i="1"/>
  <c r="C81" i="1"/>
  <c r="D81" i="1"/>
  <c r="E81" i="1"/>
  <c r="F81" i="1"/>
  <c r="G81" i="1"/>
  <c r="K81" i="1"/>
  <c r="L81" i="1"/>
  <c r="M81" i="1"/>
  <c r="N81" i="1"/>
  <c r="O81" i="1"/>
  <c r="P81" i="1"/>
  <c r="Q81" i="1"/>
  <c r="R81" i="1"/>
  <c r="S81" i="1"/>
  <c r="T81" i="1"/>
  <c r="U81" i="1"/>
  <c r="Z81" i="1"/>
  <c r="AB81" i="1"/>
  <c r="AC81" i="1"/>
  <c r="AD81" i="1"/>
  <c r="AE81" i="1"/>
  <c r="AF81" i="1"/>
  <c r="AG81" i="1"/>
  <c r="AH81" i="1"/>
  <c r="AI81" i="1"/>
  <c r="AJ81" i="1"/>
  <c r="AK81" i="1"/>
  <c r="AL81" i="1"/>
  <c r="AQ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J81" i="1"/>
  <c r="BL81" i="1"/>
  <c r="BM81" i="1"/>
  <c r="BN81" i="1"/>
  <c r="BO81" i="1"/>
  <c r="BP81" i="1"/>
  <c r="BQ81" i="1"/>
  <c r="BR81" i="1"/>
  <c r="BS81" i="1"/>
  <c r="BT81" i="1"/>
  <c r="BU81" i="1"/>
  <c r="BV81" i="1"/>
  <c r="CA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T81" i="1"/>
  <c r="CV81" i="1"/>
  <c r="CW81" i="1"/>
  <c r="CX81" i="1"/>
  <c r="CY81" i="1"/>
  <c r="CZ81" i="1"/>
  <c r="DA81" i="1"/>
  <c r="DB81" i="1"/>
  <c r="DC81" i="1"/>
  <c r="DD81" i="1"/>
  <c r="A82" i="1"/>
  <c r="B82" i="1"/>
  <c r="C82" i="1"/>
  <c r="D82" i="1"/>
  <c r="E82" i="1"/>
  <c r="F82" i="1"/>
  <c r="G82" i="1"/>
  <c r="K82" i="1"/>
  <c r="L82" i="1"/>
  <c r="M82" i="1"/>
  <c r="N82" i="1"/>
  <c r="O82" i="1"/>
  <c r="P82" i="1"/>
  <c r="Q82" i="1"/>
  <c r="R82" i="1"/>
  <c r="S82" i="1"/>
  <c r="T82" i="1"/>
  <c r="U82" i="1"/>
  <c r="Z82" i="1"/>
  <c r="AB82" i="1"/>
  <c r="AC82" i="1"/>
  <c r="AD82" i="1"/>
  <c r="AE82" i="1"/>
  <c r="AF82" i="1"/>
  <c r="AG82" i="1"/>
  <c r="AH82" i="1"/>
  <c r="AI82" i="1"/>
  <c r="AJ82" i="1"/>
  <c r="AK82" i="1"/>
  <c r="AL82" i="1"/>
  <c r="AQ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J82" i="1"/>
  <c r="BL82" i="1"/>
  <c r="BM82" i="1"/>
  <c r="BN82" i="1"/>
  <c r="BO82" i="1"/>
  <c r="BP82" i="1"/>
  <c r="BQ82" i="1"/>
  <c r="BR82" i="1"/>
  <c r="BS82" i="1"/>
  <c r="BT82" i="1"/>
  <c r="BU82" i="1"/>
  <c r="BV82" i="1"/>
  <c r="CA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T82" i="1"/>
  <c r="CV82" i="1"/>
  <c r="CW82" i="1"/>
  <c r="CX82" i="1"/>
  <c r="CY82" i="1"/>
  <c r="CZ82" i="1"/>
  <c r="DA82" i="1"/>
  <c r="DB82" i="1"/>
  <c r="DC82" i="1"/>
  <c r="DD82" i="1"/>
  <c r="DM82" i="1"/>
  <c r="A83" i="1"/>
  <c r="B83" i="1"/>
  <c r="C83" i="1"/>
  <c r="D83" i="1"/>
  <c r="E83" i="1"/>
  <c r="F83" i="1"/>
  <c r="G83" i="1"/>
  <c r="K83" i="1"/>
  <c r="L83" i="1"/>
  <c r="M83" i="1"/>
  <c r="N83" i="1"/>
  <c r="O83" i="1"/>
  <c r="P83" i="1"/>
  <c r="Q83" i="1"/>
  <c r="R83" i="1"/>
  <c r="S83" i="1"/>
  <c r="T83" i="1"/>
  <c r="U83" i="1"/>
  <c r="Z83" i="1"/>
  <c r="AB83" i="1"/>
  <c r="AC83" i="1"/>
  <c r="AD83" i="1"/>
  <c r="AE83" i="1"/>
  <c r="AF83" i="1"/>
  <c r="AG83" i="1"/>
  <c r="AH83" i="1"/>
  <c r="AI83" i="1"/>
  <c r="AJ83" i="1"/>
  <c r="AK83" i="1"/>
  <c r="AL83" i="1"/>
  <c r="AQ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J83" i="1"/>
  <c r="BL83" i="1"/>
  <c r="BM83" i="1"/>
  <c r="BN83" i="1"/>
  <c r="BO83" i="1"/>
  <c r="BP83" i="1"/>
  <c r="BQ83" i="1"/>
  <c r="BR83" i="1"/>
  <c r="BS83" i="1"/>
  <c r="BT83" i="1"/>
  <c r="BU83" i="1"/>
  <c r="BV83" i="1"/>
  <c r="CA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T83" i="1"/>
  <c r="CV83" i="1"/>
  <c r="CW83" i="1"/>
  <c r="CX83" i="1"/>
  <c r="CY83" i="1"/>
  <c r="CZ83" i="1"/>
  <c r="DA83" i="1"/>
  <c r="DB83" i="1"/>
  <c r="DC83" i="1"/>
  <c r="DD83" i="1"/>
  <c r="DM83" i="1"/>
  <c r="A84" i="1"/>
  <c r="B84" i="1"/>
  <c r="C84" i="1"/>
  <c r="D84" i="1"/>
  <c r="E84" i="1"/>
  <c r="F84" i="1"/>
  <c r="G84" i="1"/>
  <c r="K84" i="1"/>
  <c r="L84" i="1"/>
  <c r="M84" i="1"/>
  <c r="N84" i="1"/>
  <c r="O84" i="1"/>
  <c r="P84" i="1"/>
  <c r="Q84" i="1"/>
  <c r="R84" i="1"/>
  <c r="S84" i="1"/>
  <c r="T84" i="1"/>
  <c r="U84" i="1"/>
  <c r="Z84" i="1"/>
  <c r="AB84" i="1"/>
  <c r="AC84" i="1"/>
  <c r="AD84" i="1"/>
  <c r="AE84" i="1"/>
  <c r="AF84" i="1"/>
  <c r="AG84" i="1"/>
  <c r="AH84" i="1"/>
  <c r="AI84" i="1"/>
  <c r="AJ84" i="1"/>
  <c r="AK84" i="1"/>
  <c r="AL84" i="1"/>
  <c r="AQ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J84" i="1"/>
  <c r="BL84" i="1"/>
  <c r="BM84" i="1"/>
  <c r="BN84" i="1"/>
  <c r="BO84" i="1"/>
  <c r="BP84" i="1"/>
  <c r="BQ84" i="1"/>
  <c r="BR84" i="1"/>
  <c r="BS84" i="1"/>
  <c r="BT84" i="1"/>
  <c r="BU84" i="1"/>
  <c r="BV84" i="1"/>
  <c r="CA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T84" i="1"/>
  <c r="CV84" i="1"/>
  <c r="CW84" i="1"/>
  <c r="CX84" i="1"/>
  <c r="CY84" i="1"/>
  <c r="CZ84" i="1"/>
  <c r="DA84" i="1"/>
  <c r="DB84" i="1"/>
  <c r="DC84" i="1"/>
  <c r="DD84" i="1"/>
  <c r="DM84" i="1"/>
  <c r="A85" i="1"/>
  <c r="B85" i="1"/>
  <c r="C85" i="1"/>
  <c r="D85" i="1"/>
  <c r="E85" i="1"/>
  <c r="F85" i="1"/>
  <c r="G85" i="1"/>
  <c r="K85" i="1"/>
  <c r="L85" i="1"/>
  <c r="M85" i="1"/>
  <c r="N85" i="1"/>
  <c r="O85" i="1"/>
  <c r="P85" i="1"/>
  <c r="Q85" i="1"/>
  <c r="R85" i="1"/>
  <c r="S85" i="1"/>
  <c r="T85" i="1"/>
  <c r="U85" i="1"/>
  <c r="Z85" i="1"/>
  <c r="AB85" i="1"/>
  <c r="AC85" i="1"/>
  <c r="AD85" i="1"/>
  <c r="AE85" i="1"/>
  <c r="AF85" i="1"/>
  <c r="AG85" i="1"/>
  <c r="AH85" i="1"/>
  <c r="AI85" i="1"/>
  <c r="AJ85" i="1"/>
  <c r="AK85" i="1"/>
  <c r="AL85" i="1"/>
  <c r="AQ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J85" i="1"/>
  <c r="BL85" i="1"/>
  <c r="BM85" i="1"/>
  <c r="BN85" i="1"/>
  <c r="BO85" i="1"/>
  <c r="BP85" i="1"/>
  <c r="BQ85" i="1"/>
  <c r="BR85" i="1"/>
  <c r="BS85" i="1"/>
  <c r="BT85" i="1"/>
  <c r="BU85" i="1"/>
  <c r="BV85" i="1"/>
  <c r="CA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T85" i="1"/>
  <c r="CV85" i="1"/>
  <c r="CW85" i="1"/>
  <c r="CX85" i="1"/>
  <c r="CY85" i="1"/>
  <c r="CZ85" i="1"/>
  <c r="DA85" i="1"/>
  <c r="DB85" i="1"/>
  <c r="DC85" i="1"/>
  <c r="DD85" i="1"/>
  <c r="DM85" i="1"/>
  <c r="A86" i="1"/>
  <c r="B86" i="1"/>
  <c r="C86" i="1"/>
  <c r="D86" i="1"/>
  <c r="E86" i="1"/>
  <c r="F86" i="1"/>
  <c r="G86" i="1"/>
  <c r="K86" i="1"/>
  <c r="L86" i="1"/>
  <c r="M86" i="1"/>
  <c r="N86" i="1"/>
  <c r="O86" i="1"/>
  <c r="P86" i="1"/>
  <c r="Q86" i="1"/>
  <c r="R86" i="1"/>
  <c r="S86" i="1"/>
  <c r="T86" i="1"/>
  <c r="U86" i="1"/>
  <c r="Z86" i="1"/>
  <c r="AB86" i="1"/>
  <c r="AC86" i="1"/>
  <c r="AD86" i="1"/>
  <c r="AE86" i="1"/>
  <c r="AF86" i="1"/>
  <c r="AG86" i="1"/>
  <c r="AH86" i="1"/>
  <c r="AI86" i="1"/>
  <c r="AJ86" i="1"/>
  <c r="AK86" i="1"/>
  <c r="AL86" i="1"/>
  <c r="AQ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J86" i="1"/>
  <c r="BL86" i="1"/>
  <c r="BM86" i="1"/>
  <c r="BN86" i="1"/>
  <c r="BO86" i="1"/>
  <c r="BP86" i="1"/>
  <c r="BQ86" i="1"/>
  <c r="BR86" i="1"/>
  <c r="BS86" i="1"/>
  <c r="BT86" i="1"/>
  <c r="BU86" i="1"/>
  <c r="BV86" i="1"/>
  <c r="CA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T86" i="1"/>
  <c r="CV86" i="1"/>
  <c r="CW86" i="1"/>
  <c r="CX86" i="1"/>
  <c r="CY86" i="1"/>
  <c r="CZ86" i="1"/>
  <c r="DA86" i="1"/>
  <c r="DB86" i="1"/>
  <c r="DC86" i="1"/>
  <c r="DD86" i="1"/>
  <c r="DM86" i="1"/>
  <c r="A87" i="1"/>
  <c r="B87" i="1"/>
  <c r="C87" i="1"/>
  <c r="D87" i="1"/>
  <c r="E87" i="1"/>
  <c r="F87" i="1"/>
  <c r="G87" i="1"/>
  <c r="K87" i="1"/>
  <c r="L87" i="1"/>
  <c r="M87" i="1"/>
  <c r="N87" i="1"/>
  <c r="O87" i="1"/>
  <c r="P87" i="1"/>
  <c r="Q87" i="1"/>
  <c r="R87" i="1"/>
  <c r="S87" i="1"/>
  <c r="T87" i="1"/>
  <c r="U87" i="1"/>
  <c r="Z87" i="1"/>
  <c r="AB87" i="1"/>
  <c r="AC87" i="1"/>
  <c r="AD87" i="1"/>
  <c r="AE87" i="1"/>
  <c r="AF87" i="1"/>
  <c r="AG87" i="1"/>
  <c r="AH87" i="1"/>
  <c r="AI87" i="1"/>
  <c r="AJ87" i="1"/>
  <c r="AK87" i="1"/>
  <c r="AL87" i="1"/>
  <c r="AQ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J87" i="1"/>
  <c r="BL87" i="1"/>
  <c r="BM87" i="1"/>
  <c r="BN87" i="1"/>
  <c r="BO87" i="1"/>
  <c r="BP87" i="1"/>
  <c r="BQ87" i="1"/>
  <c r="BR87" i="1"/>
  <c r="BS87" i="1"/>
  <c r="BT87" i="1"/>
  <c r="BU87" i="1"/>
  <c r="BV87" i="1"/>
  <c r="CA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T87" i="1"/>
  <c r="CV87" i="1"/>
  <c r="CW87" i="1"/>
  <c r="CX87" i="1"/>
  <c r="CY87" i="1"/>
  <c r="CZ87" i="1"/>
  <c r="DA87" i="1"/>
  <c r="DB87" i="1"/>
  <c r="DC87" i="1"/>
  <c r="DD87" i="1"/>
  <c r="DM87" i="1"/>
  <c r="A88" i="1"/>
  <c r="B88" i="1"/>
  <c r="C88" i="1"/>
  <c r="D88" i="1"/>
  <c r="E88" i="1"/>
  <c r="F88" i="1"/>
  <c r="G88" i="1"/>
  <c r="K88" i="1"/>
  <c r="L88" i="1"/>
  <c r="M88" i="1"/>
  <c r="N88" i="1"/>
  <c r="O88" i="1"/>
  <c r="P88" i="1"/>
  <c r="Q88" i="1"/>
  <c r="R88" i="1"/>
  <c r="S88" i="1"/>
  <c r="T88" i="1"/>
  <c r="U88" i="1"/>
  <c r="Z88" i="1"/>
  <c r="AB88" i="1"/>
  <c r="AC88" i="1"/>
  <c r="AD88" i="1"/>
  <c r="AE88" i="1"/>
  <c r="AF88" i="1"/>
  <c r="AG88" i="1"/>
  <c r="AH88" i="1"/>
  <c r="AI88" i="1"/>
  <c r="AJ88" i="1"/>
  <c r="AK88" i="1"/>
  <c r="AL88" i="1"/>
  <c r="AQ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J88" i="1"/>
  <c r="BL88" i="1"/>
  <c r="BM88" i="1"/>
  <c r="BN88" i="1"/>
  <c r="BO88" i="1"/>
  <c r="BP88" i="1"/>
  <c r="BQ88" i="1"/>
  <c r="BR88" i="1"/>
  <c r="BS88" i="1"/>
  <c r="BT88" i="1"/>
  <c r="BU88" i="1"/>
  <c r="BV88" i="1"/>
  <c r="CA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T88" i="1"/>
  <c r="CV88" i="1"/>
  <c r="CW88" i="1"/>
  <c r="CX88" i="1"/>
  <c r="CY88" i="1"/>
  <c r="CZ88" i="1"/>
  <c r="DA88" i="1"/>
  <c r="DB88" i="1"/>
  <c r="DC88" i="1"/>
  <c r="DD88" i="1"/>
  <c r="DM88" i="1"/>
  <c r="A89" i="1"/>
  <c r="B89" i="1"/>
  <c r="C89" i="1"/>
  <c r="D89" i="1"/>
  <c r="E89" i="1"/>
  <c r="F89" i="1"/>
  <c r="G89" i="1"/>
  <c r="K89" i="1"/>
  <c r="L89" i="1"/>
  <c r="M89" i="1"/>
  <c r="N89" i="1"/>
  <c r="O89" i="1"/>
  <c r="P89" i="1"/>
  <c r="Q89" i="1"/>
  <c r="R89" i="1"/>
  <c r="S89" i="1"/>
  <c r="T89" i="1"/>
  <c r="U89" i="1"/>
  <c r="Z89" i="1"/>
  <c r="AB89" i="1"/>
  <c r="AC89" i="1"/>
  <c r="AD89" i="1"/>
  <c r="AE89" i="1"/>
  <c r="AF89" i="1"/>
  <c r="AG89" i="1"/>
  <c r="AH89" i="1"/>
  <c r="AI89" i="1"/>
  <c r="AJ89" i="1"/>
  <c r="AK89" i="1"/>
  <c r="AL89" i="1"/>
  <c r="AQ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J89" i="1"/>
  <c r="BL89" i="1"/>
  <c r="BM89" i="1"/>
  <c r="BN89" i="1"/>
  <c r="BO89" i="1"/>
  <c r="BP89" i="1"/>
  <c r="BQ89" i="1"/>
  <c r="BR89" i="1"/>
  <c r="BS89" i="1"/>
  <c r="BT89" i="1"/>
  <c r="BU89" i="1"/>
  <c r="BV89" i="1"/>
  <c r="CA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T89" i="1"/>
  <c r="CV89" i="1"/>
  <c r="CW89" i="1"/>
  <c r="CX89" i="1"/>
  <c r="CY89" i="1"/>
  <c r="CZ89" i="1"/>
  <c r="DA89" i="1"/>
  <c r="DB89" i="1"/>
  <c r="DC89" i="1"/>
  <c r="DD89" i="1"/>
  <c r="A90" i="1"/>
  <c r="B90" i="1"/>
  <c r="C90" i="1"/>
  <c r="D90" i="1"/>
  <c r="E90" i="1"/>
  <c r="F90" i="1"/>
  <c r="G90" i="1"/>
  <c r="K90" i="1"/>
  <c r="L90" i="1"/>
  <c r="M90" i="1"/>
  <c r="N90" i="1"/>
  <c r="O90" i="1"/>
  <c r="P90" i="1"/>
  <c r="Q90" i="1"/>
  <c r="R90" i="1"/>
  <c r="S90" i="1"/>
  <c r="T90" i="1"/>
  <c r="U90" i="1"/>
  <c r="Z90" i="1"/>
  <c r="AB90" i="1"/>
  <c r="AC90" i="1"/>
  <c r="AD90" i="1"/>
  <c r="AE90" i="1"/>
  <c r="AF90" i="1"/>
  <c r="AG90" i="1"/>
  <c r="AH90" i="1"/>
  <c r="AI90" i="1"/>
  <c r="AJ90" i="1"/>
  <c r="AK90" i="1"/>
  <c r="AL90" i="1"/>
  <c r="AQ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J90" i="1"/>
  <c r="BL90" i="1"/>
  <c r="BM90" i="1"/>
  <c r="BN90" i="1"/>
  <c r="BO90" i="1"/>
  <c r="BP90" i="1"/>
  <c r="BQ90" i="1"/>
  <c r="BR90" i="1"/>
  <c r="BS90" i="1"/>
  <c r="BT90" i="1"/>
  <c r="BU90" i="1"/>
  <c r="BV90" i="1"/>
  <c r="CA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T90" i="1"/>
  <c r="CV90" i="1"/>
  <c r="CW90" i="1"/>
  <c r="CX90" i="1"/>
  <c r="CY90" i="1"/>
  <c r="CZ90" i="1"/>
  <c r="DA90" i="1"/>
  <c r="DB90" i="1"/>
  <c r="DC90" i="1"/>
  <c r="DD90" i="1"/>
  <c r="DM90" i="1"/>
  <c r="A91" i="1"/>
  <c r="B91" i="1"/>
  <c r="C91" i="1"/>
  <c r="D91" i="1"/>
  <c r="E91" i="1"/>
  <c r="F91" i="1"/>
  <c r="G91" i="1"/>
  <c r="K91" i="1"/>
  <c r="L91" i="1"/>
  <c r="M91" i="1"/>
  <c r="N91" i="1"/>
  <c r="O91" i="1"/>
  <c r="P91" i="1"/>
  <c r="Q91" i="1"/>
  <c r="R91" i="1"/>
  <c r="S91" i="1"/>
  <c r="T91" i="1"/>
  <c r="U91" i="1"/>
  <c r="Z91" i="1"/>
  <c r="AB91" i="1"/>
  <c r="AC91" i="1"/>
  <c r="AD91" i="1"/>
  <c r="AE91" i="1"/>
  <c r="AF91" i="1"/>
  <c r="AG91" i="1"/>
  <c r="AH91" i="1"/>
  <c r="AI91" i="1"/>
  <c r="AJ91" i="1"/>
  <c r="AK91" i="1"/>
  <c r="AL91" i="1"/>
  <c r="AQ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J91" i="1"/>
  <c r="BL91" i="1"/>
  <c r="BM91" i="1"/>
  <c r="BN91" i="1"/>
  <c r="BO91" i="1"/>
  <c r="BP91" i="1"/>
  <c r="BQ91" i="1"/>
  <c r="BR91" i="1"/>
  <c r="BS91" i="1"/>
  <c r="BT91" i="1"/>
  <c r="BU91" i="1"/>
  <c r="BV91" i="1"/>
  <c r="CA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T91" i="1"/>
  <c r="CV91" i="1"/>
  <c r="CW91" i="1"/>
  <c r="CX91" i="1"/>
  <c r="CY91" i="1"/>
  <c r="CZ91" i="1"/>
  <c r="DA91" i="1"/>
  <c r="DB91" i="1"/>
  <c r="DC91" i="1"/>
  <c r="DD91" i="1"/>
  <c r="DM91" i="1"/>
  <c r="A92" i="1"/>
  <c r="B92" i="1"/>
  <c r="C92" i="1"/>
  <c r="D92" i="1"/>
  <c r="E92" i="1"/>
  <c r="F92" i="1"/>
  <c r="G92" i="1"/>
  <c r="K92" i="1"/>
  <c r="L92" i="1"/>
  <c r="M92" i="1"/>
  <c r="N92" i="1"/>
  <c r="O92" i="1"/>
  <c r="P92" i="1"/>
  <c r="Q92" i="1"/>
  <c r="R92" i="1"/>
  <c r="S92" i="1"/>
  <c r="T92" i="1"/>
  <c r="U92" i="1"/>
  <c r="Z92" i="1"/>
  <c r="AB92" i="1"/>
  <c r="AC92" i="1"/>
  <c r="AD92" i="1"/>
  <c r="AE92" i="1"/>
  <c r="AF92" i="1"/>
  <c r="AG92" i="1"/>
  <c r="AH92" i="1"/>
  <c r="AI92" i="1"/>
  <c r="AJ92" i="1"/>
  <c r="AK92" i="1"/>
  <c r="AL92" i="1"/>
  <c r="AQ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J92" i="1"/>
  <c r="BL92" i="1"/>
  <c r="BM92" i="1"/>
  <c r="BN92" i="1"/>
  <c r="BO92" i="1"/>
  <c r="BP92" i="1"/>
  <c r="BQ92" i="1"/>
  <c r="BR92" i="1"/>
  <c r="BS92" i="1"/>
  <c r="BT92" i="1"/>
  <c r="BU92" i="1"/>
  <c r="BV92" i="1"/>
  <c r="CA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T92" i="1"/>
  <c r="CV92" i="1"/>
  <c r="CW92" i="1"/>
  <c r="CX92" i="1"/>
  <c r="CY92" i="1"/>
  <c r="CZ92" i="1"/>
  <c r="DA92" i="1"/>
  <c r="DB92" i="1"/>
  <c r="DC92" i="1"/>
  <c r="DD92" i="1"/>
  <c r="DM92" i="1"/>
  <c r="A93" i="1"/>
  <c r="B93" i="1"/>
  <c r="K93" i="1"/>
  <c r="L93" i="1"/>
  <c r="M93" i="1"/>
  <c r="N93" i="1"/>
  <c r="O93" i="1"/>
  <c r="P93" i="1"/>
  <c r="Q93" i="1"/>
  <c r="R93" i="1"/>
  <c r="S93" i="1"/>
  <c r="T93" i="1"/>
  <c r="U93" i="1"/>
  <c r="AB93" i="1"/>
  <c r="AC93" i="1"/>
  <c r="AD93" i="1"/>
  <c r="AE93" i="1"/>
  <c r="AF93" i="1"/>
  <c r="AG93" i="1"/>
  <c r="AH93" i="1"/>
  <c r="AI93" i="1"/>
  <c r="AJ93" i="1"/>
  <c r="AK93" i="1"/>
  <c r="AL93" i="1"/>
  <c r="AQ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J93" i="1"/>
  <c r="BL93" i="1"/>
  <c r="BM93" i="1"/>
  <c r="BN93" i="1"/>
  <c r="BO93" i="1"/>
  <c r="BP93" i="1"/>
  <c r="BQ93" i="1"/>
  <c r="BR93" i="1"/>
  <c r="BS93" i="1"/>
  <c r="BT93" i="1"/>
  <c r="BU93" i="1"/>
  <c r="BV93" i="1"/>
  <c r="CA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T93" i="1"/>
  <c r="CV93" i="1"/>
  <c r="CW93" i="1"/>
  <c r="CX93" i="1"/>
  <c r="CY93" i="1"/>
  <c r="CZ93" i="1"/>
  <c r="DA93" i="1"/>
  <c r="DB93" i="1"/>
  <c r="DC93" i="1"/>
  <c r="DD93" i="1"/>
  <c r="DN93" i="1"/>
  <c r="K94" i="1"/>
  <c r="L94" i="1"/>
  <c r="M94" i="1"/>
  <c r="N94" i="1"/>
  <c r="O94" i="1"/>
  <c r="P94" i="1"/>
  <c r="Q94" i="1"/>
  <c r="R94" i="1"/>
  <c r="S94" i="1"/>
  <c r="T94" i="1"/>
  <c r="U94" i="1"/>
  <c r="AB94" i="1"/>
  <c r="AC94" i="1"/>
  <c r="AD94" i="1"/>
  <c r="AE94" i="1"/>
  <c r="AF94" i="1"/>
  <c r="AG94" i="1"/>
  <c r="AH94" i="1"/>
  <c r="AI94" i="1"/>
  <c r="AJ94" i="1"/>
  <c r="AK94" i="1"/>
  <c r="AL94" i="1"/>
  <c r="AQ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J94" i="1"/>
  <c r="BL94" i="1"/>
  <c r="BM94" i="1"/>
  <c r="BN94" i="1"/>
  <c r="BO94" i="1"/>
  <c r="BP94" i="1"/>
  <c r="BQ94" i="1"/>
  <c r="BR94" i="1"/>
  <c r="BS94" i="1"/>
  <c r="BT94" i="1"/>
  <c r="BU94" i="1"/>
  <c r="BV94" i="1"/>
  <c r="CA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T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M94" i="1"/>
  <c r="K95" i="1"/>
  <c r="L95" i="1"/>
  <c r="M95" i="1"/>
  <c r="N95" i="1"/>
  <c r="O95" i="1"/>
  <c r="P95" i="1"/>
  <c r="Q95" i="1"/>
  <c r="R95" i="1"/>
  <c r="S95" i="1"/>
  <c r="T95" i="1"/>
  <c r="U95" i="1"/>
  <c r="AB95" i="1"/>
  <c r="AC95" i="1"/>
  <c r="AD95" i="1"/>
  <c r="AE95" i="1"/>
  <c r="AF95" i="1"/>
  <c r="AG95" i="1"/>
  <c r="AH95" i="1"/>
  <c r="AI95" i="1"/>
  <c r="AJ95" i="1"/>
  <c r="AK95" i="1"/>
  <c r="AL95" i="1"/>
  <c r="AQ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J95" i="1"/>
  <c r="BL95" i="1"/>
  <c r="BM95" i="1"/>
  <c r="BN95" i="1"/>
  <c r="BO95" i="1"/>
  <c r="BP95" i="1"/>
  <c r="BQ95" i="1"/>
  <c r="BR95" i="1"/>
  <c r="BS95" i="1"/>
  <c r="BT95" i="1"/>
  <c r="BU95" i="1"/>
  <c r="BV95" i="1"/>
  <c r="CA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T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M95" i="1"/>
  <c r="K96" i="1"/>
  <c r="L96" i="1"/>
  <c r="M96" i="1"/>
  <c r="N96" i="1"/>
  <c r="O96" i="1"/>
  <c r="P96" i="1"/>
  <c r="Q96" i="1"/>
  <c r="R96" i="1"/>
  <c r="S96" i="1"/>
  <c r="T96" i="1"/>
  <c r="U96" i="1"/>
  <c r="AB96" i="1"/>
  <c r="AC96" i="1"/>
  <c r="AD96" i="1"/>
  <c r="AE96" i="1"/>
  <c r="AF96" i="1"/>
  <c r="AG96" i="1"/>
  <c r="AH96" i="1"/>
  <c r="AI96" i="1"/>
  <c r="AJ96" i="1"/>
  <c r="AK96" i="1"/>
  <c r="AL96" i="1"/>
  <c r="AQ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J96" i="1"/>
  <c r="BL96" i="1"/>
  <c r="BM96" i="1"/>
  <c r="BN96" i="1"/>
  <c r="BO96" i="1"/>
  <c r="BP96" i="1"/>
  <c r="BQ96" i="1"/>
  <c r="BR96" i="1"/>
  <c r="BS96" i="1"/>
  <c r="BT96" i="1"/>
  <c r="BU96" i="1"/>
  <c r="BV96" i="1"/>
  <c r="CA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T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M96" i="1"/>
  <c r="K97" i="1"/>
  <c r="L97" i="1"/>
  <c r="M97" i="1"/>
  <c r="N97" i="1"/>
  <c r="O97" i="1"/>
  <c r="P97" i="1"/>
  <c r="Q97" i="1"/>
  <c r="R97" i="1"/>
  <c r="S97" i="1"/>
  <c r="T97" i="1"/>
  <c r="U97" i="1"/>
  <c r="AB97" i="1"/>
  <c r="AC97" i="1"/>
  <c r="AD97" i="1"/>
  <c r="AE97" i="1"/>
  <c r="AF97" i="1"/>
  <c r="AG97" i="1"/>
  <c r="AH97" i="1"/>
  <c r="AI97" i="1"/>
  <c r="AJ97" i="1"/>
  <c r="AK97" i="1"/>
  <c r="AL97" i="1"/>
  <c r="AQ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J97" i="1"/>
  <c r="BL97" i="1"/>
  <c r="BM97" i="1"/>
  <c r="BN97" i="1"/>
  <c r="BO97" i="1"/>
  <c r="BP97" i="1"/>
  <c r="BQ97" i="1"/>
  <c r="BR97" i="1"/>
  <c r="BS97" i="1"/>
  <c r="BT97" i="1"/>
  <c r="BU97" i="1"/>
  <c r="BV97" i="1"/>
  <c r="CA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T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K98" i="1"/>
  <c r="L98" i="1"/>
  <c r="M98" i="1"/>
  <c r="N98" i="1"/>
  <c r="O98" i="1"/>
  <c r="P98" i="1"/>
  <c r="Q98" i="1"/>
  <c r="R98" i="1"/>
  <c r="S98" i="1"/>
  <c r="T98" i="1"/>
  <c r="U98" i="1"/>
  <c r="AB98" i="1"/>
  <c r="AC98" i="1"/>
  <c r="AD98" i="1"/>
  <c r="AE98" i="1"/>
  <c r="AF98" i="1"/>
  <c r="AG98" i="1"/>
  <c r="AH98" i="1"/>
  <c r="AI98" i="1"/>
  <c r="AJ98" i="1"/>
  <c r="AK98" i="1"/>
  <c r="AL98" i="1"/>
  <c r="AQ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J98" i="1"/>
  <c r="BL98" i="1"/>
  <c r="BM98" i="1"/>
  <c r="BN98" i="1"/>
  <c r="BO98" i="1"/>
  <c r="BP98" i="1"/>
  <c r="BQ98" i="1"/>
  <c r="BR98" i="1"/>
  <c r="BS98" i="1"/>
  <c r="BT98" i="1"/>
  <c r="BU98" i="1"/>
  <c r="BV98" i="1"/>
  <c r="CA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T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K99" i="1"/>
  <c r="L99" i="1"/>
  <c r="M99" i="1"/>
  <c r="N99" i="1"/>
  <c r="O99" i="1"/>
  <c r="P99" i="1"/>
  <c r="Q99" i="1"/>
  <c r="R99" i="1"/>
  <c r="S99" i="1"/>
  <c r="T99" i="1"/>
  <c r="U99" i="1"/>
  <c r="AB99" i="1"/>
  <c r="AC99" i="1"/>
  <c r="AD99" i="1"/>
  <c r="AE99" i="1"/>
  <c r="AF99" i="1"/>
  <c r="AG99" i="1"/>
  <c r="AH99" i="1"/>
  <c r="AI99" i="1"/>
  <c r="AJ99" i="1"/>
  <c r="AK99" i="1"/>
  <c r="AL99" i="1"/>
  <c r="AQ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J99" i="1"/>
  <c r="BL99" i="1"/>
  <c r="BM99" i="1"/>
  <c r="BN99" i="1"/>
  <c r="BO99" i="1"/>
  <c r="BP99" i="1"/>
  <c r="BQ99" i="1"/>
  <c r="BR99" i="1"/>
  <c r="BS99" i="1"/>
  <c r="BT99" i="1"/>
  <c r="BU99" i="1"/>
  <c r="BV99" i="1"/>
  <c r="CA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T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K100" i="1"/>
  <c r="L100" i="1"/>
  <c r="M100" i="1"/>
  <c r="N100" i="1"/>
  <c r="O100" i="1"/>
  <c r="P100" i="1"/>
  <c r="Q100" i="1"/>
  <c r="R100" i="1"/>
  <c r="S100" i="1"/>
  <c r="T100" i="1"/>
  <c r="U100" i="1"/>
  <c r="AB100" i="1"/>
  <c r="AC100" i="1"/>
  <c r="AD100" i="1"/>
  <c r="AE100" i="1"/>
  <c r="AF100" i="1"/>
  <c r="AG100" i="1"/>
  <c r="AH100" i="1"/>
  <c r="AI100" i="1"/>
  <c r="AJ100" i="1"/>
  <c r="AK100" i="1"/>
  <c r="AL100" i="1"/>
  <c r="AQ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J100" i="1"/>
  <c r="BL100" i="1"/>
  <c r="BM100" i="1"/>
  <c r="BN100" i="1"/>
  <c r="BO100" i="1"/>
  <c r="BP100" i="1"/>
  <c r="BQ100" i="1"/>
  <c r="BR100" i="1"/>
  <c r="BS100" i="1"/>
  <c r="BT100" i="1"/>
  <c r="BU100" i="1"/>
  <c r="BV100" i="1"/>
  <c r="CA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T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K101" i="1"/>
  <c r="L101" i="1"/>
  <c r="M101" i="1"/>
  <c r="N101" i="1"/>
  <c r="O101" i="1"/>
  <c r="P101" i="1"/>
  <c r="Q101" i="1"/>
  <c r="R101" i="1"/>
  <c r="S101" i="1"/>
  <c r="T101" i="1"/>
  <c r="U101" i="1"/>
  <c r="AB101" i="1"/>
  <c r="AC101" i="1"/>
  <c r="AD101" i="1"/>
  <c r="AE101" i="1"/>
  <c r="AF101" i="1"/>
  <c r="AG101" i="1"/>
  <c r="AH101" i="1"/>
  <c r="AI101" i="1"/>
  <c r="AJ101" i="1"/>
  <c r="AK101" i="1"/>
  <c r="AL101" i="1"/>
  <c r="AQ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J101" i="1"/>
  <c r="BL101" i="1"/>
  <c r="BM101" i="1"/>
  <c r="BN101" i="1"/>
  <c r="BO101" i="1"/>
  <c r="BP101" i="1"/>
  <c r="BQ101" i="1"/>
  <c r="BR101" i="1"/>
  <c r="BS101" i="1"/>
  <c r="BT101" i="1"/>
  <c r="BU101" i="1"/>
  <c r="BV101" i="1"/>
  <c r="CA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T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K102" i="1"/>
  <c r="L102" i="1"/>
  <c r="M102" i="1"/>
  <c r="N102" i="1"/>
  <c r="O102" i="1"/>
  <c r="P102" i="1"/>
  <c r="Q102" i="1"/>
  <c r="R102" i="1"/>
  <c r="S102" i="1"/>
  <c r="T102" i="1"/>
  <c r="U102" i="1"/>
  <c r="AB102" i="1"/>
  <c r="AC102" i="1"/>
  <c r="AD102" i="1"/>
  <c r="AE102" i="1"/>
  <c r="AF102" i="1"/>
  <c r="AG102" i="1"/>
  <c r="AH102" i="1"/>
  <c r="AI102" i="1"/>
  <c r="AJ102" i="1"/>
  <c r="AK102" i="1"/>
  <c r="AL102" i="1"/>
  <c r="AQ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J102" i="1"/>
  <c r="BL102" i="1"/>
  <c r="BM102" i="1"/>
  <c r="BN102" i="1"/>
  <c r="BO102" i="1"/>
  <c r="BP102" i="1"/>
  <c r="BQ102" i="1"/>
  <c r="BR102" i="1"/>
  <c r="BS102" i="1"/>
  <c r="BT102" i="1"/>
  <c r="BU102" i="1"/>
  <c r="BV102" i="1"/>
  <c r="CA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T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K103" i="1"/>
  <c r="L103" i="1"/>
  <c r="M103" i="1"/>
  <c r="N103" i="1"/>
  <c r="O103" i="1"/>
  <c r="P103" i="1"/>
  <c r="Q103" i="1"/>
  <c r="R103" i="1"/>
  <c r="S103" i="1"/>
  <c r="T103" i="1"/>
  <c r="U103" i="1"/>
  <c r="AB103" i="1"/>
  <c r="AC103" i="1"/>
  <c r="AD103" i="1"/>
  <c r="AE103" i="1"/>
  <c r="AF103" i="1"/>
  <c r="AG103" i="1"/>
  <c r="AH103" i="1"/>
  <c r="AI103" i="1"/>
  <c r="AJ103" i="1"/>
  <c r="AK103" i="1"/>
  <c r="AL103" i="1"/>
  <c r="AQ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J103" i="1"/>
  <c r="BL103" i="1"/>
  <c r="BM103" i="1"/>
  <c r="BN103" i="1"/>
  <c r="BO103" i="1"/>
  <c r="BP103" i="1"/>
  <c r="BQ103" i="1"/>
  <c r="BR103" i="1"/>
  <c r="BS103" i="1"/>
  <c r="BT103" i="1"/>
  <c r="BU103" i="1"/>
  <c r="BV103" i="1"/>
  <c r="CA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T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M103" i="1"/>
  <c r="K104" i="1"/>
  <c r="L104" i="1"/>
  <c r="M104" i="1"/>
  <c r="N104" i="1"/>
  <c r="O104" i="1"/>
  <c r="P104" i="1"/>
  <c r="Q104" i="1"/>
  <c r="R104" i="1"/>
  <c r="S104" i="1"/>
  <c r="T104" i="1"/>
  <c r="U104" i="1"/>
  <c r="AB104" i="1"/>
  <c r="AC104" i="1"/>
  <c r="AD104" i="1"/>
  <c r="AE104" i="1"/>
  <c r="AF104" i="1"/>
  <c r="AG104" i="1"/>
  <c r="AH104" i="1"/>
  <c r="AI104" i="1"/>
  <c r="AJ104" i="1"/>
  <c r="AK104" i="1"/>
  <c r="AL104" i="1"/>
  <c r="AQ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J104" i="1"/>
  <c r="BL104" i="1"/>
  <c r="BM104" i="1"/>
  <c r="BN104" i="1"/>
  <c r="BO104" i="1"/>
  <c r="BP104" i="1"/>
  <c r="BQ104" i="1"/>
  <c r="BR104" i="1"/>
  <c r="BS104" i="1"/>
  <c r="BT104" i="1"/>
  <c r="BU104" i="1"/>
  <c r="BV104" i="1"/>
  <c r="CA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T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M104" i="1"/>
  <c r="K105" i="1"/>
  <c r="L105" i="1"/>
  <c r="M105" i="1"/>
  <c r="N105" i="1"/>
  <c r="O105" i="1"/>
  <c r="P105" i="1"/>
  <c r="Q105" i="1"/>
  <c r="R105" i="1"/>
  <c r="S105" i="1"/>
  <c r="T105" i="1"/>
  <c r="U105" i="1"/>
  <c r="AB105" i="1"/>
  <c r="AC105" i="1"/>
  <c r="AD105" i="1"/>
  <c r="AE105" i="1"/>
  <c r="AF105" i="1"/>
  <c r="AG105" i="1"/>
  <c r="AH105" i="1"/>
  <c r="AI105" i="1"/>
  <c r="AJ105" i="1"/>
  <c r="AK105" i="1"/>
  <c r="AL105" i="1"/>
  <c r="AQ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J105" i="1"/>
  <c r="BL105" i="1"/>
  <c r="BM105" i="1"/>
  <c r="BN105" i="1"/>
  <c r="BO105" i="1"/>
  <c r="BP105" i="1"/>
  <c r="BQ105" i="1"/>
  <c r="BR105" i="1"/>
  <c r="BS105" i="1"/>
  <c r="BT105" i="1"/>
  <c r="BU105" i="1"/>
  <c r="BV105" i="1"/>
  <c r="CA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T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M105" i="1"/>
  <c r="K106" i="1"/>
  <c r="L106" i="1"/>
  <c r="M106" i="1"/>
  <c r="N106" i="1"/>
  <c r="O106" i="1"/>
  <c r="P106" i="1"/>
  <c r="Q106" i="1"/>
  <c r="R106" i="1"/>
  <c r="S106" i="1"/>
  <c r="T106" i="1"/>
  <c r="U106" i="1"/>
  <c r="AB106" i="1"/>
  <c r="AC106" i="1"/>
  <c r="AD106" i="1"/>
  <c r="AE106" i="1"/>
  <c r="AF106" i="1"/>
  <c r="AG106" i="1"/>
  <c r="AH106" i="1"/>
  <c r="AI106" i="1"/>
  <c r="AJ106" i="1"/>
  <c r="AK106" i="1"/>
  <c r="AL106" i="1"/>
  <c r="AQ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J106" i="1"/>
  <c r="BL106" i="1"/>
  <c r="BM106" i="1"/>
  <c r="BN106" i="1"/>
  <c r="BO106" i="1"/>
  <c r="BP106" i="1"/>
  <c r="BQ106" i="1"/>
  <c r="BR106" i="1"/>
  <c r="BS106" i="1"/>
  <c r="BT106" i="1"/>
  <c r="BU106" i="1"/>
  <c r="BV106" i="1"/>
  <c r="CA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T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M106" i="1"/>
  <c r="K107" i="1"/>
  <c r="L107" i="1"/>
  <c r="M107" i="1"/>
  <c r="N107" i="1"/>
  <c r="O107" i="1"/>
  <c r="P107" i="1"/>
  <c r="Q107" i="1"/>
  <c r="R107" i="1"/>
  <c r="S107" i="1"/>
  <c r="T107" i="1"/>
  <c r="U107" i="1"/>
  <c r="AB107" i="1"/>
  <c r="AC107" i="1"/>
  <c r="AD107" i="1"/>
  <c r="AE107" i="1"/>
  <c r="AF107" i="1"/>
  <c r="AG107" i="1"/>
  <c r="AH107" i="1"/>
  <c r="AI107" i="1"/>
  <c r="AJ107" i="1"/>
  <c r="AK107" i="1"/>
  <c r="AL107" i="1"/>
  <c r="AQ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J107" i="1"/>
  <c r="BL107" i="1"/>
  <c r="BM107" i="1"/>
  <c r="BN107" i="1"/>
  <c r="BO107" i="1"/>
  <c r="BP107" i="1"/>
  <c r="BQ107" i="1"/>
  <c r="BR107" i="1"/>
  <c r="BS107" i="1"/>
  <c r="BT107" i="1"/>
  <c r="BU107" i="1"/>
  <c r="BV107" i="1"/>
  <c r="CA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T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M107" i="1"/>
  <c r="C108" i="1"/>
  <c r="D108" i="1"/>
  <c r="E108" i="1"/>
  <c r="F108" i="1"/>
  <c r="G108" i="1"/>
  <c r="K108" i="1"/>
  <c r="L108" i="1"/>
  <c r="M108" i="1"/>
  <c r="N108" i="1"/>
  <c r="O108" i="1"/>
  <c r="P108" i="1"/>
  <c r="Q108" i="1"/>
  <c r="R108" i="1"/>
  <c r="S108" i="1"/>
  <c r="T108" i="1"/>
  <c r="U108" i="1"/>
  <c r="W108" i="1"/>
  <c r="X108" i="1"/>
  <c r="Y108" i="1"/>
  <c r="Z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E108" i="1"/>
  <c r="CF108" i="1"/>
  <c r="CG108" i="1"/>
  <c r="CH108" i="1"/>
  <c r="CI108" i="1"/>
  <c r="CJ108" i="1"/>
  <c r="CK108" i="1"/>
  <c r="CP108" i="1"/>
  <c r="CQ108" i="1"/>
  <c r="CR108" i="1"/>
  <c r="CS108" i="1"/>
  <c r="CT108" i="1"/>
</calcChain>
</file>

<file path=xl/sharedStrings.xml><?xml version="1.0" encoding="utf-8"?>
<sst xmlns="http://schemas.openxmlformats.org/spreadsheetml/2006/main" count="770" uniqueCount="66">
  <si>
    <t>Appendix A</t>
  </si>
  <si>
    <t>Balancing Entity Detail Report and Significant Contributor Calculations</t>
  </si>
  <si>
    <r>
      <t>Significant Contributor</t>
    </r>
    <r>
      <rPr>
        <b/>
        <vertAlign val="superscript"/>
        <sz val="12"/>
        <rFont val="Arial"/>
        <family val="2"/>
      </rPr>
      <t>2</t>
    </r>
  </si>
  <si>
    <t>Targeted under Customer-Specific</t>
  </si>
  <si>
    <t>Significant Contributor per Settlement</t>
  </si>
  <si>
    <t>OFO Day Imbalance Increase &gt;</t>
  </si>
  <si>
    <t>dth</t>
  </si>
  <si>
    <t xml:space="preserve">Significant Cont &gt; </t>
  </si>
  <si>
    <t>Dth Only</t>
  </si>
  <si>
    <t xml:space="preserve">Significant Contribution &gt;  </t>
  </si>
  <si>
    <t>Only</t>
  </si>
  <si>
    <t>Balancing Entity ID #</t>
  </si>
  <si>
    <r>
      <t>Balancing Entity Type</t>
    </r>
    <r>
      <rPr>
        <b/>
        <vertAlign val="superscript"/>
        <sz val="12"/>
        <rFont val="Arial"/>
        <family val="2"/>
      </rPr>
      <t>1</t>
    </r>
  </si>
  <si>
    <t>Targeted during Customer Specific</t>
  </si>
  <si>
    <t>3-Day Volume + Percent Imbalance</t>
  </si>
  <si>
    <t>3-Day Volume Imbalance Only</t>
  </si>
  <si>
    <t>3-Day Percent Imbalance Only</t>
  </si>
  <si>
    <t>OFO Day Supply &amp; Imbalance Increase</t>
  </si>
  <si>
    <t>Balancing Entity      ID #</t>
  </si>
  <si>
    <t>Balancing Entity Type1</t>
  </si>
  <si>
    <t>Total for Entity</t>
  </si>
  <si>
    <t>Dth Threshold</t>
  </si>
  <si>
    <t>---</t>
  </si>
  <si>
    <t>----</t>
  </si>
  <si>
    <t>Percent Threshold</t>
  </si>
  <si>
    <t>CTARGAS</t>
  </si>
  <si>
    <t>NBAA</t>
  </si>
  <si>
    <t>NGSA</t>
  </si>
  <si>
    <t>Total</t>
  </si>
  <si>
    <t>Assumptions:</t>
  </si>
  <si>
    <t>Thresholds for Significant</t>
  </si>
  <si>
    <t xml:space="preserve">   Dth</t>
  </si>
  <si>
    <t xml:space="preserve">   Percent</t>
  </si>
  <si>
    <t>Threshold for OFO Day Increase</t>
  </si>
  <si>
    <t>OFO Balancing Entity Detail Report</t>
  </si>
  <si>
    <t>OFO Date:</t>
  </si>
  <si>
    <t>OFO Reason:</t>
  </si>
  <si>
    <t>High Inventory</t>
  </si>
  <si>
    <t>1% Tolerance</t>
  </si>
  <si>
    <t>OFO Type:</t>
  </si>
  <si>
    <t>System-Wide</t>
  </si>
  <si>
    <r>
      <t>Significant Contributor</t>
    </r>
    <r>
      <rPr>
        <b/>
        <vertAlign val="superscript"/>
        <sz val="10"/>
        <rFont val="Arial"/>
        <family val="2"/>
      </rPr>
      <t>2</t>
    </r>
  </si>
  <si>
    <t>Balancing Entity           ID #</t>
  </si>
  <si>
    <r>
      <t>Balancing Entity Type</t>
    </r>
    <r>
      <rPr>
        <b/>
        <vertAlign val="superscript"/>
        <sz val="9"/>
        <rFont val="Arial"/>
        <family val="2"/>
      </rPr>
      <t>1</t>
    </r>
  </si>
  <si>
    <t>Supply Scheduled Volume</t>
  </si>
  <si>
    <t>Usage</t>
  </si>
  <si>
    <t>Daily Imbalance</t>
  </si>
  <si>
    <t>3-Day Prior Net Imbalance</t>
  </si>
  <si>
    <t>3-Day Prior Percent Imbalance</t>
  </si>
  <si>
    <t>"Targeted" under          Cust-Spec.</t>
  </si>
  <si>
    <t>OFO Day Imbalance Increase          &gt; dth</t>
  </si>
  <si>
    <t>% of Usage</t>
  </si>
  <si>
    <t>3% Tolerance</t>
  </si>
  <si>
    <t>Customer-Specific</t>
  </si>
  <si>
    <t>Low Inventory</t>
  </si>
  <si>
    <t>Stage 3</t>
  </si>
  <si>
    <t>&gt; Vol. Only</t>
  </si>
  <si>
    <t>&gt; % Only</t>
  </si>
  <si>
    <t>1.   CTARGAS is a Core Procurement Group; NBAA is  group of noncore enduse customers; NGSA is an individual customer.</t>
  </si>
  <si>
    <t>Average for Entity</t>
  </si>
  <si>
    <t xml:space="preserve"> Average OFO Day Usage Calculation</t>
  </si>
  <si>
    <t>cta</t>
  </si>
  <si>
    <t>2.  "Significant Contributor" per the OFO Settlement is the "3-Day Volume +  Percent Imbalance" Column.  The other significant contributor measures are for additional information.</t>
  </si>
  <si>
    <t>2% Tolerance</t>
  </si>
  <si>
    <t>0% Tolerance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</si>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</sst>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%"/>
  </numFmts>
  <fonts count="1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Continuous"/>
    </xf>
    <xf numFmtId="14" fontId="3" fillId="0" borderId="0" xfId="0" applyNumberFormat="1" applyFont="1" applyAlignment="1">
      <alignment horizontal="centerContinuous"/>
    </xf>
    <xf numFmtId="0" fontId="1" fillId="0" borderId="3" xfId="0" applyFont="1" applyBorder="1" applyAlignment="1">
      <alignment horizontal="center"/>
    </xf>
    <xf numFmtId="9" fontId="1" fillId="0" borderId="0" xfId="0" applyNumberFormat="1" applyFont="1"/>
    <xf numFmtId="0" fontId="1" fillId="0" borderId="4" xfId="0" applyFont="1" applyBorder="1" applyAlignment="1">
      <alignment horizontal="center"/>
    </xf>
    <xf numFmtId="0" fontId="0" fillId="0" borderId="0" xfId="0" applyBorder="1"/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8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1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12" fillId="0" borderId="0" xfId="0" applyFont="1" applyBorder="1"/>
    <xf numFmtId="3" fontId="10" fillId="0" borderId="0" xfId="0" applyNumberFormat="1" applyFont="1" applyBorder="1"/>
    <xf numFmtId="9" fontId="10" fillId="0" borderId="0" xfId="0" applyNumberFormat="1" applyFont="1" applyBorder="1"/>
    <xf numFmtId="0" fontId="3" fillId="0" borderId="15" xfId="0" applyFont="1" applyBorder="1" applyAlignment="1">
      <alignment horizontal="center" wrapText="1"/>
    </xf>
    <xf numFmtId="3" fontId="3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 wrapText="1"/>
    </xf>
    <xf numFmtId="0" fontId="3" fillId="0" borderId="19" xfId="0" quotePrefix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quotePrefix="1" applyFont="1" applyBorder="1" applyAlignment="1">
      <alignment horizontal="center" vertical="center" wrapText="1"/>
    </xf>
    <xf numFmtId="9" fontId="3" fillId="0" borderId="24" xfId="0" applyNumberFormat="1" applyFont="1" applyBorder="1" applyAlignment="1">
      <alignment horizontal="center" vertical="center" wrapText="1"/>
    </xf>
    <xf numFmtId="0" fontId="3" fillId="0" borderId="25" xfId="0" quotePrefix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 wrapText="1"/>
    </xf>
    <xf numFmtId="9" fontId="0" fillId="0" borderId="0" xfId="0" applyNumberFormat="1" applyBorder="1"/>
    <xf numFmtId="0" fontId="1" fillId="0" borderId="0" xfId="0" applyFont="1" applyBorder="1"/>
    <xf numFmtId="9" fontId="1" fillId="0" borderId="0" xfId="0" applyNumberFormat="1" applyFont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6" xfId="0" applyFont="1" applyBorder="1" applyAlignment="1">
      <alignment horizontal="center" wrapText="1"/>
    </xf>
    <xf numFmtId="0" fontId="13" fillId="0" borderId="29" xfId="0" applyFont="1" applyBorder="1" applyAlignment="1">
      <alignment horizontal="center" wrapText="1"/>
    </xf>
    <xf numFmtId="0" fontId="13" fillId="0" borderId="29" xfId="0" applyFont="1" applyBorder="1" applyAlignment="1">
      <alignment horizontal="center"/>
    </xf>
    <xf numFmtId="0" fontId="13" fillId="0" borderId="0" xfId="0" applyFont="1"/>
    <xf numFmtId="0" fontId="13" fillId="0" borderId="0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0" borderId="1" xfId="0" applyFont="1" applyBorder="1" applyAlignment="1">
      <alignment horizontal="center"/>
    </xf>
    <xf numFmtId="0" fontId="13" fillId="0" borderId="13" xfId="0" applyFont="1" applyBorder="1" applyAlignment="1">
      <alignment horizontal="center" wrapText="1"/>
    </xf>
    <xf numFmtId="0" fontId="0" fillId="0" borderId="33" xfId="0" applyBorder="1"/>
    <xf numFmtId="0" fontId="0" fillId="0" borderId="34" xfId="0" applyBorder="1"/>
    <xf numFmtId="9" fontId="0" fillId="0" borderId="33" xfId="0" applyNumberFormat="1" applyBorder="1"/>
    <xf numFmtId="0" fontId="13" fillId="0" borderId="35" xfId="0" applyFont="1" applyBorder="1" applyAlignment="1">
      <alignment horizontal="center" wrapText="1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3" fillId="0" borderId="38" xfId="0" applyFont="1" applyBorder="1" applyAlignment="1">
      <alignment horizontal="center" wrapText="1"/>
    </xf>
    <xf numFmtId="0" fontId="0" fillId="0" borderId="39" xfId="0" applyBorder="1"/>
    <xf numFmtId="0" fontId="1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9" fontId="0" fillId="0" borderId="3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45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3" fillId="0" borderId="0" xfId="0" applyFont="1" applyBorder="1"/>
    <xf numFmtId="0" fontId="1" fillId="0" borderId="45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9" fillId="0" borderId="0" xfId="0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" fillId="0" borderId="10" xfId="0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8" fillId="0" borderId="10" xfId="0" applyFont="1" applyBorder="1" applyAlignment="1">
      <alignment horizontal="center"/>
    </xf>
    <xf numFmtId="0" fontId="1" fillId="0" borderId="47" xfId="0" applyFont="1" applyBorder="1" applyAlignment="1">
      <alignment vertical="center"/>
    </xf>
    <xf numFmtId="164" fontId="8" fillId="0" borderId="48" xfId="0" applyNumberFormat="1" applyFont="1" applyBorder="1" applyAlignment="1">
      <alignment horizontal="center" textRotation="90"/>
    </xf>
    <xf numFmtId="0" fontId="1" fillId="0" borderId="47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9" xfId="0" applyFont="1" applyBorder="1" applyAlignment="1">
      <alignment horizontal="center" wrapText="1"/>
    </xf>
    <xf numFmtId="0" fontId="1" fillId="0" borderId="50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8" fillId="0" borderId="51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8" fillId="0" borderId="52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0" fillId="0" borderId="47" xfId="0" applyBorder="1"/>
    <xf numFmtId="0" fontId="8" fillId="0" borderId="54" xfId="0" applyFont="1" applyBorder="1" applyAlignment="1">
      <alignment horizontal="center" wrapText="1"/>
    </xf>
    <xf numFmtId="0" fontId="1" fillId="0" borderId="54" xfId="0" applyFont="1" applyBorder="1" applyAlignment="1">
      <alignment vertical="center"/>
    </xf>
    <xf numFmtId="0" fontId="8" fillId="0" borderId="54" xfId="0" applyFont="1" applyBorder="1" applyAlignment="1">
      <alignment horizontal="center"/>
    </xf>
    <xf numFmtId="0" fontId="3" fillId="0" borderId="14" xfId="0" applyFont="1" applyBorder="1"/>
    <xf numFmtId="0" fontId="1" fillId="0" borderId="14" xfId="0" applyFont="1" applyBorder="1"/>
    <xf numFmtId="0" fontId="1" fillId="0" borderId="14" xfId="0" applyFont="1" applyBorder="1" applyAlignment="1">
      <alignment vertical="center"/>
    </xf>
    <xf numFmtId="0" fontId="0" fillId="0" borderId="14" xfId="0" applyBorder="1"/>
    <xf numFmtId="0" fontId="7" fillId="0" borderId="48" xfId="0" applyFont="1" applyBorder="1" applyAlignment="1">
      <alignment horizontal="center" wrapText="1"/>
    </xf>
    <xf numFmtId="0" fontId="15" fillId="0" borderId="0" xfId="0" applyFont="1"/>
    <xf numFmtId="0" fontId="15" fillId="0" borderId="0" xfId="0" applyFont="1" applyBorder="1"/>
    <xf numFmtId="0" fontId="7" fillId="0" borderId="47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5" fillId="0" borderId="10" xfId="0" applyFont="1" applyBorder="1"/>
    <xf numFmtId="0" fontId="7" fillId="0" borderId="47" xfId="0" applyFont="1" applyBorder="1"/>
    <xf numFmtId="0" fontId="7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3" fillId="0" borderId="58" xfId="0" applyFont="1" applyBorder="1" applyAlignment="1">
      <alignment horizontal="center" wrapText="1"/>
    </xf>
    <xf numFmtId="9" fontId="3" fillId="0" borderId="59" xfId="0" applyNumberFormat="1" applyFont="1" applyBorder="1" applyAlignment="1">
      <alignment horizontal="center" vertical="center" wrapText="1"/>
    </xf>
    <xf numFmtId="3" fontId="3" fillId="0" borderId="60" xfId="0" applyNumberFormat="1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/>
    </xf>
    <xf numFmtId="0" fontId="1" fillId="0" borderId="62" xfId="0" quotePrefix="1" applyFont="1" applyBorder="1" applyAlignment="1">
      <alignment horizontal="center" vertical="center"/>
    </xf>
    <xf numFmtId="0" fontId="3" fillId="0" borderId="63" xfId="0" applyFont="1" applyBorder="1" applyAlignment="1">
      <alignment horizontal="centerContinuous"/>
    </xf>
    <xf numFmtId="0" fontId="3" fillId="0" borderId="41" xfId="0" applyFont="1" applyBorder="1" applyAlignment="1">
      <alignment horizontal="centerContinuous"/>
    </xf>
    <xf numFmtId="0" fontId="3" fillId="0" borderId="64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centerContinuous"/>
    </xf>
    <xf numFmtId="0" fontId="8" fillId="0" borderId="65" xfId="0" applyFont="1" applyBorder="1" applyAlignment="1">
      <alignment horizontal="centerContinuous" vertical="center" wrapText="1"/>
    </xf>
    <xf numFmtId="0" fontId="6" fillId="0" borderId="42" xfId="0" applyFont="1" applyBorder="1" applyAlignment="1">
      <alignment horizontal="centerContinuous" vertical="center" wrapText="1"/>
    </xf>
    <xf numFmtId="14" fontId="0" fillId="0" borderId="1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14" fontId="0" fillId="0" borderId="34" xfId="0" applyNumberFormat="1" applyBorder="1"/>
    <xf numFmtId="14" fontId="0" fillId="0" borderId="1" xfId="0" applyNumberFormat="1" applyBorder="1" applyAlignment="1">
      <alignment horizontal="center" textRotation="90" wrapText="1"/>
    </xf>
    <xf numFmtId="14" fontId="0" fillId="0" borderId="2" xfId="0" applyNumberFormat="1" applyBorder="1" applyAlignment="1">
      <alignment horizontal="center" textRotation="90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0" fontId="0" fillId="0" borderId="36" xfId="0" applyBorder="1"/>
    <xf numFmtId="164" fontId="16" fillId="0" borderId="66" xfId="0" applyNumberFormat="1" applyFont="1" applyBorder="1"/>
    <xf numFmtId="0" fontId="8" fillId="0" borderId="6" xfId="0" applyFont="1" applyBorder="1" applyAlignment="1">
      <alignment horizontal="center" wrapText="1"/>
    </xf>
    <xf numFmtId="164" fontId="6" fillId="0" borderId="66" xfId="0" applyNumberFormat="1" applyFont="1" applyBorder="1"/>
    <xf numFmtId="164" fontId="8" fillId="0" borderId="0" xfId="0" applyNumberFormat="1" applyFont="1"/>
    <xf numFmtId="164" fontId="8" fillId="0" borderId="45" xfId="0" applyNumberFormat="1" applyFont="1" applyBorder="1" applyAlignment="1">
      <alignment horizontal="center"/>
    </xf>
    <xf numFmtId="164" fontId="8" fillId="0" borderId="46" xfId="0" applyNumberFormat="1" applyFont="1" applyBorder="1" applyAlignment="1">
      <alignment horizontal="center"/>
    </xf>
    <xf numFmtId="164" fontId="8" fillId="0" borderId="67" xfId="0" applyNumberFormat="1" applyFont="1" applyBorder="1"/>
    <xf numFmtId="164" fontId="8" fillId="0" borderId="68" xfId="0" applyNumberFormat="1" applyFont="1" applyBorder="1"/>
    <xf numFmtId="164" fontId="2" fillId="0" borderId="66" xfId="0" applyNumberFormat="1" applyFont="1" applyBorder="1"/>
    <xf numFmtId="164" fontId="8" fillId="0" borderId="45" xfId="0" applyNumberFormat="1" applyFont="1" applyBorder="1"/>
    <xf numFmtId="164" fontId="8" fillId="0" borderId="69" xfId="0" applyNumberFormat="1" applyFont="1" applyBorder="1"/>
    <xf numFmtId="164" fontId="8" fillId="0" borderId="6" xfId="0" applyNumberFormat="1" applyFont="1" applyBorder="1"/>
    <xf numFmtId="164" fontId="8" fillId="0" borderId="29" xfId="0" applyNumberFormat="1" applyFont="1" applyBorder="1"/>
    <xf numFmtId="164" fontId="8" fillId="0" borderId="70" xfId="0" applyNumberFormat="1" applyFont="1" applyBorder="1"/>
    <xf numFmtId="164" fontId="8" fillId="0" borderId="0" xfId="0" applyNumberFormat="1" applyFont="1" applyBorder="1"/>
    <xf numFmtId="164" fontId="8" fillId="0" borderId="46" xfId="0" applyNumberFormat="1" applyFont="1" applyBorder="1"/>
    <xf numFmtId="164" fontId="8" fillId="0" borderId="71" xfId="0" applyNumberFormat="1" applyFont="1" applyBorder="1"/>
    <xf numFmtId="164" fontId="8" fillId="0" borderId="72" xfId="0" applyNumberFormat="1" applyFont="1" applyBorder="1"/>
    <xf numFmtId="0" fontId="8" fillId="0" borderId="70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0" fillId="0" borderId="1" xfId="0" applyNumberFormat="1" applyBorder="1"/>
    <xf numFmtId="0" fontId="0" fillId="0" borderId="33" xfId="0" applyBorder="1" applyAlignment="1">
      <alignment horizontal="center"/>
    </xf>
    <xf numFmtId="0" fontId="8" fillId="0" borderId="0" xfId="0" applyFont="1"/>
    <xf numFmtId="1" fontId="8" fillId="0" borderId="47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0" fontId="7" fillId="0" borderId="10" xfId="0" applyFont="1" applyBorder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Border="1"/>
    <xf numFmtId="0" fontId="1" fillId="0" borderId="9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/>
    <xf numFmtId="0" fontId="1" fillId="0" borderId="39" xfId="0" applyFont="1" applyBorder="1"/>
    <xf numFmtId="0" fontId="1" fillId="0" borderId="7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2" fontId="8" fillId="0" borderId="45" xfId="0" applyNumberFormat="1" applyFont="1" applyBorder="1" applyAlignment="1">
      <alignment horizontal="center"/>
    </xf>
    <xf numFmtId="0" fontId="8" fillId="0" borderId="32" xfId="0" applyFont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8" fillId="0" borderId="0" xfId="0" applyNumberFormat="1" applyFont="1"/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9525</xdr:rowOff>
    </xdr:from>
    <xdr:to>
      <xdr:col>7</xdr:col>
      <xdr:colOff>28575</xdr:colOff>
      <xdr:row>0</xdr:row>
      <xdr:rowOff>561975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E89AFC84-4C73-09E3-E977-2E9C62765E06}"/>
            </a:ext>
          </a:extLst>
        </xdr:cNvPr>
        <xdr:cNvSpPr txBox="1">
          <a:spLocks noChangeArrowheads="1"/>
        </xdr:cNvSpPr>
      </xdr:nvSpPr>
      <xdr:spPr bwMode="auto">
        <a:xfrm>
          <a:off x="3324225" y="9525"/>
          <a:ext cx="3571875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 Rule 51 of the CPUC Rules of Practice and Procedure,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 601 et seq. of the FERC Rules of Practice, Rule 408 of the Federal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Rules of Evidence, and Section 1152 of the California Evidence Code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66"/>
  <sheetViews>
    <sheetView showZeros="0" tabSelected="1"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3" sqref="H3"/>
    </sheetView>
  </sheetViews>
  <sheetFormatPr defaultColWidth="7.85546875" defaultRowHeight="12.75" x14ac:dyDescent="0.2"/>
  <cols>
    <col min="1" max="2" width="14.7109375" style="28" customWidth="1"/>
    <col min="3" max="3" width="14.7109375" style="18" customWidth="1"/>
    <col min="4" max="7" width="14.7109375" style="15" customWidth="1"/>
    <col min="8" max="8" width="25" customWidth="1"/>
    <col min="9" max="9" width="6.140625" customWidth="1"/>
    <col min="10" max="10" width="8.85546875" style="120" customWidth="1"/>
    <col min="11" max="25" width="3.7109375" customWidth="1"/>
    <col min="26" max="26" width="5" customWidth="1"/>
    <col min="27" max="27" width="2.5703125" customWidth="1"/>
    <col min="28" max="42" width="3.7109375" customWidth="1"/>
    <col min="43" max="43" width="5.28515625" customWidth="1"/>
    <col min="44" max="44" width="1.28515625" customWidth="1"/>
    <col min="45" max="45" width="5.85546875" customWidth="1"/>
    <col min="46" max="46" width="7.28515625" style="120" customWidth="1"/>
    <col min="47" max="61" width="3.7109375" customWidth="1"/>
    <col min="62" max="62" width="5.85546875" customWidth="1"/>
    <col min="63" max="63" width="1.7109375" customWidth="1"/>
    <col min="64" max="78" width="3.7109375" customWidth="1"/>
    <col min="79" max="79" width="5.5703125" customWidth="1"/>
    <col min="80" max="80" width="3.7109375" customWidth="1"/>
    <col min="81" max="81" width="5.85546875" customWidth="1"/>
    <col min="82" max="82" width="7.28515625" style="120" customWidth="1"/>
    <col min="83" max="97" width="3.7109375" customWidth="1"/>
    <col min="98" max="98" width="6.28515625" customWidth="1"/>
    <col min="99" max="99" width="7.85546875" customWidth="1"/>
    <col min="102" max="113" width="7.7109375" customWidth="1"/>
    <col min="114" max="116" width="6.7109375" customWidth="1"/>
    <col min="118" max="118" width="9.140625" customWidth="1"/>
  </cols>
  <sheetData>
    <row r="1" spans="1:118" ht="48.75" customHeight="1" x14ac:dyDescent="0.25">
      <c r="A1" s="142" t="s">
        <v>0</v>
      </c>
      <c r="B1" s="142"/>
      <c r="C1" s="142"/>
      <c r="D1" s="142"/>
      <c r="E1" s="131"/>
      <c r="F1" s="131"/>
      <c r="G1" s="131"/>
      <c r="BI1" s="184"/>
    </row>
    <row r="2" spans="1:118" ht="28.5" customHeight="1" thickBot="1" x14ac:dyDescent="0.25">
      <c r="A2" s="141" t="s">
        <v>1</v>
      </c>
      <c r="B2" s="141"/>
      <c r="C2" s="141"/>
      <c r="D2" s="141"/>
      <c r="E2" s="141"/>
      <c r="F2" s="141"/>
      <c r="G2" s="141"/>
    </row>
    <row r="3" spans="1:118" s="4" customFormat="1" ht="18" customHeight="1" thickBot="1" x14ac:dyDescent="0.3">
      <c r="A3" s="19"/>
      <c r="B3" s="19"/>
      <c r="C3" s="25"/>
      <c r="D3" s="138" t="s">
        <v>2</v>
      </c>
      <c r="E3" s="139"/>
      <c r="F3" s="139"/>
      <c r="G3" s="140"/>
      <c r="I3" s="32"/>
      <c r="J3" s="121"/>
      <c r="K3" s="47" t="s">
        <v>3</v>
      </c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110"/>
      <c r="AB3" s="47" t="s">
        <v>4</v>
      </c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110"/>
      <c r="AS3" s="32"/>
      <c r="AT3" s="121"/>
      <c r="AU3" s="92" t="s">
        <v>5</v>
      </c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93" t="str">
        <f>TEXT($C$123,"#,#00")</f>
        <v>5,000</v>
      </c>
      <c r="BH3" s="47"/>
      <c r="BI3" s="92" t="s">
        <v>6</v>
      </c>
      <c r="BJ3" s="47"/>
      <c r="BK3" s="110"/>
      <c r="BL3" s="92" t="s">
        <v>7</v>
      </c>
      <c r="BM3" s="92"/>
      <c r="BN3" s="92"/>
      <c r="BO3" s="92"/>
      <c r="BP3" s="92"/>
      <c r="BQ3" s="93" t="str">
        <f>TEXT($C$119,"#,#00")</f>
        <v>5,000</v>
      </c>
      <c r="BR3" s="92"/>
      <c r="BS3" s="92"/>
      <c r="BT3" s="92"/>
      <c r="BU3" s="92"/>
      <c r="BV3" s="92"/>
      <c r="BW3" s="92" t="s">
        <v>8</v>
      </c>
      <c r="BX3" s="92"/>
      <c r="BY3" s="92"/>
      <c r="BZ3" s="92"/>
      <c r="CA3" s="92"/>
      <c r="CB3" s="110"/>
      <c r="CC3" s="32"/>
      <c r="CD3" s="121"/>
      <c r="CE3" s="92" t="s">
        <v>9</v>
      </c>
      <c r="CF3" s="47"/>
      <c r="CG3" s="47"/>
      <c r="CH3" s="47"/>
      <c r="CI3" s="14"/>
      <c r="CJ3" s="47"/>
      <c r="CK3" s="14"/>
      <c r="CL3" s="14"/>
      <c r="CM3" s="14"/>
      <c r="CN3" s="14"/>
      <c r="CO3" s="14"/>
      <c r="CP3" s="93" t="str">
        <f>TEXT($C$120,"00.0%")</f>
        <v>10.0%</v>
      </c>
      <c r="CQ3" s="14"/>
      <c r="CR3" s="92" t="s">
        <v>10</v>
      </c>
      <c r="CS3" s="47"/>
      <c r="CT3" s="47"/>
      <c r="CU3" s="115"/>
      <c r="CW3" s="4" t="s">
        <v>60</v>
      </c>
    </row>
    <row r="4" spans="1:118" s="3" customFormat="1" ht="67.5" customHeight="1" thickBot="1" x14ac:dyDescent="0.3">
      <c r="A4" s="20" t="s">
        <v>11</v>
      </c>
      <c r="B4" s="29" t="s">
        <v>12</v>
      </c>
      <c r="C4" s="39" t="s">
        <v>13</v>
      </c>
      <c r="D4" s="36" t="s">
        <v>14</v>
      </c>
      <c r="E4" s="21" t="s">
        <v>15</v>
      </c>
      <c r="F4" s="133" t="s">
        <v>16</v>
      </c>
      <c r="G4" s="22" t="s">
        <v>17</v>
      </c>
      <c r="I4" s="119" t="s">
        <v>18</v>
      </c>
      <c r="J4" s="119" t="s">
        <v>19</v>
      </c>
      <c r="K4" s="99">
        <v>36923</v>
      </c>
      <c r="L4" s="99">
        <v>36927</v>
      </c>
      <c r="M4" s="99">
        <v>36943</v>
      </c>
      <c r="N4" s="99">
        <v>36948</v>
      </c>
      <c r="O4" s="99">
        <v>36970</v>
      </c>
      <c r="P4" s="99">
        <v>36971</v>
      </c>
      <c r="Q4" s="99">
        <v>36972</v>
      </c>
      <c r="R4" s="99"/>
      <c r="S4" s="99"/>
      <c r="T4" s="99"/>
      <c r="U4" s="99"/>
      <c r="V4" s="99"/>
      <c r="W4" s="99"/>
      <c r="X4" s="99"/>
      <c r="Y4" s="99"/>
      <c r="Z4" s="102" t="s">
        <v>20</v>
      </c>
      <c r="AA4" s="112"/>
      <c r="AB4" s="99">
        <f>$K$4</f>
        <v>36923</v>
      </c>
      <c r="AC4" s="99">
        <f>$L$4</f>
        <v>36927</v>
      </c>
      <c r="AD4" s="99">
        <f>$M$4</f>
        <v>36943</v>
      </c>
      <c r="AE4" s="99">
        <f>$N$4</f>
        <v>36948</v>
      </c>
      <c r="AF4" s="99">
        <f>$O$4</f>
        <v>36970</v>
      </c>
      <c r="AG4" s="99">
        <f>$P$4</f>
        <v>36971</v>
      </c>
      <c r="AH4" s="99">
        <f>$Q$4</f>
        <v>36972</v>
      </c>
      <c r="AI4" s="99">
        <f>$R$4</f>
        <v>0</v>
      </c>
      <c r="AJ4" s="99">
        <f>$S$4</f>
        <v>0</v>
      </c>
      <c r="AK4" s="99">
        <f>$T$4</f>
        <v>0</v>
      </c>
      <c r="AL4" s="99">
        <f>$U$4</f>
        <v>0</v>
      </c>
      <c r="AM4" s="99">
        <f>$V$4</f>
        <v>0</v>
      </c>
      <c r="AN4" s="99">
        <f>$W$4</f>
        <v>0</v>
      </c>
      <c r="AO4" s="99">
        <f>$X$4</f>
        <v>0</v>
      </c>
      <c r="AP4" s="99">
        <f>$Y$4</f>
        <v>0</v>
      </c>
      <c r="AQ4" s="102" t="s">
        <v>20</v>
      </c>
      <c r="AR4" s="112"/>
      <c r="AS4" s="119" t="s">
        <v>18</v>
      </c>
      <c r="AT4" s="119" t="s">
        <v>19</v>
      </c>
      <c r="AU4" s="99">
        <f>$K$4</f>
        <v>36923</v>
      </c>
      <c r="AV4" s="99">
        <f>$L$4</f>
        <v>36927</v>
      </c>
      <c r="AW4" s="99">
        <f>$M$4</f>
        <v>36943</v>
      </c>
      <c r="AX4" s="99">
        <f>$N$4</f>
        <v>36948</v>
      </c>
      <c r="AY4" s="99">
        <f>$O$4</f>
        <v>36970</v>
      </c>
      <c r="AZ4" s="99">
        <f>$P$4</f>
        <v>36971</v>
      </c>
      <c r="BA4" s="99">
        <f>$Q$4</f>
        <v>36972</v>
      </c>
      <c r="BB4" s="99">
        <f>$R$4</f>
        <v>0</v>
      </c>
      <c r="BC4" s="99">
        <f>$S$4</f>
        <v>0</v>
      </c>
      <c r="BD4" s="99">
        <f>$T$4</f>
        <v>0</v>
      </c>
      <c r="BE4" s="99">
        <f>$U$4</f>
        <v>0</v>
      </c>
      <c r="BF4" s="99">
        <f>$V$4</f>
        <v>0</v>
      </c>
      <c r="BG4" s="99">
        <f>$W$4</f>
        <v>0</v>
      </c>
      <c r="BH4" s="99">
        <f>$X$4</f>
        <v>0</v>
      </c>
      <c r="BI4" s="99">
        <f>$Y$4</f>
        <v>0</v>
      </c>
      <c r="BJ4" s="102" t="s">
        <v>20</v>
      </c>
      <c r="BK4" s="112"/>
      <c r="BL4" s="99">
        <f>$K$4</f>
        <v>36923</v>
      </c>
      <c r="BM4" s="99">
        <f>$L$4</f>
        <v>36927</v>
      </c>
      <c r="BN4" s="99">
        <f>$M$4</f>
        <v>36943</v>
      </c>
      <c r="BO4" s="99">
        <f>$N$4</f>
        <v>36948</v>
      </c>
      <c r="BP4" s="99">
        <f>$O$4</f>
        <v>36970</v>
      </c>
      <c r="BQ4" s="99">
        <f>$P$4</f>
        <v>36971</v>
      </c>
      <c r="BR4" s="99">
        <f>$Q$4</f>
        <v>36972</v>
      </c>
      <c r="BS4" s="99">
        <f>$R$4</f>
        <v>0</v>
      </c>
      <c r="BT4" s="99">
        <f>$S$4</f>
        <v>0</v>
      </c>
      <c r="BU4" s="99">
        <f>$T$4</f>
        <v>0</v>
      </c>
      <c r="BV4" s="99">
        <f>$U$4</f>
        <v>0</v>
      </c>
      <c r="BW4" s="99">
        <f>$V$4</f>
        <v>0</v>
      </c>
      <c r="BX4" s="99">
        <f>$W$4</f>
        <v>0</v>
      </c>
      <c r="BY4" s="99">
        <f>$X$4</f>
        <v>0</v>
      </c>
      <c r="BZ4" s="99">
        <f>$Y$4</f>
        <v>0</v>
      </c>
      <c r="CA4" s="102" t="s">
        <v>20</v>
      </c>
      <c r="CB4" s="112"/>
      <c r="CC4" s="119" t="s">
        <v>18</v>
      </c>
      <c r="CD4" s="119" t="s">
        <v>19</v>
      </c>
      <c r="CE4" s="99">
        <f>$K$4</f>
        <v>36923</v>
      </c>
      <c r="CF4" s="99">
        <f>$L$4</f>
        <v>36927</v>
      </c>
      <c r="CG4" s="99">
        <f>$M$4</f>
        <v>36943</v>
      </c>
      <c r="CH4" s="99">
        <f>$N$4</f>
        <v>36948</v>
      </c>
      <c r="CI4" s="99">
        <f>$O$4</f>
        <v>36970</v>
      </c>
      <c r="CJ4" s="99">
        <f>$P$4</f>
        <v>36971</v>
      </c>
      <c r="CK4" s="99">
        <f>$Q$4</f>
        <v>36972</v>
      </c>
      <c r="CL4" s="99">
        <f>$R$4</f>
        <v>0</v>
      </c>
      <c r="CM4" s="99">
        <f>$S$4</f>
        <v>0</v>
      </c>
      <c r="CN4" s="99">
        <f>$T$4</f>
        <v>0</v>
      </c>
      <c r="CO4" s="99">
        <f>$U$4</f>
        <v>0</v>
      </c>
      <c r="CP4" s="99">
        <f>$V$4</f>
        <v>0</v>
      </c>
      <c r="CQ4" s="99">
        <f>$W$4</f>
        <v>0</v>
      </c>
      <c r="CR4" s="99">
        <f>$X$4</f>
        <v>0</v>
      </c>
      <c r="CS4" s="99">
        <f>$Y$4</f>
        <v>0</v>
      </c>
      <c r="CT4" s="102" t="s">
        <v>20</v>
      </c>
      <c r="CU4" s="116"/>
      <c r="CV4" s="119" t="s">
        <v>18</v>
      </c>
      <c r="CW4" s="119" t="s">
        <v>19</v>
      </c>
      <c r="CX4" s="99">
        <f>$K$4</f>
        <v>36923</v>
      </c>
      <c r="CY4" s="99">
        <f>$L$4</f>
        <v>36927</v>
      </c>
      <c r="CZ4" s="99">
        <f>$M$4</f>
        <v>36943</v>
      </c>
      <c r="DA4" s="99">
        <f>$N$4</f>
        <v>36948</v>
      </c>
      <c r="DB4" s="99">
        <f>$O$4</f>
        <v>36970</v>
      </c>
      <c r="DC4" s="99">
        <f>$P$4</f>
        <v>36971</v>
      </c>
      <c r="DD4" s="99">
        <f>$Q$4</f>
        <v>36972</v>
      </c>
      <c r="DE4" s="99">
        <f>$R$4</f>
        <v>0</v>
      </c>
      <c r="DF4" s="99">
        <f>$S$4</f>
        <v>0</v>
      </c>
      <c r="DG4" s="99">
        <f>$T$4</f>
        <v>0</v>
      </c>
      <c r="DH4" s="99">
        <f>$U$4</f>
        <v>0</v>
      </c>
      <c r="DI4" s="99">
        <f>$V$4</f>
        <v>0</v>
      </c>
      <c r="DJ4" s="99">
        <f>$W$4</f>
        <v>0</v>
      </c>
      <c r="DK4" s="99">
        <f>$X$4</f>
        <v>0</v>
      </c>
      <c r="DL4" s="99">
        <f>$Y$4</f>
        <v>0</v>
      </c>
      <c r="DM4" s="102" t="s">
        <v>59</v>
      </c>
    </row>
    <row r="5" spans="1:118" s="17" customFormat="1" ht="18.75" customHeight="1" x14ac:dyDescent="0.2">
      <c r="A5" s="23" t="s">
        <v>21</v>
      </c>
      <c r="B5" s="30"/>
      <c r="C5" s="40" t="s">
        <v>22</v>
      </c>
      <c r="D5" s="37">
        <f>Summary!$C$119</f>
        <v>5000</v>
      </c>
      <c r="E5" s="26">
        <f>Summary!$C$119</f>
        <v>5000</v>
      </c>
      <c r="F5" s="132" t="s">
        <v>23</v>
      </c>
      <c r="G5" s="135">
        <f>Summary!$C$123</f>
        <v>5000</v>
      </c>
      <c r="I5" s="98"/>
      <c r="J5" s="122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103"/>
      <c r="AA5" s="113"/>
      <c r="AB5" s="107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103"/>
      <c r="AR5" s="113"/>
      <c r="AS5" s="98"/>
      <c r="AT5" s="122"/>
      <c r="AU5" s="107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103"/>
      <c r="BK5" s="113"/>
      <c r="BL5" s="107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103"/>
      <c r="CB5" s="113"/>
      <c r="CC5" s="98"/>
      <c r="CD5" s="122"/>
      <c r="CE5" s="107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103"/>
      <c r="CU5" s="117"/>
      <c r="CV5" s="98"/>
      <c r="CW5" s="122"/>
      <c r="CX5" s="107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103"/>
    </row>
    <row r="6" spans="1:118" s="17" customFormat="1" ht="19.5" customHeight="1" thickBot="1" x14ac:dyDescent="0.25">
      <c r="A6" s="42" t="s">
        <v>24</v>
      </c>
      <c r="B6" s="43"/>
      <c r="C6" s="44" t="s">
        <v>22</v>
      </c>
      <c r="D6" s="45">
        <f>Summary!$C$120</f>
        <v>0.1</v>
      </c>
      <c r="E6" s="46" t="s">
        <v>22</v>
      </c>
      <c r="F6" s="134">
        <f>Summary!$C$120</f>
        <v>0.1</v>
      </c>
      <c r="G6" s="137" t="s">
        <v>23</v>
      </c>
      <c r="I6" s="94"/>
      <c r="J6" s="12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104"/>
      <c r="AA6" s="113"/>
      <c r="AB6" s="108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104"/>
      <c r="AR6" s="113"/>
      <c r="AS6" s="94"/>
      <c r="AT6" s="123"/>
      <c r="AU6" s="108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104"/>
      <c r="BK6" s="113"/>
      <c r="BL6" s="108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104"/>
      <c r="CB6" s="113"/>
      <c r="CC6" s="94"/>
      <c r="CD6" s="123"/>
      <c r="CE6" s="108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104"/>
      <c r="CU6" s="117"/>
      <c r="CV6" s="94"/>
      <c r="CW6" s="123"/>
      <c r="CX6" s="108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104"/>
    </row>
    <row r="7" spans="1:118" ht="15.75" x14ac:dyDescent="0.25">
      <c r="A7" s="196">
        <f>$I7</f>
        <v>1117</v>
      </c>
      <c r="B7" s="197" t="str">
        <f>$J7</f>
        <v>CTARGAS</v>
      </c>
      <c r="C7" s="41" t="str">
        <f xml:space="preserve"> Z7</f>
        <v xml:space="preserve"> </v>
      </c>
      <c r="D7" s="38" t="str">
        <f>AQ7</f>
        <v xml:space="preserve"> </v>
      </c>
      <c r="E7" s="24" t="str">
        <f>CA7</f>
        <v xml:space="preserve"> </v>
      </c>
      <c r="F7" s="24">
        <f>CT7</f>
        <v>3</v>
      </c>
      <c r="G7" s="136" t="str">
        <f>BJ7</f>
        <v xml:space="preserve"> </v>
      </c>
      <c r="I7" s="27">
        <v>1117</v>
      </c>
      <c r="J7" s="55" t="s">
        <v>25</v>
      </c>
      <c r="K7" s="97">
        <f>VLOOKUP($I7,ctar0201,17,FALSE)</f>
        <v>0</v>
      </c>
      <c r="L7" s="97">
        <f>VLOOKUP($I7,ctar0205,17,FALSE)</f>
        <v>0</v>
      </c>
      <c r="M7" s="97">
        <f>VLOOKUP($I7,ctar0221,17,FALSE)</f>
        <v>0</v>
      </c>
      <c r="N7" s="97">
        <f>VLOOKUP($I7,ctar0226,17,FALSE)</f>
        <v>0</v>
      </c>
      <c r="O7" s="97" t="str">
        <f>VLOOKUP($I7,ctar0320,17,FALSE)</f>
        <v xml:space="preserve"> </v>
      </c>
      <c r="P7" s="97">
        <f>VLOOKUP($I7,ctar0321,17,FALSE)</f>
        <v>0</v>
      </c>
      <c r="Q7" s="97">
        <f>VLOOKUP($I7,ctar0322,17,FALSE)</f>
        <v>0</v>
      </c>
      <c r="R7" s="97" t="e">
        <f>VLOOKUP($I7,ctarTEMP,17,FALSE)</f>
        <v>#REF!</v>
      </c>
      <c r="S7" s="97" t="e">
        <f t="shared" ref="S7:U22" si="0">VLOOKUP($I7,ctarTEMP,17,FALSE)</f>
        <v>#REF!</v>
      </c>
      <c r="T7" s="97" t="e">
        <f t="shared" si="0"/>
        <v>#REF!</v>
      </c>
      <c r="U7" s="97" t="e">
        <f t="shared" si="0"/>
        <v>#REF!</v>
      </c>
      <c r="V7" s="97"/>
      <c r="W7" s="97"/>
      <c r="X7" s="97"/>
      <c r="Y7" s="97"/>
      <c r="Z7" s="105" t="str">
        <f t="shared" ref="Z7:Z24" si="1">IF(COUNTIF(K7:Y7,"x")=0," ",COUNTIF(K7:Y7,"x"))</f>
        <v xml:space="preserve"> </v>
      </c>
      <c r="AA7" s="114"/>
      <c r="AB7" s="97" t="str">
        <f>VLOOKUP($I7,ctar0201,18,FALSE)</f>
        <v xml:space="preserve"> </v>
      </c>
      <c r="AC7" s="97" t="str">
        <f>VLOOKUP($I7,ctar0205,18,FALSE)</f>
        <v xml:space="preserve"> </v>
      </c>
      <c r="AD7" s="97" t="str">
        <f>VLOOKUP($I7,ctar0221,18,FALSE)</f>
        <v xml:space="preserve"> </v>
      </c>
      <c r="AE7" s="97" t="str">
        <f>VLOOKUP($I7,ctar0226,18,FALSE)</f>
        <v xml:space="preserve"> </v>
      </c>
      <c r="AF7" s="97" t="str">
        <f>VLOOKUP($I7,ctar0320,18,FALSE)</f>
        <v xml:space="preserve"> </v>
      </c>
      <c r="AG7" s="97" t="str">
        <f>VLOOKUP($I7,ctar0321,18,FALSE)</f>
        <v xml:space="preserve"> </v>
      </c>
      <c r="AH7" s="97" t="str">
        <f>VLOOKUP($I7,ctar0322,18,FALSE)</f>
        <v xml:space="preserve"> </v>
      </c>
      <c r="AI7" s="97" t="e">
        <f>VLOOKUP($I7,ctarTEMP,18,FALSE)</f>
        <v>#REF!</v>
      </c>
      <c r="AJ7" s="97" t="e">
        <f>VLOOKUP($I7,ctarTEMP,18,FALSE)</f>
        <v>#REF!</v>
      </c>
      <c r="AK7" s="97" t="e">
        <f>VLOOKUP($I7,ctarTEMP,18,FALSE)</f>
        <v>#REF!</v>
      </c>
      <c r="AL7" s="97" t="e">
        <f>VLOOKUP($I7,ctarTEMP,18,FALSE)</f>
        <v>#REF!</v>
      </c>
      <c r="AM7" s="97"/>
      <c r="AN7" s="97"/>
      <c r="AO7" s="97"/>
      <c r="AP7" s="97"/>
      <c r="AQ7" s="105" t="str">
        <f>IF(COUNTIF(AB7:AP7,"x")=0," ",COUNTIF(AB7:AP7,"x"))</f>
        <v xml:space="preserve"> </v>
      </c>
      <c r="AR7" s="114"/>
      <c r="AS7" s="95">
        <f t="shared" ref="AS7:AS74" si="2">$I7</f>
        <v>1117</v>
      </c>
      <c r="AT7" s="124" t="str">
        <f t="shared" ref="AT7:AT74" si="3">$J7</f>
        <v>CTARGAS</v>
      </c>
      <c r="AU7" s="97" t="str">
        <f>VLOOKUP($I7,ctar0201,19,FALSE)</f>
        <v xml:space="preserve"> </v>
      </c>
      <c r="AV7" s="97" t="str">
        <f>VLOOKUP($I7,ctar0205,19,FALSE)</f>
        <v xml:space="preserve"> </v>
      </c>
      <c r="AW7" s="97" t="str">
        <f>VLOOKUP($I7,ctar0221,19,FALSE)</f>
        <v xml:space="preserve"> </v>
      </c>
      <c r="AX7" s="97" t="str">
        <f>VLOOKUP($I7,ctar0226,19,FALSE)</f>
        <v xml:space="preserve"> </v>
      </c>
      <c r="AY7" s="97" t="str">
        <f>VLOOKUP($I7,ctar0320,19,FALSE)</f>
        <v xml:space="preserve"> </v>
      </c>
      <c r="AZ7" s="97" t="str">
        <f>VLOOKUP($I7,ctar0321,19,FALSE)</f>
        <v xml:space="preserve"> </v>
      </c>
      <c r="BA7" s="97" t="str">
        <f>VLOOKUP($I7,ctar0322,19,FALSE)</f>
        <v xml:space="preserve"> </v>
      </c>
      <c r="BB7" s="97" t="e">
        <f>VLOOKUP($I7,ctarTEMP,19,FALSE)</f>
        <v>#REF!</v>
      </c>
      <c r="BC7" s="97" t="e">
        <f>VLOOKUP($I7,ctarTEMP,19,FALSE)</f>
        <v>#REF!</v>
      </c>
      <c r="BD7" s="97" t="e">
        <f>VLOOKUP($I7,ctarTEMP,19,FALSE)</f>
        <v>#REF!</v>
      </c>
      <c r="BE7" s="97" t="e">
        <f>VLOOKUP($I7,ctarTEMP,19,FALSE)</f>
        <v>#REF!</v>
      </c>
      <c r="BF7" s="97"/>
      <c r="BG7" s="97"/>
      <c r="BH7" s="97"/>
      <c r="BI7" s="97"/>
      <c r="BJ7" s="105" t="str">
        <f>IF(COUNTIF(AU7:BI7,"x")=0," ",COUNTIF(AU7:BI7,"x"))</f>
        <v xml:space="preserve"> </v>
      </c>
      <c r="BK7" s="114"/>
      <c r="BL7" s="97" t="str">
        <f>VLOOKUP($I7,ctar0201,20,FALSE)</f>
        <v xml:space="preserve"> </v>
      </c>
      <c r="BM7" s="97" t="str">
        <f>VLOOKUP($I7,ctar0205,20,FALSE)</f>
        <v xml:space="preserve"> </v>
      </c>
      <c r="BN7" s="97" t="str">
        <f>VLOOKUP($I7,ctar0221,20,FALSE)</f>
        <v xml:space="preserve"> </v>
      </c>
      <c r="BO7" s="97" t="str">
        <f>VLOOKUP($I7,ctar0226,20,FALSE)</f>
        <v xml:space="preserve"> </v>
      </c>
      <c r="BP7" s="97" t="str">
        <f>VLOOKUP($I7,ctar0320,20,FALSE)</f>
        <v xml:space="preserve"> </v>
      </c>
      <c r="BQ7" s="97" t="str">
        <f>VLOOKUP($I7,ctar0321,20,FALSE)</f>
        <v xml:space="preserve"> </v>
      </c>
      <c r="BR7" s="97" t="str">
        <f>VLOOKUP($I7,ctar0322,20,FALSE)</f>
        <v xml:space="preserve"> </v>
      </c>
      <c r="BS7" s="97" t="e">
        <f t="shared" ref="BS7:BV9" si="4">VLOOKUP($I7,ctarTEMP,20,FALSE)</f>
        <v>#REF!</v>
      </c>
      <c r="BT7" s="97" t="e">
        <f t="shared" si="4"/>
        <v>#REF!</v>
      </c>
      <c r="BU7" s="97" t="e">
        <f t="shared" si="4"/>
        <v>#REF!</v>
      </c>
      <c r="BV7" s="97" t="e">
        <f t="shared" si="4"/>
        <v>#REF!</v>
      </c>
      <c r="BW7" s="97"/>
      <c r="BX7" s="97"/>
      <c r="BY7" s="97"/>
      <c r="BZ7" s="97"/>
      <c r="CA7" s="105" t="str">
        <f t="shared" ref="CA7:CA17" si="5">IF(COUNTIF(BL7:BZ7,"x")=0," ",COUNTIF(BL7:BZ7,"x"))</f>
        <v xml:space="preserve"> </v>
      </c>
      <c r="CB7" s="114"/>
      <c r="CC7" s="95">
        <f>$I7</f>
        <v>1117</v>
      </c>
      <c r="CD7" s="124" t="str">
        <f>$J7</f>
        <v>CTARGAS</v>
      </c>
      <c r="CE7" s="97" t="str">
        <f>VLOOKUP($I7,ctar0201,21,FALSE)</f>
        <v xml:space="preserve"> </v>
      </c>
      <c r="CF7" s="97" t="str">
        <f>VLOOKUP($I7,ctar0205,21,FALSE)</f>
        <v>X</v>
      </c>
      <c r="CG7" s="97" t="str">
        <f>VLOOKUP($I7,ctar0221,21,FALSE)</f>
        <v xml:space="preserve"> </v>
      </c>
      <c r="CH7" s="97" t="str">
        <f>VLOOKUP($I7,ctar0226,21,FALSE)</f>
        <v xml:space="preserve"> </v>
      </c>
      <c r="CI7" s="97" t="str">
        <f>VLOOKUP($I7,ctar0320,21,FALSE)</f>
        <v>X</v>
      </c>
      <c r="CJ7" s="97" t="str">
        <f>VLOOKUP($I7,ctar0321,21,FALSE)</f>
        <v>X</v>
      </c>
      <c r="CK7" s="97" t="str">
        <f>VLOOKUP($I7,ctar0322,21,FALSE)</f>
        <v xml:space="preserve"> </v>
      </c>
      <c r="CL7" s="97" t="e">
        <f>VLOOKUP($I7,ctarTEMP,21,FALSE)</f>
        <v>#REF!</v>
      </c>
      <c r="CM7" s="97" t="e">
        <f>VLOOKUP($I7,ctarTEMP,21,FALSE)</f>
        <v>#REF!</v>
      </c>
      <c r="CN7" s="97" t="e">
        <f>VLOOKUP($I7,ctarTEMP,21,FALSE)</f>
        <v>#REF!</v>
      </c>
      <c r="CO7" s="97" t="e">
        <f>VLOOKUP($I7,ctarTEMP,21,FALSE)</f>
        <v>#REF!</v>
      </c>
      <c r="CP7" s="97"/>
      <c r="CQ7" s="97"/>
      <c r="CR7" s="97"/>
      <c r="CS7" s="97"/>
      <c r="CT7" s="105">
        <f>IF(COUNTIF(CE7:CS7,"x")=0," ",COUNTIF(CE7:CS7,"x"))</f>
        <v>3</v>
      </c>
      <c r="CU7" s="118"/>
      <c r="CV7" s="95">
        <f>$I7</f>
        <v>1117</v>
      </c>
      <c r="CW7" s="124" t="str">
        <f>$J7</f>
        <v>CTARGAS</v>
      </c>
      <c r="CX7" s="97">
        <f>VLOOKUP($I7,ctar0201,13,FALSE)</f>
        <v>504</v>
      </c>
      <c r="CY7" s="97">
        <f>VLOOKUP($I7,ctar0205,13,FALSE)</f>
        <v>369</v>
      </c>
      <c r="CZ7" s="97">
        <f>VLOOKUP($I7,ctar0221,13,FALSE)</f>
        <v>428</v>
      </c>
      <c r="DA7" s="97">
        <f>VLOOKUP($I7,ctar0226,13,FALSE)</f>
        <v>456</v>
      </c>
      <c r="DB7" s="97">
        <f>VLOOKUP($I7,ctar0320,13,FALSE)</f>
        <v>324</v>
      </c>
      <c r="DC7" s="97">
        <f>VLOOKUP($I7,ctar0321,13,FALSE)</f>
        <v>320</v>
      </c>
      <c r="DD7" s="97">
        <f>VLOOKUP($I7,ctar0322,13,FALSE)</f>
        <v>320</v>
      </c>
      <c r="DE7" s="97"/>
      <c r="DF7" s="97"/>
      <c r="DG7" s="97"/>
      <c r="DH7" s="97"/>
      <c r="DI7" s="97"/>
      <c r="DM7" s="187">
        <f>SUM(CX7:DL7)/COUNT(CX7:DL7)</f>
        <v>388.71428571428572</v>
      </c>
      <c r="DN7" t="s">
        <v>61</v>
      </c>
    </row>
    <row r="8" spans="1:118" ht="15.75" x14ac:dyDescent="0.25">
      <c r="A8" s="196">
        <f t="shared" ref="A8:A73" si="6">$I8</f>
        <v>1126</v>
      </c>
      <c r="B8" s="197" t="str">
        <f t="shared" ref="B8:B73" si="7">$J8</f>
        <v>CTARGAS</v>
      </c>
      <c r="C8" s="41" t="str">
        <f t="shared" ref="C8:C75" si="8" xml:space="preserve"> Z8</f>
        <v xml:space="preserve"> </v>
      </c>
      <c r="D8" s="38" t="str">
        <f t="shared" ref="D8:D75" si="9">AQ8</f>
        <v xml:space="preserve"> </v>
      </c>
      <c r="E8" s="24" t="str">
        <f t="shared" ref="E8:E75" si="10">CA8</f>
        <v xml:space="preserve"> </v>
      </c>
      <c r="F8" s="24">
        <f t="shared" ref="F8:F75" si="11">CT8</f>
        <v>4</v>
      </c>
      <c r="G8" s="136" t="str">
        <f t="shared" ref="G8:G75" si="12">BJ8</f>
        <v xml:space="preserve"> </v>
      </c>
      <c r="I8" s="27">
        <v>1126</v>
      </c>
      <c r="J8" s="55" t="s">
        <v>25</v>
      </c>
      <c r="K8" s="97">
        <f>VLOOKUP($I8,ctar0201,17,FALSE)</f>
        <v>0</v>
      </c>
      <c r="L8" s="97">
        <f>VLOOKUP($I8,ctar0205,17,FALSE)</f>
        <v>0</v>
      </c>
      <c r="M8" s="97">
        <f>VLOOKUP($I8,ctar0221,17,FALSE)</f>
        <v>0</v>
      </c>
      <c r="N8" s="97">
        <f>VLOOKUP($I8,ctar0226,17,FALSE)</f>
        <v>0</v>
      </c>
      <c r="O8" s="97">
        <f>VLOOKUP($I8,ctar0320,17,FALSE)</f>
        <v>0</v>
      </c>
      <c r="P8" s="97">
        <f>VLOOKUP($I8,ctar0321,17,FALSE)</f>
        <v>0</v>
      </c>
      <c r="Q8" s="97">
        <f>VLOOKUP($I8,ctar0322,17,FALSE)</f>
        <v>0</v>
      </c>
      <c r="R8" s="97" t="e">
        <f>VLOOKUP($I8,ctarTEMP,17,FALSE)</f>
        <v>#REF!</v>
      </c>
      <c r="S8" s="97" t="e">
        <f t="shared" si="0"/>
        <v>#REF!</v>
      </c>
      <c r="T8" s="97" t="e">
        <f t="shared" si="0"/>
        <v>#REF!</v>
      </c>
      <c r="U8" s="97" t="e">
        <f t="shared" si="0"/>
        <v>#REF!</v>
      </c>
      <c r="V8" s="97"/>
      <c r="W8" s="97"/>
      <c r="X8" s="97"/>
      <c r="Y8" s="97"/>
      <c r="Z8" s="105" t="str">
        <f t="shared" si="1"/>
        <v xml:space="preserve"> </v>
      </c>
      <c r="AA8" s="114"/>
      <c r="AB8" s="97" t="str">
        <f t="shared" ref="AB8:AB22" si="13">VLOOKUP($I8,ctar0201,18,FALSE)</f>
        <v xml:space="preserve"> </v>
      </c>
      <c r="AC8" s="97" t="str">
        <f t="shared" ref="AC8:AC22" si="14">VLOOKUP($I8,ctar0205,18,FALSE)</f>
        <v xml:space="preserve"> </v>
      </c>
      <c r="AD8" s="97" t="str">
        <f t="shared" ref="AD8:AD22" si="15">VLOOKUP($I8,ctar0221,18,FALSE)</f>
        <v xml:space="preserve"> </v>
      </c>
      <c r="AE8" s="97" t="str">
        <f t="shared" ref="AE8:AE22" si="16">VLOOKUP($I8,ctar0226,18,FALSE)</f>
        <v xml:space="preserve"> </v>
      </c>
      <c r="AF8" s="97" t="str">
        <f t="shared" ref="AF8:AF22" si="17">VLOOKUP($I8,ctar0320,18,FALSE)</f>
        <v xml:space="preserve"> </v>
      </c>
      <c r="AG8" s="97" t="str">
        <f t="shared" ref="AG8:AG22" si="18">VLOOKUP($I8,ctar0321,18,FALSE)</f>
        <v xml:space="preserve"> </v>
      </c>
      <c r="AH8" s="97" t="str">
        <f t="shared" ref="AH8:AH22" si="19">VLOOKUP($I8,ctar0322,18,FALSE)</f>
        <v xml:space="preserve"> </v>
      </c>
      <c r="AI8" s="97" t="e">
        <f t="shared" ref="AI8:AL22" si="20">VLOOKUP($I8,ctarTEMP,18,FALSE)</f>
        <v>#REF!</v>
      </c>
      <c r="AJ8" s="97" t="e">
        <f t="shared" si="20"/>
        <v>#REF!</v>
      </c>
      <c r="AK8" s="97" t="e">
        <f t="shared" si="20"/>
        <v>#REF!</v>
      </c>
      <c r="AL8" s="97" t="e">
        <f t="shared" si="20"/>
        <v>#REF!</v>
      </c>
      <c r="AM8" s="97"/>
      <c r="AN8" s="97"/>
      <c r="AO8" s="97"/>
      <c r="AP8" s="97"/>
      <c r="AQ8" s="105" t="str">
        <f t="shared" ref="AQ8:AQ24" si="21">IF(COUNTIF(AB8:AP8,"x")=0," ",COUNTIF(AB8:AP8,"x"))</f>
        <v xml:space="preserve"> </v>
      </c>
      <c r="AR8" s="114"/>
      <c r="AS8" s="95">
        <f t="shared" si="2"/>
        <v>1126</v>
      </c>
      <c r="AT8" s="124" t="str">
        <f t="shared" si="3"/>
        <v>CTARGAS</v>
      </c>
      <c r="AU8" s="97" t="str">
        <f t="shared" ref="AU8:AU22" si="22">VLOOKUP($I8,ctar0201,19,FALSE)</f>
        <v xml:space="preserve"> </v>
      </c>
      <c r="AV8" s="97" t="str">
        <f t="shared" ref="AV8:AV22" si="23">VLOOKUP($I8,ctar0205,19,FALSE)</f>
        <v xml:space="preserve"> </v>
      </c>
      <c r="AW8" s="97" t="str">
        <f t="shared" ref="AW8:AW22" si="24">VLOOKUP($I8,ctar0221,19,FALSE)</f>
        <v xml:space="preserve"> </v>
      </c>
      <c r="AX8" s="97" t="str">
        <f t="shared" ref="AX8:AX22" si="25">VLOOKUP($I8,ctar0226,19,FALSE)</f>
        <v xml:space="preserve"> </v>
      </c>
      <c r="AY8" s="97" t="str">
        <f t="shared" ref="AY8:AY22" si="26">VLOOKUP($I8,ctar0320,19,FALSE)</f>
        <v xml:space="preserve"> </v>
      </c>
      <c r="AZ8" s="97" t="str">
        <f t="shared" ref="AZ8:AZ22" si="27">VLOOKUP($I8,ctar0321,19,FALSE)</f>
        <v xml:space="preserve"> </v>
      </c>
      <c r="BA8" s="97" t="str">
        <f t="shared" ref="BA8:BA22" si="28">VLOOKUP($I8,ctar0322,19,FALSE)</f>
        <v xml:space="preserve"> </v>
      </c>
      <c r="BB8" s="97" t="e">
        <f t="shared" ref="BB8:BE22" si="29">VLOOKUP($I8,ctarTEMP,19,FALSE)</f>
        <v>#REF!</v>
      </c>
      <c r="BC8" s="97" t="e">
        <f t="shared" si="29"/>
        <v>#REF!</v>
      </c>
      <c r="BD8" s="97" t="e">
        <f t="shared" si="29"/>
        <v>#REF!</v>
      </c>
      <c r="BE8" s="97" t="e">
        <f t="shared" si="29"/>
        <v>#REF!</v>
      </c>
      <c r="BF8" s="97"/>
      <c r="BG8" s="97"/>
      <c r="BH8" s="97"/>
      <c r="BI8" s="97"/>
      <c r="BJ8" s="105" t="str">
        <f t="shared" ref="BJ8:BJ23" si="30">IF(COUNTIF(AU8:BI8,"x")=0," ",COUNTIF(AU8:BI8,"x"))</f>
        <v xml:space="preserve"> </v>
      </c>
      <c r="BK8" s="114"/>
      <c r="BL8" s="97" t="str">
        <f>VLOOKUP($I8,ctar0201,20,FALSE)</f>
        <v xml:space="preserve"> </v>
      </c>
      <c r="BM8" s="97" t="str">
        <f>VLOOKUP($I8,ctar0205,20,FALSE)</f>
        <v xml:space="preserve"> </v>
      </c>
      <c r="BN8" s="97" t="str">
        <f>VLOOKUP($I8,ctar0221,20,FALSE)</f>
        <v xml:space="preserve"> </v>
      </c>
      <c r="BO8" s="97" t="str">
        <f>VLOOKUP($I8,ctar0226,20,FALSE)</f>
        <v xml:space="preserve"> </v>
      </c>
      <c r="BP8" s="97" t="str">
        <f>VLOOKUP($I8,ctar0320,20,FALSE)</f>
        <v xml:space="preserve"> </v>
      </c>
      <c r="BQ8" s="97" t="str">
        <f>VLOOKUP($I8,ctar0321,20,FALSE)</f>
        <v xml:space="preserve"> </v>
      </c>
      <c r="BR8" s="97" t="str">
        <f>VLOOKUP($I8,ctar0322,20,FALSE)</f>
        <v xml:space="preserve"> </v>
      </c>
      <c r="BS8" s="97" t="e">
        <f t="shared" si="4"/>
        <v>#REF!</v>
      </c>
      <c r="BT8" s="97" t="e">
        <f t="shared" si="4"/>
        <v>#REF!</v>
      </c>
      <c r="BU8" s="97" t="e">
        <f t="shared" si="4"/>
        <v>#REF!</v>
      </c>
      <c r="BV8" s="97" t="e">
        <f t="shared" si="4"/>
        <v>#REF!</v>
      </c>
      <c r="BW8" s="97"/>
      <c r="BX8" s="97"/>
      <c r="BY8" s="97"/>
      <c r="BZ8" s="97"/>
      <c r="CA8" s="105" t="str">
        <f t="shared" si="5"/>
        <v xml:space="preserve"> </v>
      </c>
      <c r="CB8" s="114"/>
      <c r="CC8" s="95">
        <f t="shared" ref="CC8:CC75" si="31">$I8</f>
        <v>1126</v>
      </c>
      <c r="CD8" s="124" t="str">
        <f t="shared" ref="CD8:CD75" si="32">$J8</f>
        <v>CTARGAS</v>
      </c>
      <c r="CE8" s="97" t="str">
        <f t="shared" ref="CE8:CE22" si="33">VLOOKUP($I8,ctar0201,21,FALSE)</f>
        <v xml:space="preserve"> </v>
      </c>
      <c r="CF8" s="97" t="str">
        <f t="shared" ref="CF8:CF22" si="34">VLOOKUP($I8,ctar0205,21,FALSE)</f>
        <v>X</v>
      </c>
      <c r="CG8" s="97" t="str">
        <f t="shared" ref="CG8:CG22" si="35">VLOOKUP($I8,ctar0221,21,FALSE)</f>
        <v xml:space="preserve"> </v>
      </c>
      <c r="CH8" s="97" t="str">
        <f t="shared" ref="CH8:CH22" si="36">VLOOKUP($I8,ctar0226,21,FALSE)</f>
        <v xml:space="preserve"> </v>
      </c>
      <c r="CI8" s="97" t="str">
        <f t="shared" ref="CI8:CI22" si="37">VLOOKUP($I8,ctar0320,21,FALSE)</f>
        <v>X</v>
      </c>
      <c r="CJ8" s="97" t="str">
        <f t="shared" ref="CJ8:CJ22" si="38">VLOOKUP($I8,ctar0321,21,FALSE)</f>
        <v>X</v>
      </c>
      <c r="CK8" s="97" t="str">
        <f t="shared" ref="CK8:CK22" si="39">VLOOKUP($I8,ctar0322,21,FALSE)</f>
        <v>X</v>
      </c>
      <c r="CL8" s="97" t="e">
        <f t="shared" ref="CL8:CO22" si="40">VLOOKUP($I8,ctarTEMP,21,FALSE)</f>
        <v>#REF!</v>
      </c>
      <c r="CM8" s="97" t="e">
        <f t="shared" si="40"/>
        <v>#REF!</v>
      </c>
      <c r="CN8" s="97" t="e">
        <f t="shared" si="40"/>
        <v>#REF!</v>
      </c>
      <c r="CO8" s="97" t="e">
        <f t="shared" si="40"/>
        <v>#REF!</v>
      </c>
      <c r="CP8" s="97"/>
      <c r="CQ8" s="97"/>
      <c r="CR8" s="97"/>
      <c r="CS8" s="97"/>
      <c r="CT8" s="105">
        <f t="shared" ref="CT8:CT24" si="41">IF(COUNTIF(CE8:CS8,"x")=0," ",COUNTIF(CE8:CS8,"x"))</f>
        <v>4</v>
      </c>
      <c r="CU8" s="118"/>
      <c r="CV8" s="95">
        <f t="shared" ref="CV8:CV75" si="42">$I8</f>
        <v>1126</v>
      </c>
      <c r="CW8" s="124" t="str">
        <f t="shared" ref="CW8:CW75" si="43">$J8</f>
        <v>CTARGAS</v>
      </c>
      <c r="CX8" s="97">
        <f t="shared" ref="CX8:CX21" si="44">VLOOKUP($I8,ctar0201,13,FALSE)</f>
        <v>1478</v>
      </c>
      <c r="CY8" s="97">
        <f t="shared" ref="CY8:CY21" si="45">VLOOKUP($I8,ctar0205,13,FALSE)</f>
        <v>1086</v>
      </c>
      <c r="CZ8" s="97">
        <f t="shared" ref="CZ8:CZ21" si="46">VLOOKUP($I8,ctar0221,13,FALSE)</f>
        <v>1222</v>
      </c>
      <c r="DA8" s="97">
        <f t="shared" ref="DA8:DA21" si="47">VLOOKUP($I8,ctar0226,13,FALSE)</f>
        <v>1332</v>
      </c>
      <c r="DB8" s="97">
        <f t="shared" ref="DB8:DB21" si="48">VLOOKUP($I8,ctar0320,13,FALSE)</f>
        <v>990</v>
      </c>
      <c r="DC8" s="97">
        <f t="shared" ref="DC8:DC21" si="49">VLOOKUP($I8,ctar0321,13,FALSE)</f>
        <v>893</v>
      </c>
      <c r="DD8" s="97">
        <f t="shared" ref="DD8:DD21" si="50">VLOOKUP($I8,ctar0322,13,FALSE)</f>
        <v>901</v>
      </c>
      <c r="DE8" s="97"/>
      <c r="DF8" s="97"/>
      <c r="DG8" s="97"/>
      <c r="DH8" s="97"/>
      <c r="DI8" s="97"/>
      <c r="DJ8" s="97"/>
      <c r="DK8" s="97"/>
      <c r="DL8" s="97"/>
      <c r="DM8" s="187">
        <f t="shared" ref="DM8:DM16" si="51">SUM(CX8:DL8)/COUNT(CX8:DL8)</f>
        <v>1128.8571428571429</v>
      </c>
    </row>
    <row r="9" spans="1:118" ht="15.75" x14ac:dyDescent="0.25">
      <c r="A9" s="196">
        <f t="shared" si="6"/>
        <v>1157</v>
      </c>
      <c r="B9" s="197" t="str">
        <f t="shared" si="7"/>
        <v>CTARGAS</v>
      </c>
      <c r="C9" s="41" t="str">
        <f t="shared" si="8"/>
        <v xml:space="preserve"> </v>
      </c>
      <c r="D9" s="38" t="str">
        <f t="shared" si="9"/>
        <v xml:space="preserve"> </v>
      </c>
      <c r="E9" s="24" t="str">
        <f t="shared" si="10"/>
        <v xml:space="preserve"> </v>
      </c>
      <c r="F9" s="24">
        <f t="shared" si="11"/>
        <v>3</v>
      </c>
      <c r="G9" s="136" t="str">
        <f t="shared" si="12"/>
        <v xml:space="preserve"> </v>
      </c>
      <c r="I9" s="27">
        <v>1157</v>
      </c>
      <c r="J9" s="55" t="s">
        <v>25</v>
      </c>
      <c r="K9" s="97">
        <f t="shared" ref="K9:K22" si="52">VLOOKUP($I9,ctar0201,17,FALSE)</f>
        <v>0</v>
      </c>
      <c r="L9" s="97">
        <f t="shared" ref="L9:L22" si="53">VLOOKUP($I9,ctar0205,17,FALSE)</f>
        <v>0</v>
      </c>
      <c r="M9" s="97">
        <f t="shared" ref="M9:M22" si="54">VLOOKUP($I9,ctar0221,17,FALSE)</f>
        <v>0</v>
      </c>
      <c r="N9" s="97">
        <f t="shared" ref="N9:N22" si="55">VLOOKUP($I9,ctar0226,17,FALSE)</f>
        <v>0</v>
      </c>
      <c r="O9" s="97">
        <f t="shared" ref="O9:O22" si="56">VLOOKUP($I9,ctar0320,17,FALSE)</f>
        <v>0</v>
      </c>
      <c r="P9" s="97">
        <f t="shared" ref="P9:P22" si="57">VLOOKUP($I9,ctar0321,17,FALSE)</f>
        <v>0</v>
      </c>
      <c r="Q9" s="97">
        <f t="shared" ref="Q9:Q22" si="58">VLOOKUP($I9,ctar0322,17,FALSE)</f>
        <v>0</v>
      </c>
      <c r="R9" s="97" t="e">
        <f t="shared" ref="R9:R22" si="59">VLOOKUP($I9,ctarTEMP,17,FALSE)</f>
        <v>#REF!</v>
      </c>
      <c r="S9" s="97" t="e">
        <f t="shared" si="0"/>
        <v>#REF!</v>
      </c>
      <c r="T9" s="97" t="e">
        <f t="shared" si="0"/>
        <v>#REF!</v>
      </c>
      <c r="U9" s="97" t="e">
        <f t="shared" si="0"/>
        <v>#REF!</v>
      </c>
      <c r="V9" s="97"/>
      <c r="W9" s="97"/>
      <c r="X9" s="97"/>
      <c r="Y9" s="97"/>
      <c r="Z9" s="105" t="str">
        <f t="shared" si="1"/>
        <v xml:space="preserve"> </v>
      </c>
      <c r="AA9" s="114"/>
      <c r="AB9" s="97" t="str">
        <f t="shared" si="13"/>
        <v xml:space="preserve"> </v>
      </c>
      <c r="AC9" s="97" t="str">
        <f t="shared" si="14"/>
        <v xml:space="preserve"> </v>
      </c>
      <c r="AD9" s="97" t="str">
        <f t="shared" si="15"/>
        <v xml:space="preserve"> </v>
      </c>
      <c r="AE9" s="97" t="str">
        <f t="shared" si="16"/>
        <v xml:space="preserve"> </v>
      </c>
      <c r="AF9" s="97" t="str">
        <f t="shared" si="17"/>
        <v xml:space="preserve"> </v>
      </c>
      <c r="AG9" s="97" t="str">
        <f t="shared" si="18"/>
        <v xml:space="preserve"> </v>
      </c>
      <c r="AH9" s="97" t="str">
        <f t="shared" si="19"/>
        <v xml:space="preserve"> </v>
      </c>
      <c r="AI9" s="97" t="e">
        <f t="shared" si="20"/>
        <v>#REF!</v>
      </c>
      <c r="AJ9" s="97" t="e">
        <f t="shared" si="20"/>
        <v>#REF!</v>
      </c>
      <c r="AK9" s="97" t="e">
        <f t="shared" si="20"/>
        <v>#REF!</v>
      </c>
      <c r="AL9" s="97" t="e">
        <f t="shared" si="20"/>
        <v>#REF!</v>
      </c>
      <c r="AM9" s="97"/>
      <c r="AN9" s="97"/>
      <c r="AO9" s="97"/>
      <c r="AP9" s="97"/>
      <c r="AQ9" s="105" t="str">
        <f t="shared" si="21"/>
        <v xml:space="preserve"> </v>
      </c>
      <c r="AR9" s="114"/>
      <c r="AS9" s="95">
        <f t="shared" si="2"/>
        <v>1157</v>
      </c>
      <c r="AT9" s="124" t="str">
        <f t="shared" si="3"/>
        <v>CTARGAS</v>
      </c>
      <c r="AU9" s="97" t="str">
        <f t="shared" si="22"/>
        <v xml:space="preserve"> </v>
      </c>
      <c r="AV9" s="97" t="str">
        <f t="shared" si="23"/>
        <v xml:space="preserve"> </v>
      </c>
      <c r="AW9" s="97" t="str">
        <f t="shared" si="24"/>
        <v xml:space="preserve"> </v>
      </c>
      <c r="AX9" s="97" t="str">
        <f t="shared" si="25"/>
        <v xml:space="preserve"> </v>
      </c>
      <c r="AY9" s="97" t="str">
        <f t="shared" si="26"/>
        <v xml:space="preserve"> </v>
      </c>
      <c r="AZ9" s="97" t="str">
        <f t="shared" si="27"/>
        <v xml:space="preserve"> </v>
      </c>
      <c r="BA9" s="97" t="str">
        <f t="shared" si="28"/>
        <v xml:space="preserve"> </v>
      </c>
      <c r="BB9" s="97" t="e">
        <f t="shared" si="29"/>
        <v>#REF!</v>
      </c>
      <c r="BC9" s="97" t="e">
        <f t="shared" si="29"/>
        <v>#REF!</v>
      </c>
      <c r="BD9" s="97" t="e">
        <f t="shared" si="29"/>
        <v>#REF!</v>
      </c>
      <c r="BE9" s="97" t="e">
        <f t="shared" si="29"/>
        <v>#REF!</v>
      </c>
      <c r="BF9" s="97"/>
      <c r="BG9" s="97"/>
      <c r="BH9" s="97"/>
      <c r="BI9" s="97"/>
      <c r="BJ9" s="105" t="str">
        <f t="shared" si="30"/>
        <v xml:space="preserve"> </v>
      </c>
      <c r="BK9" s="114"/>
      <c r="BL9" s="97" t="str">
        <f>VLOOKUP($I9,ctar0201,20,FALSE)</f>
        <v xml:space="preserve"> </v>
      </c>
      <c r="BM9" s="97" t="str">
        <f>VLOOKUP($I9,ctar0205,20,FALSE)</f>
        <v xml:space="preserve"> </v>
      </c>
      <c r="BN9" s="97" t="str">
        <f>VLOOKUP($I9,ctar0221,20,FALSE)</f>
        <v xml:space="preserve"> </v>
      </c>
      <c r="BO9" s="97" t="str">
        <f>VLOOKUP($I9,ctar0226,20,FALSE)</f>
        <v xml:space="preserve"> </v>
      </c>
      <c r="BP9" s="97" t="str">
        <f>VLOOKUP($I9,ctar0320,20,FALSE)</f>
        <v xml:space="preserve"> </v>
      </c>
      <c r="BQ9" s="97" t="str">
        <f>VLOOKUP($I9,ctar0321,20,FALSE)</f>
        <v xml:space="preserve"> </v>
      </c>
      <c r="BR9" s="97" t="str">
        <f>VLOOKUP($I9,ctar0322,20,FALSE)</f>
        <v xml:space="preserve"> </v>
      </c>
      <c r="BS9" s="97" t="e">
        <f t="shared" si="4"/>
        <v>#REF!</v>
      </c>
      <c r="BT9" s="97" t="e">
        <f t="shared" si="4"/>
        <v>#REF!</v>
      </c>
      <c r="BU9" s="97" t="e">
        <f t="shared" si="4"/>
        <v>#REF!</v>
      </c>
      <c r="BV9" s="97" t="e">
        <f t="shared" si="4"/>
        <v>#REF!</v>
      </c>
      <c r="BW9" s="97"/>
      <c r="BX9" s="97"/>
      <c r="BY9" s="97"/>
      <c r="BZ9" s="97"/>
      <c r="CA9" s="105" t="str">
        <f t="shared" si="5"/>
        <v xml:space="preserve"> </v>
      </c>
      <c r="CB9" s="114"/>
      <c r="CC9" s="95">
        <f t="shared" si="31"/>
        <v>1157</v>
      </c>
      <c r="CD9" s="124" t="str">
        <f t="shared" si="32"/>
        <v>CTARGAS</v>
      </c>
      <c r="CE9" s="97" t="str">
        <f t="shared" si="33"/>
        <v>X</v>
      </c>
      <c r="CF9" s="97" t="str">
        <f t="shared" si="34"/>
        <v xml:space="preserve"> </v>
      </c>
      <c r="CG9" s="97" t="str">
        <f t="shared" si="35"/>
        <v>X</v>
      </c>
      <c r="CH9" s="97" t="str">
        <f t="shared" si="36"/>
        <v>X</v>
      </c>
      <c r="CI9" s="97" t="str">
        <f t="shared" si="37"/>
        <v xml:space="preserve"> </v>
      </c>
      <c r="CJ9" s="97" t="str">
        <f t="shared" si="38"/>
        <v xml:space="preserve"> </v>
      </c>
      <c r="CK9" s="97" t="str">
        <f t="shared" si="39"/>
        <v xml:space="preserve"> </v>
      </c>
      <c r="CL9" s="97" t="e">
        <f t="shared" si="40"/>
        <v>#REF!</v>
      </c>
      <c r="CM9" s="97" t="e">
        <f t="shared" si="40"/>
        <v>#REF!</v>
      </c>
      <c r="CN9" s="97" t="e">
        <f t="shared" si="40"/>
        <v>#REF!</v>
      </c>
      <c r="CO9" s="97" t="e">
        <f t="shared" si="40"/>
        <v>#REF!</v>
      </c>
      <c r="CP9" s="97"/>
      <c r="CQ9" s="97"/>
      <c r="CR9" s="97"/>
      <c r="CS9" s="97"/>
      <c r="CT9" s="105">
        <f t="shared" si="41"/>
        <v>3</v>
      </c>
      <c r="CU9" s="118"/>
      <c r="CV9" s="95">
        <f t="shared" si="42"/>
        <v>1157</v>
      </c>
      <c r="CW9" s="124" t="str">
        <f t="shared" si="43"/>
        <v>CTARGAS</v>
      </c>
      <c r="CX9" s="97">
        <f t="shared" si="44"/>
        <v>183</v>
      </c>
      <c r="CY9" s="97">
        <f t="shared" si="45"/>
        <v>149</v>
      </c>
      <c r="CZ9" s="97">
        <f t="shared" si="46"/>
        <v>165</v>
      </c>
      <c r="DA9" s="97">
        <f t="shared" si="47"/>
        <v>165</v>
      </c>
      <c r="DB9" s="97">
        <f t="shared" si="48"/>
        <v>143</v>
      </c>
      <c r="DC9" s="97">
        <f t="shared" si="49"/>
        <v>138</v>
      </c>
      <c r="DD9" s="97">
        <f t="shared" si="50"/>
        <v>133</v>
      </c>
      <c r="DE9" s="97"/>
      <c r="DF9" s="97"/>
      <c r="DG9" s="97"/>
      <c r="DH9" s="97"/>
      <c r="DI9" s="97"/>
      <c r="DM9" s="187">
        <f t="shared" si="51"/>
        <v>153.71428571428572</v>
      </c>
    </row>
    <row r="10" spans="1:118" ht="15.75" x14ac:dyDescent="0.25">
      <c r="A10" s="196">
        <f t="shared" si="6"/>
        <v>1780</v>
      </c>
      <c r="B10" s="197" t="str">
        <f t="shared" si="7"/>
        <v>CTARGAS</v>
      </c>
      <c r="C10" s="41" t="str">
        <f t="shared" si="8"/>
        <v xml:space="preserve"> </v>
      </c>
      <c r="D10" s="38" t="str">
        <f t="shared" si="9"/>
        <v xml:space="preserve"> </v>
      </c>
      <c r="E10" s="24" t="str">
        <f t="shared" si="10"/>
        <v xml:space="preserve"> </v>
      </c>
      <c r="F10" s="24">
        <f t="shared" si="11"/>
        <v>4</v>
      </c>
      <c r="G10" s="136" t="str">
        <f t="shared" si="12"/>
        <v xml:space="preserve"> </v>
      </c>
      <c r="I10" s="27">
        <v>1780</v>
      </c>
      <c r="J10" s="55" t="s">
        <v>25</v>
      </c>
      <c r="K10" s="97">
        <f t="shared" si="52"/>
        <v>0</v>
      </c>
      <c r="L10" s="97">
        <f t="shared" si="53"/>
        <v>0</v>
      </c>
      <c r="M10" s="97">
        <f t="shared" si="54"/>
        <v>0</v>
      </c>
      <c r="N10" s="97">
        <f t="shared" si="55"/>
        <v>0</v>
      </c>
      <c r="O10" s="97" t="str">
        <f t="shared" si="56"/>
        <v xml:space="preserve"> </v>
      </c>
      <c r="P10" s="97">
        <f t="shared" si="57"/>
        <v>0</v>
      </c>
      <c r="Q10" s="97">
        <f t="shared" si="58"/>
        <v>0</v>
      </c>
      <c r="R10" s="97" t="e">
        <f t="shared" si="59"/>
        <v>#REF!</v>
      </c>
      <c r="S10" s="97" t="e">
        <f t="shared" si="0"/>
        <v>#REF!</v>
      </c>
      <c r="T10" s="97" t="e">
        <f t="shared" si="0"/>
        <v>#REF!</v>
      </c>
      <c r="U10" s="97" t="e">
        <f t="shared" si="0"/>
        <v>#REF!</v>
      </c>
      <c r="V10" s="97"/>
      <c r="W10" s="97"/>
      <c r="X10" s="97"/>
      <c r="Y10" s="97"/>
      <c r="Z10" s="105" t="str">
        <f t="shared" si="1"/>
        <v xml:space="preserve"> </v>
      </c>
      <c r="AA10" s="114"/>
      <c r="AB10" s="97" t="str">
        <f t="shared" si="13"/>
        <v xml:space="preserve"> </v>
      </c>
      <c r="AC10" s="97" t="str">
        <f t="shared" si="14"/>
        <v xml:space="preserve"> </v>
      </c>
      <c r="AD10" s="97" t="str">
        <f t="shared" si="15"/>
        <v xml:space="preserve"> </v>
      </c>
      <c r="AE10" s="97" t="str">
        <f t="shared" si="16"/>
        <v xml:space="preserve"> </v>
      </c>
      <c r="AF10" s="97" t="str">
        <f t="shared" si="17"/>
        <v xml:space="preserve"> </v>
      </c>
      <c r="AG10" s="97" t="str">
        <f t="shared" si="18"/>
        <v xml:space="preserve"> </v>
      </c>
      <c r="AH10" s="97" t="str">
        <f t="shared" si="19"/>
        <v xml:space="preserve"> </v>
      </c>
      <c r="AI10" s="97" t="e">
        <f t="shared" si="20"/>
        <v>#REF!</v>
      </c>
      <c r="AJ10" s="97" t="e">
        <f t="shared" si="20"/>
        <v>#REF!</v>
      </c>
      <c r="AK10" s="97" t="e">
        <f t="shared" si="20"/>
        <v>#REF!</v>
      </c>
      <c r="AL10" s="97" t="e">
        <f t="shared" si="20"/>
        <v>#REF!</v>
      </c>
      <c r="AM10" s="97"/>
      <c r="AN10" s="97"/>
      <c r="AO10" s="97"/>
      <c r="AP10" s="97"/>
      <c r="AQ10" s="105" t="str">
        <f t="shared" si="21"/>
        <v xml:space="preserve"> </v>
      </c>
      <c r="AR10" s="114"/>
      <c r="AS10" s="95">
        <f t="shared" si="2"/>
        <v>1780</v>
      </c>
      <c r="AT10" s="124" t="str">
        <f t="shared" si="3"/>
        <v>CTARGAS</v>
      </c>
      <c r="AU10" s="97" t="str">
        <f t="shared" si="22"/>
        <v xml:space="preserve"> </v>
      </c>
      <c r="AV10" s="97" t="str">
        <f t="shared" si="23"/>
        <v xml:space="preserve"> </v>
      </c>
      <c r="AW10" s="97" t="str">
        <f t="shared" si="24"/>
        <v xml:space="preserve"> </v>
      </c>
      <c r="AX10" s="97" t="str">
        <f t="shared" si="25"/>
        <v xml:space="preserve"> </v>
      </c>
      <c r="AY10" s="97" t="str">
        <f t="shared" si="26"/>
        <v xml:space="preserve"> </v>
      </c>
      <c r="AZ10" s="97" t="str">
        <f t="shared" si="27"/>
        <v xml:space="preserve"> </v>
      </c>
      <c r="BA10" s="97" t="str">
        <f t="shared" si="28"/>
        <v xml:space="preserve"> </v>
      </c>
      <c r="BB10" s="97" t="e">
        <f t="shared" si="29"/>
        <v>#REF!</v>
      </c>
      <c r="BC10" s="97" t="e">
        <f t="shared" si="29"/>
        <v>#REF!</v>
      </c>
      <c r="BD10" s="97" t="e">
        <f t="shared" si="29"/>
        <v>#REF!</v>
      </c>
      <c r="BE10" s="97" t="e">
        <f t="shared" si="29"/>
        <v>#REF!</v>
      </c>
      <c r="BF10" s="97"/>
      <c r="BG10" s="97"/>
      <c r="BH10" s="97"/>
      <c r="BI10" s="97"/>
      <c r="BJ10" s="105" t="str">
        <f t="shared" si="30"/>
        <v xml:space="preserve"> </v>
      </c>
      <c r="BK10" s="114"/>
      <c r="BL10" s="97" t="str">
        <f t="shared" ref="BL10:BL22" si="60">VLOOKUP($I10,ctar0201,20,FALSE)</f>
        <v xml:space="preserve"> </v>
      </c>
      <c r="BM10" s="97" t="str">
        <f t="shared" ref="BM10:BM22" si="61">VLOOKUP($I10,ctar0205,20,FALSE)</f>
        <v xml:space="preserve"> </v>
      </c>
      <c r="BN10" s="97" t="str">
        <f t="shared" ref="BN10:BN22" si="62">VLOOKUP($I10,ctar0221,20,FALSE)</f>
        <v xml:space="preserve"> </v>
      </c>
      <c r="BO10" s="97" t="str">
        <f t="shared" ref="BO10:BO22" si="63">VLOOKUP($I10,ctar0226,20,FALSE)</f>
        <v xml:space="preserve"> </v>
      </c>
      <c r="BP10" s="97" t="str">
        <f t="shared" ref="BP10:BP22" si="64">VLOOKUP($I10,ctar0320,20,FALSE)</f>
        <v xml:space="preserve"> </v>
      </c>
      <c r="BQ10" s="97" t="str">
        <f t="shared" ref="BQ10:BQ22" si="65">VLOOKUP($I10,ctar0321,20,FALSE)</f>
        <v xml:space="preserve"> </v>
      </c>
      <c r="BR10" s="97" t="str">
        <f t="shared" ref="BR10:BR22" si="66">VLOOKUP($I10,ctar0322,20,FALSE)</f>
        <v xml:space="preserve"> </v>
      </c>
      <c r="BS10" s="97" t="e">
        <f t="shared" ref="BS10:BV22" si="67">VLOOKUP($I10,ctarTEMP,20,FALSE)</f>
        <v>#REF!</v>
      </c>
      <c r="BT10" s="97" t="e">
        <f t="shared" si="67"/>
        <v>#REF!</v>
      </c>
      <c r="BU10" s="97" t="e">
        <f t="shared" si="67"/>
        <v>#REF!</v>
      </c>
      <c r="BV10" s="97" t="e">
        <f t="shared" si="67"/>
        <v>#REF!</v>
      </c>
      <c r="BW10" s="97"/>
      <c r="BX10" s="97"/>
      <c r="BY10" s="97"/>
      <c r="BZ10" s="97"/>
      <c r="CA10" s="105" t="str">
        <f t="shared" si="5"/>
        <v xml:space="preserve"> </v>
      </c>
      <c r="CB10" s="114"/>
      <c r="CC10" s="95">
        <f t="shared" si="31"/>
        <v>1780</v>
      </c>
      <c r="CD10" s="124" t="str">
        <f t="shared" si="32"/>
        <v>CTARGAS</v>
      </c>
      <c r="CE10" s="97" t="str">
        <f t="shared" si="33"/>
        <v xml:space="preserve"> </v>
      </c>
      <c r="CF10" s="97" t="str">
        <f t="shared" si="34"/>
        <v xml:space="preserve"> </v>
      </c>
      <c r="CG10" s="97" t="str">
        <f t="shared" si="35"/>
        <v>X</v>
      </c>
      <c r="CH10" s="97" t="str">
        <f t="shared" si="36"/>
        <v xml:space="preserve"> </v>
      </c>
      <c r="CI10" s="97" t="str">
        <f t="shared" si="37"/>
        <v>X</v>
      </c>
      <c r="CJ10" s="97" t="str">
        <f t="shared" si="38"/>
        <v>X</v>
      </c>
      <c r="CK10" s="97" t="str">
        <f t="shared" si="39"/>
        <v>X</v>
      </c>
      <c r="CL10" s="97" t="e">
        <f t="shared" si="40"/>
        <v>#REF!</v>
      </c>
      <c r="CM10" s="97" t="e">
        <f t="shared" si="40"/>
        <v>#REF!</v>
      </c>
      <c r="CN10" s="97" t="e">
        <f t="shared" si="40"/>
        <v>#REF!</v>
      </c>
      <c r="CO10" s="97" t="e">
        <f t="shared" si="40"/>
        <v>#REF!</v>
      </c>
      <c r="CP10" s="97"/>
      <c r="CQ10" s="97"/>
      <c r="CR10" s="97"/>
      <c r="CS10" s="97"/>
      <c r="CT10" s="105">
        <f t="shared" si="41"/>
        <v>4</v>
      </c>
      <c r="CU10" s="118"/>
      <c r="CV10" s="95">
        <f t="shared" si="42"/>
        <v>1780</v>
      </c>
      <c r="CW10" s="124" t="str">
        <f t="shared" si="43"/>
        <v>CTARGAS</v>
      </c>
      <c r="CX10" s="97">
        <f t="shared" si="44"/>
        <v>3083</v>
      </c>
      <c r="CY10" s="97">
        <f t="shared" si="45"/>
        <v>2291</v>
      </c>
      <c r="CZ10" s="97">
        <f t="shared" si="46"/>
        <v>2650</v>
      </c>
      <c r="DA10" s="97">
        <f t="shared" si="47"/>
        <v>2748</v>
      </c>
      <c r="DB10" s="97">
        <f t="shared" si="48"/>
        <v>1761</v>
      </c>
      <c r="DC10" s="97">
        <f t="shared" si="49"/>
        <v>1701</v>
      </c>
      <c r="DD10" s="97">
        <f t="shared" si="50"/>
        <v>1706</v>
      </c>
      <c r="DE10" s="97"/>
      <c r="DF10" s="97"/>
      <c r="DG10" s="97"/>
      <c r="DH10" s="97"/>
      <c r="DI10" s="97"/>
      <c r="DM10" s="187">
        <f t="shared" si="51"/>
        <v>2277.1428571428573</v>
      </c>
    </row>
    <row r="11" spans="1:118" ht="15.75" x14ac:dyDescent="0.25">
      <c r="A11" s="196">
        <f t="shared" si="6"/>
        <v>2280</v>
      </c>
      <c r="B11" s="197" t="str">
        <f t="shared" si="7"/>
        <v>CTARGAS</v>
      </c>
      <c r="C11" s="41" t="str">
        <f t="shared" si="8"/>
        <v xml:space="preserve"> </v>
      </c>
      <c r="D11" s="38" t="str">
        <f t="shared" si="9"/>
        <v xml:space="preserve"> </v>
      </c>
      <c r="E11" s="24" t="str">
        <f t="shared" si="10"/>
        <v xml:space="preserve"> </v>
      </c>
      <c r="F11" s="24" t="str">
        <f t="shared" si="11"/>
        <v xml:space="preserve"> </v>
      </c>
      <c r="G11" s="136" t="str">
        <f t="shared" si="12"/>
        <v xml:space="preserve"> </v>
      </c>
      <c r="I11" s="27">
        <v>2280</v>
      </c>
      <c r="J11" s="55" t="s">
        <v>25</v>
      </c>
      <c r="K11" s="97">
        <f t="shared" si="52"/>
        <v>0</v>
      </c>
      <c r="L11" s="97">
        <f t="shared" si="53"/>
        <v>0</v>
      </c>
      <c r="M11" s="97">
        <f t="shared" si="54"/>
        <v>0</v>
      </c>
      <c r="N11" s="97">
        <f t="shared" si="55"/>
        <v>0</v>
      </c>
      <c r="O11" s="97" t="str">
        <f t="shared" si="56"/>
        <v xml:space="preserve"> </v>
      </c>
      <c r="P11" s="97">
        <f t="shared" si="57"/>
        <v>0</v>
      </c>
      <c r="Q11" s="97">
        <f t="shared" si="58"/>
        <v>0</v>
      </c>
      <c r="R11" s="97" t="e">
        <f t="shared" si="59"/>
        <v>#REF!</v>
      </c>
      <c r="S11" s="97" t="e">
        <f t="shared" si="0"/>
        <v>#REF!</v>
      </c>
      <c r="T11" s="97" t="e">
        <f t="shared" si="0"/>
        <v>#REF!</v>
      </c>
      <c r="U11" s="97" t="e">
        <f t="shared" si="0"/>
        <v>#REF!</v>
      </c>
      <c r="V11" s="97"/>
      <c r="W11" s="97"/>
      <c r="X11" s="97"/>
      <c r="Y11" s="97"/>
      <c r="Z11" s="105" t="str">
        <f t="shared" si="1"/>
        <v xml:space="preserve"> </v>
      </c>
      <c r="AA11" s="114"/>
      <c r="AB11" s="97" t="str">
        <f t="shared" si="13"/>
        <v xml:space="preserve"> </v>
      </c>
      <c r="AC11" s="97" t="str">
        <f t="shared" si="14"/>
        <v xml:space="preserve"> </v>
      </c>
      <c r="AD11" s="97" t="str">
        <f t="shared" si="15"/>
        <v xml:space="preserve"> </v>
      </c>
      <c r="AE11" s="97" t="str">
        <f t="shared" si="16"/>
        <v xml:space="preserve"> </v>
      </c>
      <c r="AF11" s="97" t="str">
        <f t="shared" si="17"/>
        <v xml:space="preserve"> </v>
      </c>
      <c r="AG11" s="97" t="str">
        <f t="shared" si="18"/>
        <v xml:space="preserve"> </v>
      </c>
      <c r="AH11" s="97" t="str">
        <f t="shared" si="19"/>
        <v xml:space="preserve"> </v>
      </c>
      <c r="AI11" s="97" t="e">
        <f t="shared" si="20"/>
        <v>#REF!</v>
      </c>
      <c r="AJ11" s="97" t="e">
        <f t="shared" si="20"/>
        <v>#REF!</v>
      </c>
      <c r="AK11" s="97" t="e">
        <f t="shared" si="20"/>
        <v>#REF!</v>
      </c>
      <c r="AL11" s="97" t="e">
        <f t="shared" si="20"/>
        <v>#REF!</v>
      </c>
      <c r="AM11" s="97"/>
      <c r="AN11" s="97"/>
      <c r="AO11" s="97"/>
      <c r="AP11" s="97"/>
      <c r="AQ11" s="105" t="str">
        <f t="shared" si="21"/>
        <v xml:space="preserve"> </v>
      </c>
      <c r="AR11" s="114"/>
      <c r="AS11" s="95">
        <f t="shared" si="2"/>
        <v>2280</v>
      </c>
      <c r="AT11" s="124" t="str">
        <f t="shared" si="3"/>
        <v>CTARGAS</v>
      </c>
      <c r="AU11" s="97" t="str">
        <f t="shared" si="22"/>
        <v xml:space="preserve"> </v>
      </c>
      <c r="AV11" s="97" t="str">
        <f t="shared" si="23"/>
        <v xml:space="preserve"> </v>
      </c>
      <c r="AW11" s="97" t="str">
        <f t="shared" si="24"/>
        <v xml:space="preserve"> </v>
      </c>
      <c r="AX11" s="97" t="str">
        <f t="shared" si="25"/>
        <v xml:space="preserve"> </v>
      </c>
      <c r="AY11" s="97" t="str">
        <f t="shared" si="26"/>
        <v xml:space="preserve"> </v>
      </c>
      <c r="AZ11" s="97" t="str">
        <f t="shared" si="27"/>
        <v xml:space="preserve"> </v>
      </c>
      <c r="BA11" s="97" t="str">
        <f t="shared" si="28"/>
        <v xml:space="preserve"> </v>
      </c>
      <c r="BB11" s="97" t="e">
        <f t="shared" si="29"/>
        <v>#REF!</v>
      </c>
      <c r="BC11" s="97" t="e">
        <f t="shared" si="29"/>
        <v>#REF!</v>
      </c>
      <c r="BD11" s="97" t="e">
        <f t="shared" si="29"/>
        <v>#REF!</v>
      </c>
      <c r="BE11" s="97" t="e">
        <f t="shared" si="29"/>
        <v>#REF!</v>
      </c>
      <c r="BF11" s="97"/>
      <c r="BG11" s="97"/>
      <c r="BH11" s="97"/>
      <c r="BI11" s="97"/>
      <c r="BJ11" s="105" t="str">
        <f t="shared" si="30"/>
        <v xml:space="preserve"> </v>
      </c>
      <c r="BK11" s="114"/>
      <c r="BL11" s="97" t="str">
        <f t="shared" si="60"/>
        <v xml:space="preserve"> </v>
      </c>
      <c r="BM11" s="97" t="str">
        <f t="shared" si="61"/>
        <v xml:space="preserve"> </v>
      </c>
      <c r="BN11" s="97" t="str">
        <f t="shared" si="62"/>
        <v xml:space="preserve"> </v>
      </c>
      <c r="BO11" s="97" t="str">
        <f t="shared" si="63"/>
        <v xml:space="preserve"> </v>
      </c>
      <c r="BP11" s="97" t="str">
        <f t="shared" si="64"/>
        <v xml:space="preserve"> </v>
      </c>
      <c r="BQ11" s="97" t="str">
        <f t="shared" si="65"/>
        <v xml:space="preserve"> </v>
      </c>
      <c r="BR11" s="97" t="str">
        <f t="shared" si="66"/>
        <v xml:space="preserve"> </v>
      </c>
      <c r="BS11" s="97" t="e">
        <f t="shared" si="67"/>
        <v>#REF!</v>
      </c>
      <c r="BT11" s="97" t="e">
        <f t="shared" si="67"/>
        <v>#REF!</v>
      </c>
      <c r="BU11" s="97" t="e">
        <f t="shared" si="67"/>
        <v>#REF!</v>
      </c>
      <c r="BV11" s="97" t="e">
        <f t="shared" si="67"/>
        <v>#REF!</v>
      </c>
      <c r="BW11" s="97"/>
      <c r="BX11" s="97"/>
      <c r="BY11" s="97"/>
      <c r="BZ11" s="97"/>
      <c r="CA11" s="105" t="str">
        <f t="shared" si="5"/>
        <v xml:space="preserve"> </v>
      </c>
      <c r="CB11" s="114"/>
      <c r="CC11" s="95">
        <f t="shared" si="31"/>
        <v>2280</v>
      </c>
      <c r="CD11" s="124" t="str">
        <f t="shared" si="32"/>
        <v>CTARGAS</v>
      </c>
      <c r="CE11" s="97" t="str">
        <f t="shared" si="33"/>
        <v xml:space="preserve"> </v>
      </c>
      <c r="CF11" s="97" t="str">
        <f t="shared" si="34"/>
        <v xml:space="preserve"> </v>
      </c>
      <c r="CG11" s="97" t="str">
        <f t="shared" si="35"/>
        <v xml:space="preserve"> </v>
      </c>
      <c r="CH11" s="97" t="str">
        <f t="shared" si="36"/>
        <v xml:space="preserve"> </v>
      </c>
      <c r="CI11" s="97" t="str">
        <f t="shared" si="37"/>
        <v xml:space="preserve"> </v>
      </c>
      <c r="CJ11" s="97" t="str">
        <f t="shared" si="38"/>
        <v xml:space="preserve"> </v>
      </c>
      <c r="CK11" s="97" t="str">
        <f t="shared" si="39"/>
        <v xml:space="preserve"> </v>
      </c>
      <c r="CL11" s="97" t="e">
        <f t="shared" si="40"/>
        <v>#REF!</v>
      </c>
      <c r="CM11" s="97" t="e">
        <f t="shared" si="40"/>
        <v>#REF!</v>
      </c>
      <c r="CN11" s="97" t="e">
        <f t="shared" si="40"/>
        <v>#REF!</v>
      </c>
      <c r="CO11" s="97" t="e">
        <f t="shared" si="40"/>
        <v>#REF!</v>
      </c>
      <c r="CP11" s="97"/>
      <c r="CQ11" s="97"/>
      <c r="CR11" s="97"/>
      <c r="CS11" s="97"/>
      <c r="CT11" s="105" t="str">
        <f t="shared" si="41"/>
        <v xml:space="preserve"> </v>
      </c>
      <c r="CU11" s="118"/>
      <c r="CV11" s="95">
        <f t="shared" si="42"/>
        <v>2280</v>
      </c>
      <c r="CW11" s="124" t="str">
        <f t="shared" si="43"/>
        <v>CTARGAS</v>
      </c>
      <c r="CX11" s="97">
        <f t="shared" si="44"/>
        <v>599</v>
      </c>
      <c r="CY11" s="97">
        <f t="shared" si="45"/>
        <v>470</v>
      </c>
      <c r="CZ11" s="97">
        <f t="shared" si="46"/>
        <v>518</v>
      </c>
      <c r="DA11" s="97">
        <f t="shared" si="47"/>
        <v>548</v>
      </c>
      <c r="DB11" s="97">
        <f t="shared" si="48"/>
        <v>433</v>
      </c>
      <c r="DC11" s="97">
        <f t="shared" si="49"/>
        <v>413</v>
      </c>
      <c r="DD11" s="97">
        <f t="shared" si="50"/>
        <v>417</v>
      </c>
      <c r="DE11" s="97"/>
      <c r="DF11" s="97"/>
      <c r="DG11" s="97"/>
      <c r="DH11" s="97"/>
      <c r="DI11" s="97"/>
      <c r="DM11" s="187">
        <f t="shared" si="51"/>
        <v>485.42857142857144</v>
      </c>
    </row>
    <row r="12" spans="1:118" ht="15.75" x14ac:dyDescent="0.25">
      <c r="A12" s="196">
        <f t="shared" si="6"/>
        <v>2584</v>
      </c>
      <c r="B12" s="197" t="str">
        <f t="shared" si="7"/>
        <v>CTARGAS</v>
      </c>
      <c r="C12" s="41" t="str">
        <f t="shared" si="8"/>
        <v xml:space="preserve"> </v>
      </c>
      <c r="D12" s="38" t="str">
        <f t="shared" si="9"/>
        <v xml:space="preserve"> </v>
      </c>
      <c r="E12" s="24" t="str">
        <f t="shared" si="10"/>
        <v xml:space="preserve"> </v>
      </c>
      <c r="F12" s="24" t="str">
        <f t="shared" si="11"/>
        <v xml:space="preserve"> </v>
      </c>
      <c r="G12" s="136">
        <f t="shared" si="12"/>
        <v>1</v>
      </c>
      <c r="I12" s="27">
        <v>2584</v>
      </c>
      <c r="J12" s="55" t="s">
        <v>25</v>
      </c>
      <c r="K12" s="97">
        <f t="shared" si="52"/>
        <v>0</v>
      </c>
      <c r="L12" s="97">
        <f t="shared" si="53"/>
        <v>0</v>
      </c>
      <c r="M12" s="97">
        <f t="shared" si="54"/>
        <v>0</v>
      </c>
      <c r="N12" s="97">
        <f t="shared" si="55"/>
        <v>0</v>
      </c>
      <c r="O12" s="97">
        <f t="shared" si="56"/>
        <v>0</v>
      </c>
      <c r="P12" s="97">
        <f t="shared" si="57"/>
        <v>0</v>
      </c>
      <c r="Q12" s="97">
        <f t="shared" si="58"/>
        <v>0</v>
      </c>
      <c r="R12" s="97" t="e">
        <f t="shared" si="59"/>
        <v>#REF!</v>
      </c>
      <c r="S12" s="97" t="e">
        <f t="shared" si="0"/>
        <v>#REF!</v>
      </c>
      <c r="T12" s="97" t="e">
        <f t="shared" si="0"/>
        <v>#REF!</v>
      </c>
      <c r="U12" s="97" t="e">
        <f t="shared" si="0"/>
        <v>#REF!</v>
      </c>
      <c r="V12" s="97"/>
      <c r="W12" s="97"/>
      <c r="X12" s="97"/>
      <c r="Y12" s="97"/>
      <c r="Z12" s="105" t="str">
        <f t="shared" si="1"/>
        <v xml:space="preserve"> </v>
      </c>
      <c r="AA12" s="114"/>
      <c r="AB12" s="97" t="str">
        <f t="shared" si="13"/>
        <v xml:space="preserve"> </v>
      </c>
      <c r="AC12" s="97" t="str">
        <f t="shared" si="14"/>
        <v xml:space="preserve"> </v>
      </c>
      <c r="AD12" s="97" t="str">
        <f t="shared" si="15"/>
        <v xml:space="preserve"> </v>
      </c>
      <c r="AE12" s="97" t="str">
        <f t="shared" si="16"/>
        <v xml:space="preserve"> </v>
      </c>
      <c r="AF12" s="97" t="str">
        <f t="shared" si="17"/>
        <v xml:space="preserve"> </v>
      </c>
      <c r="AG12" s="97" t="str">
        <f t="shared" si="18"/>
        <v xml:space="preserve"> </v>
      </c>
      <c r="AH12" s="97" t="str">
        <f t="shared" si="19"/>
        <v xml:space="preserve"> </v>
      </c>
      <c r="AI12" s="97" t="e">
        <f t="shared" si="20"/>
        <v>#REF!</v>
      </c>
      <c r="AJ12" s="97" t="e">
        <f t="shared" si="20"/>
        <v>#REF!</v>
      </c>
      <c r="AK12" s="97" t="e">
        <f t="shared" si="20"/>
        <v>#REF!</v>
      </c>
      <c r="AL12" s="97" t="e">
        <f t="shared" si="20"/>
        <v>#REF!</v>
      </c>
      <c r="AM12" s="97"/>
      <c r="AN12" s="97"/>
      <c r="AO12" s="97"/>
      <c r="AP12" s="97"/>
      <c r="AQ12" s="105" t="str">
        <f t="shared" si="21"/>
        <v xml:space="preserve"> </v>
      </c>
      <c r="AR12" s="114"/>
      <c r="AS12" s="95">
        <f t="shared" si="2"/>
        <v>2584</v>
      </c>
      <c r="AT12" s="124" t="str">
        <f t="shared" si="3"/>
        <v>CTARGAS</v>
      </c>
      <c r="AU12" s="97" t="str">
        <f t="shared" si="22"/>
        <v xml:space="preserve"> </v>
      </c>
      <c r="AV12" s="97" t="str">
        <f t="shared" si="23"/>
        <v xml:space="preserve"> </v>
      </c>
      <c r="AW12" s="97" t="str">
        <f t="shared" si="24"/>
        <v xml:space="preserve"> </v>
      </c>
      <c r="AX12" s="97" t="str">
        <f t="shared" si="25"/>
        <v xml:space="preserve"> </v>
      </c>
      <c r="AY12" s="97" t="str">
        <f t="shared" si="26"/>
        <v>X</v>
      </c>
      <c r="AZ12" s="97" t="str">
        <f t="shared" si="27"/>
        <v xml:space="preserve"> </v>
      </c>
      <c r="BA12" s="97" t="str">
        <f t="shared" si="28"/>
        <v xml:space="preserve"> </v>
      </c>
      <c r="BB12" s="97" t="e">
        <f t="shared" si="29"/>
        <v>#REF!</v>
      </c>
      <c r="BC12" s="97" t="e">
        <f t="shared" si="29"/>
        <v>#REF!</v>
      </c>
      <c r="BD12" s="97" t="e">
        <f t="shared" si="29"/>
        <v>#REF!</v>
      </c>
      <c r="BE12" s="97" t="e">
        <f t="shared" si="29"/>
        <v>#REF!</v>
      </c>
      <c r="BF12" s="97"/>
      <c r="BG12" s="97"/>
      <c r="BH12" s="97"/>
      <c r="BI12" s="97"/>
      <c r="BJ12" s="105">
        <f t="shared" si="30"/>
        <v>1</v>
      </c>
      <c r="BK12" s="114"/>
      <c r="BL12" s="97" t="str">
        <f t="shared" si="60"/>
        <v xml:space="preserve"> </v>
      </c>
      <c r="BM12" s="97" t="str">
        <f t="shared" si="61"/>
        <v xml:space="preserve"> </v>
      </c>
      <c r="BN12" s="97" t="str">
        <f t="shared" si="62"/>
        <v xml:space="preserve"> </v>
      </c>
      <c r="BO12" s="97" t="str">
        <f t="shared" si="63"/>
        <v xml:space="preserve"> </v>
      </c>
      <c r="BP12" s="97" t="str">
        <f t="shared" si="64"/>
        <v xml:space="preserve"> </v>
      </c>
      <c r="BQ12" s="97" t="str">
        <f t="shared" si="65"/>
        <v xml:space="preserve"> </v>
      </c>
      <c r="BR12" s="97" t="str">
        <f t="shared" si="66"/>
        <v xml:space="preserve"> </v>
      </c>
      <c r="BS12" s="97" t="e">
        <f t="shared" si="67"/>
        <v>#REF!</v>
      </c>
      <c r="BT12" s="97" t="e">
        <f t="shared" si="67"/>
        <v>#REF!</v>
      </c>
      <c r="BU12" s="97" t="e">
        <f t="shared" si="67"/>
        <v>#REF!</v>
      </c>
      <c r="BV12" s="97" t="e">
        <f t="shared" si="67"/>
        <v>#REF!</v>
      </c>
      <c r="BW12" s="97"/>
      <c r="BX12" s="97"/>
      <c r="BY12" s="97"/>
      <c r="BZ12" s="97"/>
      <c r="CA12" s="105" t="str">
        <f t="shared" si="5"/>
        <v xml:space="preserve"> </v>
      </c>
      <c r="CB12" s="114"/>
      <c r="CC12" s="95">
        <f t="shared" si="31"/>
        <v>2584</v>
      </c>
      <c r="CD12" s="124" t="str">
        <f t="shared" si="32"/>
        <v>CTARGAS</v>
      </c>
      <c r="CE12" s="97" t="str">
        <f t="shared" si="33"/>
        <v xml:space="preserve"> </v>
      </c>
      <c r="CF12" s="97" t="str">
        <f t="shared" si="34"/>
        <v xml:space="preserve"> </v>
      </c>
      <c r="CG12" s="97" t="str">
        <f t="shared" si="35"/>
        <v xml:space="preserve"> </v>
      </c>
      <c r="CH12" s="97" t="str">
        <f t="shared" si="36"/>
        <v xml:space="preserve"> </v>
      </c>
      <c r="CI12" s="97" t="str">
        <f t="shared" si="37"/>
        <v xml:space="preserve"> </v>
      </c>
      <c r="CJ12" s="97" t="str">
        <f t="shared" si="38"/>
        <v xml:space="preserve"> </v>
      </c>
      <c r="CK12" s="97" t="str">
        <f t="shared" si="39"/>
        <v xml:space="preserve"> </v>
      </c>
      <c r="CL12" s="97" t="e">
        <f t="shared" si="40"/>
        <v>#REF!</v>
      </c>
      <c r="CM12" s="97" t="e">
        <f t="shared" si="40"/>
        <v>#REF!</v>
      </c>
      <c r="CN12" s="97" t="e">
        <f t="shared" si="40"/>
        <v>#REF!</v>
      </c>
      <c r="CO12" s="97" t="e">
        <f t="shared" si="40"/>
        <v>#REF!</v>
      </c>
      <c r="CP12" s="97"/>
      <c r="CQ12" s="97"/>
      <c r="CR12" s="97"/>
      <c r="CS12" s="97"/>
      <c r="CT12" s="105" t="str">
        <f t="shared" si="41"/>
        <v xml:space="preserve"> </v>
      </c>
      <c r="CU12" s="118"/>
      <c r="CV12" s="95">
        <f t="shared" si="42"/>
        <v>2584</v>
      </c>
      <c r="CW12" s="124" t="str">
        <f t="shared" si="43"/>
        <v>CTARGAS</v>
      </c>
      <c r="CX12" s="97">
        <f t="shared" si="44"/>
        <v>6827</v>
      </c>
      <c r="CY12" s="97">
        <f t="shared" si="45"/>
        <v>4996</v>
      </c>
      <c r="CZ12" s="97">
        <f t="shared" si="46"/>
        <v>5697</v>
      </c>
      <c r="DA12" s="97">
        <f t="shared" si="47"/>
        <v>6155</v>
      </c>
      <c r="DB12" s="97">
        <f t="shared" si="48"/>
        <v>3995</v>
      </c>
      <c r="DC12" s="97">
        <f t="shared" si="49"/>
        <v>3736</v>
      </c>
      <c r="DD12" s="97">
        <f t="shared" si="50"/>
        <v>3773</v>
      </c>
      <c r="DE12" s="97"/>
      <c r="DF12" s="97"/>
      <c r="DG12" s="97"/>
      <c r="DH12" s="97"/>
      <c r="DI12" s="97"/>
      <c r="DM12" s="187">
        <f t="shared" si="51"/>
        <v>5025.5714285714284</v>
      </c>
    </row>
    <row r="13" spans="1:118" ht="15.75" x14ac:dyDescent="0.25">
      <c r="A13" s="196">
        <f t="shared" si="6"/>
        <v>2771</v>
      </c>
      <c r="B13" s="197" t="str">
        <f t="shared" si="7"/>
        <v>CTARGAS</v>
      </c>
      <c r="C13" s="41" t="str">
        <f t="shared" si="8"/>
        <v xml:space="preserve"> </v>
      </c>
      <c r="D13" s="38">
        <f t="shared" si="9"/>
        <v>2</v>
      </c>
      <c r="E13" s="24">
        <f t="shared" si="10"/>
        <v>2</v>
      </c>
      <c r="F13" s="24">
        <f t="shared" si="11"/>
        <v>2</v>
      </c>
      <c r="G13" s="136" t="str">
        <f t="shared" si="12"/>
        <v xml:space="preserve"> </v>
      </c>
      <c r="I13" s="27">
        <v>2771</v>
      </c>
      <c r="J13" s="55" t="s">
        <v>25</v>
      </c>
      <c r="K13" s="97">
        <f t="shared" si="52"/>
        <v>0</v>
      </c>
      <c r="L13" s="97">
        <f t="shared" si="53"/>
        <v>0</v>
      </c>
      <c r="M13" s="97">
        <f t="shared" si="54"/>
        <v>0</v>
      </c>
      <c r="N13" s="97">
        <f t="shared" si="55"/>
        <v>0</v>
      </c>
      <c r="O13" s="97">
        <f t="shared" si="56"/>
        <v>0</v>
      </c>
      <c r="P13" s="97">
        <f t="shared" si="57"/>
        <v>0</v>
      </c>
      <c r="Q13" s="97">
        <f t="shared" si="58"/>
        <v>0</v>
      </c>
      <c r="R13" s="97" t="e">
        <f t="shared" si="59"/>
        <v>#REF!</v>
      </c>
      <c r="S13" s="97" t="e">
        <f t="shared" si="0"/>
        <v>#REF!</v>
      </c>
      <c r="T13" s="97" t="e">
        <f t="shared" si="0"/>
        <v>#REF!</v>
      </c>
      <c r="U13" s="97" t="e">
        <f t="shared" si="0"/>
        <v>#REF!</v>
      </c>
      <c r="V13" s="97"/>
      <c r="W13" s="97"/>
      <c r="X13" s="97"/>
      <c r="Y13" s="97"/>
      <c r="Z13" s="105" t="str">
        <f t="shared" si="1"/>
        <v xml:space="preserve"> </v>
      </c>
      <c r="AA13" s="114"/>
      <c r="AB13" s="97" t="str">
        <f t="shared" si="13"/>
        <v xml:space="preserve"> </v>
      </c>
      <c r="AC13" s="97" t="str">
        <f t="shared" si="14"/>
        <v>X</v>
      </c>
      <c r="AD13" s="97" t="str">
        <f t="shared" si="15"/>
        <v xml:space="preserve"> </v>
      </c>
      <c r="AE13" s="97" t="str">
        <f t="shared" si="16"/>
        <v xml:space="preserve"> </v>
      </c>
      <c r="AF13" s="97" t="str">
        <f t="shared" si="17"/>
        <v>X</v>
      </c>
      <c r="AG13" s="97" t="str">
        <f t="shared" si="18"/>
        <v xml:space="preserve"> </v>
      </c>
      <c r="AH13" s="97" t="str">
        <f t="shared" si="19"/>
        <v xml:space="preserve"> </v>
      </c>
      <c r="AI13" s="97" t="e">
        <f t="shared" si="20"/>
        <v>#REF!</v>
      </c>
      <c r="AJ13" s="97" t="e">
        <f t="shared" si="20"/>
        <v>#REF!</v>
      </c>
      <c r="AK13" s="97" t="e">
        <f t="shared" si="20"/>
        <v>#REF!</v>
      </c>
      <c r="AL13" s="97" t="e">
        <f t="shared" si="20"/>
        <v>#REF!</v>
      </c>
      <c r="AM13" s="97"/>
      <c r="AN13" s="97"/>
      <c r="AO13" s="97"/>
      <c r="AP13" s="97"/>
      <c r="AQ13" s="105">
        <f t="shared" si="21"/>
        <v>2</v>
      </c>
      <c r="AR13" s="114"/>
      <c r="AS13" s="95">
        <f t="shared" si="2"/>
        <v>2771</v>
      </c>
      <c r="AT13" s="124" t="str">
        <f t="shared" si="3"/>
        <v>CTARGAS</v>
      </c>
      <c r="AU13" s="97" t="str">
        <f t="shared" si="22"/>
        <v xml:space="preserve"> </v>
      </c>
      <c r="AV13" s="97" t="str">
        <f t="shared" si="23"/>
        <v xml:space="preserve"> </v>
      </c>
      <c r="AW13" s="97" t="str">
        <f t="shared" si="24"/>
        <v xml:space="preserve"> </v>
      </c>
      <c r="AX13" s="97" t="str">
        <f t="shared" si="25"/>
        <v xml:space="preserve"> </v>
      </c>
      <c r="AY13" s="97" t="str">
        <f t="shared" si="26"/>
        <v xml:space="preserve"> </v>
      </c>
      <c r="AZ13" s="97" t="str">
        <f t="shared" si="27"/>
        <v xml:space="preserve"> </v>
      </c>
      <c r="BA13" s="97" t="str">
        <f t="shared" si="28"/>
        <v xml:space="preserve"> </v>
      </c>
      <c r="BB13" s="97" t="e">
        <f t="shared" si="29"/>
        <v>#REF!</v>
      </c>
      <c r="BC13" s="97" t="e">
        <f t="shared" si="29"/>
        <v>#REF!</v>
      </c>
      <c r="BD13" s="97" t="e">
        <f t="shared" si="29"/>
        <v>#REF!</v>
      </c>
      <c r="BE13" s="97" t="e">
        <f t="shared" si="29"/>
        <v>#REF!</v>
      </c>
      <c r="BF13" s="97"/>
      <c r="BG13" s="97"/>
      <c r="BH13" s="97"/>
      <c r="BI13" s="97"/>
      <c r="BJ13" s="105" t="str">
        <f t="shared" si="30"/>
        <v xml:space="preserve"> </v>
      </c>
      <c r="BK13" s="114"/>
      <c r="BL13" s="97" t="str">
        <f t="shared" si="60"/>
        <v xml:space="preserve"> </v>
      </c>
      <c r="BM13" s="97" t="str">
        <f t="shared" si="61"/>
        <v>X</v>
      </c>
      <c r="BN13" s="97" t="str">
        <f t="shared" si="62"/>
        <v xml:space="preserve"> </v>
      </c>
      <c r="BO13" s="97" t="str">
        <f t="shared" si="63"/>
        <v xml:space="preserve"> </v>
      </c>
      <c r="BP13" s="97" t="str">
        <f t="shared" si="64"/>
        <v>X</v>
      </c>
      <c r="BQ13" s="97" t="str">
        <f t="shared" si="65"/>
        <v xml:space="preserve"> </v>
      </c>
      <c r="BR13" s="97" t="str">
        <f t="shared" si="66"/>
        <v xml:space="preserve"> </v>
      </c>
      <c r="BS13" s="97" t="e">
        <f t="shared" si="67"/>
        <v>#REF!</v>
      </c>
      <c r="BT13" s="97" t="e">
        <f t="shared" si="67"/>
        <v>#REF!</v>
      </c>
      <c r="BU13" s="97" t="e">
        <f t="shared" si="67"/>
        <v>#REF!</v>
      </c>
      <c r="BV13" s="97" t="e">
        <f t="shared" si="67"/>
        <v>#REF!</v>
      </c>
      <c r="BW13" s="97"/>
      <c r="BX13" s="97"/>
      <c r="BY13" s="97"/>
      <c r="BZ13" s="97"/>
      <c r="CA13" s="105">
        <f t="shared" si="5"/>
        <v>2</v>
      </c>
      <c r="CB13" s="114"/>
      <c r="CC13" s="95">
        <f t="shared" si="31"/>
        <v>2771</v>
      </c>
      <c r="CD13" s="124" t="str">
        <f t="shared" si="32"/>
        <v>CTARGAS</v>
      </c>
      <c r="CE13" s="97" t="str">
        <f t="shared" si="33"/>
        <v xml:space="preserve"> </v>
      </c>
      <c r="CF13" s="97" t="str">
        <f t="shared" si="34"/>
        <v>X</v>
      </c>
      <c r="CG13" s="97" t="str">
        <f t="shared" si="35"/>
        <v xml:space="preserve"> </v>
      </c>
      <c r="CH13" s="97" t="str">
        <f t="shared" si="36"/>
        <v xml:space="preserve"> </v>
      </c>
      <c r="CI13" s="97" t="str">
        <f t="shared" si="37"/>
        <v>X</v>
      </c>
      <c r="CJ13" s="97" t="str">
        <f t="shared" si="38"/>
        <v xml:space="preserve"> </v>
      </c>
      <c r="CK13" s="97" t="str">
        <f t="shared" si="39"/>
        <v xml:space="preserve"> </v>
      </c>
      <c r="CL13" s="97" t="e">
        <f t="shared" si="40"/>
        <v>#REF!</v>
      </c>
      <c r="CM13" s="97" t="e">
        <f t="shared" si="40"/>
        <v>#REF!</v>
      </c>
      <c r="CN13" s="97" t="e">
        <f t="shared" si="40"/>
        <v>#REF!</v>
      </c>
      <c r="CO13" s="97" t="e">
        <f t="shared" si="40"/>
        <v>#REF!</v>
      </c>
      <c r="CP13" s="97"/>
      <c r="CQ13" s="97"/>
      <c r="CR13" s="97"/>
      <c r="CS13" s="97"/>
      <c r="CT13" s="105">
        <f t="shared" si="41"/>
        <v>2</v>
      </c>
      <c r="CU13" s="118"/>
      <c r="CV13" s="95">
        <f t="shared" si="42"/>
        <v>2771</v>
      </c>
      <c r="CW13" s="124" t="str">
        <f t="shared" si="43"/>
        <v>CTARGAS</v>
      </c>
      <c r="CX13" s="97">
        <f t="shared" si="44"/>
        <v>10507</v>
      </c>
      <c r="CY13" s="97">
        <f t="shared" si="45"/>
        <v>8043</v>
      </c>
      <c r="CZ13" s="97">
        <f t="shared" si="46"/>
        <v>9005</v>
      </c>
      <c r="DA13" s="97">
        <f t="shared" si="47"/>
        <v>9558</v>
      </c>
      <c r="DB13" s="97">
        <f t="shared" si="48"/>
        <v>6797</v>
      </c>
      <c r="DC13" s="97">
        <f t="shared" si="49"/>
        <v>6508</v>
      </c>
      <c r="DD13" s="97">
        <f t="shared" si="50"/>
        <v>6535</v>
      </c>
      <c r="DE13" s="97"/>
      <c r="DF13" s="97"/>
      <c r="DG13" s="97"/>
      <c r="DH13" s="97"/>
      <c r="DI13" s="97"/>
      <c r="DM13" s="187">
        <f t="shared" si="51"/>
        <v>8136.1428571428569</v>
      </c>
    </row>
    <row r="14" spans="1:118" ht="15.75" x14ac:dyDescent="0.25">
      <c r="A14" s="196">
        <f t="shared" si="6"/>
        <v>2832</v>
      </c>
      <c r="B14" s="197" t="str">
        <f t="shared" si="7"/>
        <v>CTARGAS</v>
      </c>
      <c r="C14" s="41" t="str">
        <f t="shared" si="8"/>
        <v xml:space="preserve"> </v>
      </c>
      <c r="D14" s="38" t="str">
        <f t="shared" si="9"/>
        <v xml:space="preserve"> </v>
      </c>
      <c r="E14" s="24" t="str">
        <f t="shared" si="10"/>
        <v xml:space="preserve"> </v>
      </c>
      <c r="F14" s="24">
        <f t="shared" si="11"/>
        <v>4</v>
      </c>
      <c r="G14" s="136" t="str">
        <f t="shared" si="12"/>
        <v xml:space="preserve"> </v>
      </c>
      <c r="I14" s="27">
        <v>2832</v>
      </c>
      <c r="J14" s="55" t="s">
        <v>25</v>
      </c>
      <c r="K14" s="97">
        <f t="shared" si="52"/>
        <v>0</v>
      </c>
      <c r="L14" s="97">
        <f t="shared" si="53"/>
        <v>0</v>
      </c>
      <c r="M14" s="97">
        <f t="shared" si="54"/>
        <v>0</v>
      </c>
      <c r="N14" s="97">
        <f t="shared" si="55"/>
        <v>0</v>
      </c>
      <c r="O14" s="97">
        <f t="shared" si="56"/>
        <v>0</v>
      </c>
      <c r="P14" s="97">
        <f t="shared" si="57"/>
        <v>0</v>
      </c>
      <c r="Q14" s="97">
        <f t="shared" si="58"/>
        <v>0</v>
      </c>
      <c r="R14" s="97" t="e">
        <f t="shared" si="59"/>
        <v>#REF!</v>
      </c>
      <c r="S14" s="97" t="e">
        <f t="shared" si="0"/>
        <v>#REF!</v>
      </c>
      <c r="T14" s="97" t="e">
        <f t="shared" si="0"/>
        <v>#REF!</v>
      </c>
      <c r="U14" s="97" t="e">
        <f t="shared" si="0"/>
        <v>#REF!</v>
      </c>
      <c r="V14" s="97"/>
      <c r="W14" s="97"/>
      <c r="X14" s="97"/>
      <c r="Y14" s="97"/>
      <c r="Z14" s="105" t="str">
        <f t="shared" si="1"/>
        <v xml:space="preserve"> </v>
      </c>
      <c r="AA14" s="114"/>
      <c r="AB14" s="97" t="str">
        <f t="shared" si="13"/>
        <v xml:space="preserve"> </v>
      </c>
      <c r="AC14" s="97" t="str">
        <f t="shared" si="14"/>
        <v xml:space="preserve"> </v>
      </c>
      <c r="AD14" s="97" t="str">
        <f t="shared" si="15"/>
        <v xml:space="preserve"> </v>
      </c>
      <c r="AE14" s="97" t="str">
        <f t="shared" si="16"/>
        <v xml:space="preserve"> </v>
      </c>
      <c r="AF14" s="97" t="str">
        <f t="shared" si="17"/>
        <v xml:space="preserve"> </v>
      </c>
      <c r="AG14" s="97" t="str">
        <f t="shared" si="18"/>
        <v xml:space="preserve"> </v>
      </c>
      <c r="AH14" s="97" t="str">
        <f t="shared" si="19"/>
        <v xml:space="preserve"> </v>
      </c>
      <c r="AI14" s="97" t="e">
        <f t="shared" si="20"/>
        <v>#REF!</v>
      </c>
      <c r="AJ14" s="97" t="e">
        <f t="shared" si="20"/>
        <v>#REF!</v>
      </c>
      <c r="AK14" s="97" t="e">
        <f t="shared" si="20"/>
        <v>#REF!</v>
      </c>
      <c r="AL14" s="97" t="e">
        <f t="shared" si="20"/>
        <v>#REF!</v>
      </c>
      <c r="AM14" s="97"/>
      <c r="AN14" s="97"/>
      <c r="AO14" s="97"/>
      <c r="AP14" s="97"/>
      <c r="AQ14" s="105" t="str">
        <f t="shared" si="21"/>
        <v xml:space="preserve"> </v>
      </c>
      <c r="AR14" s="114"/>
      <c r="AS14" s="95">
        <f t="shared" si="2"/>
        <v>2832</v>
      </c>
      <c r="AT14" s="124" t="str">
        <f t="shared" si="3"/>
        <v>CTARGAS</v>
      </c>
      <c r="AU14" s="97" t="str">
        <f t="shared" si="22"/>
        <v xml:space="preserve"> </v>
      </c>
      <c r="AV14" s="97" t="str">
        <f t="shared" si="23"/>
        <v xml:space="preserve"> </v>
      </c>
      <c r="AW14" s="97" t="str">
        <f t="shared" si="24"/>
        <v xml:space="preserve"> </v>
      </c>
      <c r="AX14" s="97" t="str">
        <f t="shared" si="25"/>
        <v xml:space="preserve"> </v>
      </c>
      <c r="AY14" s="97" t="str">
        <f t="shared" si="26"/>
        <v xml:space="preserve"> </v>
      </c>
      <c r="AZ14" s="97" t="str">
        <f t="shared" si="27"/>
        <v xml:space="preserve"> </v>
      </c>
      <c r="BA14" s="97" t="str">
        <f t="shared" si="28"/>
        <v xml:space="preserve"> </v>
      </c>
      <c r="BB14" s="97" t="e">
        <f t="shared" si="29"/>
        <v>#REF!</v>
      </c>
      <c r="BC14" s="97" t="e">
        <f t="shared" si="29"/>
        <v>#REF!</v>
      </c>
      <c r="BD14" s="97" t="e">
        <f t="shared" si="29"/>
        <v>#REF!</v>
      </c>
      <c r="BE14" s="97" t="e">
        <f t="shared" si="29"/>
        <v>#REF!</v>
      </c>
      <c r="BF14" s="97"/>
      <c r="BG14" s="97"/>
      <c r="BH14" s="97"/>
      <c r="BI14" s="97"/>
      <c r="BJ14" s="105" t="str">
        <f t="shared" si="30"/>
        <v xml:space="preserve"> </v>
      </c>
      <c r="BK14" s="114"/>
      <c r="BL14" s="97" t="str">
        <f t="shared" si="60"/>
        <v xml:space="preserve"> </v>
      </c>
      <c r="BM14" s="97" t="str">
        <f t="shared" si="61"/>
        <v xml:space="preserve"> </v>
      </c>
      <c r="BN14" s="97" t="str">
        <f t="shared" si="62"/>
        <v xml:space="preserve"> </v>
      </c>
      <c r="BO14" s="97" t="str">
        <f t="shared" si="63"/>
        <v xml:space="preserve"> </v>
      </c>
      <c r="BP14" s="97" t="str">
        <f t="shared" si="64"/>
        <v xml:space="preserve"> </v>
      </c>
      <c r="BQ14" s="97" t="str">
        <f t="shared" si="65"/>
        <v xml:space="preserve"> </v>
      </c>
      <c r="BR14" s="97" t="str">
        <f t="shared" si="66"/>
        <v xml:space="preserve"> </v>
      </c>
      <c r="BS14" s="97" t="e">
        <f t="shared" si="67"/>
        <v>#REF!</v>
      </c>
      <c r="BT14" s="97" t="e">
        <f t="shared" si="67"/>
        <v>#REF!</v>
      </c>
      <c r="BU14" s="97" t="e">
        <f t="shared" si="67"/>
        <v>#REF!</v>
      </c>
      <c r="BV14" s="97" t="e">
        <f t="shared" si="67"/>
        <v>#REF!</v>
      </c>
      <c r="BW14" s="97"/>
      <c r="BX14" s="97"/>
      <c r="BY14" s="97"/>
      <c r="BZ14" s="97"/>
      <c r="CA14" s="105" t="str">
        <f t="shared" si="5"/>
        <v xml:space="preserve"> </v>
      </c>
      <c r="CB14" s="114"/>
      <c r="CC14" s="95">
        <f t="shared" si="31"/>
        <v>2832</v>
      </c>
      <c r="CD14" s="124" t="str">
        <f t="shared" si="32"/>
        <v>CTARGAS</v>
      </c>
      <c r="CE14" s="97" t="str">
        <f t="shared" si="33"/>
        <v xml:space="preserve"> </v>
      </c>
      <c r="CF14" s="97" t="str">
        <f t="shared" si="34"/>
        <v>X</v>
      </c>
      <c r="CG14" s="97" t="str">
        <f t="shared" si="35"/>
        <v xml:space="preserve"> </v>
      </c>
      <c r="CH14" s="97" t="str">
        <f t="shared" si="36"/>
        <v xml:space="preserve"> </v>
      </c>
      <c r="CI14" s="97" t="str">
        <f t="shared" si="37"/>
        <v>X</v>
      </c>
      <c r="CJ14" s="97" t="str">
        <f t="shared" si="38"/>
        <v>X</v>
      </c>
      <c r="CK14" s="97" t="str">
        <f t="shared" si="39"/>
        <v>X</v>
      </c>
      <c r="CL14" s="97" t="e">
        <f t="shared" si="40"/>
        <v>#REF!</v>
      </c>
      <c r="CM14" s="97" t="e">
        <f t="shared" si="40"/>
        <v>#REF!</v>
      </c>
      <c r="CN14" s="97" t="e">
        <f t="shared" si="40"/>
        <v>#REF!</v>
      </c>
      <c r="CO14" s="97" t="e">
        <f t="shared" si="40"/>
        <v>#REF!</v>
      </c>
      <c r="CP14" s="97"/>
      <c r="CQ14" s="97"/>
      <c r="CR14" s="97"/>
      <c r="CS14" s="97"/>
      <c r="CT14" s="105">
        <f t="shared" si="41"/>
        <v>4</v>
      </c>
      <c r="CU14" s="118"/>
      <c r="CV14" s="95">
        <f t="shared" si="42"/>
        <v>2832</v>
      </c>
      <c r="CW14" s="124" t="str">
        <f t="shared" si="43"/>
        <v>CTARGAS</v>
      </c>
      <c r="CX14" s="97">
        <f t="shared" si="44"/>
        <v>662</v>
      </c>
      <c r="CY14" s="97">
        <f t="shared" si="45"/>
        <v>490</v>
      </c>
      <c r="CZ14" s="97">
        <f t="shared" si="46"/>
        <v>552</v>
      </c>
      <c r="DA14" s="97">
        <f t="shared" si="47"/>
        <v>591</v>
      </c>
      <c r="DB14" s="97">
        <f t="shared" si="48"/>
        <v>426</v>
      </c>
      <c r="DC14" s="97">
        <f t="shared" si="49"/>
        <v>400</v>
      </c>
      <c r="DD14" s="97">
        <f t="shared" si="50"/>
        <v>406</v>
      </c>
      <c r="DE14" s="97"/>
      <c r="DF14" s="97"/>
      <c r="DG14" s="97"/>
      <c r="DH14" s="97"/>
      <c r="DI14" s="97"/>
      <c r="DM14" s="187">
        <f t="shared" si="51"/>
        <v>503.85714285714283</v>
      </c>
    </row>
    <row r="15" spans="1:118" ht="15.75" x14ac:dyDescent="0.25">
      <c r="A15" s="196">
        <f t="shared" si="6"/>
        <v>2892</v>
      </c>
      <c r="B15" s="197" t="str">
        <f t="shared" si="7"/>
        <v>CTARGAS</v>
      </c>
      <c r="C15" s="41" t="str">
        <f t="shared" si="8"/>
        <v xml:space="preserve"> </v>
      </c>
      <c r="D15" s="38">
        <f t="shared" si="9"/>
        <v>3</v>
      </c>
      <c r="E15" s="24">
        <f t="shared" si="10"/>
        <v>3</v>
      </c>
      <c r="F15" s="24">
        <f t="shared" si="11"/>
        <v>4</v>
      </c>
      <c r="G15" s="136" t="str">
        <f t="shared" si="12"/>
        <v xml:space="preserve"> </v>
      </c>
      <c r="I15" s="27">
        <v>2892</v>
      </c>
      <c r="J15" s="55" t="s">
        <v>25</v>
      </c>
      <c r="K15" s="97">
        <f t="shared" si="52"/>
        <v>0</v>
      </c>
      <c r="L15" s="97">
        <f t="shared" si="53"/>
        <v>0</v>
      </c>
      <c r="M15" s="97">
        <f t="shared" si="54"/>
        <v>0</v>
      </c>
      <c r="N15" s="97">
        <f t="shared" si="55"/>
        <v>0</v>
      </c>
      <c r="O15" s="97">
        <f t="shared" si="56"/>
        <v>0</v>
      </c>
      <c r="P15" s="97">
        <f t="shared" si="57"/>
        <v>0</v>
      </c>
      <c r="Q15" s="97">
        <f t="shared" si="58"/>
        <v>0</v>
      </c>
      <c r="R15" s="97" t="e">
        <f t="shared" si="59"/>
        <v>#REF!</v>
      </c>
      <c r="S15" s="97" t="e">
        <f t="shared" si="0"/>
        <v>#REF!</v>
      </c>
      <c r="T15" s="97" t="e">
        <f t="shared" si="0"/>
        <v>#REF!</v>
      </c>
      <c r="U15" s="97" t="e">
        <f t="shared" si="0"/>
        <v>#REF!</v>
      </c>
      <c r="V15" s="97"/>
      <c r="W15" s="97"/>
      <c r="X15" s="97"/>
      <c r="Y15" s="97"/>
      <c r="Z15" s="105" t="str">
        <f t="shared" si="1"/>
        <v xml:space="preserve"> </v>
      </c>
      <c r="AA15" s="114"/>
      <c r="AB15" s="97" t="str">
        <f t="shared" si="13"/>
        <v xml:space="preserve"> </v>
      </c>
      <c r="AC15" s="97" t="str">
        <f t="shared" si="14"/>
        <v xml:space="preserve"> </v>
      </c>
      <c r="AD15" s="97" t="str">
        <f t="shared" si="15"/>
        <v xml:space="preserve"> </v>
      </c>
      <c r="AE15" s="97" t="str">
        <f t="shared" si="16"/>
        <v xml:space="preserve"> </v>
      </c>
      <c r="AF15" s="97" t="str">
        <f t="shared" si="17"/>
        <v>X</v>
      </c>
      <c r="AG15" s="97" t="str">
        <f t="shared" si="18"/>
        <v>X</v>
      </c>
      <c r="AH15" s="97" t="str">
        <f t="shared" si="19"/>
        <v>X</v>
      </c>
      <c r="AI15" s="97" t="e">
        <f t="shared" si="20"/>
        <v>#REF!</v>
      </c>
      <c r="AJ15" s="97" t="e">
        <f t="shared" si="20"/>
        <v>#REF!</v>
      </c>
      <c r="AK15" s="97" t="e">
        <f t="shared" si="20"/>
        <v>#REF!</v>
      </c>
      <c r="AL15" s="97" t="e">
        <f t="shared" si="20"/>
        <v>#REF!</v>
      </c>
      <c r="AM15" s="97"/>
      <c r="AN15" s="97"/>
      <c r="AO15" s="97"/>
      <c r="AP15" s="97"/>
      <c r="AQ15" s="105">
        <f t="shared" si="21"/>
        <v>3</v>
      </c>
      <c r="AR15" s="114"/>
      <c r="AS15" s="95">
        <f t="shared" si="2"/>
        <v>2892</v>
      </c>
      <c r="AT15" s="124" t="str">
        <f t="shared" si="3"/>
        <v>CTARGAS</v>
      </c>
      <c r="AU15" s="97" t="str">
        <f t="shared" si="22"/>
        <v xml:space="preserve"> </v>
      </c>
      <c r="AV15" s="97" t="str">
        <f t="shared" si="23"/>
        <v xml:space="preserve"> </v>
      </c>
      <c r="AW15" s="97" t="str">
        <f t="shared" si="24"/>
        <v xml:space="preserve"> </v>
      </c>
      <c r="AX15" s="97" t="str">
        <f t="shared" si="25"/>
        <v xml:space="preserve"> </v>
      </c>
      <c r="AY15" s="97" t="str">
        <f t="shared" si="26"/>
        <v xml:space="preserve"> </v>
      </c>
      <c r="AZ15" s="97" t="str">
        <f t="shared" si="27"/>
        <v xml:space="preserve"> </v>
      </c>
      <c r="BA15" s="97" t="str">
        <f t="shared" si="28"/>
        <v xml:space="preserve"> </v>
      </c>
      <c r="BB15" s="97" t="e">
        <f t="shared" si="29"/>
        <v>#REF!</v>
      </c>
      <c r="BC15" s="97" t="e">
        <f t="shared" si="29"/>
        <v>#REF!</v>
      </c>
      <c r="BD15" s="97" t="e">
        <f t="shared" si="29"/>
        <v>#REF!</v>
      </c>
      <c r="BE15" s="97" t="e">
        <f t="shared" si="29"/>
        <v>#REF!</v>
      </c>
      <c r="BF15" s="97"/>
      <c r="BG15" s="97"/>
      <c r="BH15" s="97"/>
      <c r="BI15" s="97"/>
      <c r="BJ15" s="105" t="str">
        <f t="shared" si="30"/>
        <v xml:space="preserve"> </v>
      </c>
      <c r="BK15" s="114"/>
      <c r="BL15" s="97" t="str">
        <f t="shared" si="60"/>
        <v xml:space="preserve"> </v>
      </c>
      <c r="BM15" s="97" t="str">
        <f t="shared" si="61"/>
        <v xml:space="preserve"> </v>
      </c>
      <c r="BN15" s="97" t="str">
        <f t="shared" si="62"/>
        <v xml:space="preserve"> </v>
      </c>
      <c r="BO15" s="97" t="str">
        <f t="shared" si="63"/>
        <v xml:space="preserve"> </v>
      </c>
      <c r="BP15" s="97" t="str">
        <f t="shared" si="64"/>
        <v>X</v>
      </c>
      <c r="BQ15" s="97" t="str">
        <f t="shared" si="65"/>
        <v>X</v>
      </c>
      <c r="BR15" s="97" t="str">
        <f t="shared" si="66"/>
        <v>X</v>
      </c>
      <c r="BS15" s="97" t="e">
        <f t="shared" si="67"/>
        <v>#REF!</v>
      </c>
      <c r="BT15" s="97" t="e">
        <f t="shared" si="67"/>
        <v>#REF!</v>
      </c>
      <c r="BU15" s="97" t="e">
        <f t="shared" si="67"/>
        <v>#REF!</v>
      </c>
      <c r="BV15" s="97" t="e">
        <f t="shared" si="67"/>
        <v>#REF!</v>
      </c>
      <c r="BW15" s="97"/>
      <c r="BX15" s="97"/>
      <c r="BY15" s="97"/>
      <c r="BZ15" s="97"/>
      <c r="CA15" s="105">
        <f t="shared" si="5"/>
        <v>3</v>
      </c>
      <c r="CB15" s="114"/>
      <c r="CC15" s="95">
        <f t="shared" si="31"/>
        <v>2892</v>
      </c>
      <c r="CD15" s="124" t="str">
        <f t="shared" si="32"/>
        <v>CTARGAS</v>
      </c>
      <c r="CE15" s="97" t="str">
        <f t="shared" si="33"/>
        <v xml:space="preserve"> </v>
      </c>
      <c r="CF15" s="97" t="str">
        <f t="shared" si="34"/>
        <v>X</v>
      </c>
      <c r="CG15" s="97" t="str">
        <f t="shared" si="35"/>
        <v xml:space="preserve"> </v>
      </c>
      <c r="CH15" s="97" t="str">
        <f t="shared" si="36"/>
        <v xml:space="preserve"> </v>
      </c>
      <c r="CI15" s="97" t="str">
        <f t="shared" si="37"/>
        <v>X</v>
      </c>
      <c r="CJ15" s="97" t="str">
        <f t="shared" si="38"/>
        <v>X</v>
      </c>
      <c r="CK15" s="97" t="str">
        <f t="shared" si="39"/>
        <v>X</v>
      </c>
      <c r="CL15" s="97" t="e">
        <f t="shared" si="40"/>
        <v>#REF!</v>
      </c>
      <c r="CM15" s="97" t="e">
        <f t="shared" si="40"/>
        <v>#REF!</v>
      </c>
      <c r="CN15" s="97" t="e">
        <f t="shared" si="40"/>
        <v>#REF!</v>
      </c>
      <c r="CO15" s="97" t="e">
        <f t="shared" si="40"/>
        <v>#REF!</v>
      </c>
      <c r="CP15" s="97"/>
      <c r="CQ15" s="97"/>
      <c r="CR15" s="97"/>
      <c r="CS15" s="97"/>
      <c r="CT15" s="105">
        <f t="shared" si="41"/>
        <v>4</v>
      </c>
      <c r="CU15" s="118"/>
      <c r="CV15" s="95">
        <f t="shared" si="42"/>
        <v>2892</v>
      </c>
      <c r="CW15" s="124" t="str">
        <f t="shared" si="43"/>
        <v>CTARGAS</v>
      </c>
      <c r="CX15" s="97">
        <f t="shared" si="44"/>
        <v>7204</v>
      </c>
      <c r="CY15" s="97">
        <f t="shared" si="45"/>
        <v>5634</v>
      </c>
      <c r="CZ15" s="97">
        <f t="shared" si="46"/>
        <v>6235</v>
      </c>
      <c r="DA15" s="97">
        <f t="shared" si="47"/>
        <v>6596</v>
      </c>
      <c r="DB15" s="97">
        <f t="shared" si="48"/>
        <v>4727</v>
      </c>
      <c r="DC15" s="97">
        <f t="shared" si="49"/>
        <v>4514</v>
      </c>
      <c r="DD15" s="97">
        <f t="shared" si="50"/>
        <v>4539</v>
      </c>
      <c r="DE15" s="97"/>
      <c r="DF15" s="97"/>
      <c r="DG15" s="97"/>
      <c r="DH15" s="97"/>
      <c r="DI15" s="97"/>
      <c r="DM15" s="187">
        <f t="shared" si="51"/>
        <v>5635.5714285714284</v>
      </c>
    </row>
    <row r="16" spans="1:118" ht="15.75" x14ac:dyDescent="0.25">
      <c r="A16" s="196">
        <f t="shared" si="6"/>
        <v>3152</v>
      </c>
      <c r="B16" s="197" t="str">
        <f t="shared" si="7"/>
        <v>CTARGAS</v>
      </c>
      <c r="C16" s="41" t="str">
        <f t="shared" si="8"/>
        <v xml:space="preserve"> </v>
      </c>
      <c r="D16" s="38">
        <f t="shared" si="9"/>
        <v>2</v>
      </c>
      <c r="E16" s="24">
        <f t="shared" si="10"/>
        <v>2</v>
      </c>
      <c r="F16" s="24">
        <f t="shared" si="11"/>
        <v>2</v>
      </c>
      <c r="G16" s="136">
        <f t="shared" si="12"/>
        <v>1</v>
      </c>
      <c r="I16" s="27">
        <v>3152</v>
      </c>
      <c r="J16" s="55" t="s">
        <v>25</v>
      </c>
      <c r="K16" s="97">
        <f t="shared" si="52"/>
        <v>0</v>
      </c>
      <c r="L16" s="97">
        <f t="shared" si="53"/>
        <v>0</v>
      </c>
      <c r="M16" s="97">
        <f t="shared" si="54"/>
        <v>0</v>
      </c>
      <c r="N16" s="97">
        <f t="shared" si="55"/>
        <v>0</v>
      </c>
      <c r="O16" s="97" t="str">
        <f t="shared" si="56"/>
        <v xml:space="preserve"> </v>
      </c>
      <c r="P16" s="97">
        <f t="shared" si="57"/>
        <v>0</v>
      </c>
      <c r="Q16" s="97">
        <f t="shared" si="58"/>
        <v>0</v>
      </c>
      <c r="R16" s="97" t="e">
        <f t="shared" si="59"/>
        <v>#REF!</v>
      </c>
      <c r="S16" s="97" t="e">
        <f t="shared" si="0"/>
        <v>#REF!</v>
      </c>
      <c r="T16" s="97" t="e">
        <f t="shared" si="0"/>
        <v>#REF!</v>
      </c>
      <c r="U16" s="97" t="e">
        <f t="shared" si="0"/>
        <v>#REF!</v>
      </c>
      <c r="V16" s="97"/>
      <c r="W16" s="97"/>
      <c r="X16" s="97"/>
      <c r="Y16" s="97"/>
      <c r="Z16" s="105" t="str">
        <f t="shared" si="1"/>
        <v xml:space="preserve"> </v>
      </c>
      <c r="AA16" s="114"/>
      <c r="AB16" s="97" t="str">
        <f t="shared" si="13"/>
        <v xml:space="preserve"> </v>
      </c>
      <c r="AC16" s="97" t="str">
        <f t="shared" si="14"/>
        <v xml:space="preserve"> </v>
      </c>
      <c r="AD16" s="97" t="str">
        <f t="shared" si="15"/>
        <v xml:space="preserve"> </v>
      </c>
      <c r="AE16" s="97" t="str">
        <f t="shared" si="16"/>
        <v xml:space="preserve"> </v>
      </c>
      <c r="AF16" s="97" t="str">
        <f t="shared" si="17"/>
        <v xml:space="preserve"> </v>
      </c>
      <c r="AG16" s="97" t="str">
        <f t="shared" si="18"/>
        <v>X</v>
      </c>
      <c r="AH16" s="97" t="str">
        <f t="shared" si="19"/>
        <v>X</v>
      </c>
      <c r="AI16" s="97" t="e">
        <f t="shared" si="20"/>
        <v>#REF!</v>
      </c>
      <c r="AJ16" s="97" t="e">
        <f t="shared" si="20"/>
        <v>#REF!</v>
      </c>
      <c r="AK16" s="97" t="e">
        <f t="shared" si="20"/>
        <v>#REF!</v>
      </c>
      <c r="AL16" s="97" t="e">
        <f t="shared" si="20"/>
        <v>#REF!</v>
      </c>
      <c r="AM16" s="97"/>
      <c r="AN16" s="97"/>
      <c r="AO16" s="97"/>
      <c r="AP16" s="97"/>
      <c r="AQ16" s="105">
        <f t="shared" si="21"/>
        <v>2</v>
      </c>
      <c r="AR16" s="114"/>
      <c r="AS16" s="95">
        <f t="shared" si="2"/>
        <v>3152</v>
      </c>
      <c r="AT16" s="124" t="str">
        <f t="shared" si="3"/>
        <v>CTARGAS</v>
      </c>
      <c r="AU16" s="97" t="str">
        <f t="shared" si="22"/>
        <v xml:space="preserve"> </v>
      </c>
      <c r="AV16" s="97" t="str">
        <f t="shared" si="23"/>
        <v xml:space="preserve"> </v>
      </c>
      <c r="AW16" s="97" t="str">
        <f t="shared" si="24"/>
        <v xml:space="preserve"> </v>
      </c>
      <c r="AX16" s="97" t="str">
        <f t="shared" si="25"/>
        <v xml:space="preserve"> </v>
      </c>
      <c r="AY16" s="97" t="str">
        <f t="shared" si="26"/>
        <v>X</v>
      </c>
      <c r="AZ16" s="97" t="str">
        <f t="shared" si="27"/>
        <v xml:space="preserve"> </v>
      </c>
      <c r="BA16" s="97" t="str">
        <f t="shared" si="28"/>
        <v xml:space="preserve"> </v>
      </c>
      <c r="BB16" s="97" t="e">
        <f t="shared" si="29"/>
        <v>#REF!</v>
      </c>
      <c r="BC16" s="97" t="e">
        <f t="shared" si="29"/>
        <v>#REF!</v>
      </c>
      <c r="BD16" s="97" t="e">
        <f t="shared" si="29"/>
        <v>#REF!</v>
      </c>
      <c r="BE16" s="97" t="e">
        <f t="shared" si="29"/>
        <v>#REF!</v>
      </c>
      <c r="BF16" s="97"/>
      <c r="BG16" s="97"/>
      <c r="BH16" s="97"/>
      <c r="BI16" s="97"/>
      <c r="BJ16" s="105">
        <f t="shared" si="30"/>
        <v>1</v>
      </c>
      <c r="BK16" s="114"/>
      <c r="BL16" s="97" t="str">
        <f t="shared" si="60"/>
        <v xml:space="preserve"> </v>
      </c>
      <c r="BM16" s="97" t="str">
        <f t="shared" si="61"/>
        <v xml:space="preserve"> </v>
      </c>
      <c r="BN16" s="97" t="str">
        <f t="shared" si="62"/>
        <v xml:space="preserve"> </v>
      </c>
      <c r="BO16" s="97" t="str">
        <f t="shared" si="63"/>
        <v xml:space="preserve"> </v>
      </c>
      <c r="BP16" s="97" t="str">
        <f t="shared" si="64"/>
        <v xml:space="preserve"> </v>
      </c>
      <c r="BQ16" s="97" t="str">
        <f t="shared" si="65"/>
        <v>X</v>
      </c>
      <c r="BR16" s="97" t="str">
        <f t="shared" si="66"/>
        <v>X</v>
      </c>
      <c r="BS16" s="97" t="e">
        <f t="shared" si="67"/>
        <v>#REF!</v>
      </c>
      <c r="BT16" s="97" t="e">
        <f t="shared" si="67"/>
        <v>#REF!</v>
      </c>
      <c r="BU16" s="97" t="e">
        <f t="shared" si="67"/>
        <v>#REF!</v>
      </c>
      <c r="BV16" s="97" t="e">
        <f t="shared" si="67"/>
        <v>#REF!</v>
      </c>
      <c r="BW16" s="97"/>
      <c r="BX16" s="97"/>
      <c r="BY16" s="97"/>
      <c r="BZ16" s="97"/>
      <c r="CA16" s="105">
        <f t="shared" si="5"/>
        <v>2</v>
      </c>
      <c r="CB16" s="114"/>
      <c r="CC16" s="95">
        <f t="shared" si="31"/>
        <v>3152</v>
      </c>
      <c r="CD16" s="124" t="str">
        <f t="shared" si="32"/>
        <v>CTARGAS</v>
      </c>
      <c r="CE16" s="97" t="str">
        <f t="shared" si="33"/>
        <v xml:space="preserve"> </v>
      </c>
      <c r="CF16" s="97" t="str">
        <f t="shared" si="34"/>
        <v xml:space="preserve"> </v>
      </c>
      <c r="CG16" s="97" t="str">
        <f t="shared" si="35"/>
        <v xml:space="preserve"> </v>
      </c>
      <c r="CH16" s="97" t="str">
        <f t="shared" si="36"/>
        <v xml:space="preserve"> </v>
      </c>
      <c r="CI16" s="97" t="str">
        <f t="shared" si="37"/>
        <v xml:space="preserve"> </v>
      </c>
      <c r="CJ16" s="97" t="str">
        <f t="shared" si="38"/>
        <v>X</v>
      </c>
      <c r="CK16" s="97" t="str">
        <f t="shared" si="39"/>
        <v>X</v>
      </c>
      <c r="CL16" s="97" t="e">
        <f t="shared" si="40"/>
        <v>#REF!</v>
      </c>
      <c r="CM16" s="97" t="e">
        <f t="shared" si="40"/>
        <v>#REF!</v>
      </c>
      <c r="CN16" s="97" t="e">
        <f t="shared" si="40"/>
        <v>#REF!</v>
      </c>
      <c r="CO16" s="97" t="e">
        <f t="shared" si="40"/>
        <v>#REF!</v>
      </c>
      <c r="CP16" s="97"/>
      <c r="CQ16" s="97"/>
      <c r="CR16" s="97"/>
      <c r="CS16" s="97"/>
      <c r="CT16" s="105">
        <f t="shared" si="41"/>
        <v>2</v>
      </c>
      <c r="CU16" s="118"/>
      <c r="CV16" s="95">
        <f t="shared" si="42"/>
        <v>3152</v>
      </c>
      <c r="CW16" s="124" t="str">
        <f t="shared" si="43"/>
        <v>CTARGAS</v>
      </c>
      <c r="CX16" s="97">
        <f t="shared" si="44"/>
        <v>18257</v>
      </c>
      <c r="CY16" s="97">
        <f t="shared" si="45"/>
        <v>11990</v>
      </c>
      <c r="CZ16" s="97">
        <f t="shared" si="46"/>
        <v>14105</v>
      </c>
      <c r="DA16" s="97">
        <f t="shared" si="47"/>
        <v>15705</v>
      </c>
      <c r="DB16" s="97">
        <f t="shared" si="48"/>
        <v>8452</v>
      </c>
      <c r="DC16" s="97">
        <f t="shared" si="49"/>
        <v>7610</v>
      </c>
      <c r="DD16" s="97">
        <f t="shared" si="50"/>
        <v>7682</v>
      </c>
      <c r="DE16" s="97"/>
      <c r="DF16" s="97"/>
      <c r="DG16" s="97"/>
      <c r="DH16" s="97"/>
      <c r="DI16" s="97"/>
      <c r="DM16" s="187">
        <f t="shared" si="51"/>
        <v>11971.571428571429</v>
      </c>
    </row>
    <row r="17" spans="1:118" ht="15.75" x14ac:dyDescent="0.25">
      <c r="A17" s="196">
        <f t="shared" si="6"/>
        <v>6500</v>
      </c>
      <c r="B17" s="197" t="str">
        <f t="shared" si="7"/>
        <v>CTARGAS</v>
      </c>
      <c r="C17" s="41">
        <f t="shared" si="8"/>
        <v>2</v>
      </c>
      <c r="D17" s="38">
        <f t="shared" si="9"/>
        <v>3</v>
      </c>
      <c r="E17" s="24">
        <f>CA17</f>
        <v>6</v>
      </c>
      <c r="F17" s="24">
        <f>CT17</f>
        <v>3</v>
      </c>
      <c r="G17" s="136">
        <f>BJ17</f>
        <v>1</v>
      </c>
      <c r="I17" s="27">
        <v>6500</v>
      </c>
      <c r="J17" s="55" t="s">
        <v>25</v>
      </c>
      <c r="K17" s="97">
        <f t="shared" si="52"/>
        <v>0</v>
      </c>
      <c r="L17" s="97">
        <f t="shared" si="53"/>
        <v>0</v>
      </c>
      <c r="M17" s="97" t="str">
        <f t="shared" si="54"/>
        <v>X</v>
      </c>
      <c r="N17" s="97">
        <f t="shared" si="55"/>
        <v>0</v>
      </c>
      <c r="O17" s="97" t="str">
        <f t="shared" si="56"/>
        <v>X</v>
      </c>
      <c r="P17" s="97">
        <f t="shared" si="57"/>
        <v>0</v>
      </c>
      <c r="Q17" s="97">
        <f t="shared" si="58"/>
        <v>0</v>
      </c>
      <c r="R17" s="97" t="e">
        <f t="shared" si="59"/>
        <v>#REF!</v>
      </c>
      <c r="S17" s="97" t="e">
        <f t="shared" si="0"/>
        <v>#REF!</v>
      </c>
      <c r="T17" s="97" t="e">
        <f t="shared" si="0"/>
        <v>#REF!</v>
      </c>
      <c r="U17" s="97" t="e">
        <f t="shared" si="0"/>
        <v>#REF!</v>
      </c>
      <c r="V17" s="97"/>
      <c r="W17" s="97"/>
      <c r="X17" s="97"/>
      <c r="Y17" s="97"/>
      <c r="Z17" s="105">
        <f>IF(COUNTIF(K17:Y17,"x")=0," ",COUNTIF(K17:Y17,"x"))</f>
        <v>2</v>
      </c>
      <c r="AA17" s="114"/>
      <c r="AB17" s="97" t="str">
        <f t="shared" si="13"/>
        <v xml:space="preserve"> </v>
      </c>
      <c r="AC17" s="97" t="str">
        <f t="shared" si="14"/>
        <v xml:space="preserve"> </v>
      </c>
      <c r="AD17" s="97" t="str">
        <f t="shared" si="15"/>
        <v xml:space="preserve"> </v>
      </c>
      <c r="AE17" s="97" t="str">
        <f t="shared" si="16"/>
        <v xml:space="preserve"> </v>
      </c>
      <c r="AF17" s="97" t="str">
        <f t="shared" si="17"/>
        <v>X</v>
      </c>
      <c r="AG17" s="97" t="str">
        <f t="shared" si="18"/>
        <v>X</v>
      </c>
      <c r="AH17" s="97" t="str">
        <f t="shared" si="19"/>
        <v>X</v>
      </c>
      <c r="AI17" s="97" t="e">
        <f t="shared" si="20"/>
        <v>#REF!</v>
      </c>
      <c r="AJ17" s="97" t="e">
        <f t="shared" si="20"/>
        <v>#REF!</v>
      </c>
      <c r="AK17" s="97" t="e">
        <f t="shared" si="20"/>
        <v>#REF!</v>
      </c>
      <c r="AL17" s="97" t="e">
        <f t="shared" si="20"/>
        <v>#REF!</v>
      </c>
      <c r="AM17" s="97"/>
      <c r="AN17" s="97"/>
      <c r="AO17" s="97"/>
      <c r="AP17" s="97"/>
      <c r="AQ17" s="105">
        <f t="shared" si="21"/>
        <v>3</v>
      </c>
      <c r="AR17" s="114"/>
      <c r="AS17" s="95">
        <f t="shared" si="2"/>
        <v>6500</v>
      </c>
      <c r="AT17" s="124" t="str">
        <f t="shared" si="3"/>
        <v>CTARGAS</v>
      </c>
      <c r="AU17" s="97" t="str">
        <f t="shared" si="22"/>
        <v xml:space="preserve"> </v>
      </c>
      <c r="AV17" s="97" t="str">
        <f t="shared" si="23"/>
        <v xml:space="preserve"> </v>
      </c>
      <c r="AW17" s="97" t="str">
        <f t="shared" si="24"/>
        <v xml:space="preserve"> </v>
      </c>
      <c r="AX17" s="97" t="str">
        <f t="shared" si="25"/>
        <v>X</v>
      </c>
      <c r="AY17" s="97" t="str">
        <f t="shared" si="26"/>
        <v xml:space="preserve"> </v>
      </c>
      <c r="AZ17" s="97" t="str">
        <f t="shared" si="27"/>
        <v xml:space="preserve"> </v>
      </c>
      <c r="BA17" s="97" t="str">
        <f t="shared" si="28"/>
        <v xml:space="preserve"> </v>
      </c>
      <c r="BB17" s="97" t="e">
        <f t="shared" si="29"/>
        <v>#REF!</v>
      </c>
      <c r="BC17" s="97" t="e">
        <f t="shared" si="29"/>
        <v>#REF!</v>
      </c>
      <c r="BD17" s="97" t="e">
        <f t="shared" si="29"/>
        <v>#REF!</v>
      </c>
      <c r="BE17" s="97" t="e">
        <f t="shared" si="29"/>
        <v>#REF!</v>
      </c>
      <c r="BF17" s="97"/>
      <c r="BG17" s="97"/>
      <c r="BH17" s="97"/>
      <c r="BI17" s="97"/>
      <c r="BJ17" s="105">
        <f t="shared" si="30"/>
        <v>1</v>
      </c>
      <c r="BK17" s="114"/>
      <c r="BL17" s="97" t="str">
        <f t="shared" si="60"/>
        <v xml:space="preserve"> </v>
      </c>
      <c r="BM17" s="97" t="str">
        <f t="shared" si="61"/>
        <v>X</v>
      </c>
      <c r="BN17" s="97" t="str">
        <f t="shared" si="62"/>
        <v>X</v>
      </c>
      <c r="BO17" s="97" t="str">
        <f t="shared" si="63"/>
        <v>X</v>
      </c>
      <c r="BP17" s="97" t="str">
        <f t="shared" si="64"/>
        <v>X</v>
      </c>
      <c r="BQ17" s="97" t="str">
        <f t="shared" si="65"/>
        <v>X</v>
      </c>
      <c r="BR17" s="97" t="str">
        <f t="shared" si="66"/>
        <v>X</v>
      </c>
      <c r="BS17" s="97" t="e">
        <f t="shared" si="67"/>
        <v>#REF!</v>
      </c>
      <c r="BT17" s="97" t="e">
        <f t="shared" si="67"/>
        <v>#REF!</v>
      </c>
      <c r="BU17" s="97" t="e">
        <f t="shared" si="67"/>
        <v>#REF!</v>
      </c>
      <c r="BV17" s="97" t="e">
        <f t="shared" si="67"/>
        <v>#REF!</v>
      </c>
      <c r="BW17" s="97"/>
      <c r="BX17" s="97"/>
      <c r="BY17" s="97"/>
      <c r="BZ17" s="97"/>
      <c r="CA17" s="105">
        <f t="shared" si="5"/>
        <v>6</v>
      </c>
      <c r="CB17" s="114"/>
      <c r="CC17" s="95">
        <f t="shared" si="31"/>
        <v>6500</v>
      </c>
      <c r="CD17" s="124" t="str">
        <f t="shared" si="32"/>
        <v>CTARGAS</v>
      </c>
      <c r="CE17" s="97" t="str">
        <f t="shared" si="33"/>
        <v xml:space="preserve"> </v>
      </c>
      <c r="CF17" s="97" t="str">
        <f t="shared" si="34"/>
        <v xml:space="preserve"> </v>
      </c>
      <c r="CG17" s="97" t="str">
        <f t="shared" si="35"/>
        <v xml:space="preserve"> </v>
      </c>
      <c r="CH17" s="97" t="str">
        <f t="shared" si="36"/>
        <v xml:space="preserve"> </v>
      </c>
      <c r="CI17" s="97" t="str">
        <f t="shared" si="37"/>
        <v>X</v>
      </c>
      <c r="CJ17" s="97" t="str">
        <f t="shared" si="38"/>
        <v>X</v>
      </c>
      <c r="CK17" s="97" t="str">
        <f t="shared" si="39"/>
        <v>X</v>
      </c>
      <c r="CL17" s="97" t="e">
        <f t="shared" si="40"/>
        <v>#REF!</v>
      </c>
      <c r="CM17" s="97" t="e">
        <f t="shared" si="40"/>
        <v>#REF!</v>
      </c>
      <c r="CN17" s="97" t="e">
        <f t="shared" si="40"/>
        <v>#REF!</v>
      </c>
      <c r="CO17" s="97" t="e">
        <f t="shared" si="40"/>
        <v>#REF!</v>
      </c>
      <c r="CP17" s="97"/>
      <c r="CQ17" s="97"/>
      <c r="CR17" s="97"/>
      <c r="CS17" s="97"/>
      <c r="CT17" s="105">
        <f t="shared" si="41"/>
        <v>3</v>
      </c>
      <c r="CU17" s="118"/>
      <c r="CV17" s="95">
        <f t="shared" si="42"/>
        <v>6500</v>
      </c>
      <c r="CW17" s="124" t="str">
        <f t="shared" si="43"/>
        <v>CTARGAS</v>
      </c>
      <c r="CX17" s="97">
        <f t="shared" si="44"/>
        <v>1623052</v>
      </c>
      <c r="CY17" s="97">
        <f t="shared" si="45"/>
        <v>976477</v>
      </c>
      <c r="CZ17" s="97">
        <f t="shared" si="46"/>
        <v>1225859</v>
      </c>
      <c r="DA17" s="97">
        <f t="shared" si="47"/>
        <v>1367515</v>
      </c>
      <c r="DB17" s="97">
        <f t="shared" si="48"/>
        <v>707023</v>
      </c>
      <c r="DC17" s="97">
        <f t="shared" si="49"/>
        <v>627885</v>
      </c>
      <c r="DD17" s="97">
        <f t="shared" si="50"/>
        <v>638746</v>
      </c>
      <c r="DE17" s="97"/>
      <c r="DF17" s="97"/>
      <c r="DG17" s="97"/>
      <c r="DH17" s="97"/>
      <c r="DI17" s="97"/>
      <c r="DM17" s="187">
        <f>AVERAGE(CX17:DL17)</f>
        <v>1023793.8571428572</v>
      </c>
      <c r="DN17" s="187"/>
    </row>
    <row r="18" spans="1:118" ht="15.75" x14ac:dyDescent="0.25">
      <c r="A18" s="196">
        <f t="shared" si="6"/>
        <v>10656</v>
      </c>
      <c r="B18" s="197" t="str">
        <f t="shared" si="7"/>
        <v>CTARGAS</v>
      </c>
      <c r="C18" s="41" t="str">
        <f t="shared" si="8"/>
        <v xml:space="preserve"> </v>
      </c>
      <c r="D18" s="38" t="str">
        <f t="shared" si="9"/>
        <v xml:space="preserve"> </v>
      </c>
      <c r="E18" s="24" t="str">
        <f t="shared" si="10"/>
        <v xml:space="preserve"> </v>
      </c>
      <c r="F18" s="24">
        <f t="shared" si="11"/>
        <v>2</v>
      </c>
      <c r="G18" s="136" t="str">
        <f t="shared" si="12"/>
        <v xml:space="preserve"> </v>
      </c>
      <c r="I18" s="27">
        <v>10656</v>
      </c>
      <c r="J18" s="55" t="s">
        <v>25</v>
      </c>
      <c r="K18" s="97">
        <f t="shared" si="52"/>
        <v>0</v>
      </c>
      <c r="L18" s="97">
        <f t="shared" si="53"/>
        <v>0</v>
      </c>
      <c r="M18" s="97">
        <f t="shared" si="54"/>
        <v>0</v>
      </c>
      <c r="N18" s="97">
        <f t="shared" si="55"/>
        <v>0</v>
      </c>
      <c r="O18" s="97" t="e">
        <f t="shared" si="56"/>
        <v>#N/A</v>
      </c>
      <c r="P18" s="97" t="e">
        <f t="shared" si="57"/>
        <v>#N/A</v>
      </c>
      <c r="Q18" s="97" t="e">
        <f t="shared" si="58"/>
        <v>#N/A</v>
      </c>
      <c r="R18" s="97" t="e">
        <f t="shared" si="59"/>
        <v>#REF!</v>
      </c>
      <c r="S18" s="97" t="e">
        <f t="shared" si="0"/>
        <v>#REF!</v>
      </c>
      <c r="T18" s="97" t="e">
        <f t="shared" si="0"/>
        <v>#REF!</v>
      </c>
      <c r="U18" s="97" t="e">
        <f t="shared" si="0"/>
        <v>#REF!</v>
      </c>
      <c r="V18" s="97"/>
      <c r="W18" s="97"/>
      <c r="X18" s="97"/>
      <c r="Y18" s="97"/>
      <c r="Z18" s="105" t="str">
        <f t="shared" si="1"/>
        <v xml:space="preserve"> </v>
      </c>
      <c r="AA18" s="114"/>
      <c r="AB18" s="97" t="str">
        <f t="shared" si="13"/>
        <v xml:space="preserve"> </v>
      </c>
      <c r="AC18" s="97" t="str">
        <f t="shared" si="14"/>
        <v xml:space="preserve"> </v>
      </c>
      <c r="AD18" s="97" t="str">
        <f t="shared" si="15"/>
        <v xml:space="preserve"> </v>
      </c>
      <c r="AE18" s="97" t="str">
        <f t="shared" si="16"/>
        <v xml:space="preserve"> </v>
      </c>
      <c r="AF18" s="97" t="e">
        <f t="shared" si="17"/>
        <v>#N/A</v>
      </c>
      <c r="AG18" s="97" t="e">
        <f t="shared" si="18"/>
        <v>#N/A</v>
      </c>
      <c r="AH18" s="97" t="e">
        <f t="shared" si="19"/>
        <v>#N/A</v>
      </c>
      <c r="AI18" s="97" t="e">
        <f t="shared" si="20"/>
        <v>#REF!</v>
      </c>
      <c r="AJ18" s="97" t="e">
        <f t="shared" si="20"/>
        <v>#REF!</v>
      </c>
      <c r="AK18" s="97" t="e">
        <f t="shared" si="20"/>
        <v>#REF!</v>
      </c>
      <c r="AL18" s="97" t="e">
        <f t="shared" si="20"/>
        <v>#REF!</v>
      </c>
      <c r="AM18" s="97"/>
      <c r="AN18" s="97"/>
      <c r="AO18" s="97"/>
      <c r="AP18" s="97"/>
      <c r="AQ18" s="105" t="str">
        <f t="shared" si="21"/>
        <v xml:space="preserve"> </v>
      </c>
      <c r="AR18" s="114"/>
      <c r="AS18" s="95">
        <f t="shared" si="2"/>
        <v>10656</v>
      </c>
      <c r="AT18" s="124" t="str">
        <f t="shared" si="3"/>
        <v>CTARGAS</v>
      </c>
      <c r="AU18" s="97" t="str">
        <f t="shared" si="22"/>
        <v xml:space="preserve"> </v>
      </c>
      <c r="AV18" s="97" t="str">
        <f t="shared" si="23"/>
        <v xml:space="preserve"> </v>
      </c>
      <c r="AW18" s="97" t="str">
        <f t="shared" si="24"/>
        <v xml:space="preserve"> </v>
      </c>
      <c r="AX18" s="97" t="str">
        <f t="shared" si="25"/>
        <v xml:space="preserve"> </v>
      </c>
      <c r="AY18" s="97" t="e">
        <f t="shared" si="26"/>
        <v>#N/A</v>
      </c>
      <c r="AZ18" s="97" t="e">
        <f t="shared" si="27"/>
        <v>#N/A</v>
      </c>
      <c r="BA18" s="97" t="e">
        <f t="shared" si="28"/>
        <v>#N/A</v>
      </c>
      <c r="BB18" s="97" t="e">
        <f t="shared" si="29"/>
        <v>#REF!</v>
      </c>
      <c r="BC18" s="97" t="e">
        <f t="shared" si="29"/>
        <v>#REF!</v>
      </c>
      <c r="BD18" s="97" t="e">
        <f t="shared" si="29"/>
        <v>#REF!</v>
      </c>
      <c r="BE18" s="97" t="e">
        <f t="shared" si="29"/>
        <v>#REF!</v>
      </c>
      <c r="BF18" s="97"/>
      <c r="BG18" s="97"/>
      <c r="BH18" s="97"/>
      <c r="BI18" s="97"/>
      <c r="BJ18" s="105" t="str">
        <f t="shared" si="30"/>
        <v xml:space="preserve"> </v>
      </c>
      <c r="BK18" s="114"/>
      <c r="BL18" s="97" t="str">
        <f t="shared" si="60"/>
        <v xml:space="preserve"> </v>
      </c>
      <c r="BM18" s="97" t="str">
        <f t="shared" si="61"/>
        <v xml:space="preserve"> </v>
      </c>
      <c r="BN18" s="97" t="str">
        <f t="shared" si="62"/>
        <v xml:space="preserve"> </v>
      </c>
      <c r="BO18" s="97" t="str">
        <f t="shared" si="63"/>
        <v xml:space="preserve"> </v>
      </c>
      <c r="BP18" s="97" t="e">
        <f t="shared" si="64"/>
        <v>#N/A</v>
      </c>
      <c r="BQ18" s="97" t="e">
        <f t="shared" si="65"/>
        <v>#N/A</v>
      </c>
      <c r="BR18" s="97" t="e">
        <f t="shared" si="66"/>
        <v>#N/A</v>
      </c>
      <c r="BS18" s="97" t="e">
        <f t="shared" si="67"/>
        <v>#REF!</v>
      </c>
      <c r="BT18" s="97" t="e">
        <f t="shared" si="67"/>
        <v>#REF!</v>
      </c>
      <c r="BU18" s="97" t="e">
        <f t="shared" si="67"/>
        <v>#REF!</v>
      </c>
      <c r="BV18" s="97" t="e">
        <f t="shared" si="67"/>
        <v>#REF!</v>
      </c>
      <c r="BW18" s="97"/>
      <c r="BX18" s="97"/>
      <c r="BY18" s="97"/>
      <c r="BZ18" s="97"/>
      <c r="CA18" s="105" t="str">
        <f t="shared" ref="CA18:CA24" si="68">IF(COUNTIF(BL18:BZ18,"x")=0," ",COUNTIF(BL18:BZ18,"x"))</f>
        <v xml:space="preserve"> </v>
      </c>
      <c r="CB18" s="114"/>
      <c r="CC18" s="95">
        <f t="shared" si="31"/>
        <v>10656</v>
      </c>
      <c r="CD18" s="124" t="str">
        <f t="shared" si="32"/>
        <v>CTARGAS</v>
      </c>
      <c r="CE18" s="97" t="str">
        <f t="shared" si="33"/>
        <v>X</v>
      </c>
      <c r="CF18" s="97" t="str">
        <f t="shared" si="34"/>
        <v>X</v>
      </c>
      <c r="CG18" s="97" t="str">
        <f t="shared" si="35"/>
        <v xml:space="preserve"> </v>
      </c>
      <c r="CH18" s="97" t="str">
        <f t="shared" si="36"/>
        <v xml:space="preserve"> </v>
      </c>
      <c r="CI18" s="97" t="e">
        <f t="shared" si="37"/>
        <v>#N/A</v>
      </c>
      <c r="CJ18" s="97" t="e">
        <f t="shared" si="38"/>
        <v>#N/A</v>
      </c>
      <c r="CK18" s="97" t="e">
        <f t="shared" si="39"/>
        <v>#N/A</v>
      </c>
      <c r="CL18" s="97" t="e">
        <f t="shared" si="40"/>
        <v>#REF!</v>
      </c>
      <c r="CM18" s="97" t="e">
        <f t="shared" si="40"/>
        <v>#REF!</v>
      </c>
      <c r="CN18" s="97" t="e">
        <f t="shared" si="40"/>
        <v>#REF!</v>
      </c>
      <c r="CO18" s="97" t="e">
        <f t="shared" si="40"/>
        <v>#REF!</v>
      </c>
      <c r="CP18" s="97"/>
      <c r="CQ18" s="97"/>
      <c r="CR18" s="97"/>
      <c r="CS18" s="97"/>
      <c r="CT18" s="105">
        <f t="shared" si="41"/>
        <v>2</v>
      </c>
      <c r="CU18" s="118"/>
      <c r="CV18" s="95">
        <f t="shared" si="42"/>
        <v>10656</v>
      </c>
      <c r="CW18" s="124" t="str">
        <f t="shared" si="43"/>
        <v>CTARGAS</v>
      </c>
      <c r="CX18" s="97">
        <f t="shared" si="44"/>
        <v>247</v>
      </c>
      <c r="CY18" s="97">
        <f t="shared" si="45"/>
        <v>171</v>
      </c>
      <c r="CZ18" s="97">
        <f t="shared" si="46"/>
        <v>206</v>
      </c>
      <c r="DA18" s="97">
        <f t="shared" si="47"/>
        <v>208</v>
      </c>
      <c r="DB18" s="97" t="e">
        <f t="shared" si="48"/>
        <v>#N/A</v>
      </c>
      <c r="DC18" s="97" t="e">
        <f t="shared" si="49"/>
        <v>#N/A</v>
      </c>
      <c r="DD18" s="97" t="e">
        <f t="shared" si="50"/>
        <v>#N/A</v>
      </c>
      <c r="DE18" s="97"/>
      <c r="DF18" s="97"/>
      <c r="DG18" s="97"/>
      <c r="DH18" s="97"/>
      <c r="DI18" s="97"/>
      <c r="DM18" s="187">
        <f>AVERAGE(CX18:DA18)</f>
        <v>208</v>
      </c>
    </row>
    <row r="19" spans="1:118" ht="15.75" x14ac:dyDescent="0.25">
      <c r="A19" s="196">
        <f t="shared" si="6"/>
        <v>12296</v>
      </c>
      <c r="B19" s="197" t="str">
        <f t="shared" si="7"/>
        <v>CTARGAS</v>
      </c>
      <c r="C19" s="41" t="str">
        <f t="shared" si="8"/>
        <v xml:space="preserve"> </v>
      </c>
      <c r="D19" s="38" t="str">
        <f t="shared" si="9"/>
        <v xml:space="preserve"> </v>
      </c>
      <c r="E19" s="24" t="str">
        <f t="shared" si="10"/>
        <v xml:space="preserve"> </v>
      </c>
      <c r="F19" s="24">
        <f t="shared" si="11"/>
        <v>4</v>
      </c>
      <c r="G19" s="136" t="str">
        <f t="shared" si="12"/>
        <v xml:space="preserve"> </v>
      </c>
      <c r="I19" s="27">
        <v>12296</v>
      </c>
      <c r="J19" s="55" t="s">
        <v>25</v>
      </c>
      <c r="K19" s="97">
        <f t="shared" si="52"/>
        <v>0</v>
      </c>
      <c r="L19" s="97">
        <f t="shared" si="53"/>
        <v>0</v>
      </c>
      <c r="M19" s="97">
        <f t="shared" si="54"/>
        <v>0</v>
      </c>
      <c r="N19" s="97">
        <f t="shared" si="55"/>
        <v>0</v>
      </c>
      <c r="O19" s="97">
        <f t="shared" si="56"/>
        <v>0</v>
      </c>
      <c r="P19" s="97">
        <f t="shared" si="57"/>
        <v>0</v>
      </c>
      <c r="Q19" s="97">
        <f t="shared" si="58"/>
        <v>0</v>
      </c>
      <c r="R19" s="97" t="e">
        <f t="shared" si="59"/>
        <v>#REF!</v>
      </c>
      <c r="S19" s="97" t="e">
        <f t="shared" si="0"/>
        <v>#REF!</v>
      </c>
      <c r="T19" s="97" t="e">
        <f t="shared" si="0"/>
        <v>#REF!</v>
      </c>
      <c r="U19" s="97" t="e">
        <f t="shared" si="0"/>
        <v>#REF!</v>
      </c>
      <c r="V19" s="97"/>
      <c r="W19" s="97"/>
      <c r="X19" s="97"/>
      <c r="Y19" s="97"/>
      <c r="Z19" s="105" t="str">
        <f t="shared" si="1"/>
        <v xml:space="preserve"> </v>
      </c>
      <c r="AA19" s="114"/>
      <c r="AB19" s="97" t="str">
        <f t="shared" si="13"/>
        <v xml:space="preserve"> </v>
      </c>
      <c r="AC19" s="97" t="str">
        <f t="shared" si="14"/>
        <v xml:space="preserve"> </v>
      </c>
      <c r="AD19" s="97" t="str">
        <f t="shared" si="15"/>
        <v xml:space="preserve"> </v>
      </c>
      <c r="AE19" s="97" t="str">
        <f t="shared" si="16"/>
        <v xml:space="preserve"> </v>
      </c>
      <c r="AF19" s="97" t="str">
        <f t="shared" si="17"/>
        <v xml:space="preserve"> </v>
      </c>
      <c r="AG19" s="97" t="str">
        <f t="shared" si="18"/>
        <v xml:space="preserve"> </v>
      </c>
      <c r="AH19" s="97" t="str">
        <f t="shared" si="19"/>
        <v xml:space="preserve"> </v>
      </c>
      <c r="AI19" s="97" t="e">
        <f t="shared" si="20"/>
        <v>#REF!</v>
      </c>
      <c r="AJ19" s="97" t="e">
        <f t="shared" si="20"/>
        <v>#REF!</v>
      </c>
      <c r="AK19" s="97" t="e">
        <f t="shared" si="20"/>
        <v>#REF!</v>
      </c>
      <c r="AL19" s="97" t="e">
        <f t="shared" si="20"/>
        <v>#REF!</v>
      </c>
      <c r="AM19" s="97"/>
      <c r="AN19" s="97"/>
      <c r="AO19" s="97"/>
      <c r="AP19" s="97"/>
      <c r="AQ19" s="105" t="str">
        <f t="shared" si="21"/>
        <v xml:space="preserve"> </v>
      </c>
      <c r="AR19" s="114"/>
      <c r="AS19" s="95">
        <f t="shared" si="2"/>
        <v>12296</v>
      </c>
      <c r="AT19" s="124" t="str">
        <f t="shared" si="3"/>
        <v>CTARGAS</v>
      </c>
      <c r="AU19" s="97" t="str">
        <f t="shared" si="22"/>
        <v xml:space="preserve"> </v>
      </c>
      <c r="AV19" s="97" t="str">
        <f t="shared" si="23"/>
        <v xml:space="preserve"> </v>
      </c>
      <c r="AW19" s="97" t="str">
        <f t="shared" si="24"/>
        <v xml:space="preserve"> </v>
      </c>
      <c r="AX19" s="97" t="str">
        <f t="shared" si="25"/>
        <v xml:space="preserve"> </v>
      </c>
      <c r="AY19" s="97" t="str">
        <f t="shared" si="26"/>
        <v xml:space="preserve"> </v>
      </c>
      <c r="AZ19" s="97" t="str">
        <f t="shared" si="27"/>
        <v xml:space="preserve"> </v>
      </c>
      <c r="BA19" s="97" t="str">
        <f t="shared" si="28"/>
        <v xml:space="preserve"> </v>
      </c>
      <c r="BB19" s="97" t="e">
        <f t="shared" si="29"/>
        <v>#REF!</v>
      </c>
      <c r="BC19" s="97" t="e">
        <f t="shared" si="29"/>
        <v>#REF!</v>
      </c>
      <c r="BD19" s="97" t="e">
        <f t="shared" si="29"/>
        <v>#REF!</v>
      </c>
      <c r="BE19" s="97" t="e">
        <f t="shared" si="29"/>
        <v>#REF!</v>
      </c>
      <c r="BF19" s="97"/>
      <c r="BG19" s="97"/>
      <c r="BH19" s="97"/>
      <c r="BI19" s="97"/>
      <c r="BJ19" s="105" t="str">
        <f t="shared" si="30"/>
        <v xml:space="preserve"> </v>
      </c>
      <c r="BK19" s="114"/>
      <c r="BL19" s="97" t="str">
        <f t="shared" si="60"/>
        <v xml:space="preserve"> </v>
      </c>
      <c r="BM19" s="97" t="str">
        <f t="shared" si="61"/>
        <v xml:space="preserve"> </v>
      </c>
      <c r="BN19" s="97" t="str">
        <f t="shared" si="62"/>
        <v xml:space="preserve"> </v>
      </c>
      <c r="BO19" s="97" t="str">
        <f t="shared" si="63"/>
        <v xml:space="preserve"> </v>
      </c>
      <c r="BP19" s="97" t="str">
        <f t="shared" si="64"/>
        <v xml:space="preserve"> </v>
      </c>
      <c r="BQ19" s="97" t="str">
        <f t="shared" si="65"/>
        <v xml:space="preserve"> </v>
      </c>
      <c r="BR19" s="97" t="str">
        <f t="shared" si="66"/>
        <v xml:space="preserve"> </v>
      </c>
      <c r="BS19" s="97" t="e">
        <f t="shared" si="67"/>
        <v>#REF!</v>
      </c>
      <c r="BT19" s="97" t="e">
        <f t="shared" si="67"/>
        <v>#REF!</v>
      </c>
      <c r="BU19" s="97" t="e">
        <f t="shared" si="67"/>
        <v>#REF!</v>
      </c>
      <c r="BV19" s="97" t="e">
        <f t="shared" si="67"/>
        <v>#REF!</v>
      </c>
      <c r="BW19" s="97"/>
      <c r="BX19" s="97"/>
      <c r="BY19" s="97"/>
      <c r="BZ19" s="97"/>
      <c r="CA19" s="105" t="str">
        <f t="shared" si="68"/>
        <v xml:space="preserve"> </v>
      </c>
      <c r="CB19" s="114"/>
      <c r="CC19" s="95">
        <f t="shared" si="31"/>
        <v>12296</v>
      </c>
      <c r="CD19" s="124" t="str">
        <f t="shared" si="32"/>
        <v>CTARGAS</v>
      </c>
      <c r="CE19" s="97" t="str">
        <f t="shared" si="33"/>
        <v xml:space="preserve"> </v>
      </c>
      <c r="CF19" s="97" t="str">
        <f t="shared" si="34"/>
        <v>X</v>
      </c>
      <c r="CG19" s="97" t="str">
        <f t="shared" si="35"/>
        <v xml:space="preserve"> </v>
      </c>
      <c r="CH19" s="97" t="str">
        <f t="shared" si="36"/>
        <v xml:space="preserve"> </v>
      </c>
      <c r="CI19" s="97" t="str">
        <f t="shared" si="37"/>
        <v>X</v>
      </c>
      <c r="CJ19" s="97" t="str">
        <f t="shared" si="38"/>
        <v>X</v>
      </c>
      <c r="CK19" s="97" t="str">
        <f t="shared" si="39"/>
        <v>X</v>
      </c>
      <c r="CL19" s="97" t="e">
        <f t="shared" si="40"/>
        <v>#REF!</v>
      </c>
      <c r="CM19" s="97" t="e">
        <f t="shared" si="40"/>
        <v>#REF!</v>
      </c>
      <c r="CN19" s="97" t="e">
        <f t="shared" si="40"/>
        <v>#REF!</v>
      </c>
      <c r="CO19" s="97" t="e">
        <f t="shared" si="40"/>
        <v>#REF!</v>
      </c>
      <c r="CP19" s="97"/>
      <c r="CQ19" s="97"/>
      <c r="CR19" s="97"/>
      <c r="CS19" s="97"/>
      <c r="CT19" s="105">
        <f t="shared" si="41"/>
        <v>4</v>
      </c>
      <c r="CU19" s="118"/>
      <c r="CV19" s="95">
        <f t="shared" si="42"/>
        <v>12296</v>
      </c>
      <c r="CW19" s="124" t="str">
        <f t="shared" si="43"/>
        <v>CTARGAS</v>
      </c>
      <c r="CX19" s="97">
        <f t="shared" si="44"/>
        <v>4351</v>
      </c>
      <c r="CY19" s="97">
        <f t="shared" si="45"/>
        <v>2814</v>
      </c>
      <c r="CZ19" s="97">
        <f t="shared" si="46"/>
        <v>3343</v>
      </c>
      <c r="DA19" s="97">
        <f t="shared" si="47"/>
        <v>3783</v>
      </c>
      <c r="DB19" s="97">
        <f t="shared" si="48"/>
        <v>1987</v>
      </c>
      <c r="DC19" s="97">
        <f t="shared" si="49"/>
        <v>1726</v>
      </c>
      <c r="DD19" s="97">
        <f t="shared" si="50"/>
        <v>1765</v>
      </c>
      <c r="DE19" s="97"/>
      <c r="DF19" s="97"/>
      <c r="DG19" s="97"/>
      <c r="DH19" s="97"/>
      <c r="DI19" s="97"/>
      <c r="DM19" s="187">
        <f t="shared" ref="DM19:DM75" si="69">AVERAGE(CX19:DL19)</f>
        <v>2824.1428571428573</v>
      </c>
    </row>
    <row r="20" spans="1:118" ht="15.75" x14ac:dyDescent="0.25">
      <c r="A20" s="196">
        <f t="shared" si="6"/>
        <v>16786</v>
      </c>
      <c r="B20" s="197" t="str">
        <f t="shared" si="7"/>
        <v>CTARGAS</v>
      </c>
      <c r="C20" s="41" t="str">
        <f t="shared" si="8"/>
        <v xml:space="preserve"> </v>
      </c>
      <c r="D20" s="38" t="str">
        <f t="shared" si="9"/>
        <v xml:space="preserve"> </v>
      </c>
      <c r="E20" s="24" t="str">
        <f t="shared" si="10"/>
        <v xml:space="preserve"> </v>
      </c>
      <c r="F20" s="24">
        <f t="shared" si="11"/>
        <v>1</v>
      </c>
      <c r="G20" s="136" t="str">
        <f t="shared" si="12"/>
        <v xml:space="preserve"> </v>
      </c>
      <c r="I20" s="27">
        <v>16786</v>
      </c>
      <c r="J20" s="55" t="s">
        <v>25</v>
      </c>
      <c r="K20" s="97">
        <f t="shared" si="52"/>
        <v>0</v>
      </c>
      <c r="L20" s="97">
        <f t="shared" si="53"/>
        <v>0</v>
      </c>
      <c r="M20" s="97">
        <f t="shared" si="54"/>
        <v>0</v>
      </c>
      <c r="N20" s="97">
        <f t="shared" si="55"/>
        <v>0</v>
      </c>
      <c r="O20" s="97">
        <f t="shared" si="56"/>
        <v>0</v>
      </c>
      <c r="P20" s="97">
        <f t="shared" si="57"/>
        <v>0</v>
      </c>
      <c r="Q20" s="97">
        <f t="shared" si="58"/>
        <v>0</v>
      </c>
      <c r="R20" s="97" t="e">
        <f t="shared" si="59"/>
        <v>#REF!</v>
      </c>
      <c r="S20" s="97" t="e">
        <f t="shared" si="0"/>
        <v>#REF!</v>
      </c>
      <c r="T20" s="97" t="e">
        <f t="shared" si="0"/>
        <v>#REF!</v>
      </c>
      <c r="U20" s="97" t="e">
        <f t="shared" si="0"/>
        <v>#REF!</v>
      </c>
      <c r="V20" s="97"/>
      <c r="W20" s="97"/>
      <c r="X20" s="97"/>
      <c r="Y20" s="97"/>
      <c r="Z20" s="105" t="str">
        <f t="shared" si="1"/>
        <v xml:space="preserve"> </v>
      </c>
      <c r="AA20" s="114"/>
      <c r="AB20" s="97" t="str">
        <f t="shared" si="13"/>
        <v xml:space="preserve"> </v>
      </c>
      <c r="AC20" s="97" t="str">
        <f t="shared" si="14"/>
        <v xml:space="preserve"> </v>
      </c>
      <c r="AD20" s="97" t="str">
        <f t="shared" si="15"/>
        <v xml:space="preserve"> </v>
      </c>
      <c r="AE20" s="97" t="str">
        <f t="shared" si="16"/>
        <v xml:space="preserve"> </v>
      </c>
      <c r="AF20" s="97" t="str">
        <f t="shared" si="17"/>
        <v xml:space="preserve"> </v>
      </c>
      <c r="AG20" s="97" t="str">
        <f t="shared" si="18"/>
        <v xml:space="preserve"> </v>
      </c>
      <c r="AH20" s="97" t="str">
        <f t="shared" si="19"/>
        <v xml:space="preserve"> </v>
      </c>
      <c r="AI20" s="97" t="e">
        <f t="shared" si="20"/>
        <v>#REF!</v>
      </c>
      <c r="AJ20" s="97" t="e">
        <f t="shared" si="20"/>
        <v>#REF!</v>
      </c>
      <c r="AK20" s="97" t="e">
        <f t="shared" si="20"/>
        <v>#REF!</v>
      </c>
      <c r="AL20" s="97" t="e">
        <f t="shared" si="20"/>
        <v>#REF!</v>
      </c>
      <c r="AM20" s="97"/>
      <c r="AN20" s="97"/>
      <c r="AO20" s="97"/>
      <c r="AP20" s="97"/>
      <c r="AQ20" s="105" t="str">
        <f t="shared" si="21"/>
        <v xml:space="preserve"> </v>
      </c>
      <c r="AR20" s="114"/>
      <c r="AS20" s="95">
        <f t="shared" si="2"/>
        <v>16786</v>
      </c>
      <c r="AT20" s="124" t="str">
        <f t="shared" si="3"/>
        <v>CTARGAS</v>
      </c>
      <c r="AU20" s="97" t="str">
        <f t="shared" si="22"/>
        <v xml:space="preserve"> </v>
      </c>
      <c r="AV20" s="97" t="str">
        <f t="shared" si="23"/>
        <v xml:space="preserve"> </v>
      </c>
      <c r="AW20" s="97" t="str">
        <f t="shared" si="24"/>
        <v xml:space="preserve"> </v>
      </c>
      <c r="AX20" s="97" t="str">
        <f t="shared" si="25"/>
        <v xml:space="preserve"> </v>
      </c>
      <c r="AY20" s="97" t="str">
        <f t="shared" si="26"/>
        <v xml:space="preserve"> </v>
      </c>
      <c r="AZ20" s="97" t="str">
        <f t="shared" si="27"/>
        <v xml:space="preserve"> </v>
      </c>
      <c r="BA20" s="97" t="str">
        <f t="shared" si="28"/>
        <v xml:space="preserve"> </v>
      </c>
      <c r="BB20" s="97" t="e">
        <f t="shared" si="29"/>
        <v>#REF!</v>
      </c>
      <c r="BC20" s="97" t="e">
        <f t="shared" si="29"/>
        <v>#REF!</v>
      </c>
      <c r="BD20" s="97" t="e">
        <f t="shared" si="29"/>
        <v>#REF!</v>
      </c>
      <c r="BE20" s="97" t="e">
        <f t="shared" si="29"/>
        <v>#REF!</v>
      </c>
      <c r="BF20" s="97"/>
      <c r="BG20" s="97"/>
      <c r="BH20" s="97"/>
      <c r="BI20" s="97"/>
      <c r="BJ20" s="105" t="str">
        <f t="shared" si="30"/>
        <v xml:space="preserve"> </v>
      </c>
      <c r="BK20" s="114"/>
      <c r="BL20" s="97" t="str">
        <f t="shared" si="60"/>
        <v xml:space="preserve"> </v>
      </c>
      <c r="BM20" s="97" t="str">
        <f t="shared" si="61"/>
        <v xml:space="preserve"> </v>
      </c>
      <c r="BN20" s="97" t="str">
        <f t="shared" si="62"/>
        <v xml:space="preserve"> </v>
      </c>
      <c r="BO20" s="97" t="str">
        <f t="shared" si="63"/>
        <v xml:space="preserve"> </v>
      </c>
      <c r="BP20" s="97" t="str">
        <f t="shared" si="64"/>
        <v xml:space="preserve"> </v>
      </c>
      <c r="BQ20" s="97" t="str">
        <f t="shared" si="65"/>
        <v xml:space="preserve"> </v>
      </c>
      <c r="BR20" s="97" t="str">
        <f t="shared" si="66"/>
        <v xml:space="preserve"> </v>
      </c>
      <c r="BS20" s="97" t="e">
        <f t="shared" si="67"/>
        <v>#REF!</v>
      </c>
      <c r="BT20" s="97" t="e">
        <f t="shared" si="67"/>
        <v>#REF!</v>
      </c>
      <c r="BU20" s="97" t="e">
        <f t="shared" si="67"/>
        <v>#REF!</v>
      </c>
      <c r="BV20" s="97" t="e">
        <f t="shared" si="67"/>
        <v>#REF!</v>
      </c>
      <c r="BW20" s="97"/>
      <c r="BX20" s="97"/>
      <c r="BY20" s="97"/>
      <c r="BZ20" s="97"/>
      <c r="CA20" s="105" t="str">
        <f t="shared" si="68"/>
        <v xml:space="preserve"> </v>
      </c>
      <c r="CB20" s="114"/>
      <c r="CC20" s="95">
        <f t="shared" si="31"/>
        <v>16786</v>
      </c>
      <c r="CD20" s="124" t="str">
        <f t="shared" si="32"/>
        <v>CTARGAS</v>
      </c>
      <c r="CE20" s="97" t="str">
        <f t="shared" si="33"/>
        <v xml:space="preserve"> </v>
      </c>
      <c r="CF20" s="97" t="str">
        <f t="shared" si="34"/>
        <v>X</v>
      </c>
      <c r="CG20" s="97" t="str">
        <f t="shared" si="35"/>
        <v xml:space="preserve"> </v>
      </c>
      <c r="CH20" s="97" t="str">
        <f t="shared" si="36"/>
        <v xml:space="preserve"> </v>
      </c>
      <c r="CI20" s="97" t="str">
        <f t="shared" si="37"/>
        <v xml:space="preserve"> </v>
      </c>
      <c r="CJ20" s="97" t="str">
        <f t="shared" si="38"/>
        <v xml:space="preserve"> </v>
      </c>
      <c r="CK20" s="97" t="str">
        <f t="shared" si="39"/>
        <v xml:space="preserve"> </v>
      </c>
      <c r="CL20" s="97" t="e">
        <f t="shared" si="40"/>
        <v>#REF!</v>
      </c>
      <c r="CM20" s="97" t="e">
        <f t="shared" si="40"/>
        <v>#REF!</v>
      </c>
      <c r="CN20" s="97" t="e">
        <f t="shared" si="40"/>
        <v>#REF!</v>
      </c>
      <c r="CO20" s="97" t="e">
        <f t="shared" si="40"/>
        <v>#REF!</v>
      </c>
      <c r="CP20" s="97"/>
      <c r="CQ20" s="97"/>
      <c r="CR20" s="97"/>
      <c r="CS20" s="97"/>
      <c r="CT20" s="105">
        <f t="shared" si="41"/>
        <v>1</v>
      </c>
      <c r="CU20" s="118"/>
      <c r="CV20" s="95">
        <f t="shared" si="42"/>
        <v>16786</v>
      </c>
      <c r="CW20" s="124" t="str">
        <f t="shared" si="43"/>
        <v>CTARGAS</v>
      </c>
      <c r="CX20" s="97">
        <f t="shared" si="44"/>
        <v>3002</v>
      </c>
      <c r="CY20" s="97">
        <f t="shared" si="45"/>
        <v>1725</v>
      </c>
      <c r="CZ20" s="97">
        <f t="shared" si="46"/>
        <v>2222</v>
      </c>
      <c r="DA20" s="97">
        <f t="shared" si="47"/>
        <v>2473</v>
      </c>
      <c r="DB20" s="97">
        <f t="shared" si="48"/>
        <v>1145</v>
      </c>
      <c r="DC20" s="97">
        <f t="shared" si="49"/>
        <v>1012</v>
      </c>
      <c r="DD20" s="97">
        <f t="shared" si="50"/>
        <v>1026</v>
      </c>
      <c r="DE20" s="97"/>
      <c r="DF20" s="97"/>
      <c r="DG20" s="97"/>
      <c r="DH20" s="97"/>
      <c r="DI20" s="97"/>
      <c r="DM20" s="187">
        <f t="shared" si="69"/>
        <v>1800.7142857142858</v>
      </c>
    </row>
    <row r="21" spans="1:118" ht="15.75" x14ac:dyDescent="0.25">
      <c r="A21" s="196">
        <f t="shared" si="6"/>
        <v>17791</v>
      </c>
      <c r="B21" s="197" t="str">
        <f t="shared" si="7"/>
        <v>CTARGAS</v>
      </c>
      <c r="C21" s="41" t="str">
        <f t="shared" si="8"/>
        <v xml:space="preserve"> </v>
      </c>
      <c r="D21" s="38" t="str">
        <f t="shared" si="9"/>
        <v xml:space="preserve"> </v>
      </c>
      <c r="E21" s="24" t="str">
        <f t="shared" si="10"/>
        <v xml:space="preserve"> </v>
      </c>
      <c r="F21" s="24">
        <f t="shared" si="11"/>
        <v>4</v>
      </c>
      <c r="G21" s="136" t="str">
        <f t="shared" si="12"/>
        <v xml:space="preserve"> </v>
      </c>
      <c r="I21" s="27">
        <v>17791</v>
      </c>
      <c r="J21" s="55" t="s">
        <v>25</v>
      </c>
      <c r="K21" s="97">
        <f t="shared" si="52"/>
        <v>0</v>
      </c>
      <c r="L21" s="97">
        <f t="shared" si="53"/>
        <v>0</v>
      </c>
      <c r="M21" s="97">
        <f t="shared" si="54"/>
        <v>0</v>
      </c>
      <c r="N21" s="97">
        <f t="shared" si="55"/>
        <v>0</v>
      </c>
      <c r="O21" s="97" t="str">
        <f t="shared" si="56"/>
        <v xml:space="preserve"> </v>
      </c>
      <c r="P21" s="97">
        <f t="shared" si="57"/>
        <v>0</v>
      </c>
      <c r="Q21" s="97">
        <f t="shared" si="58"/>
        <v>0</v>
      </c>
      <c r="R21" s="97" t="e">
        <f t="shared" si="59"/>
        <v>#REF!</v>
      </c>
      <c r="S21" s="97" t="e">
        <f t="shared" si="0"/>
        <v>#REF!</v>
      </c>
      <c r="T21" s="97" t="e">
        <f t="shared" si="0"/>
        <v>#REF!</v>
      </c>
      <c r="U21" s="97" t="e">
        <f t="shared" si="0"/>
        <v>#REF!</v>
      </c>
      <c r="V21" s="97"/>
      <c r="W21" s="97"/>
      <c r="X21" s="97"/>
      <c r="Y21" s="97"/>
      <c r="Z21" s="105" t="str">
        <f t="shared" si="1"/>
        <v xml:space="preserve"> </v>
      </c>
      <c r="AA21" s="114"/>
      <c r="AB21" s="97" t="str">
        <f t="shared" si="13"/>
        <v xml:space="preserve"> </v>
      </c>
      <c r="AC21" s="97" t="str">
        <f t="shared" si="14"/>
        <v xml:space="preserve"> </v>
      </c>
      <c r="AD21" s="97" t="str">
        <f t="shared" si="15"/>
        <v xml:space="preserve"> </v>
      </c>
      <c r="AE21" s="97" t="str">
        <f t="shared" si="16"/>
        <v xml:space="preserve"> </v>
      </c>
      <c r="AF21" s="97" t="str">
        <f t="shared" si="17"/>
        <v xml:space="preserve"> </v>
      </c>
      <c r="AG21" s="97" t="str">
        <f t="shared" si="18"/>
        <v xml:space="preserve"> </v>
      </c>
      <c r="AH21" s="97" t="str">
        <f t="shared" si="19"/>
        <v xml:space="preserve"> </v>
      </c>
      <c r="AI21" s="97" t="e">
        <f t="shared" si="20"/>
        <v>#REF!</v>
      </c>
      <c r="AJ21" s="97" t="e">
        <f t="shared" si="20"/>
        <v>#REF!</v>
      </c>
      <c r="AK21" s="97" t="e">
        <f t="shared" si="20"/>
        <v>#REF!</v>
      </c>
      <c r="AL21" s="97" t="e">
        <f t="shared" si="20"/>
        <v>#REF!</v>
      </c>
      <c r="AM21" s="97"/>
      <c r="AN21" s="97"/>
      <c r="AO21" s="97"/>
      <c r="AP21" s="97"/>
      <c r="AQ21" s="105" t="str">
        <f t="shared" si="21"/>
        <v xml:space="preserve"> </v>
      </c>
      <c r="AR21" s="114"/>
      <c r="AS21" s="95">
        <f t="shared" si="2"/>
        <v>17791</v>
      </c>
      <c r="AT21" s="124" t="str">
        <f t="shared" si="3"/>
        <v>CTARGAS</v>
      </c>
      <c r="AU21" s="97" t="str">
        <f t="shared" si="22"/>
        <v xml:space="preserve"> </v>
      </c>
      <c r="AV21" s="97" t="str">
        <f t="shared" si="23"/>
        <v xml:space="preserve"> </v>
      </c>
      <c r="AW21" s="97" t="str">
        <f t="shared" si="24"/>
        <v xml:space="preserve"> </v>
      </c>
      <c r="AX21" s="97" t="str">
        <f t="shared" si="25"/>
        <v xml:space="preserve"> </v>
      </c>
      <c r="AY21" s="97" t="str">
        <f t="shared" si="26"/>
        <v xml:space="preserve"> </v>
      </c>
      <c r="AZ21" s="97" t="str">
        <f t="shared" si="27"/>
        <v xml:space="preserve"> </v>
      </c>
      <c r="BA21" s="97" t="str">
        <f t="shared" si="28"/>
        <v xml:space="preserve"> </v>
      </c>
      <c r="BB21" s="97" t="e">
        <f t="shared" si="29"/>
        <v>#REF!</v>
      </c>
      <c r="BC21" s="97" t="e">
        <f t="shared" si="29"/>
        <v>#REF!</v>
      </c>
      <c r="BD21" s="97" t="e">
        <f t="shared" si="29"/>
        <v>#REF!</v>
      </c>
      <c r="BE21" s="97" t="e">
        <f t="shared" si="29"/>
        <v>#REF!</v>
      </c>
      <c r="BF21" s="97"/>
      <c r="BG21" s="97"/>
      <c r="BH21" s="97"/>
      <c r="BI21" s="97"/>
      <c r="BJ21" s="105" t="str">
        <f t="shared" si="30"/>
        <v xml:space="preserve"> </v>
      </c>
      <c r="BK21" s="114"/>
      <c r="BL21" s="97" t="str">
        <f t="shared" si="60"/>
        <v xml:space="preserve"> </v>
      </c>
      <c r="BM21" s="97" t="str">
        <f t="shared" si="61"/>
        <v xml:space="preserve"> </v>
      </c>
      <c r="BN21" s="97" t="str">
        <f t="shared" si="62"/>
        <v xml:space="preserve"> </v>
      </c>
      <c r="BO21" s="97" t="str">
        <f t="shared" si="63"/>
        <v xml:space="preserve"> </v>
      </c>
      <c r="BP21" s="97" t="str">
        <f t="shared" si="64"/>
        <v xml:space="preserve"> </v>
      </c>
      <c r="BQ21" s="97" t="str">
        <f t="shared" si="65"/>
        <v xml:space="preserve"> </v>
      </c>
      <c r="BR21" s="97" t="str">
        <f t="shared" si="66"/>
        <v xml:space="preserve"> </v>
      </c>
      <c r="BS21" s="97" t="e">
        <f t="shared" si="67"/>
        <v>#REF!</v>
      </c>
      <c r="BT21" s="97" t="e">
        <f t="shared" si="67"/>
        <v>#REF!</v>
      </c>
      <c r="BU21" s="97" t="e">
        <f t="shared" si="67"/>
        <v>#REF!</v>
      </c>
      <c r="BV21" s="97" t="e">
        <f t="shared" si="67"/>
        <v>#REF!</v>
      </c>
      <c r="BW21" s="97"/>
      <c r="BX21" s="97"/>
      <c r="BY21" s="97"/>
      <c r="BZ21" s="97"/>
      <c r="CA21" s="105" t="str">
        <f t="shared" si="68"/>
        <v xml:space="preserve"> </v>
      </c>
      <c r="CB21" s="114"/>
      <c r="CC21" s="95">
        <f t="shared" si="31"/>
        <v>17791</v>
      </c>
      <c r="CD21" s="124" t="str">
        <f t="shared" si="32"/>
        <v>CTARGAS</v>
      </c>
      <c r="CE21" s="97" t="str">
        <f t="shared" si="33"/>
        <v xml:space="preserve"> </v>
      </c>
      <c r="CF21" s="97" t="str">
        <f t="shared" si="34"/>
        <v xml:space="preserve"> </v>
      </c>
      <c r="CG21" s="97" t="str">
        <f t="shared" si="35"/>
        <v xml:space="preserve"> </v>
      </c>
      <c r="CH21" s="97" t="str">
        <f t="shared" si="36"/>
        <v>X</v>
      </c>
      <c r="CI21" s="97" t="str">
        <f t="shared" si="37"/>
        <v>X</v>
      </c>
      <c r="CJ21" s="97" t="str">
        <f t="shared" si="38"/>
        <v>X</v>
      </c>
      <c r="CK21" s="97" t="str">
        <f t="shared" si="39"/>
        <v>X</v>
      </c>
      <c r="CL21" s="97" t="e">
        <f t="shared" si="40"/>
        <v>#REF!</v>
      </c>
      <c r="CM21" s="97" t="e">
        <f t="shared" si="40"/>
        <v>#REF!</v>
      </c>
      <c r="CN21" s="97" t="e">
        <f t="shared" si="40"/>
        <v>#REF!</v>
      </c>
      <c r="CO21" s="97" t="e">
        <f t="shared" si="40"/>
        <v>#REF!</v>
      </c>
      <c r="CP21" s="97"/>
      <c r="CQ21" s="97"/>
      <c r="CR21" s="97"/>
      <c r="CS21" s="97"/>
      <c r="CT21" s="105">
        <f t="shared" si="41"/>
        <v>4</v>
      </c>
      <c r="CU21" s="118"/>
      <c r="CV21" s="95">
        <f t="shared" si="42"/>
        <v>17791</v>
      </c>
      <c r="CW21" s="124" t="str">
        <f t="shared" si="43"/>
        <v>CTARGAS</v>
      </c>
      <c r="CX21" s="97">
        <f t="shared" si="44"/>
        <v>935</v>
      </c>
      <c r="CY21" s="97">
        <f t="shared" si="45"/>
        <v>620</v>
      </c>
      <c r="CZ21" s="97">
        <f t="shared" si="46"/>
        <v>734</v>
      </c>
      <c r="DA21" s="97">
        <f t="shared" si="47"/>
        <v>810</v>
      </c>
      <c r="DB21" s="97">
        <f t="shared" si="48"/>
        <v>404</v>
      </c>
      <c r="DC21" s="97">
        <f t="shared" si="49"/>
        <v>355</v>
      </c>
      <c r="DD21" s="97">
        <f t="shared" si="50"/>
        <v>353</v>
      </c>
      <c r="DE21" s="97"/>
      <c r="DF21" s="97"/>
      <c r="DG21" s="97"/>
      <c r="DH21" s="97"/>
      <c r="DI21" s="97"/>
      <c r="DM21" s="187">
        <f t="shared" si="69"/>
        <v>601.57142857142856</v>
      </c>
    </row>
    <row r="22" spans="1:118" ht="15.75" x14ac:dyDescent="0.25">
      <c r="A22" s="196">
        <f t="shared" si="6"/>
        <v>30649</v>
      </c>
      <c r="B22" s="197" t="str">
        <f t="shared" si="7"/>
        <v>CTARGAS</v>
      </c>
      <c r="C22" s="41" t="str">
        <f t="shared" si="8"/>
        <v xml:space="preserve"> </v>
      </c>
      <c r="D22" s="38" t="str">
        <f t="shared" si="9"/>
        <v xml:space="preserve"> </v>
      </c>
      <c r="E22" s="24" t="str">
        <f t="shared" si="10"/>
        <v xml:space="preserve"> </v>
      </c>
      <c r="F22" s="24">
        <f t="shared" si="11"/>
        <v>2</v>
      </c>
      <c r="G22" s="136" t="str">
        <f t="shared" si="12"/>
        <v xml:space="preserve"> </v>
      </c>
      <c r="I22" s="27">
        <v>30649</v>
      </c>
      <c r="J22" s="55" t="s">
        <v>25</v>
      </c>
      <c r="K22" s="97">
        <f t="shared" si="52"/>
        <v>0</v>
      </c>
      <c r="L22" s="97">
        <f t="shared" si="53"/>
        <v>0</v>
      </c>
      <c r="M22" s="97">
        <f t="shared" si="54"/>
        <v>0</v>
      </c>
      <c r="N22" s="97">
        <f t="shared" si="55"/>
        <v>0</v>
      </c>
      <c r="O22" s="97" t="e">
        <f t="shared" si="56"/>
        <v>#N/A</v>
      </c>
      <c r="P22" s="97" t="e">
        <f t="shared" si="57"/>
        <v>#N/A</v>
      </c>
      <c r="Q22" s="97" t="e">
        <f t="shared" si="58"/>
        <v>#N/A</v>
      </c>
      <c r="R22" s="97" t="e">
        <f t="shared" si="59"/>
        <v>#REF!</v>
      </c>
      <c r="S22" s="97" t="e">
        <f t="shared" si="0"/>
        <v>#REF!</v>
      </c>
      <c r="T22" s="97" t="e">
        <f t="shared" si="0"/>
        <v>#REF!</v>
      </c>
      <c r="U22" s="97" t="e">
        <f t="shared" si="0"/>
        <v>#REF!</v>
      </c>
      <c r="V22" s="97"/>
      <c r="W22" s="97"/>
      <c r="X22" s="97"/>
      <c r="Y22" s="97"/>
      <c r="Z22" s="105" t="str">
        <f t="shared" si="1"/>
        <v xml:space="preserve"> </v>
      </c>
      <c r="AA22" s="114"/>
      <c r="AB22" s="97" t="str">
        <f t="shared" si="13"/>
        <v xml:space="preserve"> </v>
      </c>
      <c r="AC22" s="97" t="str">
        <f t="shared" si="14"/>
        <v xml:space="preserve"> </v>
      </c>
      <c r="AD22" s="97" t="str">
        <f t="shared" si="15"/>
        <v xml:space="preserve"> </v>
      </c>
      <c r="AE22" s="97" t="str">
        <f t="shared" si="16"/>
        <v xml:space="preserve"> </v>
      </c>
      <c r="AF22" s="97" t="e">
        <f t="shared" si="17"/>
        <v>#N/A</v>
      </c>
      <c r="AG22" s="97" t="e">
        <f t="shared" si="18"/>
        <v>#N/A</v>
      </c>
      <c r="AH22" s="97" t="e">
        <f t="shared" si="19"/>
        <v>#N/A</v>
      </c>
      <c r="AI22" s="97" t="e">
        <f t="shared" si="20"/>
        <v>#REF!</v>
      </c>
      <c r="AJ22" s="97" t="e">
        <f t="shared" si="20"/>
        <v>#REF!</v>
      </c>
      <c r="AK22" s="97" t="e">
        <f t="shared" si="20"/>
        <v>#REF!</v>
      </c>
      <c r="AL22" s="97" t="e">
        <f t="shared" si="20"/>
        <v>#REF!</v>
      </c>
      <c r="AM22" s="97"/>
      <c r="AN22" s="97"/>
      <c r="AO22" s="97"/>
      <c r="AP22" s="97"/>
      <c r="AQ22" s="105" t="str">
        <f t="shared" si="21"/>
        <v xml:space="preserve"> </v>
      </c>
      <c r="AR22" s="114"/>
      <c r="AS22" s="95">
        <f t="shared" si="2"/>
        <v>30649</v>
      </c>
      <c r="AT22" s="124" t="str">
        <f t="shared" si="3"/>
        <v>CTARGAS</v>
      </c>
      <c r="AU22" s="97" t="str">
        <f t="shared" si="22"/>
        <v xml:space="preserve"> </v>
      </c>
      <c r="AV22" s="97" t="str">
        <f t="shared" si="23"/>
        <v xml:space="preserve"> </v>
      </c>
      <c r="AW22" s="97" t="str">
        <f t="shared" si="24"/>
        <v xml:space="preserve"> </v>
      </c>
      <c r="AX22" s="97" t="str">
        <f t="shared" si="25"/>
        <v xml:space="preserve"> </v>
      </c>
      <c r="AY22" s="97" t="e">
        <f t="shared" si="26"/>
        <v>#N/A</v>
      </c>
      <c r="AZ22" s="97" t="e">
        <f t="shared" si="27"/>
        <v>#N/A</v>
      </c>
      <c r="BA22" s="97" t="e">
        <f t="shared" si="28"/>
        <v>#N/A</v>
      </c>
      <c r="BB22" s="97" t="e">
        <f t="shared" si="29"/>
        <v>#REF!</v>
      </c>
      <c r="BC22" s="97" t="e">
        <f t="shared" si="29"/>
        <v>#REF!</v>
      </c>
      <c r="BD22" s="97" t="e">
        <f t="shared" si="29"/>
        <v>#REF!</v>
      </c>
      <c r="BE22" s="97" t="e">
        <f t="shared" si="29"/>
        <v>#REF!</v>
      </c>
      <c r="BF22" s="97"/>
      <c r="BG22" s="97"/>
      <c r="BH22" s="97"/>
      <c r="BI22" s="97"/>
      <c r="BJ22" s="105" t="str">
        <f t="shared" si="30"/>
        <v xml:space="preserve"> </v>
      </c>
      <c r="BK22" s="114"/>
      <c r="BL22" s="97" t="str">
        <f t="shared" si="60"/>
        <v xml:space="preserve"> </v>
      </c>
      <c r="BM22" s="97" t="str">
        <f t="shared" si="61"/>
        <v xml:space="preserve"> </v>
      </c>
      <c r="BN22" s="97" t="str">
        <f t="shared" si="62"/>
        <v xml:space="preserve"> </v>
      </c>
      <c r="BO22" s="97" t="str">
        <f t="shared" si="63"/>
        <v xml:space="preserve"> </v>
      </c>
      <c r="BP22" s="97" t="e">
        <f t="shared" si="64"/>
        <v>#N/A</v>
      </c>
      <c r="BQ22" s="97" t="e">
        <f t="shared" si="65"/>
        <v>#N/A</v>
      </c>
      <c r="BR22" s="97" t="e">
        <f t="shared" si="66"/>
        <v>#N/A</v>
      </c>
      <c r="BS22" s="97" t="e">
        <f t="shared" si="67"/>
        <v>#REF!</v>
      </c>
      <c r="BT22" s="97" t="e">
        <f t="shared" si="67"/>
        <v>#REF!</v>
      </c>
      <c r="BU22" s="97" t="e">
        <f t="shared" si="67"/>
        <v>#REF!</v>
      </c>
      <c r="BV22" s="97" t="e">
        <f t="shared" si="67"/>
        <v>#REF!</v>
      </c>
      <c r="BW22" s="97"/>
      <c r="BX22" s="97"/>
      <c r="BY22" s="97"/>
      <c r="BZ22" s="97"/>
      <c r="CA22" s="105" t="str">
        <f t="shared" si="68"/>
        <v xml:space="preserve"> </v>
      </c>
      <c r="CB22" s="114"/>
      <c r="CC22" s="95">
        <f t="shared" si="31"/>
        <v>30649</v>
      </c>
      <c r="CD22" s="124" t="str">
        <f t="shared" si="32"/>
        <v>CTARGAS</v>
      </c>
      <c r="CE22" s="97" t="str">
        <f t="shared" si="33"/>
        <v xml:space="preserve"> </v>
      </c>
      <c r="CF22" s="97" t="str">
        <f t="shared" si="34"/>
        <v>X</v>
      </c>
      <c r="CG22" s="97" t="str">
        <f t="shared" si="35"/>
        <v xml:space="preserve"> </v>
      </c>
      <c r="CH22" s="97" t="str">
        <f t="shared" si="36"/>
        <v>X</v>
      </c>
      <c r="CI22" s="97" t="e">
        <f t="shared" si="37"/>
        <v>#N/A</v>
      </c>
      <c r="CJ22" s="97" t="e">
        <f t="shared" si="38"/>
        <v>#N/A</v>
      </c>
      <c r="CK22" s="97" t="e">
        <f t="shared" si="39"/>
        <v>#N/A</v>
      </c>
      <c r="CL22" s="97" t="e">
        <f t="shared" si="40"/>
        <v>#REF!</v>
      </c>
      <c r="CM22" s="97" t="e">
        <f t="shared" si="40"/>
        <v>#REF!</v>
      </c>
      <c r="CN22" s="97" t="e">
        <f t="shared" si="40"/>
        <v>#REF!</v>
      </c>
      <c r="CO22" s="97" t="e">
        <f t="shared" si="40"/>
        <v>#REF!</v>
      </c>
      <c r="CP22" s="97"/>
      <c r="CQ22" s="97"/>
      <c r="CR22" s="97"/>
      <c r="CS22" s="97"/>
      <c r="CT22" s="105">
        <f t="shared" si="41"/>
        <v>2</v>
      </c>
      <c r="CU22" s="118"/>
      <c r="CV22" s="95">
        <f t="shared" si="42"/>
        <v>30649</v>
      </c>
      <c r="CW22" s="124" t="str">
        <f t="shared" si="43"/>
        <v>CTARGAS</v>
      </c>
      <c r="CX22" s="97">
        <f>VLOOKUP($I22,ctar0201,13,FALSE)</f>
        <v>1060</v>
      </c>
      <c r="CY22" s="97">
        <f>VLOOKUP($I22,ctar0205,13,FALSE)</f>
        <v>863</v>
      </c>
      <c r="CZ22" s="97">
        <f>VLOOKUP($I22,ctar0221,13,FALSE)</f>
        <v>941</v>
      </c>
      <c r="DA22" s="97">
        <f>VLOOKUP($I22,ctar0226,13,FALSE)</f>
        <v>984</v>
      </c>
      <c r="DB22" s="97" t="e">
        <f>VLOOKUP($I22,ctar0320,13,FALSE)</f>
        <v>#N/A</v>
      </c>
      <c r="DC22" s="97" t="e">
        <f>VLOOKUP($I22,ctar0321,13,FALSE)</f>
        <v>#N/A</v>
      </c>
      <c r="DD22" s="97" t="e">
        <f>VLOOKUP($I22,ctar0322,13,FALSE)</f>
        <v>#N/A</v>
      </c>
      <c r="DE22" s="97"/>
      <c r="DF22" s="97"/>
      <c r="DG22" s="97"/>
      <c r="DH22" s="97"/>
      <c r="DI22" s="97"/>
      <c r="DM22" s="187">
        <f>AVERAGE(CX22:DA22)</f>
        <v>962</v>
      </c>
      <c r="DN22" s="187">
        <f>SUM(DM7:DM22)</f>
        <v>1065896.8571428573</v>
      </c>
    </row>
    <row r="23" spans="1:118" ht="15.75" x14ac:dyDescent="0.25">
      <c r="A23" s="196">
        <f t="shared" si="6"/>
        <v>1117</v>
      </c>
      <c r="B23" s="197" t="str">
        <f t="shared" si="7"/>
        <v>NBAA</v>
      </c>
      <c r="C23" s="41" t="str">
        <f t="shared" si="8"/>
        <v xml:space="preserve"> </v>
      </c>
      <c r="D23" s="38">
        <f t="shared" si="9"/>
        <v>1</v>
      </c>
      <c r="E23" s="24">
        <f t="shared" si="10"/>
        <v>3</v>
      </c>
      <c r="F23" s="24">
        <f t="shared" si="11"/>
        <v>1</v>
      </c>
      <c r="G23" s="136">
        <f t="shared" si="12"/>
        <v>1</v>
      </c>
      <c r="I23" s="27">
        <v>1117</v>
      </c>
      <c r="J23" s="55" t="s">
        <v>26</v>
      </c>
      <c r="K23" s="97">
        <f>VLOOKUP($I23,nbaa0201,17,FALSE)</f>
        <v>0</v>
      </c>
      <c r="L23" s="97">
        <f>VLOOKUP($I23,nbaa0205,17,FALSE)</f>
        <v>0</v>
      </c>
      <c r="M23" s="97">
        <f>VLOOKUP($I23,nbaa0221,17,FALSE)</f>
        <v>0</v>
      </c>
      <c r="N23" s="97">
        <f>VLOOKUP($I23,nbaa0226,17,FALSE)</f>
        <v>0</v>
      </c>
      <c r="O23" s="97">
        <f>VLOOKUP($I23,nbaa0320,17,FALSE)</f>
        <v>0</v>
      </c>
      <c r="P23" s="97">
        <f>VLOOKUP($I23,nbaa0321,17,FALSE)</f>
        <v>0</v>
      </c>
      <c r="Q23" s="97">
        <f>VLOOKUP($I23,nbaa0322,17,FALSE)</f>
        <v>0</v>
      </c>
      <c r="R23" s="97" t="e">
        <f t="shared" ref="R23:R45" si="70">VLOOKUP($I23,nbaaTEMP,17,FALSE)</f>
        <v>#REF!</v>
      </c>
      <c r="S23" s="97" t="e">
        <f t="shared" ref="S23:U38" si="71">VLOOKUP($I23,nbaaTEMP,17,FALSE)</f>
        <v>#REF!</v>
      </c>
      <c r="T23" s="97" t="e">
        <f t="shared" si="71"/>
        <v>#REF!</v>
      </c>
      <c r="U23" s="97" t="e">
        <f t="shared" si="71"/>
        <v>#REF!</v>
      </c>
      <c r="V23" s="97"/>
      <c r="W23" s="97"/>
      <c r="X23" s="97"/>
      <c r="Y23" s="97"/>
      <c r="Z23" s="105" t="str">
        <f t="shared" si="1"/>
        <v xml:space="preserve"> </v>
      </c>
      <c r="AA23" s="114"/>
      <c r="AB23" s="97" t="str">
        <f>VLOOKUP($I23,nbaa0201,18,FALSE)</f>
        <v>X</v>
      </c>
      <c r="AC23" s="97" t="str">
        <f>VLOOKUP($I23,nbaa0205,18,FALSE)</f>
        <v xml:space="preserve"> </v>
      </c>
      <c r="AD23" s="97" t="str">
        <f>VLOOKUP($I23,nbaa0221,18,FALSE)</f>
        <v xml:space="preserve"> </v>
      </c>
      <c r="AE23" s="97" t="str">
        <f>VLOOKUP($I23,nbaa0226,18,FALSE)</f>
        <v xml:space="preserve"> </v>
      </c>
      <c r="AF23" s="97" t="str">
        <f>VLOOKUP($I23,nbaa0320,18,FALSE)</f>
        <v xml:space="preserve"> </v>
      </c>
      <c r="AG23" s="97" t="str">
        <f>VLOOKUP($I23,nbaa0321,18,FALSE)</f>
        <v xml:space="preserve"> </v>
      </c>
      <c r="AH23" s="97" t="str">
        <f>VLOOKUP($I23,nbaa0322,18,FALSE)</f>
        <v xml:space="preserve"> </v>
      </c>
      <c r="AI23" s="97" t="e">
        <f t="shared" ref="AI23:AI45" si="72">VLOOKUP($I23,nbaaTEMP,18,FALSE)</f>
        <v>#REF!</v>
      </c>
      <c r="AJ23" s="97" t="e">
        <f t="shared" ref="AJ23:AL38" si="73">VLOOKUP($I23,nbaaTEMP,18,FALSE)</f>
        <v>#REF!</v>
      </c>
      <c r="AK23" s="97" t="e">
        <f t="shared" si="73"/>
        <v>#REF!</v>
      </c>
      <c r="AL23" s="97" t="e">
        <f t="shared" si="73"/>
        <v>#REF!</v>
      </c>
      <c r="AM23" s="97"/>
      <c r="AN23" s="97"/>
      <c r="AO23" s="97"/>
      <c r="AP23" s="97"/>
      <c r="AQ23" s="105">
        <f t="shared" si="21"/>
        <v>1</v>
      </c>
      <c r="AR23" s="114"/>
      <c r="AS23" s="95">
        <f t="shared" si="2"/>
        <v>1117</v>
      </c>
      <c r="AT23" s="124" t="str">
        <f t="shared" si="3"/>
        <v>NBAA</v>
      </c>
      <c r="AU23" s="97" t="str">
        <f>VLOOKUP($I23,nbaa0201,19,FALSE)</f>
        <v xml:space="preserve"> </v>
      </c>
      <c r="AV23" s="97" t="str">
        <f>VLOOKUP($I23,nbaa0205,19,FALSE)</f>
        <v xml:space="preserve"> </v>
      </c>
      <c r="AW23" s="97" t="str">
        <f t="shared" ref="AW23:AW45" si="74">VLOOKUP($I23,nbaa0221,19,FALSE)</f>
        <v xml:space="preserve"> </v>
      </c>
      <c r="AX23" s="97" t="str">
        <f t="shared" ref="AX23:AX45" si="75">VLOOKUP($I23,nbaa0226,19,FALSE)</f>
        <v xml:space="preserve"> </v>
      </c>
      <c r="AY23" s="97" t="str">
        <f t="shared" ref="AY23:AY45" si="76">VLOOKUP($I23,nbaa0320,19,FALSE)</f>
        <v>X</v>
      </c>
      <c r="AZ23" s="97" t="str">
        <f t="shared" ref="AZ23:AZ45" si="77">VLOOKUP($I23,nbaa0321,19,FALSE)</f>
        <v xml:space="preserve"> </v>
      </c>
      <c r="BA23" s="97" t="str">
        <f t="shared" ref="BA23:BA45" si="78">VLOOKUP($I23,nbaa0322,19,FALSE)</f>
        <v xml:space="preserve"> </v>
      </c>
      <c r="BB23" s="97" t="e">
        <f>VLOOKUP($I23,nbaaTEMP,19,FALSE)</f>
        <v>#REF!</v>
      </c>
      <c r="BC23" s="97" t="e">
        <f>VLOOKUP($I23,nbaaTEMP,19,FALSE)</f>
        <v>#REF!</v>
      </c>
      <c r="BD23" s="97" t="e">
        <f>VLOOKUP($I23,nbaaTEMP,19,FALSE)</f>
        <v>#REF!</v>
      </c>
      <c r="BE23" s="97" t="e">
        <f>VLOOKUP($I23,nbaaTEMP,19,FALSE)</f>
        <v>#REF!</v>
      </c>
      <c r="BF23" s="97"/>
      <c r="BG23" s="97"/>
      <c r="BH23" s="97"/>
      <c r="BI23" s="97"/>
      <c r="BJ23" s="105">
        <f t="shared" si="30"/>
        <v>1</v>
      </c>
      <c r="BK23" s="114"/>
      <c r="BL23" s="97" t="str">
        <f>VLOOKUP($I23,nbaa0201,20,FALSE)</f>
        <v>X</v>
      </c>
      <c r="BM23" s="97" t="str">
        <f>VLOOKUP($I23,nbaa0205,20,FALSE)</f>
        <v xml:space="preserve"> </v>
      </c>
      <c r="BN23" s="97" t="str">
        <f>VLOOKUP($I23,nbaa0221,20,FALSE)</f>
        <v xml:space="preserve"> </v>
      </c>
      <c r="BO23" s="97" t="str">
        <f>VLOOKUP($I23,nbaa0226,20,FALSE)</f>
        <v xml:space="preserve"> </v>
      </c>
      <c r="BP23" s="97" t="str">
        <f>VLOOKUP($I23,nbaa0320,20,FALSE)</f>
        <v xml:space="preserve"> </v>
      </c>
      <c r="BQ23" s="97" t="str">
        <f>VLOOKUP($I23,nbaa0321,20,FALSE)</f>
        <v>X</v>
      </c>
      <c r="BR23" s="97" t="str">
        <f>VLOOKUP($I23,nbaa0322,20,FALSE)</f>
        <v>X</v>
      </c>
      <c r="BS23" s="97" t="e">
        <f>VLOOKUP($I23,nbaaTEMP,20,FALSE)</f>
        <v>#REF!</v>
      </c>
      <c r="BT23" s="97" t="e">
        <f>VLOOKUP($I23,nbaaTEMP,20,FALSE)</f>
        <v>#REF!</v>
      </c>
      <c r="BU23" s="97" t="e">
        <f>VLOOKUP($I23,nbaaTEMP,20,FALSE)</f>
        <v>#REF!</v>
      </c>
      <c r="BV23" s="97" t="e">
        <f>VLOOKUP($I23,nbaaTEMP,20,FALSE)</f>
        <v>#REF!</v>
      </c>
      <c r="BW23" s="97"/>
      <c r="BX23" s="97"/>
      <c r="BY23" s="97"/>
      <c r="BZ23" s="97"/>
      <c r="CA23" s="105">
        <f t="shared" si="68"/>
        <v>3</v>
      </c>
      <c r="CB23" s="114"/>
      <c r="CC23" s="95">
        <f t="shared" si="31"/>
        <v>1117</v>
      </c>
      <c r="CD23" s="124" t="str">
        <f t="shared" si="32"/>
        <v>NBAA</v>
      </c>
      <c r="CE23" s="97" t="str">
        <f>VLOOKUP($I23,nbaa0201,21,FALSE)</f>
        <v>X</v>
      </c>
      <c r="CF23" s="97" t="str">
        <f>VLOOKUP($I23,nbaa0205,21,FALSE)</f>
        <v xml:space="preserve"> </v>
      </c>
      <c r="CG23" s="97" t="str">
        <f>VLOOKUP($I23,nbaa0221,21,FALSE)</f>
        <v xml:space="preserve"> </v>
      </c>
      <c r="CH23" s="97" t="str">
        <f>VLOOKUP($I23,nbaa0226,21,FALSE)</f>
        <v xml:space="preserve"> </v>
      </c>
      <c r="CI23" s="97" t="str">
        <f>VLOOKUP($I23,nbaa0320,21,FALSE)</f>
        <v xml:space="preserve"> </v>
      </c>
      <c r="CJ23" s="97" t="str">
        <f>VLOOKUP($I23,nbaa0321,21,FALSE)</f>
        <v xml:space="preserve"> </v>
      </c>
      <c r="CK23" s="97" t="str">
        <f>VLOOKUP($I23,nbaa0322,21,FALSE)</f>
        <v xml:space="preserve"> </v>
      </c>
      <c r="CL23" s="97" t="e">
        <f>VLOOKUP($I23,nbaaTEMP,21,FALSE)</f>
        <v>#REF!</v>
      </c>
      <c r="CM23" s="97" t="e">
        <f>VLOOKUP($I23,nbaaTEMP,21,FALSE)</f>
        <v>#REF!</v>
      </c>
      <c r="CN23" s="97" t="e">
        <f>VLOOKUP($I23,nbaaTEMP,21,FALSE)</f>
        <v>#REF!</v>
      </c>
      <c r="CO23" s="97" t="e">
        <f>VLOOKUP($I23,nbaaTEMP,21,FALSE)</f>
        <v>#REF!</v>
      </c>
      <c r="CP23" s="97"/>
      <c r="CQ23" s="97"/>
      <c r="CR23" s="97"/>
      <c r="CS23" s="97"/>
      <c r="CT23" s="105">
        <f t="shared" si="41"/>
        <v>1</v>
      </c>
      <c r="CU23" s="118"/>
      <c r="CV23" s="95">
        <f t="shared" si="42"/>
        <v>1117</v>
      </c>
      <c r="CW23" s="124" t="str">
        <f t="shared" si="43"/>
        <v>NBAA</v>
      </c>
      <c r="CX23" s="97">
        <f>VLOOKUP($I23,nbaa0201,13,FALSE)</f>
        <v>57697</v>
      </c>
      <c r="CY23" s="97">
        <f>VLOOKUP($I23,nbaa0205,13,FALSE)</f>
        <v>53760</v>
      </c>
      <c r="CZ23" s="97">
        <f>VLOOKUP($I23,nbaa0221,13,FALSE)</f>
        <v>54219</v>
      </c>
      <c r="DA23" s="97">
        <f>VLOOKUP($I23,nbaa0226,13,FALSE)</f>
        <v>53214</v>
      </c>
      <c r="DB23" s="97">
        <f>VLOOKUP($I23,nbaa0320,13,FALSE)</f>
        <v>51064</v>
      </c>
      <c r="DC23" s="97">
        <f>VLOOKUP($I23,nbaa0321,13,FALSE)</f>
        <v>53735</v>
      </c>
      <c r="DD23" s="97">
        <f>VLOOKUP($I23,nbaa0322,13,FALSE)</f>
        <v>55070</v>
      </c>
      <c r="DE23" s="97"/>
      <c r="DF23" s="97"/>
      <c r="DG23" s="97"/>
      <c r="DH23" s="97"/>
      <c r="DI23" s="97"/>
      <c r="DM23" s="187">
        <f t="shared" si="69"/>
        <v>54108.428571428572</v>
      </c>
    </row>
    <row r="24" spans="1:118" ht="15.75" x14ac:dyDescent="0.25">
      <c r="A24" s="196">
        <f t="shared" si="6"/>
        <v>1126</v>
      </c>
      <c r="B24" s="197" t="str">
        <f t="shared" si="7"/>
        <v>NBAA</v>
      </c>
      <c r="C24" s="41" t="str">
        <f t="shared" si="8"/>
        <v xml:space="preserve"> </v>
      </c>
      <c r="D24" s="38">
        <f t="shared" si="9"/>
        <v>5</v>
      </c>
      <c r="E24" s="24">
        <f t="shared" si="10"/>
        <v>6</v>
      </c>
      <c r="F24" s="24">
        <f t="shared" si="11"/>
        <v>5</v>
      </c>
      <c r="G24" s="136" t="str">
        <f t="shared" si="12"/>
        <v xml:space="preserve"> </v>
      </c>
      <c r="I24" s="27">
        <v>1126</v>
      </c>
      <c r="J24" s="55" t="s">
        <v>26</v>
      </c>
      <c r="K24" s="97">
        <f t="shared" ref="K24:K45" si="79">VLOOKUP($I24,nbaa0201,17,FALSE)</f>
        <v>0</v>
      </c>
      <c r="L24" s="97">
        <f t="shared" ref="L24:L45" si="80">VLOOKUP($I24,nbaa0205,17,FALSE)</f>
        <v>0</v>
      </c>
      <c r="M24" s="97">
        <f t="shared" ref="M24:M45" si="81">VLOOKUP($I24,nbaa0221,17,FALSE)</f>
        <v>0</v>
      </c>
      <c r="N24" s="97">
        <f t="shared" ref="N24:N45" si="82">VLOOKUP($I24,nbaa0226,17,FALSE)</f>
        <v>0</v>
      </c>
      <c r="O24" s="97">
        <f t="shared" ref="O24:O45" si="83">VLOOKUP($I24,nbaa0320,17,FALSE)</f>
        <v>0</v>
      </c>
      <c r="P24" s="97">
        <f t="shared" ref="P24:P45" si="84">VLOOKUP($I24,nbaa0321,17,FALSE)</f>
        <v>0</v>
      </c>
      <c r="Q24" s="97">
        <f t="shared" ref="Q24:Q45" si="85">VLOOKUP($I24,nbaa0322,17,FALSE)</f>
        <v>0</v>
      </c>
      <c r="R24" s="97" t="e">
        <f t="shared" si="70"/>
        <v>#REF!</v>
      </c>
      <c r="S24" s="97" t="e">
        <f t="shared" si="71"/>
        <v>#REF!</v>
      </c>
      <c r="T24" s="97" t="e">
        <f t="shared" si="71"/>
        <v>#REF!</v>
      </c>
      <c r="U24" s="97" t="e">
        <f t="shared" si="71"/>
        <v>#REF!</v>
      </c>
      <c r="V24" s="97"/>
      <c r="W24" s="97"/>
      <c r="X24" s="97"/>
      <c r="Y24" s="97"/>
      <c r="Z24" s="105" t="str">
        <f t="shared" si="1"/>
        <v xml:space="preserve"> </v>
      </c>
      <c r="AA24" s="114"/>
      <c r="AB24" s="97" t="str">
        <f t="shared" ref="AB24:AB45" si="86">VLOOKUP($I24,nbaa0201,18,FALSE)</f>
        <v>X</v>
      </c>
      <c r="AC24" s="97" t="str">
        <f t="shared" ref="AC24:AC45" si="87">VLOOKUP($I24,nbaa0205,18,FALSE)</f>
        <v>X</v>
      </c>
      <c r="AD24" s="97" t="str">
        <f t="shared" ref="AD24:AD45" si="88">VLOOKUP($I24,nbaa0221,18,FALSE)</f>
        <v xml:space="preserve"> </v>
      </c>
      <c r="AE24" s="97" t="str">
        <f t="shared" ref="AE24:AE45" si="89">VLOOKUP($I24,nbaa0226,18,FALSE)</f>
        <v xml:space="preserve"> </v>
      </c>
      <c r="AF24" s="97" t="str">
        <f t="shared" ref="AF24:AF45" si="90">VLOOKUP($I24,nbaa0320,18,FALSE)</f>
        <v>X</v>
      </c>
      <c r="AG24" s="97" t="str">
        <f t="shared" ref="AG24:AG45" si="91">VLOOKUP($I24,nbaa0321,18,FALSE)</f>
        <v>X</v>
      </c>
      <c r="AH24" s="97" t="str">
        <f t="shared" ref="AH24:AH45" si="92">VLOOKUP($I24,nbaa0322,18,FALSE)</f>
        <v>X</v>
      </c>
      <c r="AI24" s="97" t="e">
        <f t="shared" si="72"/>
        <v>#REF!</v>
      </c>
      <c r="AJ24" s="97" t="e">
        <f t="shared" si="73"/>
        <v>#REF!</v>
      </c>
      <c r="AK24" s="97" t="e">
        <f t="shared" si="73"/>
        <v>#REF!</v>
      </c>
      <c r="AL24" s="97" t="e">
        <f t="shared" si="73"/>
        <v>#REF!</v>
      </c>
      <c r="AM24" s="97"/>
      <c r="AN24" s="97"/>
      <c r="AO24" s="97"/>
      <c r="AP24" s="97"/>
      <c r="AQ24" s="105">
        <f t="shared" si="21"/>
        <v>5</v>
      </c>
      <c r="AR24" s="114"/>
      <c r="AS24" s="95">
        <f t="shared" si="2"/>
        <v>1126</v>
      </c>
      <c r="AT24" s="124" t="str">
        <f t="shared" si="3"/>
        <v>NBAA</v>
      </c>
      <c r="AU24" s="97" t="str">
        <f t="shared" ref="AU24:AU45" si="93">VLOOKUP($I24,nbaa0201,19,FALSE)</f>
        <v xml:space="preserve"> </v>
      </c>
      <c r="AV24" s="97" t="str">
        <f t="shared" ref="AV24:AV45" si="94">VLOOKUP($I24,nbaa0205,19,FALSE)</f>
        <v xml:space="preserve"> </v>
      </c>
      <c r="AW24" s="97" t="str">
        <f t="shared" si="74"/>
        <v xml:space="preserve"> </v>
      </c>
      <c r="AX24" s="97" t="str">
        <f t="shared" si="75"/>
        <v xml:space="preserve"> </v>
      </c>
      <c r="AY24" s="97" t="str">
        <f t="shared" si="76"/>
        <v xml:space="preserve"> </v>
      </c>
      <c r="AZ24" s="97" t="str">
        <f t="shared" si="77"/>
        <v xml:space="preserve"> </v>
      </c>
      <c r="BA24" s="97" t="str">
        <f t="shared" si="78"/>
        <v xml:space="preserve"> </v>
      </c>
      <c r="BB24" s="97" t="e">
        <f t="shared" ref="BB24:BE45" si="95">VLOOKUP($I24,nbaaTEMP,19,FALSE)</f>
        <v>#REF!</v>
      </c>
      <c r="BC24" s="97" t="e">
        <f t="shared" si="95"/>
        <v>#REF!</v>
      </c>
      <c r="BD24" s="97" t="e">
        <f t="shared" si="95"/>
        <v>#REF!</v>
      </c>
      <c r="BE24" s="97" t="e">
        <f t="shared" si="95"/>
        <v>#REF!</v>
      </c>
      <c r="BF24" s="97"/>
      <c r="BG24" s="97"/>
      <c r="BH24" s="97"/>
      <c r="BI24" s="97"/>
      <c r="BJ24" s="105" t="str">
        <f>IF(COUNTIF(AU24:BI24,"x")=0," ",COUNTIF(AU24:BI24,"x"))</f>
        <v xml:space="preserve"> </v>
      </c>
      <c r="BK24" s="114"/>
      <c r="BL24" s="97" t="str">
        <f t="shared" ref="BL24:BL45" si="96">VLOOKUP($I24,nbaa0201,20,FALSE)</f>
        <v>X</v>
      </c>
      <c r="BM24" s="97" t="str">
        <f t="shared" ref="BM24:BM45" si="97">VLOOKUP($I24,nbaa0205,20,FALSE)</f>
        <v>X</v>
      </c>
      <c r="BN24" s="97" t="str">
        <f t="shared" ref="BN24:BN45" si="98">VLOOKUP($I24,nbaa0221,20,FALSE)</f>
        <v xml:space="preserve"> </v>
      </c>
      <c r="BO24" s="97" t="str">
        <f t="shared" ref="BO24:BO45" si="99">VLOOKUP($I24,nbaa0226,20,FALSE)</f>
        <v>X</v>
      </c>
      <c r="BP24" s="97" t="str">
        <f t="shared" ref="BP24:BP45" si="100">VLOOKUP($I24,nbaa0320,20,FALSE)</f>
        <v>X</v>
      </c>
      <c r="BQ24" s="97" t="str">
        <f t="shared" ref="BQ24:BQ45" si="101">VLOOKUP($I24,nbaa0321,20,FALSE)</f>
        <v>X</v>
      </c>
      <c r="BR24" s="97" t="str">
        <f t="shared" ref="BR24:BR45" si="102">VLOOKUP($I24,nbaa0322,20,FALSE)</f>
        <v>X</v>
      </c>
      <c r="BS24" s="97" t="e">
        <f t="shared" ref="BS24:BV45" si="103">VLOOKUP($I24,nbaaTEMP,20,FALSE)</f>
        <v>#REF!</v>
      </c>
      <c r="BT24" s="97" t="e">
        <f t="shared" si="103"/>
        <v>#REF!</v>
      </c>
      <c r="BU24" s="97" t="e">
        <f t="shared" si="103"/>
        <v>#REF!</v>
      </c>
      <c r="BV24" s="97" t="e">
        <f t="shared" si="103"/>
        <v>#REF!</v>
      </c>
      <c r="BW24" s="97"/>
      <c r="BX24" s="97"/>
      <c r="BY24" s="97"/>
      <c r="BZ24" s="97"/>
      <c r="CA24" s="105">
        <f t="shared" si="68"/>
        <v>6</v>
      </c>
      <c r="CB24" s="114"/>
      <c r="CC24" s="95">
        <f t="shared" si="31"/>
        <v>1126</v>
      </c>
      <c r="CD24" s="124" t="str">
        <f t="shared" si="32"/>
        <v>NBAA</v>
      </c>
      <c r="CE24" s="97" t="str">
        <f t="shared" ref="CE24:CE45" si="104">VLOOKUP($I24,nbaa0201,21,FALSE)</f>
        <v>X</v>
      </c>
      <c r="CF24" s="97" t="str">
        <f t="shared" ref="CF24:CF45" si="105">VLOOKUP($I24,nbaa0205,21,FALSE)</f>
        <v>X</v>
      </c>
      <c r="CG24" s="97" t="str">
        <f t="shared" ref="CG24:CG45" si="106">VLOOKUP($I24,nbaa0221,21,FALSE)</f>
        <v xml:space="preserve"> </v>
      </c>
      <c r="CH24" s="97" t="str">
        <f t="shared" ref="CH24:CH45" si="107">VLOOKUP($I24,nbaa0226,21,FALSE)</f>
        <v xml:space="preserve"> </v>
      </c>
      <c r="CI24" s="97" t="str">
        <f t="shared" ref="CI24:CI45" si="108">VLOOKUP($I24,nbaa0320,21,FALSE)</f>
        <v>X</v>
      </c>
      <c r="CJ24" s="97" t="str">
        <f t="shared" ref="CJ24:CJ45" si="109">VLOOKUP($I24,nbaa0321,21,FALSE)</f>
        <v>X</v>
      </c>
      <c r="CK24" s="97" t="str">
        <f t="shared" ref="CK24:CK45" si="110">VLOOKUP($I24,nbaa0322,21,FALSE)</f>
        <v>X</v>
      </c>
      <c r="CL24" s="97" t="e">
        <f t="shared" ref="CL24:CO45" si="111">VLOOKUP($I24,nbaaTEMP,21,FALSE)</f>
        <v>#REF!</v>
      </c>
      <c r="CM24" s="97" t="e">
        <f t="shared" si="111"/>
        <v>#REF!</v>
      </c>
      <c r="CN24" s="97" t="e">
        <f t="shared" si="111"/>
        <v>#REF!</v>
      </c>
      <c r="CO24" s="97" t="e">
        <f t="shared" si="111"/>
        <v>#REF!</v>
      </c>
      <c r="CP24" s="97"/>
      <c r="CQ24" s="97"/>
      <c r="CR24" s="97"/>
      <c r="CS24" s="97"/>
      <c r="CT24" s="105">
        <f t="shared" si="41"/>
        <v>5</v>
      </c>
      <c r="CU24" s="118"/>
      <c r="CV24" s="95">
        <f t="shared" si="42"/>
        <v>1126</v>
      </c>
      <c r="CW24" s="124" t="str">
        <f t="shared" si="43"/>
        <v>NBAA</v>
      </c>
      <c r="CX24" s="97">
        <f t="shared" ref="CX24:CX45" si="112">VLOOKUP($I24,nbaa0201,13,FALSE)</f>
        <v>40082</v>
      </c>
      <c r="CY24" s="97">
        <f t="shared" ref="CY24:CY45" si="113">VLOOKUP($I24,nbaa0205,13,FALSE)</f>
        <v>34591</v>
      </c>
      <c r="CZ24" s="97">
        <f t="shared" ref="CZ24:CZ45" si="114">VLOOKUP($I24,nbaa0221,13,FALSE)</f>
        <v>36763</v>
      </c>
      <c r="DA24" s="97">
        <f t="shared" ref="DA24:DA45" si="115">VLOOKUP($I24,nbaa0226,13,FALSE)</f>
        <v>35718</v>
      </c>
      <c r="DB24" s="97">
        <f t="shared" ref="DB24:DB45" si="116">VLOOKUP($I24,nbaa0320,13,FALSE)</f>
        <v>26383</v>
      </c>
      <c r="DC24" s="97">
        <f t="shared" ref="DC24:DC45" si="117">VLOOKUP($I24,nbaa0321,13,FALSE)</f>
        <v>27699</v>
      </c>
      <c r="DD24" s="97">
        <f t="shared" ref="DD24:DD45" si="118">VLOOKUP($I24,nbaa0322,13,FALSE)</f>
        <v>27972</v>
      </c>
      <c r="DE24" s="97"/>
      <c r="DF24" s="97"/>
      <c r="DG24" s="97"/>
      <c r="DH24" s="97"/>
      <c r="DI24" s="97"/>
      <c r="DJ24" s="97"/>
      <c r="DK24" s="97"/>
      <c r="DL24" s="97"/>
      <c r="DM24" s="187">
        <f t="shared" si="69"/>
        <v>32744</v>
      </c>
    </row>
    <row r="25" spans="1:118" ht="15.75" x14ac:dyDescent="0.25">
      <c r="A25" s="196">
        <f t="shared" si="6"/>
        <v>1157</v>
      </c>
      <c r="B25" s="197" t="str">
        <f t="shared" si="7"/>
        <v>NBAA</v>
      </c>
      <c r="C25" s="41">
        <f t="shared" si="8"/>
        <v>2</v>
      </c>
      <c r="D25" s="38">
        <f t="shared" si="9"/>
        <v>3</v>
      </c>
      <c r="E25" s="24">
        <f t="shared" si="10"/>
        <v>7</v>
      </c>
      <c r="F25" s="24">
        <f t="shared" si="11"/>
        <v>3</v>
      </c>
      <c r="G25" s="136" t="str">
        <f t="shared" si="12"/>
        <v xml:space="preserve"> </v>
      </c>
      <c r="I25" s="27">
        <v>1157</v>
      </c>
      <c r="J25" s="55" t="s">
        <v>26</v>
      </c>
      <c r="K25" s="97">
        <f t="shared" si="79"/>
        <v>0</v>
      </c>
      <c r="L25" s="97">
        <f t="shared" si="80"/>
        <v>0</v>
      </c>
      <c r="M25" s="97" t="str">
        <f t="shared" si="81"/>
        <v>X</v>
      </c>
      <c r="N25" s="97">
        <f t="shared" si="82"/>
        <v>0</v>
      </c>
      <c r="O25" s="97" t="str">
        <f t="shared" si="83"/>
        <v>X</v>
      </c>
      <c r="P25" s="97">
        <f t="shared" si="84"/>
        <v>0</v>
      </c>
      <c r="Q25" s="97">
        <f t="shared" si="85"/>
        <v>0</v>
      </c>
      <c r="R25" s="97" t="e">
        <f t="shared" si="70"/>
        <v>#REF!</v>
      </c>
      <c r="S25" s="97" t="e">
        <f t="shared" si="71"/>
        <v>#REF!</v>
      </c>
      <c r="T25" s="97" t="e">
        <f t="shared" si="71"/>
        <v>#REF!</v>
      </c>
      <c r="U25" s="97" t="e">
        <f t="shared" si="71"/>
        <v>#REF!</v>
      </c>
      <c r="V25" s="97"/>
      <c r="W25" s="97"/>
      <c r="X25" s="97"/>
      <c r="Y25" s="97"/>
      <c r="Z25" s="105">
        <f t="shared" ref="Z25:Z50" si="119">IF(COUNTIF(K25:Y25,"x")=0," ",COUNTIF(K25:Y25,"x"))</f>
        <v>2</v>
      </c>
      <c r="AA25" s="114"/>
      <c r="AB25" s="97" t="str">
        <f t="shared" si="86"/>
        <v xml:space="preserve"> </v>
      </c>
      <c r="AC25" s="97" t="str">
        <f t="shared" si="87"/>
        <v xml:space="preserve"> </v>
      </c>
      <c r="AD25" s="97" t="str">
        <f t="shared" si="88"/>
        <v xml:space="preserve"> </v>
      </c>
      <c r="AE25" s="97" t="str">
        <f t="shared" si="89"/>
        <v>X</v>
      </c>
      <c r="AF25" s="97" t="str">
        <f t="shared" si="90"/>
        <v>X</v>
      </c>
      <c r="AG25" s="97" t="str">
        <f t="shared" si="91"/>
        <v>X</v>
      </c>
      <c r="AH25" s="97" t="str">
        <f t="shared" si="92"/>
        <v xml:space="preserve"> </v>
      </c>
      <c r="AI25" s="97" t="e">
        <f t="shared" si="72"/>
        <v>#REF!</v>
      </c>
      <c r="AJ25" s="97" t="e">
        <f t="shared" si="73"/>
        <v>#REF!</v>
      </c>
      <c r="AK25" s="97" t="e">
        <f t="shared" si="73"/>
        <v>#REF!</v>
      </c>
      <c r="AL25" s="97" t="e">
        <f t="shared" si="73"/>
        <v>#REF!</v>
      </c>
      <c r="AM25" s="97"/>
      <c r="AN25" s="97"/>
      <c r="AO25" s="97"/>
      <c r="AP25" s="97"/>
      <c r="AQ25" s="105">
        <f t="shared" ref="AQ25:AQ50" si="120">IF(COUNTIF(AB25:AP25,"x")=0," ",COUNTIF(AB25:AP25,"x"))</f>
        <v>3</v>
      </c>
      <c r="AR25" s="114"/>
      <c r="AS25" s="95">
        <f t="shared" si="2"/>
        <v>1157</v>
      </c>
      <c r="AT25" s="124" t="str">
        <f t="shared" si="3"/>
        <v>NBAA</v>
      </c>
      <c r="AU25" s="97" t="str">
        <f t="shared" si="93"/>
        <v xml:space="preserve"> </v>
      </c>
      <c r="AV25" s="97" t="str">
        <f t="shared" si="94"/>
        <v xml:space="preserve"> </v>
      </c>
      <c r="AW25" s="97" t="str">
        <f t="shared" si="74"/>
        <v xml:space="preserve"> </v>
      </c>
      <c r="AX25" s="97" t="str">
        <f t="shared" si="75"/>
        <v xml:space="preserve"> </v>
      </c>
      <c r="AY25" s="97" t="str">
        <f t="shared" si="76"/>
        <v xml:space="preserve"> </v>
      </c>
      <c r="AZ25" s="97" t="str">
        <f t="shared" si="77"/>
        <v xml:space="preserve"> </v>
      </c>
      <c r="BA25" s="97" t="str">
        <f t="shared" si="78"/>
        <v xml:space="preserve"> </v>
      </c>
      <c r="BB25" s="97" t="e">
        <f t="shared" si="95"/>
        <v>#REF!</v>
      </c>
      <c r="BC25" s="97" t="e">
        <f t="shared" si="95"/>
        <v>#REF!</v>
      </c>
      <c r="BD25" s="97" t="e">
        <f t="shared" si="95"/>
        <v>#REF!</v>
      </c>
      <c r="BE25" s="97" t="e">
        <f t="shared" si="95"/>
        <v>#REF!</v>
      </c>
      <c r="BF25" s="97"/>
      <c r="BG25" s="97"/>
      <c r="BH25" s="97"/>
      <c r="BI25" s="97"/>
      <c r="BJ25" s="105" t="str">
        <f t="shared" ref="BJ25:BJ49" si="121">IF(COUNTIF(AU25:BI25,"x")=0," ",COUNTIF(AU25:BI25,"x"))</f>
        <v xml:space="preserve"> </v>
      </c>
      <c r="BK25" s="114"/>
      <c r="BL25" s="97" t="str">
        <f t="shared" si="96"/>
        <v>X</v>
      </c>
      <c r="BM25" s="97" t="str">
        <f t="shared" si="97"/>
        <v>X</v>
      </c>
      <c r="BN25" s="97" t="str">
        <f t="shared" si="98"/>
        <v>X</v>
      </c>
      <c r="BO25" s="97" t="str">
        <f t="shared" si="99"/>
        <v>X</v>
      </c>
      <c r="BP25" s="97" t="str">
        <f t="shared" si="100"/>
        <v>X</v>
      </c>
      <c r="BQ25" s="97" t="str">
        <f t="shared" si="101"/>
        <v>X</v>
      </c>
      <c r="BR25" s="97" t="str">
        <f t="shared" si="102"/>
        <v>X</v>
      </c>
      <c r="BS25" s="97" t="e">
        <f t="shared" si="103"/>
        <v>#REF!</v>
      </c>
      <c r="BT25" s="97" t="e">
        <f t="shared" si="103"/>
        <v>#REF!</v>
      </c>
      <c r="BU25" s="97" t="e">
        <f t="shared" si="103"/>
        <v>#REF!</v>
      </c>
      <c r="BV25" s="97" t="e">
        <f t="shared" si="103"/>
        <v>#REF!</v>
      </c>
      <c r="BW25" s="97"/>
      <c r="BX25" s="97"/>
      <c r="BY25" s="97"/>
      <c r="BZ25" s="97"/>
      <c r="CA25" s="105">
        <f t="shared" ref="CA25:CA50" si="122">IF(COUNTIF(BL25:BZ25,"x")=0," ",COUNTIF(BL25:BZ25,"x"))</f>
        <v>7</v>
      </c>
      <c r="CB25" s="114"/>
      <c r="CC25" s="95">
        <f t="shared" si="31"/>
        <v>1157</v>
      </c>
      <c r="CD25" s="124" t="str">
        <f t="shared" si="32"/>
        <v>NBAA</v>
      </c>
      <c r="CE25" s="97" t="str">
        <f t="shared" si="104"/>
        <v xml:space="preserve"> </v>
      </c>
      <c r="CF25" s="97" t="str">
        <f t="shared" si="105"/>
        <v xml:space="preserve"> </v>
      </c>
      <c r="CG25" s="97" t="str">
        <f t="shared" si="106"/>
        <v xml:space="preserve"> </v>
      </c>
      <c r="CH25" s="97" t="str">
        <f t="shared" si="107"/>
        <v>X</v>
      </c>
      <c r="CI25" s="97" t="str">
        <f t="shared" si="108"/>
        <v>X</v>
      </c>
      <c r="CJ25" s="97" t="str">
        <f t="shared" si="109"/>
        <v>X</v>
      </c>
      <c r="CK25" s="97" t="str">
        <f t="shared" si="110"/>
        <v xml:space="preserve"> </v>
      </c>
      <c r="CL25" s="97" t="e">
        <f t="shared" si="111"/>
        <v>#REF!</v>
      </c>
      <c r="CM25" s="97" t="e">
        <f t="shared" si="111"/>
        <v>#REF!</v>
      </c>
      <c r="CN25" s="97" t="e">
        <f t="shared" si="111"/>
        <v>#REF!</v>
      </c>
      <c r="CO25" s="97" t="e">
        <f t="shared" si="111"/>
        <v>#REF!</v>
      </c>
      <c r="CP25" s="97"/>
      <c r="CQ25" s="97"/>
      <c r="CR25" s="97"/>
      <c r="CS25" s="97"/>
      <c r="CT25" s="105">
        <f t="shared" ref="CT25:CT50" si="123">IF(COUNTIF(CE25:CS25,"x")=0," ",COUNTIF(CE25:CS25,"x"))</f>
        <v>3</v>
      </c>
      <c r="CU25" s="118"/>
      <c r="CV25" s="95">
        <f t="shared" si="42"/>
        <v>1157</v>
      </c>
      <c r="CW25" s="124" t="str">
        <f t="shared" si="43"/>
        <v>NBAA</v>
      </c>
      <c r="CX25" s="97">
        <f t="shared" si="112"/>
        <v>135061</v>
      </c>
      <c r="CY25" s="97">
        <f t="shared" si="113"/>
        <v>116065</v>
      </c>
      <c r="CZ25" s="97">
        <f t="shared" si="114"/>
        <v>120935</v>
      </c>
      <c r="DA25" s="97">
        <f t="shared" si="115"/>
        <v>132210</v>
      </c>
      <c r="DB25" s="97">
        <f t="shared" si="116"/>
        <v>99342</v>
      </c>
      <c r="DC25" s="97">
        <f t="shared" si="117"/>
        <v>104900</v>
      </c>
      <c r="DD25" s="97">
        <f t="shared" si="118"/>
        <v>102483</v>
      </c>
      <c r="DE25" s="97"/>
      <c r="DF25" s="97"/>
      <c r="DG25" s="97"/>
      <c r="DH25" s="97"/>
      <c r="DI25" s="97"/>
      <c r="DM25" s="187">
        <f t="shared" si="69"/>
        <v>115856.57142857143</v>
      </c>
    </row>
    <row r="26" spans="1:118" ht="15.75" x14ac:dyDescent="0.25">
      <c r="A26" s="196">
        <f t="shared" si="6"/>
        <v>1281</v>
      </c>
      <c r="B26" s="197" t="str">
        <f t="shared" si="7"/>
        <v>NBAA</v>
      </c>
      <c r="C26" s="41" t="str">
        <f t="shared" si="8"/>
        <v xml:space="preserve"> </v>
      </c>
      <c r="D26" s="38">
        <f t="shared" si="9"/>
        <v>1</v>
      </c>
      <c r="E26" s="24">
        <f t="shared" si="10"/>
        <v>1</v>
      </c>
      <c r="F26" s="24">
        <f t="shared" si="11"/>
        <v>1</v>
      </c>
      <c r="G26" s="136">
        <f t="shared" si="12"/>
        <v>1</v>
      </c>
      <c r="I26" s="27">
        <v>1281</v>
      </c>
      <c r="J26" s="55" t="s">
        <v>26</v>
      </c>
      <c r="K26" s="97">
        <f t="shared" si="79"/>
        <v>0</v>
      </c>
      <c r="L26" s="97">
        <f t="shared" si="80"/>
        <v>0</v>
      </c>
      <c r="M26" s="97">
        <f t="shared" si="81"/>
        <v>0</v>
      </c>
      <c r="N26" s="97">
        <f t="shared" si="82"/>
        <v>0</v>
      </c>
      <c r="O26" s="97">
        <f t="shared" si="83"/>
        <v>0</v>
      </c>
      <c r="P26" s="97">
        <f t="shared" si="84"/>
        <v>0</v>
      </c>
      <c r="Q26" s="97">
        <f t="shared" si="85"/>
        <v>0</v>
      </c>
      <c r="R26" s="97" t="e">
        <f t="shared" si="70"/>
        <v>#REF!</v>
      </c>
      <c r="S26" s="97" t="e">
        <f t="shared" si="71"/>
        <v>#REF!</v>
      </c>
      <c r="T26" s="97" t="e">
        <f t="shared" si="71"/>
        <v>#REF!</v>
      </c>
      <c r="U26" s="97" t="e">
        <f t="shared" si="71"/>
        <v>#REF!</v>
      </c>
      <c r="V26" s="97"/>
      <c r="W26" s="97"/>
      <c r="X26" s="97"/>
      <c r="Y26" s="97"/>
      <c r="Z26" s="105" t="str">
        <f t="shared" si="119"/>
        <v xml:space="preserve"> </v>
      </c>
      <c r="AA26" s="114"/>
      <c r="AB26" s="97" t="str">
        <f t="shared" si="86"/>
        <v>X</v>
      </c>
      <c r="AC26" s="97" t="str">
        <f t="shared" si="87"/>
        <v xml:space="preserve"> </v>
      </c>
      <c r="AD26" s="97" t="str">
        <f t="shared" si="88"/>
        <v xml:space="preserve"> </v>
      </c>
      <c r="AE26" s="97" t="str">
        <f t="shared" si="89"/>
        <v xml:space="preserve"> </v>
      </c>
      <c r="AF26" s="97" t="str">
        <f t="shared" si="90"/>
        <v xml:space="preserve"> </v>
      </c>
      <c r="AG26" s="97" t="str">
        <f t="shared" si="91"/>
        <v xml:space="preserve"> </v>
      </c>
      <c r="AH26" s="97" t="str">
        <f t="shared" si="92"/>
        <v xml:space="preserve"> </v>
      </c>
      <c r="AI26" s="97" t="e">
        <f t="shared" si="72"/>
        <v>#REF!</v>
      </c>
      <c r="AJ26" s="97" t="e">
        <f t="shared" si="73"/>
        <v>#REF!</v>
      </c>
      <c r="AK26" s="97" t="e">
        <f t="shared" si="73"/>
        <v>#REF!</v>
      </c>
      <c r="AL26" s="97" t="e">
        <f t="shared" si="73"/>
        <v>#REF!</v>
      </c>
      <c r="AM26" s="97"/>
      <c r="AN26" s="97"/>
      <c r="AO26" s="97"/>
      <c r="AP26" s="97"/>
      <c r="AQ26" s="105">
        <f t="shared" si="120"/>
        <v>1</v>
      </c>
      <c r="AR26" s="114"/>
      <c r="AS26" s="95">
        <f t="shared" si="2"/>
        <v>1281</v>
      </c>
      <c r="AT26" s="124" t="str">
        <f t="shared" si="3"/>
        <v>NBAA</v>
      </c>
      <c r="AU26" s="97" t="str">
        <f t="shared" si="93"/>
        <v xml:space="preserve"> </v>
      </c>
      <c r="AV26" s="97" t="str">
        <f t="shared" si="94"/>
        <v xml:space="preserve"> </v>
      </c>
      <c r="AW26" s="97" t="str">
        <f t="shared" si="74"/>
        <v xml:space="preserve"> </v>
      </c>
      <c r="AX26" s="97" t="str">
        <f t="shared" si="75"/>
        <v>X</v>
      </c>
      <c r="AY26" s="97" t="str">
        <f t="shared" si="76"/>
        <v xml:space="preserve"> </v>
      </c>
      <c r="AZ26" s="97" t="str">
        <f t="shared" si="77"/>
        <v xml:space="preserve"> </v>
      </c>
      <c r="BA26" s="97" t="str">
        <f t="shared" si="78"/>
        <v xml:space="preserve"> </v>
      </c>
      <c r="BB26" s="97" t="e">
        <f t="shared" si="95"/>
        <v>#REF!</v>
      </c>
      <c r="BC26" s="97" t="e">
        <f t="shared" si="95"/>
        <v>#REF!</v>
      </c>
      <c r="BD26" s="97" t="e">
        <f t="shared" si="95"/>
        <v>#REF!</v>
      </c>
      <c r="BE26" s="97" t="e">
        <f t="shared" si="95"/>
        <v>#REF!</v>
      </c>
      <c r="BF26" s="97"/>
      <c r="BG26" s="97"/>
      <c r="BH26" s="97"/>
      <c r="BI26" s="97"/>
      <c r="BJ26" s="105">
        <f t="shared" si="121"/>
        <v>1</v>
      </c>
      <c r="BK26" s="114"/>
      <c r="BL26" s="97" t="str">
        <f t="shared" si="96"/>
        <v>X</v>
      </c>
      <c r="BM26" s="97" t="str">
        <f t="shared" si="97"/>
        <v xml:space="preserve"> </v>
      </c>
      <c r="BN26" s="97" t="str">
        <f t="shared" si="98"/>
        <v xml:space="preserve"> </v>
      </c>
      <c r="BO26" s="97" t="str">
        <f t="shared" si="99"/>
        <v xml:space="preserve"> </v>
      </c>
      <c r="BP26" s="97" t="str">
        <f t="shared" si="100"/>
        <v xml:space="preserve"> </v>
      </c>
      <c r="BQ26" s="97" t="str">
        <f t="shared" si="101"/>
        <v xml:space="preserve"> </v>
      </c>
      <c r="BR26" s="97" t="str">
        <f t="shared" si="102"/>
        <v xml:space="preserve"> </v>
      </c>
      <c r="BS26" s="97" t="e">
        <f t="shared" si="103"/>
        <v>#REF!</v>
      </c>
      <c r="BT26" s="97" t="e">
        <f t="shared" si="103"/>
        <v>#REF!</v>
      </c>
      <c r="BU26" s="97" t="e">
        <f t="shared" si="103"/>
        <v>#REF!</v>
      </c>
      <c r="BV26" s="97" t="e">
        <f t="shared" si="103"/>
        <v>#REF!</v>
      </c>
      <c r="BW26" s="97"/>
      <c r="BX26" s="97"/>
      <c r="BY26" s="97"/>
      <c r="BZ26" s="97"/>
      <c r="CA26" s="105">
        <f t="shared" si="122"/>
        <v>1</v>
      </c>
      <c r="CB26" s="114"/>
      <c r="CC26" s="95">
        <f t="shared" si="31"/>
        <v>1281</v>
      </c>
      <c r="CD26" s="124" t="str">
        <f t="shared" si="32"/>
        <v>NBAA</v>
      </c>
      <c r="CE26" s="97" t="str">
        <f t="shared" si="104"/>
        <v>X</v>
      </c>
      <c r="CF26" s="97" t="str">
        <f t="shared" si="105"/>
        <v xml:space="preserve"> </v>
      </c>
      <c r="CG26" s="97" t="str">
        <f t="shared" si="106"/>
        <v xml:space="preserve"> </v>
      </c>
      <c r="CH26" s="97" t="str">
        <f t="shared" si="107"/>
        <v xml:space="preserve"> </v>
      </c>
      <c r="CI26" s="97" t="str">
        <f t="shared" si="108"/>
        <v xml:space="preserve"> </v>
      </c>
      <c r="CJ26" s="97" t="str">
        <f t="shared" si="109"/>
        <v xml:space="preserve"> </v>
      </c>
      <c r="CK26" s="97" t="str">
        <f t="shared" si="110"/>
        <v xml:space="preserve"> </v>
      </c>
      <c r="CL26" s="97" t="e">
        <f t="shared" si="111"/>
        <v>#REF!</v>
      </c>
      <c r="CM26" s="97" t="e">
        <f t="shared" si="111"/>
        <v>#REF!</v>
      </c>
      <c r="CN26" s="97" t="e">
        <f t="shared" si="111"/>
        <v>#REF!</v>
      </c>
      <c r="CO26" s="97" t="e">
        <f t="shared" si="111"/>
        <v>#REF!</v>
      </c>
      <c r="CP26" s="97"/>
      <c r="CQ26" s="97"/>
      <c r="CR26" s="97"/>
      <c r="CS26" s="97"/>
      <c r="CT26" s="105">
        <f t="shared" si="123"/>
        <v>1</v>
      </c>
      <c r="CU26" s="118"/>
      <c r="CV26" s="95">
        <f t="shared" si="42"/>
        <v>1281</v>
      </c>
      <c r="CW26" s="124" t="str">
        <f t="shared" si="43"/>
        <v>NBAA</v>
      </c>
      <c r="CX26" s="97">
        <f t="shared" si="112"/>
        <v>17097</v>
      </c>
      <c r="CY26" s="97">
        <f t="shared" si="113"/>
        <v>9410</v>
      </c>
      <c r="CZ26" s="97">
        <f t="shared" si="114"/>
        <v>10423</v>
      </c>
      <c r="DA26" s="97">
        <f t="shared" si="115"/>
        <v>10908</v>
      </c>
      <c r="DB26" s="97">
        <f t="shared" si="116"/>
        <v>8889</v>
      </c>
      <c r="DC26" s="97">
        <f t="shared" si="117"/>
        <v>20888</v>
      </c>
      <c r="DD26" s="97">
        <f t="shared" si="118"/>
        <v>10135</v>
      </c>
      <c r="DE26" s="97"/>
      <c r="DF26" s="97"/>
      <c r="DG26" s="97"/>
      <c r="DH26" s="97"/>
      <c r="DI26" s="97"/>
      <c r="DM26" s="187">
        <f t="shared" si="69"/>
        <v>12535.714285714286</v>
      </c>
    </row>
    <row r="27" spans="1:118" ht="15.75" x14ac:dyDescent="0.25">
      <c r="A27" s="196">
        <f t="shared" si="6"/>
        <v>1340</v>
      </c>
      <c r="B27" s="197" t="str">
        <f t="shared" si="7"/>
        <v>NBAA</v>
      </c>
      <c r="C27" s="41" t="str">
        <f t="shared" si="8"/>
        <v xml:space="preserve"> </v>
      </c>
      <c r="D27" s="38">
        <f t="shared" si="9"/>
        <v>2</v>
      </c>
      <c r="E27" s="24">
        <f t="shared" si="10"/>
        <v>2</v>
      </c>
      <c r="F27" s="24">
        <f t="shared" si="11"/>
        <v>3</v>
      </c>
      <c r="G27" s="136" t="str">
        <f t="shared" si="12"/>
        <v xml:space="preserve"> </v>
      </c>
      <c r="I27" s="27">
        <v>1340</v>
      </c>
      <c r="J27" s="55" t="s">
        <v>26</v>
      </c>
      <c r="K27" s="97">
        <f t="shared" si="79"/>
        <v>0</v>
      </c>
      <c r="L27" s="97">
        <f t="shared" si="80"/>
        <v>0</v>
      </c>
      <c r="M27" s="97">
        <f t="shared" si="81"/>
        <v>0</v>
      </c>
      <c r="N27" s="97">
        <f t="shared" si="82"/>
        <v>0</v>
      </c>
      <c r="O27" s="97">
        <f t="shared" si="83"/>
        <v>0</v>
      </c>
      <c r="P27" s="97">
        <f t="shared" si="84"/>
        <v>0</v>
      </c>
      <c r="Q27" s="97">
        <f t="shared" si="85"/>
        <v>0</v>
      </c>
      <c r="R27" s="97" t="e">
        <f t="shared" si="70"/>
        <v>#REF!</v>
      </c>
      <c r="S27" s="97" t="e">
        <f t="shared" si="71"/>
        <v>#REF!</v>
      </c>
      <c r="T27" s="97" t="e">
        <f t="shared" si="71"/>
        <v>#REF!</v>
      </c>
      <c r="U27" s="97" t="e">
        <f t="shared" si="71"/>
        <v>#REF!</v>
      </c>
      <c r="V27" s="97"/>
      <c r="W27" s="97"/>
      <c r="X27" s="97"/>
      <c r="Y27" s="97"/>
      <c r="Z27" s="105" t="str">
        <f t="shared" si="119"/>
        <v xml:space="preserve"> </v>
      </c>
      <c r="AA27" s="114"/>
      <c r="AB27" s="97" t="str">
        <f t="shared" si="86"/>
        <v>X</v>
      </c>
      <c r="AC27" s="97" t="str">
        <f t="shared" si="87"/>
        <v>X</v>
      </c>
      <c r="AD27" s="97" t="str">
        <f t="shared" si="88"/>
        <v xml:space="preserve"> </v>
      </c>
      <c r="AE27" s="97" t="str">
        <f t="shared" si="89"/>
        <v xml:space="preserve"> </v>
      </c>
      <c r="AF27" s="97" t="str">
        <f t="shared" si="90"/>
        <v xml:space="preserve"> </v>
      </c>
      <c r="AG27" s="97" t="str">
        <f t="shared" si="91"/>
        <v xml:space="preserve"> </v>
      </c>
      <c r="AH27" s="97" t="str">
        <f t="shared" si="92"/>
        <v xml:space="preserve"> </v>
      </c>
      <c r="AI27" s="97" t="e">
        <f t="shared" si="72"/>
        <v>#REF!</v>
      </c>
      <c r="AJ27" s="97" t="e">
        <f t="shared" si="73"/>
        <v>#REF!</v>
      </c>
      <c r="AK27" s="97" t="e">
        <f t="shared" si="73"/>
        <v>#REF!</v>
      </c>
      <c r="AL27" s="97" t="e">
        <f t="shared" si="73"/>
        <v>#REF!</v>
      </c>
      <c r="AM27" s="97"/>
      <c r="AN27" s="97"/>
      <c r="AO27" s="97"/>
      <c r="AP27" s="97"/>
      <c r="AQ27" s="105">
        <f t="shared" si="120"/>
        <v>2</v>
      </c>
      <c r="AR27" s="114"/>
      <c r="AS27" s="95">
        <f t="shared" si="2"/>
        <v>1340</v>
      </c>
      <c r="AT27" s="124" t="str">
        <f t="shared" si="3"/>
        <v>NBAA</v>
      </c>
      <c r="AU27" s="97" t="str">
        <f t="shared" si="93"/>
        <v xml:space="preserve"> </v>
      </c>
      <c r="AV27" s="97" t="str">
        <f t="shared" si="94"/>
        <v xml:space="preserve"> </v>
      </c>
      <c r="AW27" s="97" t="str">
        <f t="shared" si="74"/>
        <v xml:space="preserve"> </v>
      </c>
      <c r="AX27" s="97" t="str">
        <f t="shared" si="75"/>
        <v xml:space="preserve"> </v>
      </c>
      <c r="AY27" s="97" t="str">
        <f t="shared" si="76"/>
        <v xml:space="preserve"> </v>
      </c>
      <c r="AZ27" s="97" t="str">
        <f t="shared" si="77"/>
        <v xml:space="preserve"> </v>
      </c>
      <c r="BA27" s="97" t="str">
        <f t="shared" si="78"/>
        <v xml:space="preserve"> </v>
      </c>
      <c r="BB27" s="97" t="e">
        <f t="shared" si="95"/>
        <v>#REF!</v>
      </c>
      <c r="BC27" s="97" t="e">
        <f t="shared" si="95"/>
        <v>#REF!</v>
      </c>
      <c r="BD27" s="97" t="e">
        <f t="shared" si="95"/>
        <v>#REF!</v>
      </c>
      <c r="BE27" s="97" t="e">
        <f t="shared" si="95"/>
        <v>#REF!</v>
      </c>
      <c r="BF27" s="97"/>
      <c r="BG27" s="97"/>
      <c r="BH27" s="97"/>
      <c r="BI27" s="97"/>
      <c r="BJ27" s="105" t="str">
        <f t="shared" si="121"/>
        <v xml:space="preserve"> </v>
      </c>
      <c r="BK27" s="114"/>
      <c r="BL27" s="97" t="str">
        <f t="shared" si="96"/>
        <v>X</v>
      </c>
      <c r="BM27" s="97" t="str">
        <f t="shared" si="97"/>
        <v>X</v>
      </c>
      <c r="BN27" s="97" t="str">
        <f t="shared" si="98"/>
        <v xml:space="preserve"> </v>
      </c>
      <c r="BO27" s="97" t="str">
        <f t="shared" si="99"/>
        <v xml:space="preserve"> </v>
      </c>
      <c r="BP27" s="97" t="str">
        <f t="shared" si="100"/>
        <v xml:space="preserve"> </v>
      </c>
      <c r="BQ27" s="97" t="str">
        <f t="shared" si="101"/>
        <v xml:space="preserve"> </v>
      </c>
      <c r="BR27" s="97" t="str">
        <f t="shared" si="102"/>
        <v xml:space="preserve"> </v>
      </c>
      <c r="BS27" s="97" t="e">
        <f t="shared" si="103"/>
        <v>#REF!</v>
      </c>
      <c r="BT27" s="97" t="e">
        <f t="shared" si="103"/>
        <v>#REF!</v>
      </c>
      <c r="BU27" s="97" t="e">
        <f t="shared" si="103"/>
        <v>#REF!</v>
      </c>
      <c r="BV27" s="97" t="e">
        <f t="shared" si="103"/>
        <v>#REF!</v>
      </c>
      <c r="BW27" s="97"/>
      <c r="BX27" s="97"/>
      <c r="BY27" s="97"/>
      <c r="BZ27" s="97"/>
      <c r="CA27" s="105">
        <f t="shared" si="122"/>
        <v>2</v>
      </c>
      <c r="CB27" s="114"/>
      <c r="CC27" s="95">
        <f t="shared" si="31"/>
        <v>1340</v>
      </c>
      <c r="CD27" s="124" t="str">
        <f t="shared" si="32"/>
        <v>NBAA</v>
      </c>
      <c r="CE27" s="97" t="str">
        <f t="shared" si="104"/>
        <v>X</v>
      </c>
      <c r="CF27" s="97" t="str">
        <f t="shared" si="105"/>
        <v>X</v>
      </c>
      <c r="CG27" s="97" t="str">
        <f t="shared" si="106"/>
        <v xml:space="preserve"> </v>
      </c>
      <c r="CH27" s="97" t="str">
        <f t="shared" si="107"/>
        <v xml:space="preserve"> </v>
      </c>
      <c r="CI27" s="97" t="str">
        <f t="shared" si="108"/>
        <v>X</v>
      </c>
      <c r="CJ27" s="97" t="str">
        <f t="shared" si="109"/>
        <v xml:space="preserve"> </v>
      </c>
      <c r="CK27" s="97" t="str">
        <f t="shared" si="110"/>
        <v xml:space="preserve"> </v>
      </c>
      <c r="CL27" s="97" t="e">
        <f t="shared" si="111"/>
        <v>#REF!</v>
      </c>
      <c r="CM27" s="97" t="e">
        <f t="shared" si="111"/>
        <v>#REF!</v>
      </c>
      <c r="CN27" s="97" t="e">
        <f t="shared" si="111"/>
        <v>#REF!</v>
      </c>
      <c r="CO27" s="97" t="e">
        <f t="shared" si="111"/>
        <v>#REF!</v>
      </c>
      <c r="CP27" s="97"/>
      <c r="CQ27" s="97"/>
      <c r="CR27" s="97"/>
      <c r="CS27" s="97"/>
      <c r="CT27" s="105">
        <f t="shared" si="123"/>
        <v>3</v>
      </c>
      <c r="CU27" s="118"/>
      <c r="CV27" s="95">
        <f t="shared" si="42"/>
        <v>1340</v>
      </c>
      <c r="CW27" s="124" t="str">
        <f t="shared" si="43"/>
        <v>NBAA</v>
      </c>
      <c r="CX27" s="97">
        <f t="shared" si="112"/>
        <v>6071</v>
      </c>
      <c r="CY27" s="97">
        <f t="shared" si="113"/>
        <v>5179</v>
      </c>
      <c r="CZ27" s="97">
        <f t="shared" si="114"/>
        <v>5571</v>
      </c>
      <c r="DA27" s="97">
        <f t="shared" si="115"/>
        <v>4047</v>
      </c>
      <c r="DB27" s="97">
        <f t="shared" si="116"/>
        <v>4725</v>
      </c>
      <c r="DC27" s="97">
        <f t="shared" si="117"/>
        <v>5714</v>
      </c>
      <c r="DD27" s="97">
        <f t="shared" si="118"/>
        <v>5996</v>
      </c>
      <c r="DE27" s="97"/>
      <c r="DF27" s="97"/>
      <c r="DG27" s="97"/>
      <c r="DH27" s="97"/>
      <c r="DI27" s="97"/>
      <c r="DM27" s="187">
        <f t="shared" si="69"/>
        <v>5329</v>
      </c>
    </row>
    <row r="28" spans="1:118" ht="15.75" x14ac:dyDescent="0.25">
      <c r="A28" s="196">
        <f t="shared" si="6"/>
        <v>1377</v>
      </c>
      <c r="B28" s="197" t="str">
        <f t="shared" si="7"/>
        <v>NBAA</v>
      </c>
      <c r="C28" s="41" t="str">
        <f t="shared" si="8"/>
        <v xml:space="preserve"> </v>
      </c>
      <c r="D28" s="38">
        <f t="shared" si="9"/>
        <v>2</v>
      </c>
      <c r="E28" s="24">
        <f t="shared" si="10"/>
        <v>4</v>
      </c>
      <c r="F28" s="24">
        <f t="shared" si="11"/>
        <v>2</v>
      </c>
      <c r="G28" s="136" t="str">
        <f t="shared" si="12"/>
        <v xml:space="preserve"> </v>
      </c>
      <c r="I28" s="27">
        <v>1377</v>
      </c>
      <c r="J28" s="55" t="s">
        <v>26</v>
      </c>
      <c r="K28" s="97">
        <f t="shared" si="79"/>
        <v>0</v>
      </c>
      <c r="L28" s="97">
        <f t="shared" si="80"/>
        <v>0</v>
      </c>
      <c r="M28" s="97">
        <f t="shared" si="81"/>
        <v>0</v>
      </c>
      <c r="N28" s="97">
        <f t="shared" si="82"/>
        <v>0</v>
      </c>
      <c r="O28" s="97">
        <f t="shared" si="83"/>
        <v>0</v>
      </c>
      <c r="P28" s="97">
        <f t="shared" si="84"/>
        <v>0</v>
      </c>
      <c r="Q28" s="97">
        <f t="shared" si="85"/>
        <v>0</v>
      </c>
      <c r="R28" s="97" t="e">
        <f t="shared" si="70"/>
        <v>#REF!</v>
      </c>
      <c r="S28" s="97" t="e">
        <f t="shared" si="71"/>
        <v>#REF!</v>
      </c>
      <c r="T28" s="97" t="e">
        <f t="shared" si="71"/>
        <v>#REF!</v>
      </c>
      <c r="U28" s="97" t="e">
        <f t="shared" si="71"/>
        <v>#REF!</v>
      </c>
      <c r="V28" s="97"/>
      <c r="W28" s="97"/>
      <c r="X28" s="97"/>
      <c r="Y28" s="97"/>
      <c r="Z28" s="105" t="str">
        <f t="shared" si="119"/>
        <v xml:space="preserve"> </v>
      </c>
      <c r="AA28" s="114"/>
      <c r="AB28" s="97" t="str">
        <f t="shared" si="86"/>
        <v xml:space="preserve"> </v>
      </c>
      <c r="AC28" s="97" t="str">
        <f t="shared" si="87"/>
        <v>X</v>
      </c>
      <c r="AD28" s="97" t="str">
        <f t="shared" si="88"/>
        <v xml:space="preserve"> </v>
      </c>
      <c r="AE28" s="97" t="str">
        <f t="shared" si="89"/>
        <v xml:space="preserve"> </v>
      </c>
      <c r="AF28" s="97" t="str">
        <f t="shared" si="90"/>
        <v>X</v>
      </c>
      <c r="AG28" s="97" t="str">
        <f t="shared" si="91"/>
        <v xml:space="preserve"> </v>
      </c>
      <c r="AH28" s="97" t="str">
        <f t="shared" si="92"/>
        <v xml:space="preserve"> </v>
      </c>
      <c r="AI28" s="97" t="e">
        <f t="shared" si="72"/>
        <v>#REF!</v>
      </c>
      <c r="AJ28" s="97" t="e">
        <f t="shared" si="73"/>
        <v>#REF!</v>
      </c>
      <c r="AK28" s="97" t="e">
        <f t="shared" si="73"/>
        <v>#REF!</v>
      </c>
      <c r="AL28" s="97" t="e">
        <f t="shared" si="73"/>
        <v>#REF!</v>
      </c>
      <c r="AM28" s="97"/>
      <c r="AN28" s="97"/>
      <c r="AO28" s="97"/>
      <c r="AP28" s="97"/>
      <c r="AQ28" s="105">
        <f t="shared" si="120"/>
        <v>2</v>
      </c>
      <c r="AR28" s="114"/>
      <c r="AS28" s="95">
        <f t="shared" si="2"/>
        <v>1377</v>
      </c>
      <c r="AT28" s="124" t="str">
        <f t="shared" si="3"/>
        <v>NBAA</v>
      </c>
      <c r="AU28" s="97" t="str">
        <f t="shared" si="93"/>
        <v xml:space="preserve"> </v>
      </c>
      <c r="AV28" s="97" t="str">
        <f t="shared" si="94"/>
        <v xml:space="preserve"> </v>
      </c>
      <c r="AW28" s="97" t="str">
        <f t="shared" si="74"/>
        <v xml:space="preserve"> </v>
      </c>
      <c r="AX28" s="97" t="str">
        <f t="shared" si="75"/>
        <v xml:space="preserve"> </v>
      </c>
      <c r="AY28" s="97" t="str">
        <f t="shared" si="76"/>
        <v xml:space="preserve"> </v>
      </c>
      <c r="AZ28" s="97" t="str">
        <f t="shared" si="77"/>
        <v xml:space="preserve"> </v>
      </c>
      <c r="BA28" s="97" t="str">
        <f t="shared" si="78"/>
        <v xml:space="preserve"> </v>
      </c>
      <c r="BB28" s="97" t="e">
        <f t="shared" si="95"/>
        <v>#REF!</v>
      </c>
      <c r="BC28" s="97" t="e">
        <f t="shared" si="95"/>
        <v>#REF!</v>
      </c>
      <c r="BD28" s="97" t="e">
        <f t="shared" si="95"/>
        <v>#REF!</v>
      </c>
      <c r="BE28" s="97" t="e">
        <f t="shared" si="95"/>
        <v>#REF!</v>
      </c>
      <c r="BF28" s="97"/>
      <c r="BG28" s="97"/>
      <c r="BH28" s="97"/>
      <c r="BI28" s="97"/>
      <c r="BJ28" s="105" t="str">
        <f t="shared" si="121"/>
        <v xml:space="preserve"> </v>
      </c>
      <c r="BK28" s="114"/>
      <c r="BL28" s="97" t="str">
        <f t="shared" si="96"/>
        <v xml:space="preserve"> </v>
      </c>
      <c r="BM28" s="97" t="str">
        <f t="shared" si="97"/>
        <v>X</v>
      </c>
      <c r="BN28" s="97" t="str">
        <f t="shared" si="98"/>
        <v xml:space="preserve"> </v>
      </c>
      <c r="BO28" s="97" t="str">
        <f t="shared" si="99"/>
        <v>X</v>
      </c>
      <c r="BP28" s="97" t="str">
        <f t="shared" si="100"/>
        <v>X</v>
      </c>
      <c r="BQ28" s="97" t="str">
        <f t="shared" si="101"/>
        <v>X</v>
      </c>
      <c r="BR28" s="97" t="str">
        <f t="shared" si="102"/>
        <v xml:space="preserve"> </v>
      </c>
      <c r="BS28" s="97" t="e">
        <f t="shared" si="103"/>
        <v>#REF!</v>
      </c>
      <c r="BT28" s="97" t="e">
        <f t="shared" si="103"/>
        <v>#REF!</v>
      </c>
      <c r="BU28" s="97" t="e">
        <f t="shared" si="103"/>
        <v>#REF!</v>
      </c>
      <c r="BV28" s="97" t="e">
        <f t="shared" si="103"/>
        <v>#REF!</v>
      </c>
      <c r="BW28" s="97"/>
      <c r="BX28" s="97"/>
      <c r="BY28" s="97"/>
      <c r="BZ28" s="97"/>
      <c r="CA28" s="105">
        <f t="shared" si="122"/>
        <v>4</v>
      </c>
      <c r="CB28" s="114"/>
      <c r="CC28" s="95">
        <f t="shared" si="31"/>
        <v>1377</v>
      </c>
      <c r="CD28" s="124" t="str">
        <f t="shared" si="32"/>
        <v>NBAA</v>
      </c>
      <c r="CE28" s="97" t="str">
        <f t="shared" si="104"/>
        <v xml:space="preserve"> </v>
      </c>
      <c r="CF28" s="97" t="str">
        <f t="shared" si="105"/>
        <v>X</v>
      </c>
      <c r="CG28" s="97" t="str">
        <f t="shared" si="106"/>
        <v xml:space="preserve"> </v>
      </c>
      <c r="CH28" s="97" t="str">
        <f t="shared" si="107"/>
        <v xml:space="preserve"> </v>
      </c>
      <c r="CI28" s="97" t="str">
        <f t="shared" si="108"/>
        <v>X</v>
      </c>
      <c r="CJ28" s="97" t="str">
        <f t="shared" si="109"/>
        <v xml:space="preserve"> </v>
      </c>
      <c r="CK28" s="97" t="str">
        <f t="shared" si="110"/>
        <v xml:space="preserve"> </v>
      </c>
      <c r="CL28" s="97" t="e">
        <f t="shared" si="111"/>
        <v>#REF!</v>
      </c>
      <c r="CM28" s="97" t="e">
        <f t="shared" si="111"/>
        <v>#REF!</v>
      </c>
      <c r="CN28" s="97" t="e">
        <f t="shared" si="111"/>
        <v>#REF!</v>
      </c>
      <c r="CO28" s="97" t="e">
        <f t="shared" si="111"/>
        <v>#REF!</v>
      </c>
      <c r="CP28" s="97"/>
      <c r="CQ28" s="97"/>
      <c r="CR28" s="97"/>
      <c r="CS28" s="97"/>
      <c r="CT28" s="105">
        <f t="shared" si="123"/>
        <v>2</v>
      </c>
      <c r="CU28" s="118"/>
      <c r="CV28" s="95">
        <f t="shared" si="42"/>
        <v>1377</v>
      </c>
      <c r="CW28" s="124" t="str">
        <f t="shared" si="43"/>
        <v>NBAA</v>
      </c>
      <c r="CX28" s="97">
        <f t="shared" si="112"/>
        <v>90885</v>
      </c>
      <c r="CY28" s="97">
        <f t="shared" si="113"/>
        <v>83259</v>
      </c>
      <c r="CZ28" s="97">
        <f t="shared" si="114"/>
        <v>104138</v>
      </c>
      <c r="DA28" s="97">
        <f t="shared" si="115"/>
        <v>101850</v>
      </c>
      <c r="DB28" s="97">
        <f t="shared" si="116"/>
        <v>87365</v>
      </c>
      <c r="DC28" s="97">
        <f t="shared" si="117"/>
        <v>90307</v>
      </c>
      <c r="DD28" s="97">
        <f t="shared" si="118"/>
        <v>90048</v>
      </c>
      <c r="DE28" s="97"/>
      <c r="DF28" s="97"/>
      <c r="DG28" s="97"/>
      <c r="DH28" s="97"/>
      <c r="DI28" s="97"/>
      <c r="DM28" s="187">
        <f t="shared" si="69"/>
        <v>92550.28571428571</v>
      </c>
    </row>
    <row r="29" spans="1:118" ht="15.75" x14ac:dyDescent="0.25">
      <c r="A29" s="196">
        <f t="shared" si="6"/>
        <v>1830</v>
      </c>
      <c r="B29" s="197" t="str">
        <f t="shared" si="7"/>
        <v>NBAA</v>
      </c>
      <c r="C29" s="41" t="str">
        <f t="shared" si="8"/>
        <v xml:space="preserve"> </v>
      </c>
      <c r="D29" s="38">
        <f t="shared" si="9"/>
        <v>2</v>
      </c>
      <c r="E29" s="24">
        <f t="shared" si="10"/>
        <v>2</v>
      </c>
      <c r="F29" s="24">
        <f t="shared" si="11"/>
        <v>3</v>
      </c>
      <c r="G29" s="136">
        <f t="shared" si="12"/>
        <v>2</v>
      </c>
      <c r="I29" s="27">
        <v>1830</v>
      </c>
      <c r="J29" s="55" t="s">
        <v>26</v>
      </c>
      <c r="K29" s="97">
        <f t="shared" si="79"/>
        <v>0</v>
      </c>
      <c r="L29" s="97">
        <f t="shared" si="80"/>
        <v>0</v>
      </c>
      <c r="M29" s="97">
        <f t="shared" si="81"/>
        <v>0</v>
      </c>
      <c r="N29" s="97">
        <f t="shared" si="82"/>
        <v>0</v>
      </c>
      <c r="O29" s="97">
        <f t="shared" si="83"/>
        <v>0</v>
      </c>
      <c r="P29" s="97">
        <f t="shared" si="84"/>
        <v>0</v>
      </c>
      <c r="Q29" s="97">
        <f t="shared" si="85"/>
        <v>0</v>
      </c>
      <c r="R29" s="97" t="e">
        <f t="shared" si="70"/>
        <v>#REF!</v>
      </c>
      <c r="S29" s="97" t="e">
        <f t="shared" si="71"/>
        <v>#REF!</v>
      </c>
      <c r="T29" s="97" t="e">
        <f t="shared" si="71"/>
        <v>#REF!</v>
      </c>
      <c r="U29" s="97" t="e">
        <f t="shared" si="71"/>
        <v>#REF!</v>
      </c>
      <c r="V29" s="97"/>
      <c r="W29" s="97"/>
      <c r="X29" s="97"/>
      <c r="Y29" s="97"/>
      <c r="Z29" s="105" t="str">
        <f t="shared" si="119"/>
        <v xml:space="preserve"> </v>
      </c>
      <c r="AA29" s="114"/>
      <c r="AB29" s="97" t="str">
        <f t="shared" si="86"/>
        <v xml:space="preserve"> </v>
      </c>
      <c r="AC29" s="97" t="str">
        <f t="shared" si="87"/>
        <v xml:space="preserve"> </v>
      </c>
      <c r="AD29" s="97" t="str">
        <f t="shared" si="88"/>
        <v xml:space="preserve"> </v>
      </c>
      <c r="AE29" s="97" t="str">
        <f t="shared" si="89"/>
        <v xml:space="preserve"> </v>
      </c>
      <c r="AF29" s="97" t="str">
        <f t="shared" si="90"/>
        <v xml:space="preserve"> </v>
      </c>
      <c r="AG29" s="97" t="str">
        <f t="shared" si="91"/>
        <v>X</v>
      </c>
      <c r="AH29" s="97" t="str">
        <f t="shared" si="92"/>
        <v>X</v>
      </c>
      <c r="AI29" s="97" t="e">
        <f t="shared" si="72"/>
        <v>#REF!</v>
      </c>
      <c r="AJ29" s="97" t="e">
        <f t="shared" si="73"/>
        <v>#REF!</v>
      </c>
      <c r="AK29" s="97" t="e">
        <f t="shared" si="73"/>
        <v>#REF!</v>
      </c>
      <c r="AL29" s="97" t="e">
        <f t="shared" si="73"/>
        <v>#REF!</v>
      </c>
      <c r="AM29" s="97"/>
      <c r="AN29" s="97"/>
      <c r="AO29" s="97"/>
      <c r="AP29" s="97"/>
      <c r="AQ29" s="105">
        <f t="shared" si="120"/>
        <v>2</v>
      </c>
      <c r="AR29" s="114"/>
      <c r="AS29" s="95">
        <f t="shared" si="2"/>
        <v>1830</v>
      </c>
      <c r="AT29" s="124" t="str">
        <f t="shared" si="3"/>
        <v>NBAA</v>
      </c>
      <c r="AU29" s="97" t="str">
        <f t="shared" si="93"/>
        <v xml:space="preserve"> </v>
      </c>
      <c r="AV29" s="97" t="str">
        <f t="shared" si="94"/>
        <v xml:space="preserve"> </v>
      </c>
      <c r="AW29" s="97" t="str">
        <f t="shared" si="74"/>
        <v>X</v>
      </c>
      <c r="AX29" s="97" t="str">
        <f t="shared" si="75"/>
        <v xml:space="preserve"> </v>
      </c>
      <c r="AY29" s="97" t="str">
        <f t="shared" si="76"/>
        <v>X</v>
      </c>
      <c r="AZ29" s="97" t="str">
        <f t="shared" si="77"/>
        <v xml:space="preserve"> </v>
      </c>
      <c r="BA29" s="97" t="str">
        <f t="shared" si="78"/>
        <v xml:space="preserve"> </v>
      </c>
      <c r="BB29" s="97" t="e">
        <f t="shared" si="95"/>
        <v>#REF!</v>
      </c>
      <c r="BC29" s="97" t="e">
        <f t="shared" si="95"/>
        <v>#REF!</v>
      </c>
      <c r="BD29" s="97" t="e">
        <f t="shared" si="95"/>
        <v>#REF!</v>
      </c>
      <c r="BE29" s="97" t="e">
        <f t="shared" si="95"/>
        <v>#REF!</v>
      </c>
      <c r="BF29" s="97"/>
      <c r="BG29" s="97"/>
      <c r="BH29" s="97"/>
      <c r="BI29" s="97"/>
      <c r="BJ29" s="105">
        <f t="shared" si="121"/>
        <v>2</v>
      </c>
      <c r="BK29" s="114"/>
      <c r="BL29" s="97" t="str">
        <f t="shared" si="96"/>
        <v xml:space="preserve"> </v>
      </c>
      <c r="BM29" s="97" t="str">
        <f t="shared" si="97"/>
        <v xml:space="preserve"> </v>
      </c>
      <c r="BN29" s="97" t="str">
        <f t="shared" si="98"/>
        <v xml:space="preserve"> </v>
      </c>
      <c r="BO29" s="97" t="str">
        <f t="shared" si="99"/>
        <v xml:space="preserve"> </v>
      </c>
      <c r="BP29" s="97" t="str">
        <f t="shared" si="100"/>
        <v xml:space="preserve"> </v>
      </c>
      <c r="BQ29" s="97" t="str">
        <f t="shared" si="101"/>
        <v>X</v>
      </c>
      <c r="BR29" s="97" t="str">
        <f t="shared" si="102"/>
        <v>X</v>
      </c>
      <c r="BS29" s="97" t="e">
        <f t="shared" si="103"/>
        <v>#REF!</v>
      </c>
      <c r="BT29" s="97" t="e">
        <f t="shared" si="103"/>
        <v>#REF!</v>
      </c>
      <c r="BU29" s="97" t="e">
        <f t="shared" si="103"/>
        <v>#REF!</v>
      </c>
      <c r="BV29" s="97" t="e">
        <f t="shared" si="103"/>
        <v>#REF!</v>
      </c>
      <c r="BW29" s="97"/>
      <c r="BX29" s="97"/>
      <c r="BY29" s="97"/>
      <c r="BZ29" s="97"/>
      <c r="CA29" s="105">
        <f t="shared" si="122"/>
        <v>2</v>
      </c>
      <c r="CB29" s="114"/>
      <c r="CC29" s="95">
        <f t="shared" si="31"/>
        <v>1830</v>
      </c>
      <c r="CD29" s="124" t="str">
        <f t="shared" si="32"/>
        <v>NBAA</v>
      </c>
      <c r="CE29" s="97" t="str">
        <f t="shared" si="104"/>
        <v xml:space="preserve"> </v>
      </c>
      <c r="CF29" s="97" t="str">
        <f t="shared" si="105"/>
        <v>X</v>
      </c>
      <c r="CG29" s="97" t="str">
        <f t="shared" si="106"/>
        <v xml:space="preserve"> </v>
      </c>
      <c r="CH29" s="97" t="str">
        <f t="shared" si="107"/>
        <v xml:space="preserve"> </v>
      </c>
      <c r="CI29" s="97" t="str">
        <f t="shared" si="108"/>
        <v xml:space="preserve"> </v>
      </c>
      <c r="CJ29" s="97" t="str">
        <f t="shared" si="109"/>
        <v>X</v>
      </c>
      <c r="CK29" s="97" t="str">
        <f t="shared" si="110"/>
        <v>X</v>
      </c>
      <c r="CL29" s="97" t="e">
        <f t="shared" si="111"/>
        <v>#REF!</v>
      </c>
      <c r="CM29" s="97" t="e">
        <f t="shared" si="111"/>
        <v>#REF!</v>
      </c>
      <c r="CN29" s="97" t="e">
        <f t="shared" si="111"/>
        <v>#REF!</v>
      </c>
      <c r="CO29" s="97" t="e">
        <f t="shared" si="111"/>
        <v>#REF!</v>
      </c>
      <c r="CP29" s="97"/>
      <c r="CQ29" s="97"/>
      <c r="CR29" s="97"/>
      <c r="CS29" s="97"/>
      <c r="CT29" s="105">
        <f t="shared" si="123"/>
        <v>3</v>
      </c>
      <c r="CU29" s="118"/>
      <c r="CV29" s="95">
        <f t="shared" si="42"/>
        <v>1830</v>
      </c>
      <c r="CW29" s="124" t="str">
        <f t="shared" si="43"/>
        <v>NBAA</v>
      </c>
      <c r="CX29" s="97">
        <f t="shared" si="112"/>
        <v>0</v>
      </c>
      <c r="CY29" s="97">
        <f t="shared" si="113"/>
        <v>9077</v>
      </c>
      <c r="CZ29" s="97">
        <f t="shared" si="114"/>
        <v>19214</v>
      </c>
      <c r="DA29" s="97">
        <f t="shared" si="115"/>
        <v>19188</v>
      </c>
      <c r="DB29" s="97">
        <f t="shared" si="116"/>
        <v>5507</v>
      </c>
      <c r="DC29" s="97">
        <f t="shared" si="117"/>
        <v>15314</v>
      </c>
      <c r="DD29" s="97">
        <f t="shared" si="118"/>
        <v>5507</v>
      </c>
      <c r="DE29" s="97"/>
      <c r="DF29" s="97"/>
      <c r="DG29" s="97"/>
      <c r="DH29" s="97"/>
      <c r="DI29" s="97"/>
      <c r="DM29" s="187">
        <f t="shared" si="69"/>
        <v>10543.857142857143</v>
      </c>
    </row>
    <row r="30" spans="1:118" ht="15.75" x14ac:dyDescent="0.25">
      <c r="A30" s="196">
        <f t="shared" si="6"/>
        <v>1864</v>
      </c>
      <c r="B30" s="197" t="str">
        <f t="shared" si="7"/>
        <v>NBAA</v>
      </c>
      <c r="C30" s="41">
        <f t="shared" si="8"/>
        <v>1</v>
      </c>
      <c r="D30" s="38">
        <f t="shared" si="9"/>
        <v>1</v>
      </c>
      <c r="E30" s="24">
        <f t="shared" si="10"/>
        <v>3</v>
      </c>
      <c r="F30" s="24">
        <f t="shared" si="11"/>
        <v>1</v>
      </c>
      <c r="G30" s="136">
        <f t="shared" si="12"/>
        <v>1</v>
      </c>
      <c r="I30" s="27">
        <v>1864</v>
      </c>
      <c r="J30" s="55" t="s">
        <v>26</v>
      </c>
      <c r="K30" s="97">
        <f t="shared" si="79"/>
        <v>0</v>
      </c>
      <c r="L30" s="97">
        <f t="shared" si="80"/>
        <v>0</v>
      </c>
      <c r="M30" s="97" t="str">
        <f t="shared" si="81"/>
        <v>X</v>
      </c>
      <c r="N30" s="97">
        <f t="shared" si="82"/>
        <v>0</v>
      </c>
      <c r="O30" s="97">
        <f t="shared" si="83"/>
        <v>0</v>
      </c>
      <c r="P30" s="97">
        <f t="shared" si="84"/>
        <v>0</v>
      </c>
      <c r="Q30" s="97">
        <f t="shared" si="85"/>
        <v>0</v>
      </c>
      <c r="R30" s="97" t="e">
        <f t="shared" si="70"/>
        <v>#REF!</v>
      </c>
      <c r="S30" s="97" t="e">
        <f t="shared" si="71"/>
        <v>#REF!</v>
      </c>
      <c r="T30" s="97" t="e">
        <f t="shared" si="71"/>
        <v>#REF!</v>
      </c>
      <c r="U30" s="97" t="e">
        <f t="shared" si="71"/>
        <v>#REF!</v>
      </c>
      <c r="V30" s="97"/>
      <c r="W30" s="97"/>
      <c r="X30" s="97"/>
      <c r="Y30" s="97"/>
      <c r="Z30" s="105">
        <f t="shared" si="119"/>
        <v>1</v>
      </c>
      <c r="AA30" s="114"/>
      <c r="AB30" s="97" t="str">
        <f t="shared" si="86"/>
        <v>X</v>
      </c>
      <c r="AC30" s="97" t="str">
        <f t="shared" si="87"/>
        <v xml:space="preserve"> </v>
      </c>
      <c r="AD30" s="97" t="str">
        <f t="shared" si="88"/>
        <v xml:space="preserve"> </v>
      </c>
      <c r="AE30" s="97" t="str">
        <f t="shared" si="89"/>
        <v xml:space="preserve"> </v>
      </c>
      <c r="AF30" s="97" t="str">
        <f t="shared" si="90"/>
        <v xml:space="preserve"> </v>
      </c>
      <c r="AG30" s="97" t="str">
        <f t="shared" si="91"/>
        <v xml:space="preserve"> </v>
      </c>
      <c r="AH30" s="97" t="str">
        <f t="shared" si="92"/>
        <v xml:space="preserve"> </v>
      </c>
      <c r="AI30" s="97" t="e">
        <f t="shared" si="72"/>
        <v>#REF!</v>
      </c>
      <c r="AJ30" s="97" t="e">
        <f t="shared" si="73"/>
        <v>#REF!</v>
      </c>
      <c r="AK30" s="97" t="e">
        <f t="shared" si="73"/>
        <v>#REF!</v>
      </c>
      <c r="AL30" s="97" t="e">
        <f t="shared" si="73"/>
        <v>#REF!</v>
      </c>
      <c r="AM30" s="97"/>
      <c r="AN30" s="97"/>
      <c r="AO30" s="97"/>
      <c r="AP30" s="97"/>
      <c r="AQ30" s="105">
        <f t="shared" si="120"/>
        <v>1</v>
      </c>
      <c r="AR30" s="114"/>
      <c r="AS30" s="95">
        <f t="shared" si="2"/>
        <v>1864</v>
      </c>
      <c r="AT30" s="124" t="str">
        <f t="shared" si="3"/>
        <v>NBAA</v>
      </c>
      <c r="AU30" s="97" t="str">
        <f t="shared" si="93"/>
        <v xml:space="preserve"> </v>
      </c>
      <c r="AV30" s="97" t="str">
        <f t="shared" si="94"/>
        <v xml:space="preserve"> </v>
      </c>
      <c r="AW30" s="97" t="str">
        <f t="shared" si="74"/>
        <v xml:space="preserve"> </v>
      </c>
      <c r="AX30" s="97" t="str">
        <f t="shared" si="75"/>
        <v xml:space="preserve"> </v>
      </c>
      <c r="AY30" s="97" t="str">
        <f t="shared" si="76"/>
        <v>X</v>
      </c>
      <c r="AZ30" s="97" t="str">
        <f t="shared" si="77"/>
        <v xml:space="preserve"> </v>
      </c>
      <c r="BA30" s="97" t="str">
        <f t="shared" si="78"/>
        <v xml:space="preserve"> </v>
      </c>
      <c r="BB30" s="97" t="e">
        <f t="shared" si="95"/>
        <v>#REF!</v>
      </c>
      <c r="BC30" s="97" t="e">
        <f t="shared" si="95"/>
        <v>#REF!</v>
      </c>
      <c r="BD30" s="97" t="e">
        <f t="shared" si="95"/>
        <v>#REF!</v>
      </c>
      <c r="BE30" s="97" t="e">
        <f t="shared" si="95"/>
        <v>#REF!</v>
      </c>
      <c r="BF30" s="97"/>
      <c r="BG30" s="97"/>
      <c r="BH30" s="97"/>
      <c r="BI30" s="97"/>
      <c r="BJ30" s="105">
        <f t="shared" si="121"/>
        <v>1</v>
      </c>
      <c r="BK30" s="114"/>
      <c r="BL30" s="97" t="str">
        <f t="shared" si="96"/>
        <v>X</v>
      </c>
      <c r="BM30" s="97" t="str">
        <f t="shared" si="97"/>
        <v xml:space="preserve"> </v>
      </c>
      <c r="BN30" s="97" t="str">
        <f t="shared" si="98"/>
        <v xml:space="preserve"> </v>
      </c>
      <c r="BO30" s="97" t="str">
        <f t="shared" si="99"/>
        <v>X</v>
      </c>
      <c r="BP30" s="97" t="str">
        <f t="shared" si="100"/>
        <v xml:space="preserve"> </v>
      </c>
      <c r="BQ30" s="97" t="str">
        <f t="shared" si="101"/>
        <v xml:space="preserve"> </v>
      </c>
      <c r="BR30" s="97" t="str">
        <f t="shared" si="102"/>
        <v>X</v>
      </c>
      <c r="BS30" s="97" t="e">
        <f t="shared" si="103"/>
        <v>#REF!</v>
      </c>
      <c r="BT30" s="97" t="e">
        <f t="shared" si="103"/>
        <v>#REF!</v>
      </c>
      <c r="BU30" s="97" t="e">
        <f t="shared" si="103"/>
        <v>#REF!</v>
      </c>
      <c r="BV30" s="97" t="e">
        <f t="shared" si="103"/>
        <v>#REF!</v>
      </c>
      <c r="BW30" s="97"/>
      <c r="BX30" s="97"/>
      <c r="BY30" s="97"/>
      <c r="BZ30" s="97"/>
      <c r="CA30" s="105">
        <f t="shared" si="122"/>
        <v>3</v>
      </c>
      <c r="CB30" s="114"/>
      <c r="CC30" s="95">
        <f t="shared" si="31"/>
        <v>1864</v>
      </c>
      <c r="CD30" s="124" t="str">
        <f t="shared" si="32"/>
        <v>NBAA</v>
      </c>
      <c r="CE30" s="97" t="str">
        <f t="shared" si="104"/>
        <v>X</v>
      </c>
      <c r="CF30" s="97" t="str">
        <f t="shared" si="105"/>
        <v xml:space="preserve"> </v>
      </c>
      <c r="CG30" s="97" t="str">
        <f t="shared" si="106"/>
        <v xml:space="preserve"> </v>
      </c>
      <c r="CH30" s="97" t="str">
        <f t="shared" si="107"/>
        <v xml:space="preserve"> </v>
      </c>
      <c r="CI30" s="97" t="str">
        <f t="shared" si="108"/>
        <v xml:space="preserve"> </v>
      </c>
      <c r="CJ30" s="97" t="str">
        <f t="shared" si="109"/>
        <v xml:space="preserve"> </v>
      </c>
      <c r="CK30" s="97" t="str">
        <f t="shared" si="110"/>
        <v xml:space="preserve"> </v>
      </c>
      <c r="CL30" s="97" t="e">
        <f t="shared" si="111"/>
        <v>#REF!</v>
      </c>
      <c r="CM30" s="97" t="e">
        <f t="shared" si="111"/>
        <v>#REF!</v>
      </c>
      <c r="CN30" s="97" t="e">
        <f t="shared" si="111"/>
        <v>#REF!</v>
      </c>
      <c r="CO30" s="97" t="e">
        <f t="shared" si="111"/>
        <v>#REF!</v>
      </c>
      <c r="CP30" s="97"/>
      <c r="CQ30" s="97"/>
      <c r="CR30" s="97"/>
      <c r="CS30" s="97"/>
      <c r="CT30" s="105">
        <f t="shared" si="123"/>
        <v>1</v>
      </c>
      <c r="CU30" s="118"/>
      <c r="CV30" s="95">
        <f t="shared" si="42"/>
        <v>1864</v>
      </c>
      <c r="CW30" s="124" t="str">
        <f t="shared" si="43"/>
        <v>NBAA</v>
      </c>
      <c r="CX30" s="97">
        <f t="shared" si="112"/>
        <v>330447</v>
      </c>
      <c r="CY30" s="97">
        <f t="shared" si="113"/>
        <v>327800</v>
      </c>
      <c r="CZ30" s="97">
        <f t="shared" si="114"/>
        <v>316615</v>
      </c>
      <c r="DA30" s="97">
        <f t="shared" si="115"/>
        <v>325817</v>
      </c>
      <c r="DB30" s="97">
        <f t="shared" si="116"/>
        <v>453555</v>
      </c>
      <c r="DC30" s="97">
        <f t="shared" si="117"/>
        <v>439094</v>
      </c>
      <c r="DD30" s="97">
        <f t="shared" si="118"/>
        <v>443039</v>
      </c>
      <c r="DE30" s="97"/>
      <c r="DF30" s="97"/>
      <c r="DG30" s="97"/>
      <c r="DH30" s="97"/>
      <c r="DI30" s="97"/>
      <c r="DM30" s="187">
        <f t="shared" si="69"/>
        <v>376623.85714285716</v>
      </c>
    </row>
    <row r="31" spans="1:118" ht="15.75" x14ac:dyDescent="0.25">
      <c r="A31" s="196">
        <f t="shared" si="6"/>
        <v>1922</v>
      </c>
      <c r="B31" s="197" t="str">
        <f t="shared" si="7"/>
        <v>NBAA</v>
      </c>
      <c r="C31" s="41" t="str">
        <f t="shared" si="8"/>
        <v xml:space="preserve"> </v>
      </c>
      <c r="D31" s="38">
        <f t="shared" si="9"/>
        <v>2</v>
      </c>
      <c r="E31" s="24">
        <f t="shared" si="10"/>
        <v>3</v>
      </c>
      <c r="F31" s="24">
        <f t="shared" si="11"/>
        <v>2</v>
      </c>
      <c r="G31" s="136" t="str">
        <f t="shared" si="12"/>
        <v xml:space="preserve"> </v>
      </c>
      <c r="I31" s="27">
        <v>1922</v>
      </c>
      <c r="J31" s="55" t="s">
        <v>26</v>
      </c>
      <c r="K31" s="97">
        <f t="shared" si="79"/>
        <v>0</v>
      </c>
      <c r="L31" s="97">
        <f t="shared" si="80"/>
        <v>0</v>
      </c>
      <c r="M31" s="97">
        <f t="shared" si="81"/>
        <v>0</v>
      </c>
      <c r="N31" s="97">
        <f t="shared" si="82"/>
        <v>0</v>
      </c>
      <c r="O31" s="97">
        <f t="shared" si="83"/>
        <v>0</v>
      </c>
      <c r="P31" s="97">
        <f t="shared" si="84"/>
        <v>0</v>
      </c>
      <c r="Q31" s="97">
        <f t="shared" si="85"/>
        <v>0</v>
      </c>
      <c r="R31" s="97" t="e">
        <f t="shared" si="70"/>
        <v>#REF!</v>
      </c>
      <c r="S31" s="97" t="e">
        <f t="shared" si="71"/>
        <v>#REF!</v>
      </c>
      <c r="T31" s="97" t="e">
        <f t="shared" si="71"/>
        <v>#REF!</v>
      </c>
      <c r="U31" s="97" t="e">
        <f t="shared" si="71"/>
        <v>#REF!</v>
      </c>
      <c r="V31" s="97"/>
      <c r="W31" s="97"/>
      <c r="X31" s="97"/>
      <c r="Y31" s="97"/>
      <c r="Z31" s="105" t="str">
        <f t="shared" si="119"/>
        <v xml:space="preserve"> </v>
      </c>
      <c r="AA31" s="114"/>
      <c r="AB31" s="97" t="str">
        <f t="shared" si="86"/>
        <v>X</v>
      </c>
      <c r="AC31" s="97" t="str">
        <f t="shared" si="87"/>
        <v>X</v>
      </c>
      <c r="AD31" s="97" t="str">
        <f t="shared" si="88"/>
        <v xml:space="preserve"> </v>
      </c>
      <c r="AE31" s="97" t="str">
        <f t="shared" si="89"/>
        <v xml:space="preserve"> </v>
      </c>
      <c r="AF31" s="97" t="str">
        <f t="shared" si="90"/>
        <v xml:space="preserve"> </v>
      </c>
      <c r="AG31" s="97" t="str">
        <f t="shared" si="91"/>
        <v xml:space="preserve"> </v>
      </c>
      <c r="AH31" s="97" t="str">
        <f t="shared" si="92"/>
        <v xml:space="preserve"> </v>
      </c>
      <c r="AI31" s="97" t="e">
        <f t="shared" si="72"/>
        <v>#REF!</v>
      </c>
      <c r="AJ31" s="97" t="e">
        <f t="shared" si="73"/>
        <v>#REF!</v>
      </c>
      <c r="AK31" s="97" t="e">
        <f t="shared" si="73"/>
        <v>#REF!</v>
      </c>
      <c r="AL31" s="97" t="e">
        <f t="shared" si="73"/>
        <v>#REF!</v>
      </c>
      <c r="AM31" s="97"/>
      <c r="AN31" s="97"/>
      <c r="AO31" s="97"/>
      <c r="AP31" s="97"/>
      <c r="AQ31" s="105">
        <f t="shared" si="120"/>
        <v>2</v>
      </c>
      <c r="AR31" s="114"/>
      <c r="AS31" s="95">
        <f t="shared" si="2"/>
        <v>1922</v>
      </c>
      <c r="AT31" s="124" t="str">
        <f t="shared" si="3"/>
        <v>NBAA</v>
      </c>
      <c r="AU31" s="97" t="str">
        <f t="shared" si="93"/>
        <v xml:space="preserve"> </v>
      </c>
      <c r="AV31" s="97" t="str">
        <f t="shared" si="94"/>
        <v xml:space="preserve"> </v>
      </c>
      <c r="AW31" s="97" t="str">
        <f t="shared" si="74"/>
        <v xml:space="preserve"> </v>
      </c>
      <c r="AX31" s="97" t="str">
        <f t="shared" si="75"/>
        <v xml:space="preserve"> </v>
      </c>
      <c r="AY31" s="97" t="str">
        <f t="shared" si="76"/>
        <v xml:space="preserve"> </v>
      </c>
      <c r="AZ31" s="97" t="str">
        <f t="shared" si="77"/>
        <v xml:space="preserve"> </v>
      </c>
      <c r="BA31" s="97" t="str">
        <f t="shared" si="78"/>
        <v xml:space="preserve"> </v>
      </c>
      <c r="BB31" s="97" t="e">
        <f t="shared" si="95"/>
        <v>#REF!</v>
      </c>
      <c r="BC31" s="97" t="e">
        <f t="shared" si="95"/>
        <v>#REF!</v>
      </c>
      <c r="BD31" s="97" t="e">
        <f t="shared" si="95"/>
        <v>#REF!</v>
      </c>
      <c r="BE31" s="97" t="e">
        <f t="shared" si="95"/>
        <v>#REF!</v>
      </c>
      <c r="BF31" s="97"/>
      <c r="BG31" s="97"/>
      <c r="BH31" s="97"/>
      <c r="BI31" s="97"/>
      <c r="BJ31" s="105" t="str">
        <f t="shared" si="121"/>
        <v xml:space="preserve"> </v>
      </c>
      <c r="BK31" s="114"/>
      <c r="BL31" s="97" t="str">
        <f t="shared" si="96"/>
        <v>X</v>
      </c>
      <c r="BM31" s="97" t="str">
        <f t="shared" si="97"/>
        <v>X</v>
      </c>
      <c r="BN31" s="97" t="str">
        <f t="shared" si="98"/>
        <v xml:space="preserve"> </v>
      </c>
      <c r="BO31" s="97" t="str">
        <f t="shared" si="99"/>
        <v xml:space="preserve"> </v>
      </c>
      <c r="BP31" s="97" t="str">
        <f t="shared" si="100"/>
        <v>X</v>
      </c>
      <c r="BQ31" s="97" t="str">
        <f t="shared" si="101"/>
        <v xml:space="preserve"> </v>
      </c>
      <c r="BR31" s="97" t="str">
        <f t="shared" si="102"/>
        <v xml:space="preserve"> </v>
      </c>
      <c r="BS31" s="97" t="e">
        <f t="shared" si="103"/>
        <v>#REF!</v>
      </c>
      <c r="BT31" s="97" t="e">
        <f t="shared" si="103"/>
        <v>#REF!</v>
      </c>
      <c r="BU31" s="97" t="e">
        <f t="shared" si="103"/>
        <v>#REF!</v>
      </c>
      <c r="BV31" s="97" t="e">
        <f t="shared" si="103"/>
        <v>#REF!</v>
      </c>
      <c r="BW31" s="97"/>
      <c r="BX31" s="97"/>
      <c r="BY31" s="97"/>
      <c r="BZ31" s="97"/>
      <c r="CA31" s="105">
        <f t="shared" si="122"/>
        <v>3</v>
      </c>
      <c r="CB31" s="114"/>
      <c r="CC31" s="95">
        <f t="shared" si="31"/>
        <v>1922</v>
      </c>
      <c r="CD31" s="124" t="str">
        <f t="shared" si="32"/>
        <v>NBAA</v>
      </c>
      <c r="CE31" s="97" t="str">
        <f t="shared" si="104"/>
        <v>X</v>
      </c>
      <c r="CF31" s="97" t="str">
        <f t="shared" si="105"/>
        <v>X</v>
      </c>
      <c r="CG31" s="97" t="str">
        <f t="shared" si="106"/>
        <v xml:space="preserve"> </v>
      </c>
      <c r="CH31" s="97" t="str">
        <f t="shared" si="107"/>
        <v xml:space="preserve"> </v>
      </c>
      <c r="CI31" s="97" t="str">
        <f t="shared" si="108"/>
        <v xml:space="preserve"> </v>
      </c>
      <c r="CJ31" s="97" t="str">
        <f t="shared" si="109"/>
        <v xml:space="preserve"> </v>
      </c>
      <c r="CK31" s="97" t="str">
        <f t="shared" si="110"/>
        <v xml:space="preserve"> </v>
      </c>
      <c r="CL31" s="97" t="e">
        <f t="shared" si="111"/>
        <v>#REF!</v>
      </c>
      <c r="CM31" s="97" t="e">
        <f t="shared" si="111"/>
        <v>#REF!</v>
      </c>
      <c r="CN31" s="97" t="e">
        <f t="shared" si="111"/>
        <v>#REF!</v>
      </c>
      <c r="CO31" s="97" t="e">
        <f t="shared" si="111"/>
        <v>#REF!</v>
      </c>
      <c r="CP31" s="97"/>
      <c r="CQ31" s="97"/>
      <c r="CR31" s="97"/>
      <c r="CS31" s="97"/>
      <c r="CT31" s="105">
        <f t="shared" si="123"/>
        <v>2</v>
      </c>
      <c r="CU31" s="118"/>
      <c r="CV31" s="95">
        <f t="shared" si="42"/>
        <v>1922</v>
      </c>
      <c r="CW31" s="124" t="str">
        <f t="shared" si="43"/>
        <v>NBAA</v>
      </c>
      <c r="CX31" s="97">
        <f t="shared" si="112"/>
        <v>34619</v>
      </c>
      <c r="CY31" s="97">
        <f t="shared" si="113"/>
        <v>31878</v>
      </c>
      <c r="CZ31" s="97">
        <f t="shared" si="114"/>
        <v>32106</v>
      </c>
      <c r="DA31" s="97">
        <f t="shared" si="115"/>
        <v>29773</v>
      </c>
      <c r="DB31" s="97">
        <f t="shared" si="116"/>
        <v>29390</v>
      </c>
      <c r="DC31" s="97">
        <f t="shared" si="117"/>
        <v>30756</v>
      </c>
      <c r="DD31" s="97">
        <f t="shared" si="118"/>
        <v>29692</v>
      </c>
      <c r="DE31" s="97"/>
      <c r="DF31" s="97"/>
      <c r="DG31" s="97"/>
      <c r="DH31" s="97"/>
      <c r="DI31" s="97"/>
      <c r="DM31" s="187">
        <f t="shared" si="69"/>
        <v>31173.428571428572</v>
      </c>
    </row>
    <row r="32" spans="1:118" ht="15.75" x14ac:dyDescent="0.25">
      <c r="A32" s="196">
        <f t="shared" si="6"/>
        <v>2056</v>
      </c>
      <c r="B32" s="197" t="str">
        <f t="shared" si="7"/>
        <v>NBAA</v>
      </c>
      <c r="C32" s="41" t="str">
        <f t="shared" si="8"/>
        <v xml:space="preserve"> </v>
      </c>
      <c r="D32" s="38">
        <f t="shared" si="9"/>
        <v>2</v>
      </c>
      <c r="E32" s="24">
        <f t="shared" si="10"/>
        <v>2</v>
      </c>
      <c r="F32" s="24">
        <f t="shared" si="11"/>
        <v>2</v>
      </c>
      <c r="G32" s="136" t="str">
        <f t="shared" si="12"/>
        <v xml:space="preserve"> </v>
      </c>
      <c r="I32" s="27">
        <v>2056</v>
      </c>
      <c r="J32" s="55" t="s">
        <v>26</v>
      </c>
      <c r="K32" s="97">
        <f t="shared" si="79"/>
        <v>0</v>
      </c>
      <c r="L32" s="97">
        <f t="shared" si="80"/>
        <v>0</v>
      </c>
      <c r="M32" s="97">
        <f t="shared" si="81"/>
        <v>0</v>
      </c>
      <c r="N32" s="97">
        <f t="shared" si="82"/>
        <v>0</v>
      </c>
      <c r="O32" s="97">
        <f t="shared" si="83"/>
        <v>0</v>
      </c>
      <c r="P32" s="97">
        <f t="shared" si="84"/>
        <v>0</v>
      </c>
      <c r="Q32" s="97">
        <f t="shared" si="85"/>
        <v>0</v>
      </c>
      <c r="R32" s="97" t="e">
        <f t="shared" si="70"/>
        <v>#REF!</v>
      </c>
      <c r="S32" s="97" t="e">
        <f t="shared" si="71"/>
        <v>#REF!</v>
      </c>
      <c r="T32" s="97" t="e">
        <f t="shared" si="71"/>
        <v>#REF!</v>
      </c>
      <c r="U32" s="97" t="e">
        <f t="shared" si="71"/>
        <v>#REF!</v>
      </c>
      <c r="V32" s="97"/>
      <c r="W32" s="97"/>
      <c r="X32" s="97"/>
      <c r="Y32" s="97"/>
      <c r="Z32" s="105" t="str">
        <f t="shared" si="119"/>
        <v xml:space="preserve"> </v>
      </c>
      <c r="AA32" s="114"/>
      <c r="AB32" s="97" t="str">
        <f t="shared" si="86"/>
        <v>X</v>
      </c>
      <c r="AC32" s="97" t="str">
        <f t="shared" si="87"/>
        <v xml:space="preserve"> </v>
      </c>
      <c r="AD32" s="97" t="str">
        <f t="shared" si="88"/>
        <v xml:space="preserve"> </v>
      </c>
      <c r="AE32" s="97" t="str">
        <f t="shared" si="89"/>
        <v>X</v>
      </c>
      <c r="AF32" s="97" t="str">
        <f t="shared" si="90"/>
        <v xml:space="preserve"> </v>
      </c>
      <c r="AG32" s="97" t="str">
        <f t="shared" si="91"/>
        <v xml:space="preserve"> </v>
      </c>
      <c r="AH32" s="97" t="str">
        <f t="shared" si="92"/>
        <v xml:space="preserve"> </v>
      </c>
      <c r="AI32" s="97" t="e">
        <f t="shared" si="72"/>
        <v>#REF!</v>
      </c>
      <c r="AJ32" s="97" t="e">
        <f t="shared" si="73"/>
        <v>#REF!</v>
      </c>
      <c r="AK32" s="97" t="e">
        <f t="shared" si="73"/>
        <v>#REF!</v>
      </c>
      <c r="AL32" s="97" t="e">
        <f t="shared" si="73"/>
        <v>#REF!</v>
      </c>
      <c r="AM32" s="97"/>
      <c r="AN32" s="97"/>
      <c r="AO32" s="97"/>
      <c r="AP32" s="97"/>
      <c r="AQ32" s="105">
        <f t="shared" si="120"/>
        <v>2</v>
      </c>
      <c r="AR32" s="114"/>
      <c r="AS32" s="95">
        <f t="shared" si="2"/>
        <v>2056</v>
      </c>
      <c r="AT32" s="124" t="str">
        <f t="shared" si="3"/>
        <v>NBAA</v>
      </c>
      <c r="AU32" s="97" t="str">
        <f t="shared" si="93"/>
        <v xml:space="preserve"> </v>
      </c>
      <c r="AV32" s="97" t="str">
        <f t="shared" si="94"/>
        <v xml:space="preserve"> </v>
      </c>
      <c r="AW32" s="97" t="str">
        <f t="shared" si="74"/>
        <v xml:space="preserve"> </v>
      </c>
      <c r="AX32" s="97" t="str">
        <f t="shared" si="75"/>
        <v xml:space="preserve"> </v>
      </c>
      <c r="AY32" s="97" t="str">
        <f t="shared" si="76"/>
        <v xml:space="preserve"> </v>
      </c>
      <c r="AZ32" s="97" t="str">
        <f t="shared" si="77"/>
        <v xml:space="preserve"> </v>
      </c>
      <c r="BA32" s="97" t="str">
        <f t="shared" si="78"/>
        <v xml:space="preserve"> </v>
      </c>
      <c r="BB32" s="97" t="e">
        <f t="shared" si="95"/>
        <v>#REF!</v>
      </c>
      <c r="BC32" s="97" t="e">
        <f t="shared" si="95"/>
        <v>#REF!</v>
      </c>
      <c r="BD32" s="97" t="e">
        <f t="shared" si="95"/>
        <v>#REF!</v>
      </c>
      <c r="BE32" s="97" t="e">
        <f t="shared" si="95"/>
        <v>#REF!</v>
      </c>
      <c r="BF32" s="97"/>
      <c r="BG32" s="97"/>
      <c r="BH32" s="97"/>
      <c r="BI32" s="97"/>
      <c r="BJ32" s="105" t="str">
        <f t="shared" si="121"/>
        <v xml:space="preserve"> </v>
      </c>
      <c r="BK32" s="114"/>
      <c r="BL32" s="97" t="str">
        <f t="shared" si="96"/>
        <v>X</v>
      </c>
      <c r="BM32" s="97" t="str">
        <f t="shared" si="97"/>
        <v xml:space="preserve"> </v>
      </c>
      <c r="BN32" s="97" t="str">
        <f t="shared" si="98"/>
        <v xml:space="preserve"> </v>
      </c>
      <c r="BO32" s="97" t="str">
        <f t="shared" si="99"/>
        <v>X</v>
      </c>
      <c r="BP32" s="97" t="str">
        <f t="shared" si="100"/>
        <v xml:space="preserve"> </v>
      </c>
      <c r="BQ32" s="97" t="str">
        <f t="shared" si="101"/>
        <v xml:space="preserve"> </v>
      </c>
      <c r="BR32" s="97" t="str">
        <f t="shared" si="102"/>
        <v xml:space="preserve"> </v>
      </c>
      <c r="BS32" s="97" t="e">
        <f t="shared" si="103"/>
        <v>#REF!</v>
      </c>
      <c r="BT32" s="97" t="e">
        <f t="shared" si="103"/>
        <v>#REF!</v>
      </c>
      <c r="BU32" s="97" t="e">
        <f t="shared" si="103"/>
        <v>#REF!</v>
      </c>
      <c r="BV32" s="97" t="e">
        <f t="shared" si="103"/>
        <v>#REF!</v>
      </c>
      <c r="BW32" s="97"/>
      <c r="BX32" s="97"/>
      <c r="BY32" s="97"/>
      <c r="BZ32" s="97"/>
      <c r="CA32" s="105">
        <f t="shared" si="122"/>
        <v>2</v>
      </c>
      <c r="CB32" s="114"/>
      <c r="CC32" s="95">
        <f t="shared" si="31"/>
        <v>2056</v>
      </c>
      <c r="CD32" s="124" t="str">
        <f t="shared" si="32"/>
        <v>NBAA</v>
      </c>
      <c r="CE32" s="97" t="str">
        <f t="shared" si="104"/>
        <v>X</v>
      </c>
      <c r="CF32" s="97" t="str">
        <f t="shared" si="105"/>
        <v xml:space="preserve"> </v>
      </c>
      <c r="CG32" s="97" t="str">
        <f t="shared" si="106"/>
        <v xml:space="preserve"> </v>
      </c>
      <c r="CH32" s="97" t="str">
        <f t="shared" si="107"/>
        <v>X</v>
      </c>
      <c r="CI32" s="97" t="str">
        <f t="shared" si="108"/>
        <v xml:space="preserve"> </v>
      </c>
      <c r="CJ32" s="97" t="str">
        <f t="shared" si="109"/>
        <v xml:space="preserve"> </v>
      </c>
      <c r="CK32" s="97" t="str">
        <f t="shared" si="110"/>
        <v xml:space="preserve"> </v>
      </c>
      <c r="CL32" s="97" t="e">
        <f t="shared" si="111"/>
        <v>#REF!</v>
      </c>
      <c r="CM32" s="97" t="e">
        <f t="shared" si="111"/>
        <v>#REF!</v>
      </c>
      <c r="CN32" s="97" t="e">
        <f t="shared" si="111"/>
        <v>#REF!</v>
      </c>
      <c r="CO32" s="97" t="e">
        <f t="shared" si="111"/>
        <v>#REF!</v>
      </c>
      <c r="CP32" s="97"/>
      <c r="CQ32" s="97"/>
      <c r="CR32" s="97"/>
      <c r="CS32" s="97"/>
      <c r="CT32" s="105">
        <f t="shared" si="123"/>
        <v>2</v>
      </c>
      <c r="CU32" s="118"/>
      <c r="CV32" s="95">
        <f t="shared" si="42"/>
        <v>2056</v>
      </c>
      <c r="CW32" s="124" t="str">
        <f t="shared" si="43"/>
        <v>NBAA</v>
      </c>
      <c r="CX32" s="97">
        <f t="shared" si="112"/>
        <v>16982</v>
      </c>
      <c r="CY32" s="97">
        <f t="shared" si="113"/>
        <v>14541</v>
      </c>
      <c r="CZ32" s="97">
        <f t="shared" si="114"/>
        <v>14610</v>
      </c>
      <c r="DA32" s="97">
        <f t="shared" si="115"/>
        <v>14431</v>
      </c>
      <c r="DB32" s="97">
        <f t="shared" si="116"/>
        <v>34765</v>
      </c>
      <c r="DC32" s="97">
        <f t="shared" si="117"/>
        <v>32739</v>
      </c>
      <c r="DD32" s="97">
        <f t="shared" si="118"/>
        <v>30529</v>
      </c>
      <c r="DE32" s="97"/>
      <c r="DF32" s="97"/>
      <c r="DG32" s="97"/>
      <c r="DH32" s="97"/>
      <c r="DI32" s="97"/>
      <c r="DM32" s="187">
        <f>AVERAGE(CX32:DC32)</f>
        <v>21344.666666666668</v>
      </c>
    </row>
    <row r="33" spans="1:118" ht="15.75" x14ac:dyDescent="0.25">
      <c r="A33" s="196">
        <f t="shared" si="6"/>
        <v>2280</v>
      </c>
      <c r="B33" s="197" t="str">
        <f t="shared" si="7"/>
        <v>NBAA</v>
      </c>
      <c r="C33" s="41" t="str">
        <f t="shared" si="8"/>
        <v xml:space="preserve"> </v>
      </c>
      <c r="D33" s="38">
        <f t="shared" si="9"/>
        <v>4</v>
      </c>
      <c r="E33" s="24">
        <f t="shared" si="10"/>
        <v>4</v>
      </c>
      <c r="F33" s="24">
        <f t="shared" si="11"/>
        <v>4</v>
      </c>
      <c r="G33" s="136" t="str">
        <f t="shared" si="12"/>
        <v xml:space="preserve"> </v>
      </c>
      <c r="I33" s="27">
        <v>2280</v>
      </c>
      <c r="J33" s="55" t="s">
        <v>26</v>
      </c>
      <c r="K33" s="97">
        <f t="shared" si="79"/>
        <v>0</v>
      </c>
      <c r="L33" s="97">
        <f t="shared" si="80"/>
        <v>0</v>
      </c>
      <c r="M33" s="97">
        <f t="shared" si="81"/>
        <v>0</v>
      </c>
      <c r="N33" s="97">
        <f t="shared" si="82"/>
        <v>0</v>
      </c>
      <c r="O33" s="97">
        <f t="shared" si="83"/>
        <v>0</v>
      </c>
      <c r="P33" s="97">
        <f t="shared" si="84"/>
        <v>0</v>
      </c>
      <c r="Q33" s="97">
        <f t="shared" si="85"/>
        <v>0</v>
      </c>
      <c r="R33" s="97" t="e">
        <f t="shared" si="70"/>
        <v>#REF!</v>
      </c>
      <c r="S33" s="97" t="e">
        <f t="shared" si="71"/>
        <v>#REF!</v>
      </c>
      <c r="T33" s="97" t="e">
        <f t="shared" si="71"/>
        <v>#REF!</v>
      </c>
      <c r="U33" s="97" t="e">
        <f t="shared" si="71"/>
        <v>#REF!</v>
      </c>
      <c r="V33" s="97"/>
      <c r="W33" s="97"/>
      <c r="X33" s="97"/>
      <c r="Y33" s="97"/>
      <c r="Z33" s="105" t="str">
        <f t="shared" si="119"/>
        <v xml:space="preserve"> </v>
      </c>
      <c r="AA33" s="114"/>
      <c r="AB33" s="97" t="str">
        <f t="shared" si="86"/>
        <v xml:space="preserve"> </v>
      </c>
      <c r="AC33" s="97" t="str">
        <f t="shared" si="87"/>
        <v>X</v>
      </c>
      <c r="AD33" s="97" t="str">
        <f t="shared" si="88"/>
        <v xml:space="preserve"> </v>
      </c>
      <c r="AE33" s="97" t="str">
        <f t="shared" si="89"/>
        <v xml:space="preserve"> </v>
      </c>
      <c r="AF33" s="97" t="str">
        <f t="shared" si="90"/>
        <v>X</v>
      </c>
      <c r="AG33" s="97" t="str">
        <f t="shared" si="91"/>
        <v>X</v>
      </c>
      <c r="AH33" s="97" t="str">
        <f t="shared" si="92"/>
        <v>X</v>
      </c>
      <c r="AI33" s="97" t="e">
        <f t="shared" si="72"/>
        <v>#REF!</v>
      </c>
      <c r="AJ33" s="97" t="e">
        <f t="shared" si="73"/>
        <v>#REF!</v>
      </c>
      <c r="AK33" s="97" t="e">
        <f t="shared" si="73"/>
        <v>#REF!</v>
      </c>
      <c r="AL33" s="97" t="e">
        <f t="shared" si="73"/>
        <v>#REF!</v>
      </c>
      <c r="AM33" s="97"/>
      <c r="AN33" s="97"/>
      <c r="AO33" s="97"/>
      <c r="AP33" s="97"/>
      <c r="AQ33" s="105">
        <f t="shared" si="120"/>
        <v>4</v>
      </c>
      <c r="AR33" s="114"/>
      <c r="AS33" s="95">
        <f t="shared" si="2"/>
        <v>2280</v>
      </c>
      <c r="AT33" s="124" t="str">
        <f t="shared" si="3"/>
        <v>NBAA</v>
      </c>
      <c r="AU33" s="97" t="str">
        <f t="shared" si="93"/>
        <v xml:space="preserve"> </v>
      </c>
      <c r="AV33" s="97" t="str">
        <f t="shared" si="94"/>
        <v xml:space="preserve"> </v>
      </c>
      <c r="AW33" s="97" t="str">
        <f t="shared" si="74"/>
        <v xml:space="preserve"> </v>
      </c>
      <c r="AX33" s="97" t="str">
        <f t="shared" si="75"/>
        <v xml:space="preserve"> </v>
      </c>
      <c r="AY33" s="97" t="str">
        <f t="shared" si="76"/>
        <v xml:space="preserve"> </v>
      </c>
      <c r="AZ33" s="97" t="str">
        <f t="shared" si="77"/>
        <v xml:space="preserve"> </v>
      </c>
      <c r="BA33" s="97" t="str">
        <f t="shared" si="78"/>
        <v xml:space="preserve"> </v>
      </c>
      <c r="BB33" s="97" t="e">
        <f t="shared" si="95"/>
        <v>#REF!</v>
      </c>
      <c r="BC33" s="97" t="e">
        <f t="shared" si="95"/>
        <v>#REF!</v>
      </c>
      <c r="BD33" s="97" t="e">
        <f t="shared" si="95"/>
        <v>#REF!</v>
      </c>
      <c r="BE33" s="97" t="e">
        <f t="shared" si="95"/>
        <v>#REF!</v>
      </c>
      <c r="BF33" s="97"/>
      <c r="BG33" s="97"/>
      <c r="BH33" s="97"/>
      <c r="BI33" s="97"/>
      <c r="BJ33" s="105" t="str">
        <f t="shared" si="121"/>
        <v xml:space="preserve"> </v>
      </c>
      <c r="BK33" s="114"/>
      <c r="BL33" s="97" t="str">
        <f t="shared" si="96"/>
        <v xml:space="preserve"> </v>
      </c>
      <c r="BM33" s="97" t="str">
        <f t="shared" si="97"/>
        <v>X</v>
      </c>
      <c r="BN33" s="97" t="str">
        <f t="shared" si="98"/>
        <v xml:space="preserve"> </v>
      </c>
      <c r="BO33" s="97" t="str">
        <f t="shared" si="99"/>
        <v xml:space="preserve"> </v>
      </c>
      <c r="BP33" s="97" t="str">
        <f t="shared" si="100"/>
        <v>X</v>
      </c>
      <c r="BQ33" s="97" t="str">
        <f t="shared" si="101"/>
        <v>X</v>
      </c>
      <c r="BR33" s="97" t="str">
        <f t="shared" si="102"/>
        <v>X</v>
      </c>
      <c r="BS33" s="97" t="e">
        <f t="shared" si="103"/>
        <v>#REF!</v>
      </c>
      <c r="BT33" s="97" t="e">
        <f t="shared" si="103"/>
        <v>#REF!</v>
      </c>
      <c r="BU33" s="97" t="e">
        <f t="shared" si="103"/>
        <v>#REF!</v>
      </c>
      <c r="BV33" s="97" t="e">
        <f t="shared" si="103"/>
        <v>#REF!</v>
      </c>
      <c r="BW33" s="97"/>
      <c r="BX33" s="97"/>
      <c r="BY33" s="97"/>
      <c r="BZ33" s="97"/>
      <c r="CA33" s="105">
        <f t="shared" si="122"/>
        <v>4</v>
      </c>
      <c r="CB33" s="114"/>
      <c r="CC33" s="95">
        <f t="shared" si="31"/>
        <v>2280</v>
      </c>
      <c r="CD33" s="124" t="str">
        <f t="shared" si="32"/>
        <v>NBAA</v>
      </c>
      <c r="CE33" s="97" t="str">
        <f t="shared" si="104"/>
        <v xml:space="preserve"> </v>
      </c>
      <c r="CF33" s="97" t="str">
        <f t="shared" si="105"/>
        <v>X</v>
      </c>
      <c r="CG33" s="97" t="str">
        <f t="shared" si="106"/>
        <v xml:space="preserve"> </v>
      </c>
      <c r="CH33" s="97" t="str">
        <f t="shared" si="107"/>
        <v xml:space="preserve"> </v>
      </c>
      <c r="CI33" s="97" t="str">
        <f t="shared" si="108"/>
        <v>X</v>
      </c>
      <c r="CJ33" s="97" t="str">
        <f t="shared" si="109"/>
        <v>X</v>
      </c>
      <c r="CK33" s="97" t="str">
        <f t="shared" si="110"/>
        <v>X</v>
      </c>
      <c r="CL33" s="97" t="e">
        <f t="shared" si="111"/>
        <v>#REF!</v>
      </c>
      <c r="CM33" s="97" t="e">
        <f t="shared" si="111"/>
        <v>#REF!</v>
      </c>
      <c r="CN33" s="97" t="e">
        <f t="shared" si="111"/>
        <v>#REF!</v>
      </c>
      <c r="CO33" s="97" t="e">
        <f t="shared" si="111"/>
        <v>#REF!</v>
      </c>
      <c r="CP33" s="97"/>
      <c r="CQ33" s="97"/>
      <c r="CR33" s="97"/>
      <c r="CS33" s="97"/>
      <c r="CT33" s="105">
        <f t="shared" si="123"/>
        <v>4</v>
      </c>
      <c r="CU33" s="118"/>
      <c r="CV33" s="95">
        <f t="shared" si="42"/>
        <v>2280</v>
      </c>
      <c r="CW33" s="124" t="str">
        <f t="shared" si="43"/>
        <v>NBAA</v>
      </c>
      <c r="CX33" s="97">
        <f t="shared" si="112"/>
        <v>447</v>
      </c>
      <c r="CY33" s="97">
        <f t="shared" si="113"/>
        <v>363</v>
      </c>
      <c r="CZ33" s="97">
        <f t="shared" si="114"/>
        <v>1940</v>
      </c>
      <c r="DA33" s="97">
        <f t="shared" si="115"/>
        <v>1924</v>
      </c>
      <c r="DB33" s="97">
        <f t="shared" si="116"/>
        <v>0</v>
      </c>
      <c r="DC33" s="97">
        <f t="shared" si="117"/>
        <v>0</v>
      </c>
      <c r="DD33" s="97">
        <f t="shared" si="118"/>
        <v>0</v>
      </c>
      <c r="DE33" s="97"/>
      <c r="DF33" s="97"/>
      <c r="DG33" s="97"/>
      <c r="DH33" s="97"/>
      <c r="DI33" s="97"/>
      <c r="DM33" s="187">
        <f t="shared" si="69"/>
        <v>667.71428571428567</v>
      </c>
    </row>
    <row r="34" spans="1:118" ht="15.75" x14ac:dyDescent="0.25">
      <c r="A34" s="196">
        <f t="shared" si="6"/>
        <v>2584</v>
      </c>
      <c r="B34" s="197" t="str">
        <f t="shared" si="7"/>
        <v>NBAA</v>
      </c>
      <c r="C34" s="41" t="str">
        <f t="shared" si="8"/>
        <v xml:space="preserve"> </v>
      </c>
      <c r="D34" s="38">
        <f t="shared" si="9"/>
        <v>4</v>
      </c>
      <c r="E34" s="24">
        <f t="shared" si="10"/>
        <v>5</v>
      </c>
      <c r="F34" s="24">
        <f t="shared" si="11"/>
        <v>4</v>
      </c>
      <c r="G34" s="136" t="str">
        <f t="shared" si="12"/>
        <v xml:space="preserve"> </v>
      </c>
      <c r="I34" s="27">
        <v>2584</v>
      </c>
      <c r="J34" s="55" t="s">
        <v>26</v>
      </c>
      <c r="K34" s="97">
        <f t="shared" si="79"/>
        <v>0</v>
      </c>
      <c r="L34" s="97">
        <f t="shared" si="80"/>
        <v>0</v>
      </c>
      <c r="M34" s="97">
        <f t="shared" si="81"/>
        <v>0</v>
      </c>
      <c r="N34" s="97">
        <f t="shared" si="82"/>
        <v>0</v>
      </c>
      <c r="O34" s="97">
        <f t="shared" si="83"/>
        <v>0</v>
      </c>
      <c r="P34" s="97">
        <f t="shared" si="84"/>
        <v>0</v>
      </c>
      <c r="Q34" s="97">
        <f t="shared" si="85"/>
        <v>0</v>
      </c>
      <c r="R34" s="97" t="e">
        <f t="shared" si="70"/>
        <v>#REF!</v>
      </c>
      <c r="S34" s="97" t="e">
        <f t="shared" si="71"/>
        <v>#REF!</v>
      </c>
      <c r="T34" s="97" t="e">
        <f t="shared" si="71"/>
        <v>#REF!</v>
      </c>
      <c r="U34" s="97" t="e">
        <f t="shared" si="71"/>
        <v>#REF!</v>
      </c>
      <c r="V34" s="97"/>
      <c r="W34" s="97"/>
      <c r="X34" s="97"/>
      <c r="Y34" s="97"/>
      <c r="Z34" s="105" t="str">
        <f t="shared" si="119"/>
        <v xml:space="preserve"> </v>
      </c>
      <c r="AA34" s="114"/>
      <c r="AB34" s="97" t="str">
        <f t="shared" si="86"/>
        <v xml:space="preserve"> </v>
      </c>
      <c r="AC34" s="97" t="str">
        <f t="shared" si="87"/>
        <v>X</v>
      </c>
      <c r="AD34" s="97" t="str">
        <f t="shared" si="88"/>
        <v xml:space="preserve"> </v>
      </c>
      <c r="AE34" s="97" t="str">
        <f t="shared" si="89"/>
        <v xml:space="preserve"> </v>
      </c>
      <c r="AF34" s="97" t="str">
        <f t="shared" si="90"/>
        <v>X</v>
      </c>
      <c r="AG34" s="97" t="str">
        <f t="shared" si="91"/>
        <v>X</v>
      </c>
      <c r="AH34" s="97" t="str">
        <f t="shared" si="92"/>
        <v>X</v>
      </c>
      <c r="AI34" s="97" t="e">
        <f t="shared" si="72"/>
        <v>#REF!</v>
      </c>
      <c r="AJ34" s="97" t="e">
        <f t="shared" si="73"/>
        <v>#REF!</v>
      </c>
      <c r="AK34" s="97" t="e">
        <f t="shared" si="73"/>
        <v>#REF!</v>
      </c>
      <c r="AL34" s="97" t="e">
        <f t="shared" si="73"/>
        <v>#REF!</v>
      </c>
      <c r="AM34" s="97"/>
      <c r="AN34" s="97"/>
      <c r="AO34" s="97"/>
      <c r="AP34" s="97"/>
      <c r="AQ34" s="105">
        <f t="shared" si="120"/>
        <v>4</v>
      </c>
      <c r="AR34" s="114"/>
      <c r="AS34" s="95">
        <f t="shared" si="2"/>
        <v>2584</v>
      </c>
      <c r="AT34" s="124" t="str">
        <f t="shared" si="3"/>
        <v>NBAA</v>
      </c>
      <c r="AU34" s="97" t="str">
        <f t="shared" si="93"/>
        <v xml:space="preserve"> </v>
      </c>
      <c r="AV34" s="97" t="str">
        <f t="shared" si="94"/>
        <v xml:space="preserve"> </v>
      </c>
      <c r="AW34" s="97" t="str">
        <f t="shared" si="74"/>
        <v xml:space="preserve"> </v>
      </c>
      <c r="AX34" s="97" t="str">
        <f t="shared" si="75"/>
        <v xml:space="preserve"> </v>
      </c>
      <c r="AY34" s="97" t="str">
        <f t="shared" si="76"/>
        <v xml:space="preserve"> </v>
      </c>
      <c r="AZ34" s="97" t="str">
        <f t="shared" si="77"/>
        <v xml:space="preserve"> </v>
      </c>
      <c r="BA34" s="97" t="str">
        <f t="shared" si="78"/>
        <v xml:space="preserve"> </v>
      </c>
      <c r="BB34" s="97" t="e">
        <f t="shared" si="95"/>
        <v>#REF!</v>
      </c>
      <c r="BC34" s="97" t="e">
        <f t="shared" si="95"/>
        <v>#REF!</v>
      </c>
      <c r="BD34" s="97" t="e">
        <f t="shared" si="95"/>
        <v>#REF!</v>
      </c>
      <c r="BE34" s="97" t="e">
        <f t="shared" si="95"/>
        <v>#REF!</v>
      </c>
      <c r="BF34" s="97"/>
      <c r="BG34" s="97"/>
      <c r="BH34" s="97"/>
      <c r="BI34" s="97"/>
      <c r="BJ34" s="105" t="str">
        <f t="shared" si="121"/>
        <v xml:space="preserve"> </v>
      </c>
      <c r="BK34" s="114"/>
      <c r="BL34" s="97" t="str">
        <f t="shared" si="96"/>
        <v>X</v>
      </c>
      <c r="BM34" s="97" t="str">
        <f t="shared" si="97"/>
        <v>X</v>
      </c>
      <c r="BN34" s="97" t="str">
        <f t="shared" si="98"/>
        <v xml:space="preserve"> </v>
      </c>
      <c r="BO34" s="97" t="str">
        <f t="shared" si="99"/>
        <v xml:space="preserve"> </v>
      </c>
      <c r="BP34" s="97" t="str">
        <f t="shared" si="100"/>
        <v>X</v>
      </c>
      <c r="BQ34" s="97" t="str">
        <f t="shared" si="101"/>
        <v>X</v>
      </c>
      <c r="BR34" s="97" t="str">
        <f t="shared" si="102"/>
        <v>X</v>
      </c>
      <c r="BS34" s="97" t="e">
        <f t="shared" si="103"/>
        <v>#REF!</v>
      </c>
      <c r="BT34" s="97" t="e">
        <f t="shared" si="103"/>
        <v>#REF!</v>
      </c>
      <c r="BU34" s="97" t="e">
        <f t="shared" si="103"/>
        <v>#REF!</v>
      </c>
      <c r="BV34" s="97" t="e">
        <f t="shared" si="103"/>
        <v>#REF!</v>
      </c>
      <c r="BW34" s="97"/>
      <c r="BX34" s="97"/>
      <c r="BY34" s="97"/>
      <c r="BZ34" s="97"/>
      <c r="CA34" s="105">
        <f t="shared" si="122"/>
        <v>5</v>
      </c>
      <c r="CB34" s="114"/>
      <c r="CC34" s="95">
        <f t="shared" si="31"/>
        <v>2584</v>
      </c>
      <c r="CD34" s="124" t="str">
        <f t="shared" si="32"/>
        <v>NBAA</v>
      </c>
      <c r="CE34" s="97" t="str">
        <f t="shared" si="104"/>
        <v xml:space="preserve"> </v>
      </c>
      <c r="CF34" s="97" t="str">
        <f t="shared" si="105"/>
        <v>X</v>
      </c>
      <c r="CG34" s="97" t="str">
        <f t="shared" si="106"/>
        <v xml:space="preserve"> </v>
      </c>
      <c r="CH34" s="97" t="str">
        <f t="shared" si="107"/>
        <v xml:space="preserve"> </v>
      </c>
      <c r="CI34" s="97" t="str">
        <f t="shared" si="108"/>
        <v>X</v>
      </c>
      <c r="CJ34" s="97" t="str">
        <f t="shared" si="109"/>
        <v>X</v>
      </c>
      <c r="CK34" s="97" t="str">
        <f t="shared" si="110"/>
        <v>X</v>
      </c>
      <c r="CL34" s="97" t="e">
        <f t="shared" si="111"/>
        <v>#REF!</v>
      </c>
      <c r="CM34" s="97" t="e">
        <f t="shared" si="111"/>
        <v>#REF!</v>
      </c>
      <c r="CN34" s="97" t="e">
        <f t="shared" si="111"/>
        <v>#REF!</v>
      </c>
      <c r="CO34" s="97" t="e">
        <f t="shared" si="111"/>
        <v>#REF!</v>
      </c>
      <c r="CP34" s="97"/>
      <c r="CQ34" s="97"/>
      <c r="CR34" s="97"/>
      <c r="CS34" s="97"/>
      <c r="CT34" s="105">
        <f t="shared" si="123"/>
        <v>4</v>
      </c>
      <c r="CU34" s="118"/>
      <c r="CV34" s="95">
        <f t="shared" si="42"/>
        <v>2584</v>
      </c>
      <c r="CW34" s="124" t="str">
        <f t="shared" si="43"/>
        <v>NBAA</v>
      </c>
      <c r="CX34" s="97">
        <f t="shared" si="112"/>
        <v>58634</v>
      </c>
      <c r="CY34" s="97">
        <f t="shared" si="113"/>
        <v>46049</v>
      </c>
      <c r="CZ34" s="97">
        <f t="shared" si="114"/>
        <v>54632</v>
      </c>
      <c r="DA34" s="97">
        <f t="shared" si="115"/>
        <v>51042</v>
      </c>
      <c r="DB34" s="97">
        <f t="shared" si="116"/>
        <v>41868</v>
      </c>
      <c r="DC34" s="97">
        <f t="shared" si="117"/>
        <v>51995</v>
      </c>
      <c r="DD34" s="97">
        <f t="shared" si="118"/>
        <v>56486</v>
      </c>
      <c r="DE34" s="97"/>
      <c r="DF34" s="97"/>
      <c r="DG34" s="97"/>
      <c r="DH34" s="97"/>
      <c r="DI34" s="97"/>
      <c r="DM34" s="187">
        <f t="shared" si="69"/>
        <v>51529.428571428572</v>
      </c>
    </row>
    <row r="35" spans="1:118" ht="15.75" x14ac:dyDescent="0.25">
      <c r="A35" s="196">
        <f t="shared" si="6"/>
        <v>2771</v>
      </c>
      <c r="B35" s="197" t="str">
        <f t="shared" si="7"/>
        <v>NBAA</v>
      </c>
      <c r="C35" s="41">
        <f t="shared" si="8"/>
        <v>1</v>
      </c>
      <c r="D35" s="38">
        <f t="shared" si="9"/>
        <v>3</v>
      </c>
      <c r="E35" s="24">
        <f t="shared" si="10"/>
        <v>3</v>
      </c>
      <c r="F35" s="24">
        <f t="shared" si="11"/>
        <v>3</v>
      </c>
      <c r="G35" s="136" t="str">
        <f t="shared" si="12"/>
        <v xml:space="preserve"> </v>
      </c>
      <c r="I35" s="27">
        <v>2771</v>
      </c>
      <c r="J35" s="55" t="s">
        <v>26</v>
      </c>
      <c r="K35" s="97">
        <f t="shared" si="79"/>
        <v>0</v>
      </c>
      <c r="L35" s="97">
        <f t="shared" si="80"/>
        <v>0</v>
      </c>
      <c r="M35" s="97" t="str">
        <f t="shared" si="81"/>
        <v>X</v>
      </c>
      <c r="N35" s="97">
        <f t="shared" si="82"/>
        <v>0</v>
      </c>
      <c r="O35" s="97">
        <f t="shared" si="83"/>
        <v>0</v>
      </c>
      <c r="P35" s="97">
        <f t="shared" si="84"/>
        <v>0</v>
      </c>
      <c r="Q35" s="97">
        <f t="shared" si="85"/>
        <v>0</v>
      </c>
      <c r="R35" s="97" t="e">
        <f t="shared" si="70"/>
        <v>#REF!</v>
      </c>
      <c r="S35" s="97" t="e">
        <f t="shared" si="71"/>
        <v>#REF!</v>
      </c>
      <c r="T35" s="97" t="e">
        <f t="shared" si="71"/>
        <v>#REF!</v>
      </c>
      <c r="U35" s="97" t="e">
        <f t="shared" si="71"/>
        <v>#REF!</v>
      </c>
      <c r="V35" s="97"/>
      <c r="W35" s="97"/>
      <c r="X35" s="97"/>
      <c r="Y35" s="97"/>
      <c r="Z35" s="105">
        <f t="shared" si="119"/>
        <v>1</v>
      </c>
      <c r="AA35" s="114"/>
      <c r="AB35" s="97" t="str">
        <f t="shared" si="86"/>
        <v xml:space="preserve"> </v>
      </c>
      <c r="AC35" s="97" t="str">
        <f t="shared" si="87"/>
        <v>X</v>
      </c>
      <c r="AD35" s="97" t="str">
        <f t="shared" si="88"/>
        <v>X</v>
      </c>
      <c r="AE35" s="97" t="str">
        <f t="shared" si="89"/>
        <v>X</v>
      </c>
      <c r="AF35" s="97" t="str">
        <f t="shared" si="90"/>
        <v xml:space="preserve"> </v>
      </c>
      <c r="AG35" s="97" t="str">
        <f t="shared" si="91"/>
        <v xml:space="preserve"> </v>
      </c>
      <c r="AH35" s="97" t="str">
        <f t="shared" si="92"/>
        <v xml:space="preserve"> </v>
      </c>
      <c r="AI35" s="97" t="e">
        <f t="shared" si="72"/>
        <v>#REF!</v>
      </c>
      <c r="AJ35" s="97" t="e">
        <f t="shared" si="73"/>
        <v>#REF!</v>
      </c>
      <c r="AK35" s="97" t="e">
        <f t="shared" si="73"/>
        <v>#REF!</v>
      </c>
      <c r="AL35" s="97" t="e">
        <f t="shared" si="73"/>
        <v>#REF!</v>
      </c>
      <c r="AM35" s="97"/>
      <c r="AN35" s="97"/>
      <c r="AO35" s="97"/>
      <c r="AP35" s="97"/>
      <c r="AQ35" s="105">
        <f t="shared" si="120"/>
        <v>3</v>
      </c>
      <c r="AR35" s="114"/>
      <c r="AS35" s="95">
        <f t="shared" si="2"/>
        <v>2771</v>
      </c>
      <c r="AT35" s="124" t="str">
        <f t="shared" si="3"/>
        <v>NBAA</v>
      </c>
      <c r="AU35" s="97" t="str">
        <f t="shared" si="93"/>
        <v xml:space="preserve"> </v>
      </c>
      <c r="AV35" s="97" t="str">
        <f t="shared" si="94"/>
        <v xml:space="preserve"> </v>
      </c>
      <c r="AW35" s="97" t="str">
        <f t="shared" si="74"/>
        <v xml:space="preserve"> </v>
      </c>
      <c r="AX35" s="97" t="str">
        <f t="shared" si="75"/>
        <v xml:space="preserve"> </v>
      </c>
      <c r="AY35" s="97" t="str">
        <f t="shared" si="76"/>
        <v xml:space="preserve"> </v>
      </c>
      <c r="AZ35" s="97" t="str">
        <f t="shared" si="77"/>
        <v xml:space="preserve"> </v>
      </c>
      <c r="BA35" s="97" t="str">
        <f t="shared" si="78"/>
        <v xml:space="preserve"> </v>
      </c>
      <c r="BB35" s="97" t="e">
        <f t="shared" si="95"/>
        <v>#REF!</v>
      </c>
      <c r="BC35" s="97" t="e">
        <f t="shared" si="95"/>
        <v>#REF!</v>
      </c>
      <c r="BD35" s="97" t="e">
        <f t="shared" si="95"/>
        <v>#REF!</v>
      </c>
      <c r="BE35" s="97" t="e">
        <f t="shared" si="95"/>
        <v>#REF!</v>
      </c>
      <c r="BF35" s="97"/>
      <c r="BG35" s="97"/>
      <c r="BH35" s="97"/>
      <c r="BI35" s="97"/>
      <c r="BJ35" s="105" t="str">
        <f t="shared" si="121"/>
        <v xml:space="preserve"> </v>
      </c>
      <c r="BK35" s="114"/>
      <c r="BL35" s="97" t="str">
        <f t="shared" si="96"/>
        <v xml:space="preserve"> </v>
      </c>
      <c r="BM35" s="97" t="str">
        <f t="shared" si="97"/>
        <v>X</v>
      </c>
      <c r="BN35" s="97" t="str">
        <f t="shared" si="98"/>
        <v>X</v>
      </c>
      <c r="BO35" s="97" t="str">
        <f t="shared" si="99"/>
        <v>X</v>
      </c>
      <c r="BP35" s="97" t="str">
        <f t="shared" si="100"/>
        <v xml:space="preserve"> </v>
      </c>
      <c r="BQ35" s="97" t="str">
        <f t="shared" si="101"/>
        <v xml:space="preserve"> </v>
      </c>
      <c r="BR35" s="97" t="str">
        <f t="shared" si="102"/>
        <v xml:space="preserve"> </v>
      </c>
      <c r="BS35" s="97" t="e">
        <f t="shared" si="103"/>
        <v>#REF!</v>
      </c>
      <c r="BT35" s="97" t="e">
        <f t="shared" si="103"/>
        <v>#REF!</v>
      </c>
      <c r="BU35" s="97" t="e">
        <f t="shared" si="103"/>
        <v>#REF!</v>
      </c>
      <c r="BV35" s="97" t="e">
        <f t="shared" si="103"/>
        <v>#REF!</v>
      </c>
      <c r="BW35" s="97"/>
      <c r="BX35" s="97"/>
      <c r="BY35" s="97"/>
      <c r="BZ35" s="97"/>
      <c r="CA35" s="105">
        <f t="shared" si="122"/>
        <v>3</v>
      </c>
      <c r="CB35" s="114"/>
      <c r="CC35" s="95">
        <f t="shared" si="31"/>
        <v>2771</v>
      </c>
      <c r="CD35" s="124" t="str">
        <f t="shared" si="32"/>
        <v>NBAA</v>
      </c>
      <c r="CE35" s="97" t="str">
        <f t="shared" si="104"/>
        <v xml:space="preserve"> </v>
      </c>
      <c r="CF35" s="97" t="str">
        <f t="shared" si="105"/>
        <v>X</v>
      </c>
      <c r="CG35" s="97" t="str">
        <f t="shared" si="106"/>
        <v>X</v>
      </c>
      <c r="CH35" s="97" t="str">
        <f t="shared" si="107"/>
        <v>X</v>
      </c>
      <c r="CI35" s="97" t="str">
        <f t="shared" si="108"/>
        <v xml:space="preserve"> </v>
      </c>
      <c r="CJ35" s="97" t="str">
        <f t="shared" si="109"/>
        <v xml:space="preserve"> </v>
      </c>
      <c r="CK35" s="97" t="str">
        <f t="shared" si="110"/>
        <v xml:space="preserve"> </v>
      </c>
      <c r="CL35" s="97" t="e">
        <f t="shared" si="111"/>
        <v>#REF!</v>
      </c>
      <c r="CM35" s="97" t="e">
        <f t="shared" si="111"/>
        <v>#REF!</v>
      </c>
      <c r="CN35" s="97" t="e">
        <f t="shared" si="111"/>
        <v>#REF!</v>
      </c>
      <c r="CO35" s="97" t="e">
        <f t="shared" si="111"/>
        <v>#REF!</v>
      </c>
      <c r="CP35" s="97"/>
      <c r="CQ35" s="97"/>
      <c r="CR35" s="97"/>
      <c r="CS35" s="97"/>
      <c r="CT35" s="105">
        <f t="shared" si="123"/>
        <v>3</v>
      </c>
      <c r="CU35" s="118"/>
      <c r="CV35" s="95">
        <f t="shared" si="42"/>
        <v>2771</v>
      </c>
      <c r="CW35" s="124" t="str">
        <f t="shared" si="43"/>
        <v>NBAA</v>
      </c>
      <c r="CX35" s="97">
        <f t="shared" si="112"/>
        <v>40550</v>
      </c>
      <c r="CY35" s="97">
        <f t="shared" si="113"/>
        <v>37089</v>
      </c>
      <c r="CZ35" s="97">
        <f t="shared" si="114"/>
        <v>35067</v>
      </c>
      <c r="DA35" s="97">
        <f t="shared" si="115"/>
        <v>35548</v>
      </c>
      <c r="DB35" s="97">
        <f t="shared" si="116"/>
        <v>32645</v>
      </c>
      <c r="DC35" s="97">
        <f t="shared" si="117"/>
        <v>35032</v>
      </c>
      <c r="DD35" s="97">
        <f t="shared" si="118"/>
        <v>36685</v>
      </c>
      <c r="DE35" s="97"/>
      <c r="DF35" s="97"/>
      <c r="DG35" s="97"/>
      <c r="DH35" s="97"/>
      <c r="DI35" s="97"/>
      <c r="DM35" s="187">
        <f t="shared" si="69"/>
        <v>36088</v>
      </c>
    </row>
    <row r="36" spans="1:118" ht="15.75" x14ac:dyDescent="0.25">
      <c r="A36" s="196">
        <f t="shared" si="6"/>
        <v>2832</v>
      </c>
      <c r="B36" s="197" t="str">
        <f t="shared" si="7"/>
        <v>NBAA</v>
      </c>
      <c r="C36" s="41" t="str">
        <f t="shared" si="8"/>
        <v xml:space="preserve"> </v>
      </c>
      <c r="D36" s="38">
        <f t="shared" si="9"/>
        <v>2</v>
      </c>
      <c r="E36" s="24">
        <f t="shared" si="10"/>
        <v>2</v>
      </c>
      <c r="F36" s="24">
        <f t="shared" si="11"/>
        <v>4</v>
      </c>
      <c r="G36" s="136" t="str">
        <f t="shared" si="12"/>
        <v xml:space="preserve"> </v>
      </c>
      <c r="I36" s="27">
        <v>2832</v>
      </c>
      <c r="J36" s="55" t="s">
        <v>26</v>
      </c>
      <c r="K36" s="97">
        <f t="shared" si="79"/>
        <v>0</v>
      </c>
      <c r="L36" s="97">
        <f t="shared" si="80"/>
        <v>0</v>
      </c>
      <c r="M36" s="97">
        <f t="shared" si="81"/>
        <v>0</v>
      </c>
      <c r="N36" s="97">
        <f t="shared" si="82"/>
        <v>0</v>
      </c>
      <c r="O36" s="97">
        <f t="shared" si="83"/>
        <v>0</v>
      </c>
      <c r="P36" s="97">
        <f t="shared" si="84"/>
        <v>0</v>
      </c>
      <c r="Q36" s="97">
        <f t="shared" si="85"/>
        <v>0</v>
      </c>
      <c r="R36" s="97" t="e">
        <f t="shared" si="70"/>
        <v>#REF!</v>
      </c>
      <c r="S36" s="97" t="e">
        <f t="shared" si="71"/>
        <v>#REF!</v>
      </c>
      <c r="T36" s="97" t="e">
        <f t="shared" si="71"/>
        <v>#REF!</v>
      </c>
      <c r="U36" s="97" t="e">
        <f t="shared" si="71"/>
        <v>#REF!</v>
      </c>
      <c r="V36" s="97"/>
      <c r="W36" s="97"/>
      <c r="X36" s="97"/>
      <c r="Y36" s="97"/>
      <c r="Z36" s="105" t="str">
        <f t="shared" si="119"/>
        <v xml:space="preserve"> </v>
      </c>
      <c r="AA36" s="114"/>
      <c r="AB36" s="97" t="str">
        <f t="shared" si="86"/>
        <v xml:space="preserve"> </v>
      </c>
      <c r="AC36" s="97" t="str">
        <f t="shared" si="87"/>
        <v xml:space="preserve"> </v>
      </c>
      <c r="AD36" s="97" t="str">
        <f t="shared" si="88"/>
        <v xml:space="preserve"> </v>
      </c>
      <c r="AE36" s="97" t="str">
        <f t="shared" si="89"/>
        <v xml:space="preserve"> </v>
      </c>
      <c r="AF36" s="97" t="str">
        <f t="shared" si="90"/>
        <v>X</v>
      </c>
      <c r="AG36" s="97" t="str">
        <f t="shared" si="91"/>
        <v>X</v>
      </c>
      <c r="AH36" s="97" t="str">
        <f t="shared" si="92"/>
        <v xml:space="preserve"> </v>
      </c>
      <c r="AI36" s="97" t="e">
        <f t="shared" si="72"/>
        <v>#REF!</v>
      </c>
      <c r="AJ36" s="97" t="e">
        <f t="shared" si="73"/>
        <v>#REF!</v>
      </c>
      <c r="AK36" s="97" t="e">
        <f t="shared" si="73"/>
        <v>#REF!</v>
      </c>
      <c r="AL36" s="97" t="e">
        <f t="shared" si="73"/>
        <v>#REF!</v>
      </c>
      <c r="AM36" s="97"/>
      <c r="AN36" s="97"/>
      <c r="AO36" s="97"/>
      <c r="AP36" s="97"/>
      <c r="AQ36" s="105">
        <f t="shared" si="120"/>
        <v>2</v>
      </c>
      <c r="AR36" s="114"/>
      <c r="AS36" s="95">
        <f t="shared" si="2"/>
        <v>2832</v>
      </c>
      <c r="AT36" s="124" t="str">
        <f t="shared" si="3"/>
        <v>NBAA</v>
      </c>
      <c r="AU36" s="97" t="str">
        <f t="shared" si="93"/>
        <v xml:space="preserve"> </v>
      </c>
      <c r="AV36" s="97" t="str">
        <f t="shared" si="94"/>
        <v xml:space="preserve"> </v>
      </c>
      <c r="AW36" s="97" t="str">
        <f t="shared" si="74"/>
        <v xml:space="preserve"> </v>
      </c>
      <c r="AX36" s="97" t="str">
        <f t="shared" si="75"/>
        <v xml:space="preserve"> </v>
      </c>
      <c r="AY36" s="97" t="str">
        <f t="shared" si="76"/>
        <v xml:space="preserve"> </v>
      </c>
      <c r="AZ36" s="97" t="str">
        <f t="shared" si="77"/>
        <v xml:space="preserve"> </v>
      </c>
      <c r="BA36" s="97" t="str">
        <f t="shared" si="78"/>
        <v xml:space="preserve"> </v>
      </c>
      <c r="BB36" s="97" t="e">
        <f t="shared" si="95"/>
        <v>#REF!</v>
      </c>
      <c r="BC36" s="97" t="e">
        <f t="shared" si="95"/>
        <v>#REF!</v>
      </c>
      <c r="BD36" s="97" t="e">
        <f t="shared" si="95"/>
        <v>#REF!</v>
      </c>
      <c r="BE36" s="97" t="e">
        <f t="shared" si="95"/>
        <v>#REF!</v>
      </c>
      <c r="BF36" s="97"/>
      <c r="BG36" s="97"/>
      <c r="BH36" s="97"/>
      <c r="BI36" s="97"/>
      <c r="BJ36" s="105" t="str">
        <f t="shared" si="121"/>
        <v xml:space="preserve"> </v>
      </c>
      <c r="BK36" s="114"/>
      <c r="BL36" s="97" t="str">
        <f t="shared" si="96"/>
        <v xml:space="preserve"> </v>
      </c>
      <c r="BM36" s="97" t="str">
        <f t="shared" si="97"/>
        <v xml:space="preserve"> </v>
      </c>
      <c r="BN36" s="97" t="str">
        <f t="shared" si="98"/>
        <v xml:space="preserve"> </v>
      </c>
      <c r="BO36" s="97" t="str">
        <f t="shared" si="99"/>
        <v xml:space="preserve"> </v>
      </c>
      <c r="BP36" s="97" t="str">
        <f t="shared" si="100"/>
        <v>X</v>
      </c>
      <c r="BQ36" s="97" t="str">
        <f t="shared" si="101"/>
        <v>X</v>
      </c>
      <c r="BR36" s="97" t="str">
        <f t="shared" si="102"/>
        <v xml:space="preserve"> </v>
      </c>
      <c r="BS36" s="97" t="e">
        <f t="shared" si="103"/>
        <v>#REF!</v>
      </c>
      <c r="BT36" s="97" t="e">
        <f t="shared" si="103"/>
        <v>#REF!</v>
      </c>
      <c r="BU36" s="97" t="e">
        <f t="shared" si="103"/>
        <v>#REF!</v>
      </c>
      <c r="BV36" s="97" t="e">
        <f t="shared" si="103"/>
        <v>#REF!</v>
      </c>
      <c r="BW36" s="97"/>
      <c r="BX36" s="97"/>
      <c r="BY36" s="97"/>
      <c r="BZ36" s="97"/>
      <c r="CA36" s="105">
        <f t="shared" si="122"/>
        <v>2</v>
      </c>
      <c r="CB36" s="114"/>
      <c r="CC36" s="95">
        <f t="shared" si="31"/>
        <v>2832</v>
      </c>
      <c r="CD36" s="124" t="str">
        <f t="shared" si="32"/>
        <v>NBAA</v>
      </c>
      <c r="CE36" s="97" t="str">
        <f t="shared" si="104"/>
        <v xml:space="preserve"> </v>
      </c>
      <c r="CF36" s="97" t="str">
        <f t="shared" si="105"/>
        <v>X</v>
      </c>
      <c r="CG36" s="97" t="str">
        <f t="shared" si="106"/>
        <v xml:space="preserve"> </v>
      </c>
      <c r="CH36" s="97" t="str">
        <f t="shared" si="107"/>
        <v xml:space="preserve"> </v>
      </c>
      <c r="CI36" s="97" t="str">
        <f t="shared" si="108"/>
        <v>X</v>
      </c>
      <c r="CJ36" s="97" t="str">
        <f t="shared" si="109"/>
        <v>X</v>
      </c>
      <c r="CK36" s="97" t="str">
        <f t="shared" si="110"/>
        <v>X</v>
      </c>
      <c r="CL36" s="97" t="e">
        <f t="shared" si="111"/>
        <v>#REF!</v>
      </c>
      <c r="CM36" s="97" t="e">
        <f t="shared" si="111"/>
        <v>#REF!</v>
      </c>
      <c r="CN36" s="97" t="e">
        <f t="shared" si="111"/>
        <v>#REF!</v>
      </c>
      <c r="CO36" s="97" t="e">
        <f t="shared" si="111"/>
        <v>#REF!</v>
      </c>
      <c r="CP36" s="97"/>
      <c r="CQ36" s="97"/>
      <c r="CR36" s="97"/>
      <c r="CS36" s="97"/>
      <c r="CT36" s="105">
        <f t="shared" si="123"/>
        <v>4</v>
      </c>
      <c r="CU36" s="118"/>
      <c r="CV36" s="95">
        <f t="shared" si="42"/>
        <v>2832</v>
      </c>
      <c r="CW36" s="124" t="str">
        <f t="shared" si="43"/>
        <v>NBAA</v>
      </c>
      <c r="CX36" s="97">
        <f t="shared" si="112"/>
        <v>3894</v>
      </c>
      <c r="CY36" s="97">
        <f t="shared" si="113"/>
        <v>2808</v>
      </c>
      <c r="CZ36" s="97">
        <f t="shared" si="114"/>
        <v>3329</v>
      </c>
      <c r="DA36" s="97">
        <f t="shared" si="115"/>
        <v>3064</v>
      </c>
      <c r="DB36" s="97">
        <f t="shared" si="116"/>
        <v>1559</v>
      </c>
      <c r="DC36" s="97">
        <f t="shared" si="117"/>
        <v>1772</v>
      </c>
      <c r="DD36" s="97">
        <f t="shared" si="118"/>
        <v>1797</v>
      </c>
      <c r="DE36" s="97"/>
      <c r="DF36" s="97"/>
      <c r="DG36" s="97"/>
      <c r="DH36" s="97"/>
      <c r="DI36" s="97"/>
      <c r="DM36" s="187">
        <f t="shared" si="69"/>
        <v>2603.2857142857142</v>
      </c>
    </row>
    <row r="37" spans="1:118" ht="15.75" x14ac:dyDescent="0.25">
      <c r="A37" s="196">
        <f t="shared" si="6"/>
        <v>2892</v>
      </c>
      <c r="B37" s="197" t="str">
        <f t="shared" si="7"/>
        <v>NBAA</v>
      </c>
      <c r="C37" s="41" t="str">
        <f t="shared" si="8"/>
        <v xml:space="preserve"> </v>
      </c>
      <c r="D37" s="38" t="str">
        <f t="shared" si="9"/>
        <v xml:space="preserve"> </v>
      </c>
      <c r="E37" s="24" t="str">
        <f t="shared" si="10"/>
        <v xml:space="preserve"> </v>
      </c>
      <c r="F37" s="24">
        <f t="shared" si="11"/>
        <v>3</v>
      </c>
      <c r="G37" s="136" t="str">
        <f t="shared" si="12"/>
        <v xml:space="preserve"> </v>
      </c>
      <c r="I37" s="27">
        <v>2892</v>
      </c>
      <c r="J37" s="55" t="s">
        <v>26</v>
      </c>
      <c r="K37" s="97">
        <f t="shared" si="79"/>
        <v>0</v>
      </c>
      <c r="L37" s="97">
        <f t="shared" si="80"/>
        <v>0</v>
      </c>
      <c r="M37" s="97">
        <f t="shared" si="81"/>
        <v>0</v>
      </c>
      <c r="N37" s="97">
        <f t="shared" si="82"/>
        <v>0</v>
      </c>
      <c r="O37" s="97">
        <f t="shared" si="83"/>
        <v>0</v>
      </c>
      <c r="P37" s="97">
        <f t="shared" si="84"/>
        <v>0</v>
      </c>
      <c r="Q37" s="97">
        <f t="shared" si="85"/>
        <v>0</v>
      </c>
      <c r="R37" s="97" t="e">
        <f t="shared" si="70"/>
        <v>#REF!</v>
      </c>
      <c r="S37" s="97" t="e">
        <f t="shared" si="71"/>
        <v>#REF!</v>
      </c>
      <c r="T37" s="97" t="e">
        <f t="shared" si="71"/>
        <v>#REF!</v>
      </c>
      <c r="U37" s="97" t="e">
        <f t="shared" si="71"/>
        <v>#REF!</v>
      </c>
      <c r="V37" s="97"/>
      <c r="W37" s="97"/>
      <c r="X37" s="97"/>
      <c r="Y37" s="97"/>
      <c r="Z37" s="105" t="str">
        <f t="shared" si="119"/>
        <v xml:space="preserve"> </v>
      </c>
      <c r="AA37" s="114"/>
      <c r="AB37" s="97" t="str">
        <f t="shared" si="86"/>
        <v xml:space="preserve"> </v>
      </c>
      <c r="AC37" s="97" t="str">
        <f t="shared" si="87"/>
        <v xml:space="preserve"> </v>
      </c>
      <c r="AD37" s="97" t="str">
        <f t="shared" si="88"/>
        <v xml:space="preserve"> </v>
      </c>
      <c r="AE37" s="97" t="str">
        <f t="shared" si="89"/>
        <v xml:space="preserve"> </v>
      </c>
      <c r="AF37" s="97" t="str">
        <f t="shared" si="90"/>
        <v xml:space="preserve"> </v>
      </c>
      <c r="AG37" s="97" t="str">
        <f t="shared" si="91"/>
        <v xml:space="preserve"> </v>
      </c>
      <c r="AH37" s="97" t="str">
        <f t="shared" si="92"/>
        <v xml:space="preserve"> </v>
      </c>
      <c r="AI37" s="97" t="e">
        <f t="shared" si="72"/>
        <v>#REF!</v>
      </c>
      <c r="AJ37" s="97" t="e">
        <f t="shared" si="73"/>
        <v>#REF!</v>
      </c>
      <c r="AK37" s="97" t="e">
        <f t="shared" si="73"/>
        <v>#REF!</v>
      </c>
      <c r="AL37" s="97" t="e">
        <f t="shared" si="73"/>
        <v>#REF!</v>
      </c>
      <c r="AM37" s="97"/>
      <c r="AN37" s="97"/>
      <c r="AO37" s="97"/>
      <c r="AP37" s="97"/>
      <c r="AQ37" s="105" t="str">
        <f t="shared" si="120"/>
        <v xml:space="preserve"> </v>
      </c>
      <c r="AR37" s="114"/>
      <c r="AS37" s="95">
        <f t="shared" si="2"/>
        <v>2892</v>
      </c>
      <c r="AT37" s="124" t="str">
        <f t="shared" si="3"/>
        <v>NBAA</v>
      </c>
      <c r="AU37" s="97" t="str">
        <f t="shared" si="93"/>
        <v xml:space="preserve"> </v>
      </c>
      <c r="AV37" s="97" t="str">
        <f t="shared" si="94"/>
        <v xml:space="preserve"> </v>
      </c>
      <c r="AW37" s="97" t="str">
        <f t="shared" si="74"/>
        <v xml:space="preserve"> </v>
      </c>
      <c r="AX37" s="97" t="str">
        <f t="shared" si="75"/>
        <v xml:space="preserve"> </v>
      </c>
      <c r="AY37" s="97" t="str">
        <f t="shared" si="76"/>
        <v xml:space="preserve"> </v>
      </c>
      <c r="AZ37" s="97" t="str">
        <f t="shared" si="77"/>
        <v xml:space="preserve"> </v>
      </c>
      <c r="BA37" s="97" t="str">
        <f t="shared" si="78"/>
        <v xml:space="preserve"> </v>
      </c>
      <c r="BB37" s="97" t="e">
        <f t="shared" si="95"/>
        <v>#REF!</v>
      </c>
      <c r="BC37" s="97" t="e">
        <f t="shared" si="95"/>
        <v>#REF!</v>
      </c>
      <c r="BD37" s="97" t="e">
        <f t="shared" si="95"/>
        <v>#REF!</v>
      </c>
      <c r="BE37" s="97" t="e">
        <f t="shared" si="95"/>
        <v>#REF!</v>
      </c>
      <c r="BF37" s="97"/>
      <c r="BG37" s="97"/>
      <c r="BH37" s="97"/>
      <c r="BI37" s="97"/>
      <c r="BJ37" s="105" t="str">
        <f t="shared" si="121"/>
        <v xml:space="preserve"> </v>
      </c>
      <c r="BK37" s="114"/>
      <c r="BL37" s="97" t="str">
        <f t="shared" si="96"/>
        <v xml:space="preserve"> </v>
      </c>
      <c r="BM37" s="97" t="str">
        <f t="shared" si="97"/>
        <v xml:space="preserve"> </v>
      </c>
      <c r="BN37" s="97" t="str">
        <f t="shared" si="98"/>
        <v xml:space="preserve"> </v>
      </c>
      <c r="BO37" s="97" t="str">
        <f t="shared" si="99"/>
        <v xml:space="preserve"> </v>
      </c>
      <c r="BP37" s="97" t="str">
        <f t="shared" si="100"/>
        <v xml:space="preserve"> </v>
      </c>
      <c r="BQ37" s="97" t="str">
        <f t="shared" si="101"/>
        <v xml:space="preserve"> </v>
      </c>
      <c r="BR37" s="97" t="str">
        <f t="shared" si="102"/>
        <v xml:space="preserve"> </v>
      </c>
      <c r="BS37" s="97" t="e">
        <f t="shared" si="103"/>
        <v>#REF!</v>
      </c>
      <c r="BT37" s="97" t="e">
        <f t="shared" si="103"/>
        <v>#REF!</v>
      </c>
      <c r="BU37" s="97" t="e">
        <f t="shared" si="103"/>
        <v>#REF!</v>
      </c>
      <c r="BV37" s="97" t="e">
        <f t="shared" si="103"/>
        <v>#REF!</v>
      </c>
      <c r="BW37" s="97"/>
      <c r="BX37" s="97"/>
      <c r="BY37" s="97"/>
      <c r="BZ37" s="97"/>
      <c r="CA37" s="105" t="str">
        <f t="shared" si="122"/>
        <v xml:space="preserve"> </v>
      </c>
      <c r="CB37" s="114"/>
      <c r="CC37" s="95">
        <f t="shared" si="31"/>
        <v>2892</v>
      </c>
      <c r="CD37" s="124" t="str">
        <f t="shared" si="32"/>
        <v>NBAA</v>
      </c>
      <c r="CE37" s="97" t="str">
        <f t="shared" si="104"/>
        <v xml:space="preserve"> </v>
      </c>
      <c r="CF37" s="97" t="str">
        <f t="shared" si="105"/>
        <v>X</v>
      </c>
      <c r="CG37" s="97" t="str">
        <f t="shared" si="106"/>
        <v xml:space="preserve"> </v>
      </c>
      <c r="CH37" s="97" t="str">
        <f t="shared" si="107"/>
        <v xml:space="preserve"> </v>
      </c>
      <c r="CI37" s="97" t="str">
        <f t="shared" si="108"/>
        <v>X</v>
      </c>
      <c r="CJ37" s="97" t="str">
        <f t="shared" si="109"/>
        <v>X</v>
      </c>
      <c r="CK37" s="97" t="str">
        <f t="shared" si="110"/>
        <v xml:space="preserve"> </v>
      </c>
      <c r="CL37" s="97" t="e">
        <f t="shared" si="111"/>
        <v>#REF!</v>
      </c>
      <c r="CM37" s="97" t="e">
        <f t="shared" si="111"/>
        <v>#REF!</v>
      </c>
      <c r="CN37" s="97" t="e">
        <f t="shared" si="111"/>
        <v>#REF!</v>
      </c>
      <c r="CO37" s="97" t="e">
        <f t="shared" si="111"/>
        <v>#REF!</v>
      </c>
      <c r="CP37" s="97"/>
      <c r="CQ37" s="97"/>
      <c r="CR37" s="97"/>
      <c r="CS37" s="97"/>
      <c r="CT37" s="105">
        <f t="shared" si="123"/>
        <v>3</v>
      </c>
      <c r="CU37" s="118"/>
      <c r="CV37" s="95">
        <f t="shared" si="42"/>
        <v>2892</v>
      </c>
      <c r="CW37" s="124" t="str">
        <f t="shared" si="43"/>
        <v>NBAA</v>
      </c>
      <c r="CX37" s="97">
        <f t="shared" si="112"/>
        <v>221</v>
      </c>
      <c r="CY37" s="97">
        <f t="shared" si="113"/>
        <v>199</v>
      </c>
      <c r="CZ37" s="97">
        <f t="shared" si="114"/>
        <v>198</v>
      </c>
      <c r="DA37" s="97">
        <f t="shared" si="115"/>
        <v>221</v>
      </c>
      <c r="DB37" s="97">
        <f t="shared" si="116"/>
        <v>397</v>
      </c>
      <c r="DC37" s="97">
        <f t="shared" si="117"/>
        <v>556</v>
      </c>
      <c r="DD37" s="97">
        <f t="shared" si="118"/>
        <v>437</v>
      </c>
      <c r="DE37" s="97"/>
      <c r="DF37" s="97"/>
      <c r="DG37" s="97"/>
      <c r="DH37" s="97"/>
      <c r="DI37" s="97"/>
      <c r="DM37" s="187">
        <f t="shared" si="69"/>
        <v>318.42857142857144</v>
      </c>
    </row>
    <row r="38" spans="1:118" ht="15.75" x14ac:dyDescent="0.25">
      <c r="A38" s="196">
        <f t="shared" si="6"/>
        <v>3015</v>
      </c>
      <c r="B38" s="197" t="str">
        <f t="shared" si="7"/>
        <v>NBAA</v>
      </c>
      <c r="C38" s="41" t="str">
        <f t="shared" si="8"/>
        <v xml:space="preserve"> </v>
      </c>
      <c r="D38" s="38">
        <f t="shared" si="9"/>
        <v>1</v>
      </c>
      <c r="E38" s="24">
        <f t="shared" si="10"/>
        <v>1</v>
      </c>
      <c r="F38" s="24">
        <f t="shared" si="11"/>
        <v>1</v>
      </c>
      <c r="G38" s="136">
        <f t="shared" si="12"/>
        <v>2</v>
      </c>
      <c r="I38" s="27">
        <v>3015</v>
      </c>
      <c r="J38" s="55" t="s">
        <v>26</v>
      </c>
      <c r="K38" s="97">
        <f t="shared" si="79"/>
        <v>0</v>
      </c>
      <c r="L38" s="97">
        <f t="shared" si="80"/>
        <v>0</v>
      </c>
      <c r="M38" s="97">
        <f t="shared" si="81"/>
        <v>0</v>
      </c>
      <c r="N38" s="97">
        <f t="shared" si="82"/>
        <v>0</v>
      </c>
      <c r="O38" s="97">
        <f t="shared" si="83"/>
        <v>0</v>
      </c>
      <c r="P38" s="97">
        <f t="shared" si="84"/>
        <v>0</v>
      </c>
      <c r="Q38" s="97">
        <f t="shared" si="85"/>
        <v>0</v>
      </c>
      <c r="R38" s="97" t="e">
        <f t="shared" si="70"/>
        <v>#REF!</v>
      </c>
      <c r="S38" s="97" t="e">
        <f t="shared" si="71"/>
        <v>#REF!</v>
      </c>
      <c r="T38" s="97" t="e">
        <f t="shared" si="71"/>
        <v>#REF!</v>
      </c>
      <c r="U38" s="97" t="e">
        <f t="shared" si="71"/>
        <v>#REF!</v>
      </c>
      <c r="V38" s="97"/>
      <c r="W38" s="97"/>
      <c r="X38" s="97"/>
      <c r="Y38" s="97"/>
      <c r="Z38" s="105" t="str">
        <f t="shared" si="119"/>
        <v xml:space="preserve"> </v>
      </c>
      <c r="AA38" s="114"/>
      <c r="AB38" s="97" t="str">
        <f t="shared" si="86"/>
        <v xml:space="preserve"> </v>
      </c>
      <c r="AC38" s="97" t="str">
        <f t="shared" si="87"/>
        <v xml:space="preserve"> </v>
      </c>
      <c r="AD38" s="97" t="str">
        <f t="shared" si="88"/>
        <v xml:space="preserve"> </v>
      </c>
      <c r="AE38" s="97" t="str">
        <f t="shared" si="89"/>
        <v xml:space="preserve"> </v>
      </c>
      <c r="AF38" s="97" t="str">
        <f t="shared" si="90"/>
        <v xml:space="preserve"> </v>
      </c>
      <c r="AG38" s="97" t="str">
        <f t="shared" si="91"/>
        <v xml:space="preserve"> </v>
      </c>
      <c r="AH38" s="97" t="str">
        <f t="shared" si="92"/>
        <v>X</v>
      </c>
      <c r="AI38" s="97" t="e">
        <f t="shared" si="72"/>
        <v>#REF!</v>
      </c>
      <c r="AJ38" s="97" t="e">
        <f t="shared" si="73"/>
        <v>#REF!</v>
      </c>
      <c r="AK38" s="97" t="e">
        <f t="shared" si="73"/>
        <v>#REF!</v>
      </c>
      <c r="AL38" s="97" t="e">
        <f t="shared" si="73"/>
        <v>#REF!</v>
      </c>
      <c r="AM38" s="97"/>
      <c r="AN38" s="97"/>
      <c r="AO38" s="97"/>
      <c r="AP38" s="97"/>
      <c r="AQ38" s="105">
        <f t="shared" si="120"/>
        <v>1</v>
      </c>
      <c r="AR38" s="114"/>
      <c r="AS38" s="95">
        <f t="shared" si="2"/>
        <v>3015</v>
      </c>
      <c r="AT38" s="124" t="str">
        <f t="shared" si="3"/>
        <v>NBAA</v>
      </c>
      <c r="AU38" s="97" t="str">
        <f t="shared" si="93"/>
        <v xml:space="preserve"> </v>
      </c>
      <c r="AV38" s="97" t="str">
        <f t="shared" si="94"/>
        <v xml:space="preserve"> </v>
      </c>
      <c r="AW38" s="97" t="str">
        <f t="shared" si="74"/>
        <v xml:space="preserve"> </v>
      </c>
      <c r="AX38" s="97" t="str">
        <f t="shared" si="75"/>
        <v>X</v>
      </c>
      <c r="AY38" s="97" t="str">
        <f t="shared" si="76"/>
        <v>X</v>
      </c>
      <c r="AZ38" s="97" t="str">
        <f t="shared" si="77"/>
        <v xml:space="preserve"> </v>
      </c>
      <c r="BA38" s="97" t="str">
        <f t="shared" si="78"/>
        <v xml:space="preserve"> </v>
      </c>
      <c r="BB38" s="97" t="e">
        <f t="shared" si="95"/>
        <v>#REF!</v>
      </c>
      <c r="BC38" s="97" t="e">
        <f t="shared" si="95"/>
        <v>#REF!</v>
      </c>
      <c r="BD38" s="97" t="e">
        <f t="shared" si="95"/>
        <v>#REF!</v>
      </c>
      <c r="BE38" s="97" t="e">
        <f t="shared" si="95"/>
        <v>#REF!</v>
      </c>
      <c r="BF38" s="97"/>
      <c r="BG38" s="97"/>
      <c r="BH38" s="97"/>
      <c r="BI38" s="97"/>
      <c r="BJ38" s="105">
        <f t="shared" si="121"/>
        <v>2</v>
      </c>
      <c r="BK38" s="114"/>
      <c r="BL38" s="97" t="str">
        <f t="shared" si="96"/>
        <v xml:space="preserve"> </v>
      </c>
      <c r="BM38" s="97" t="str">
        <f t="shared" si="97"/>
        <v xml:space="preserve"> </v>
      </c>
      <c r="BN38" s="97" t="str">
        <f t="shared" si="98"/>
        <v xml:space="preserve"> </v>
      </c>
      <c r="BO38" s="97" t="str">
        <f t="shared" si="99"/>
        <v xml:space="preserve"> </v>
      </c>
      <c r="BP38" s="97" t="str">
        <f t="shared" si="100"/>
        <v xml:space="preserve"> </v>
      </c>
      <c r="BQ38" s="97" t="str">
        <f t="shared" si="101"/>
        <v xml:space="preserve"> </v>
      </c>
      <c r="BR38" s="97" t="str">
        <f t="shared" si="102"/>
        <v>X</v>
      </c>
      <c r="BS38" s="97" t="e">
        <f t="shared" si="103"/>
        <v>#REF!</v>
      </c>
      <c r="BT38" s="97" t="e">
        <f t="shared" si="103"/>
        <v>#REF!</v>
      </c>
      <c r="BU38" s="97" t="e">
        <f t="shared" si="103"/>
        <v>#REF!</v>
      </c>
      <c r="BV38" s="97" t="e">
        <f t="shared" si="103"/>
        <v>#REF!</v>
      </c>
      <c r="BW38" s="97"/>
      <c r="BX38" s="97"/>
      <c r="BY38" s="97"/>
      <c r="BZ38" s="97"/>
      <c r="CA38" s="105">
        <f t="shared" si="122"/>
        <v>1</v>
      </c>
      <c r="CB38" s="114"/>
      <c r="CC38" s="95">
        <f t="shared" si="31"/>
        <v>3015</v>
      </c>
      <c r="CD38" s="124" t="str">
        <f t="shared" si="32"/>
        <v>NBAA</v>
      </c>
      <c r="CE38" s="97" t="str">
        <f t="shared" si="104"/>
        <v xml:space="preserve"> </v>
      </c>
      <c r="CF38" s="97" t="str">
        <f t="shared" si="105"/>
        <v xml:space="preserve"> </v>
      </c>
      <c r="CG38" s="97" t="str">
        <f t="shared" si="106"/>
        <v xml:space="preserve"> </v>
      </c>
      <c r="CH38" s="97" t="str">
        <f t="shared" si="107"/>
        <v xml:space="preserve"> </v>
      </c>
      <c r="CI38" s="97" t="str">
        <f t="shared" si="108"/>
        <v xml:space="preserve"> </v>
      </c>
      <c r="CJ38" s="97" t="str">
        <f t="shared" si="109"/>
        <v xml:space="preserve"> </v>
      </c>
      <c r="CK38" s="97" t="str">
        <f t="shared" si="110"/>
        <v>X</v>
      </c>
      <c r="CL38" s="97" t="e">
        <f t="shared" si="111"/>
        <v>#REF!</v>
      </c>
      <c r="CM38" s="97" t="e">
        <f t="shared" si="111"/>
        <v>#REF!</v>
      </c>
      <c r="CN38" s="97" t="e">
        <f t="shared" si="111"/>
        <v>#REF!</v>
      </c>
      <c r="CO38" s="97" t="e">
        <f t="shared" si="111"/>
        <v>#REF!</v>
      </c>
      <c r="CP38" s="97"/>
      <c r="CQ38" s="97"/>
      <c r="CR38" s="97"/>
      <c r="CS38" s="97"/>
      <c r="CT38" s="105">
        <f t="shared" si="123"/>
        <v>1</v>
      </c>
      <c r="CU38" s="118"/>
      <c r="CV38" s="95">
        <f t="shared" si="42"/>
        <v>3015</v>
      </c>
      <c r="CW38" s="124" t="str">
        <f t="shared" si="43"/>
        <v>NBAA</v>
      </c>
      <c r="CX38" s="97">
        <f t="shared" si="112"/>
        <v>21561</v>
      </c>
      <c r="CY38" s="97">
        <f t="shared" si="113"/>
        <v>18114</v>
      </c>
      <c r="CZ38" s="97">
        <f t="shared" si="114"/>
        <v>20581</v>
      </c>
      <c r="DA38" s="97">
        <f t="shared" si="115"/>
        <v>20451</v>
      </c>
      <c r="DB38" s="97">
        <f t="shared" si="116"/>
        <v>13739</v>
      </c>
      <c r="DC38" s="97">
        <f t="shared" si="117"/>
        <v>14001</v>
      </c>
      <c r="DD38" s="97">
        <f t="shared" si="118"/>
        <v>14514</v>
      </c>
      <c r="DE38" s="97"/>
      <c r="DF38" s="97"/>
      <c r="DG38" s="97"/>
      <c r="DH38" s="97"/>
      <c r="DI38" s="97"/>
      <c r="DM38" s="187">
        <f t="shared" si="69"/>
        <v>17565.857142857141</v>
      </c>
    </row>
    <row r="39" spans="1:118" ht="15.75" x14ac:dyDescent="0.25">
      <c r="A39" s="196">
        <f t="shared" si="6"/>
        <v>3550</v>
      </c>
      <c r="B39" s="197" t="str">
        <f t="shared" si="7"/>
        <v>NBAA</v>
      </c>
      <c r="C39" s="41" t="str">
        <f t="shared" si="8"/>
        <v xml:space="preserve"> </v>
      </c>
      <c r="D39" s="38" t="str">
        <f t="shared" si="9"/>
        <v xml:space="preserve"> </v>
      </c>
      <c r="E39" s="24" t="str">
        <f t="shared" si="10"/>
        <v xml:space="preserve"> </v>
      </c>
      <c r="F39" s="24">
        <f t="shared" si="11"/>
        <v>1</v>
      </c>
      <c r="G39" s="136" t="str">
        <f t="shared" si="12"/>
        <v xml:space="preserve"> </v>
      </c>
      <c r="I39" s="27">
        <v>3550</v>
      </c>
      <c r="J39" s="55" t="s">
        <v>26</v>
      </c>
      <c r="K39" s="97">
        <f t="shared" si="79"/>
        <v>0</v>
      </c>
      <c r="L39" s="97">
        <f t="shared" si="80"/>
        <v>0</v>
      </c>
      <c r="M39" s="97">
        <f t="shared" si="81"/>
        <v>0</v>
      </c>
      <c r="N39" s="97">
        <f t="shared" si="82"/>
        <v>0</v>
      </c>
      <c r="O39" s="97" t="e">
        <f t="shared" si="83"/>
        <v>#N/A</v>
      </c>
      <c r="P39" s="97" t="e">
        <f t="shared" si="84"/>
        <v>#N/A</v>
      </c>
      <c r="Q39" s="97" t="e">
        <f t="shared" si="85"/>
        <v>#N/A</v>
      </c>
      <c r="R39" s="97" t="e">
        <f t="shared" si="70"/>
        <v>#REF!</v>
      </c>
      <c r="S39" s="97" t="e">
        <f t="shared" ref="S39:U45" si="124">VLOOKUP($I39,nbaaTEMP,17,FALSE)</f>
        <v>#REF!</v>
      </c>
      <c r="T39" s="97" t="e">
        <f t="shared" si="124"/>
        <v>#REF!</v>
      </c>
      <c r="U39" s="97" t="e">
        <f t="shared" si="124"/>
        <v>#REF!</v>
      </c>
      <c r="V39" s="97"/>
      <c r="W39" s="97"/>
      <c r="X39" s="97"/>
      <c r="Y39" s="97"/>
      <c r="Z39" s="105" t="str">
        <f t="shared" si="119"/>
        <v xml:space="preserve"> </v>
      </c>
      <c r="AA39" s="114"/>
      <c r="AB39" s="97" t="str">
        <f t="shared" si="86"/>
        <v xml:space="preserve"> </v>
      </c>
      <c r="AC39" s="97" t="str">
        <f t="shared" si="87"/>
        <v xml:space="preserve"> </v>
      </c>
      <c r="AD39" s="97" t="str">
        <f t="shared" si="88"/>
        <v xml:space="preserve"> </v>
      </c>
      <c r="AE39" s="97" t="str">
        <f t="shared" si="89"/>
        <v xml:space="preserve"> </v>
      </c>
      <c r="AF39" s="97" t="e">
        <f t="shared" si="90"/>
        <v>#N/A</v>
      </c>
      <c r="AG39" s="97" t="e">
        <f t="shared" si="91"/>
        <v>#N/A</v>
      </c>
      <c r="AH39" s="97" t="e">
        <f t="shared" si="92"/>
        <v>#N/A</v>
      </c>
      <c r="AI39" s="97" t="e">
        <f t="shared" si="72"/>
        <v>#REF!</v>
      </c>
      <c r="AJ39" s="97" t="e">
        <f t="shared" ref="AJ39:AL45" si="125">VLOOKUP($I39,nbaaTEMP,18,FALSE)</f>
        <v>#REF!</v>
      </c>
      <c r="AK39" s="97" t="e">
        <f t="shared" si="125"/>
        <v>#REF!</v>
      </c>
      <c r="AL39" s="97" t="e">
        <f t="shared" si="125"/>
        <v>#REF!</v>
      </c>
      <c r="AM39" s="97"/>
      <c r="AN39" s="97"/>
      <c r="AO39" s="97"/>
      <c r="AP39" s="97"/>
      <c r="AQ39" s="105" t="str">
        <f t="shared" si="120"/>
        <v xml:space="preserve"> </v>
      </c>
      <c r="AR39" s="114"/>
      <c r="AS39" s="95">
        <f t="shared" si="2"/>
        <v>3550</v>
      </c>
      <c r="AT39" s="124" t="str">
        <f t="shared" si="3"/>
        <v>NBAA</v>
      </c>
      <c r="AU39" s="97" t="str">
        <f t="shared" si="93"/>
        <v xml:space="preserve"> </v>
      </c>
      <c r="AV39" s="97" t="str">
        <f t="shared" si="94"/>
        <v xml:space="preserve"> </v>
      </c>
      <c r="AW39" s="97" t="str">
        <f t="shared" si="74"/>
        <v xml:space="preserve"> </v>
      </c>
      <c r="AX39" s="97" t="str">
        <f t="shared" si="75"/>
        <v xml:space="preserve"> </v>
      </c>
      <c r="AY39" s="97" t="e">
        <f t="shared" si="76"/>
        <v>#N/A</v>
      </c>
      <c r="AZ39" s="97" t="e">
        <f t="shared" si="77"/>
        <v>#N/A</v>
      </c>
      <c r="BA39" s="97" t="e">
        <f t="shared" si="78"/>
        <v>#N/A</v>
      </c>
      <c r="BB39" s="97" t="e">
        <f t="shared" si="95"/>
        <v>#REF!</v>
      </c>
      <c r="BC39" s="97" t="e">
        <f t="shared" si="95"/>
        <v>#REF!</v>
      </c>
      <c r="BD39" s="97" t="e">
        <f t="shared" si="95"/>
        <v>#REF!</v>
      </c>
      <c r="BE39" s="97" t="e">
        <f t="shared" si="95"/>
        <v>#REF!</v>
      </c>
      <c r="BF39" s="97"/>
      <c r="BG39" s="97"/>
      <c r="BH39" s="97"/>
      <c r="BI39" s="97"/>
      <c r="BJ39" s="105" t="str">
        <f t="shared" si="121"/>
        <v xml:space="preserve"> </v>
      </c>
      <c r="BK39" s="114"/>
      <c r="BL39" s="97" t="str">
        <f t="shared" si="96"/>
        <v xml:space="preserve"> </v>
      </c>
      <c r="BM39" s="97" t="str">
        <f t="shared" si="97"/>
        <v xml:space="preserve"> </v>
      </c>
      <c r="BN39" s="97" t="str">
        <f t="shared" si="98"/>
        <v xml:space="preserve"> </v>
      </c>
      <c r="BO39" s="97" t="str">
        <f t="shared" si="99"/>
        <v xml:space="preserve"> </v>
      </c>
      <c r="BP39" s="97" t="e">
        <f t="shared" si="100"/>
        <v>#N/A</v>
      </c>
      <c r="BQ39" s="97" t="e">
        <f t="shared" si="101"/>
        <v>#N/A</v>
      </c>
      <c r="BR39" s="97" t="e">
        <f t="shared" si="102"/>
        <v>#N/A</v>
      </c>
      <c r="BS39" s="97" t="e">
        <f t="shared" si="103"/>
        <v>#REF!</v>
      </c>
      <c r="BT39" s="97" t="e">
        <f t="shared" si="103"/>
        <v>#REF!</v>
      </c>
      <c r="BU39" s="97" t="e">
        <f t="shared" si="103"/>
        <v>#REF!</v>
      </c>
      <c r="BV39" s="97" t="e">
        <f t="shared" si="103"/>
        <v>#REF!</v>
      </c>
      <c r="BW39" s="97"/>
      <c r="BX39" s="97"/>
      <c r="BY39" s="97"/>
      <c r="BZ39" s="97"/>
      <c r="CA39" s="105" t="str">
        <f t="shared" si="122"/>
        <v xml:space="preserve"> </v>
      </c>
      <c r="CB39" s="114"/>
      <c r="CC39" s="95">
        <f t="shared" si="31"/>
        <v>3550</v>
      </c>
      <c r="CD39" s="124" t="str">
        <f t="shared" si="32"/>
        <v>NBAA</v>
      </c>
      <c r="CE39" s="97" t="str">
        <f t="shared" si="104"/>
        <v xml:space="preserve"> </v>
      </c>
      <c r="CF39" s="97" t="str">
        <f t="shared" si="105"/>
        <v xml:space="preserve"> </v>
      </c>
      <c r="CG39" s="97" t="str">
        <f t="shared" si="106"/>
        <v>X</v>
      </c>
      <c r="CH39" s="97" t="str">
        <f t="shared" si="107"/>
        <v xml:space="preserve"> </v>
      </c>
      <c r="CI39" s="97" t="e">
        <f t="shared" si="108"/>
        <v>#N/A</v>
      </c>
      <c r="CJ39" s="97" t="e">
        <f t="shared" si="109"/>
        <v>#N/A</v>
      </c>
      <c r="CK39" s="97" t="e">
        <f t="shared" si="110"/>
        <v>#N/A</v>
      </c>
      <c r="CL39" s="97" t="e">
        <f t="shared" si="111"/>
        <v>#REF!</v>
      </c>
      <c r="CM39" s="97" t="e">
        <f t="shared" si="111"/>
        <v>#REF!</v>
      </c>
      <c r="CN39" s="97" t="e">
        <f t="shared" si="111"/>
        <v>#REF!</v>
      </c>
      <c r="CO39" s="97" t="e">
        <f t="shared" si="111"/>
        <v>#REF!</v>
      </c>
      <c r="CP39" s="97"/>
      <c r="CQ39" s="97"/>
      <c r="CR39" s="97"/>
      <c r="CS39" s="97"/>
      <c r="CT39" s="105">
        <f t="shared" si="123"/>
        <v>1</v>
      </c>
      <c r="CU39" s="118"/>
      <c r="CV39" s="95">
        <f t="shared" si="42"/>
        <v>3550</v>
      </c>
      <c r="CW39" s="124" t="str">
        <f t="shared" si="43"/>
        <v>NBAA</v>
      </c>
      <c r="CX39" s="97">
        <f t="shared" si="112"/>
        <v>3923</v>
      </c>
      <c r="CY39" s="97">
        <f t="shared" si="113"/>
        <v>3051</v>
      </c>
      <c r="CZ39" s="97">
        <f t="shared" si="114"/>
        <v>3364</v>
      </c>
      <c r="DA39" s="97">
        <f t="shared" si="115"/>
        <v>2234</v>
      </c>
      <c r="DB39" s="97" t="e">
        <f t="shared" si="116"/>
        <v>#N/A</v>
      </c>
      <c r="DC39" s="97" t="e">
        <f t="shared" si="117"/>
        <v>#N/A</v>
      </c>
      <c r="DD39" s="97" t="e">
        <f t="shared" si="118"/>
        <v>#N/A</v>
      </c>
      <c r="DE39" s="97"/>
      <c r="DF39" s="97"/>
      <c r="DG39" s="97"/>
      <c r="DH39" s="97"/>
      <c r="DI39" s="97"/>
      <c r="DM39" s="206">
        <f>AVERAGE(CX39:DA39)</f>
        <v>3143</v>
      </c>
    </row>
    <row r="40" spans="1:118" ht="15.75" x14ac:dyDescent="0.25">
      <c r="A40" s="196">
        <f t="shared" si="6"/>
        <v>4760</v>
      </c>
      <c r="B40" s="197" t="str">
        <f t="shared" si="7"/>
        <v>NBAA</v>
      </c>
      <c r="C40" s="41">
        <f t="shared" si="8"/>
        <v>1</v>
      </c>
      <c r="D40" s="38">
        <f t="shared" si="9"/>
        <v>2</v>
      </c>
      <c r="E40" s="24">
        <f t="shared" si="10"/>
        <v>6</v>
      </c>
      <c r="F40" s="24">
        <f t="shared" si="11"/>
        <v>2</v>
      </c>
      <c r="G40" s="136" t="str">
        <f t="shared" si="12"/>
        <v xml:space="preserve"> </v>
      </c>
      <c r="I40" s="27">
        <v>4760</v>
      </c>
      <c r="J40" s="55" t="s">
        <v>26</v>
      </c>
      <c r="K40" s="97">
        <f t="shared" si="79"/>
        <v>0</v>
      </c>
      <c r="L40" s="97">
        <f t="shared" si="80"/>
        <v>0</v>
      </c>
      <c r="M40" s="97" t="str">
        <f t="shared" si="81"/>
        <v>X</v>
      </c>
      <c r="N40" s="97">
        <f t="shared" si="82"/>
        <v>0</v>
      </c>
      <c r="O40" s="97">
        <f t="shared" si="83"/>
        <v>0</v>
      </c>
      <c r="P40" s="97">
        <f t="shared" si="84"/>
        <v>0</v>
      </c>
      <c r="Q40" s="97">
        <f t="shared" si="85"/>
        <v>0</v>
      </c>
      <c r="R40" s="97" t="e">
        <f t="shared" si="70"/>
        <v>#REF!</v>
      </c>
      <c r="S40" s="97" t="e">
        <f t="shared" si="124"/>
        <v>#REF!</v>
      </c>
      <c r="T40" s="97" t="e">
        <f t="shared" si="124"/>
        <v>#REF!</v>
      </c>
      <c r="U40" s="97" t="e">
        <f t="shared" si="124"/>
        <v>#REF!</v>
      </c>
      <c r="V40" s="97"/>
      <c r="W40" s="97"/>
      <c r="X40" s="97"/>
      <c r="Y40" s="97"/>
      <c r="Z40" s="105">
        <f t="shared" si="119"/>
        <v>1</v>
      </c>
      <c r="AA40" s="114"/>
      <c r="AB40" s="97" t="str">
        <f t="shared" si="86"/>
        <v xml:space="preserve"> </v>
      </c>
      <c r="AC40" s="97" t="str">
        <f t="shared" si="87"/>
        <v>X</v>
      </c>
      <c r="AD40" s="97" t="str">
        <f t="shared" si="88"/>
        <v>X</v>
      </c>
      <c r="AE40" s="97" t="str">
        <f t="shared" si="89"/>
        <v xml:space="preserve"> </v>
      </c>
      <c r="AF40" s="97" t="str">
        <f t="shared" si="90"/>
        <v xml:space="preserve"> </v>
      </c>
      <c r="AG40" s="97" t="str">
        <f t="shared" si="91"/>
        <v xml:space="preserve"> </v>
      </c>
      <c r="AH40" s="97" t="str">
        <f t="shared" si="92"/>
        <v xml:space="preserve"> </v>
      </c>
      <c r="AI40" s="97" t="e">
        <f t="shared" si="72"/>
        <v>#REF!</v>
      </c>
      <c r="AJ40" s="97" t="e">
        <f t="shared" si="125"/>
        <v>#REF!</v>
      </c>
      <c r="AK40" s="97" t="e">
        <f t="shared" si="125"/>
        <v>#REF!</v>
      </c>
      <c r="AL40" s="97" t="e">
        <f t="shared" si="125"/>
        <v>#REF!</v>
      </c>
      <c r="AM40" s="97"/>
      <c r="AN40" s="97"/>
      <c r="AO40" s="97"/>
      <c r="AP40" s="97"/>
      <c r="AQ40" s="105">
        <f t="shared" si="120"/>
        <v>2</v>
      </c>
      <c r="AR40" s="114"/>
      <c r="AS40" s="95">
        <f t="shared" si="2"/>
        <v>4760</v>
      </c>
      <c r="AT40" s="124" t="str">
        <f t="shared" si="3"/>
        <v>NBAA</v>
      </c>
      <c r="AU40" s="97" t="str">
        <f t="shared" si="93"/>
        <v xml:space="preserve"> </v>
      </c>
      <c r="AV40" s="97" t="str">
        <f t="shared" si="94"/>
        <v xml:space="preserve"> </v>
      </c>
      <c r="AW40" s="97" t="str">
        <f t="shared" si="74"/>
        <v xml:space="preserve"> </v>
      </c>
      <c r="AX40" s="97" t="str">
        <f t="shared" si="75"/>
        <v xml:space="preserve"> </v>
      </c>
      <c r="AY40" s="97" t="str">
        <f t="shared" si="76"/>
        <v xml:space="preserve"> </v>
      </c>
      <c r="AZ40" s="97" t="str">
        <f t="shared" si="77"/>
        <v xml:space="preserve"> </v>
      </c>
      <c r="BA40" s="97" t="str">
        <f t="shared" si="78"/>
        <v xml:space="preserve"> </v>
      </c>
      <c r="BB40" s="97" t="e">
        <f t="shared" si="95"/>
        <v>#REF!</v>
      </c>
      <c r="BC40" s="97" t="e">
        <f t="shared" si="95"/>
        <v>#REF!</v>
      </c>
      <c r="BD40" s="97" t="e">
        <f t="shared" si="95"/>
        <v>#REF!</v>
      </c>
      <c r="BE40" s="97" t="e">
        <f t="shared" si="95"/>
        <v>#REF!</v>
      </c>
      <c r="BF40" s="97"/>
      <c r="BG40" s="97"/>
      <c r="BH40" s="97"/>
      <c r="BI40" s="97"/>
      <c r="BJ40" s="105" t="str">
        <f t="shared" si="121"/>
        <v xml:space="preserve"> </v>
      </c>
      <c r="BK40" s="114"/>
      <c r="BL40" s="97" t="str">
        <f t="shared" si="96"/>
        <v>X</v>
      </c>
      <c r="BM40" s="97" t="str">
        <f t="shared" si="97"/>
        <v>X</v>
      </c>
      <c r="BN40" s="97" t="str">
        <f t="shared" si="98"/>
        <v>X</v>
      </c>
      <c r="BO40" s="97" t="str">
        <f t="shared" si="99"/>
        <v>X</v>
      </c>
      <c r="BP40" s="97" t="str">
        <f t="shared" si="100"/>
        <v>X</v>
      </c>
      <c r="BQ40" s="97" t="str">
        <f t="shared" si="101"/>
        <v>X</v>
      </c>
      <c r="BR40" s="97" t="str">
        <f t="shared" si="102"/>
        <v xml:space="preserve"> </v>
      </c>
      <c r="BS40" s="97" t="e">
        <f t="shared" si="103"/>
        <v>#REF!</v>
      </c>
      <c r="BT40" s="97" t="e">
        <f t="shared" si="103"/>
        <v>#REF!</v>
      </c>
      <c r="BU40" s="97" t="e">
        <f t="shared" si="103"/>
        <v>#REF!</v>
      </c>
      <c r="BV40" s="97" t="e">
        <f t="shared" si="103"/>
        <v>#REF!</v>
      </c>
      <c r="BW40" s="97"/>
      <c r="BX40" s="97"/>
      <c r="BY40" s="97"/>
      <c r="BZ40" s="97"/>
      <c r="CA40" s="105">
        <f t="shared" si="122"/>
        <v>6</v>
      </c>
      <c r="CB40" s="114"/>
      <c r="CC40" s="95">
        <f t="shared" si="31"/>
        <v>4760</v>
      </c>
      <c r="CD40" s="124" t="str">
        <f t="shared" si="32"/>
        <v>NBAA</v>
      </c>
      <c r="CE40" s="97" t="str">
        <f t="shared" si="104"/>
        <v xml:space="preserve"> </v>
      </c>
      <c r="CF40" s="97" t="str">
        <f t="shared" si="105"/>
        <v>X</v>
      </c>
      <c r="CG40" s="97" t="str">
        <f t="shared" si="106"/>
        <v>X</v>
      </c>
      <c r="CH40" s="97" t="str">
        <f t="shared" si="107"/>
        <v xml:space="preserve"> </v>
      </c>
      <c r="CI40" s="97" t="str">
        <f t="shared" si="108"/>
        <v xml:space="preserve"> </v>
      </c>
      <c r="CJ40" s="97" t="str">
        <f t="shared" si="109"/>
        <v xml:space="preserve"> </v>
      </c>
      <c r="CK40" s="97" t="str">
        <f t="shared" si="110"/>
        <v xml:space="preserve"> </v>
      </c>
      <c r="CL40" s="97" t="e">
        <f t="shared" si="111"/>
        <v>#REF!</v>
      </c>
      <c r="CM40" s="97" t="e">
        <f t="shared" si="111"/>
        <v>#REF!</v>
      </c>
      <c r="CN40" s="97" t="e">
        <f t="shared" si="111"/>
        <v>#REF!</v>
      </c>
      <c r="CO40" s="97" t="e">
        <f t="shared" si="111"/>
        <v>#REF!</v>
      </c>
      <c r="CP40" s="97"/>
      <c r="CQ40" s="97"/>
      <c r="CR40" s="97"/>
      <c r="CS40" s="97"/>
      <c r="CT40" s="105">
        <f t="shared" si="123"/>
        <v>2</v>
      </c>
      <c r="CU40" s="118"/>
      <c r="CV40" s="95">
        <f t="shared" si="42"/>
        <v>4760</v>
      </c>
      <c r="CW40" s="124" t="str">
        <f t="shared" si="43"/>
        <v>NBAA</v>
      </c>
      <c r="CX40" s="97">
        <f t="shared" si="112"/>
        <v>456838</v>
      </c>
      <c r="CY40" s="97">
        <f t="shared" si="113"/>
        <v>451775</v>
      </c>
      <c r="CZ40" s="97">
        <f t="shared" si="114"/>
        <v>540991</v>
      </c>
      <c r="DA40" s="97">
        <f t="shared" si="115"/>
        <v>521726</v>
      </c>
      <c r="DB40" s="97">
        <f t="shared" si="116"/>
        <v>331864</v>
      </c>
      <c r="DC40" s="97">
        <f t="shared" si="117"/>
        <v>360775</v>
      </c>
      <c r="DD40" s="97">
        <f t="shared" si="118"/>
        <v>369237</v>
      </c>
      <c r="DE40" s="97"/>
      <c r="DF40" s="97"/>
      <c r="DG40" s="97"/>
      <c r="DH40" s="97"/>
      <c r="DI40" s="97"/>
      <c r="DM40" s="187">
        <f>AVERAGE(CX40:DF40)</f>
        <v>433315.14285714284</v>
      </c>
    </row>
    <row r="41" spans="1:118" ht="15.75" x14ac:dyDescent="0.25">
      <c r="A41" s="196">
        <f t="shared" si="6"/>
        <v>6084</v>
      </c>
      <c r="B41" s="197" t="str">
        <f t="shared" si="7"/>
        <v>NBAA</v>
      </c>
      <c r="C41" s="41" t="str">
        <f xml:space="preserve"> Z41</f>
        <v xml:space="preserve"> </v>
      </c>
      <c r="D41" s="38" t="str">
        <f>AQ41</f>
        <v xml:space="preserve"> </v>
      </c>
      <c r="E41" s="24" t="str">
        <f>CA41</f>
        <v xml:space="preserve"> </v>
      </c>
      <c r="F41" s="24">
        <f>CT41</f>
        <v>1</v>
      </c>
      <c r="G41" s="136" t="str">
        <f>BJ41</f>
        <v xml:space="preserve"> </v>
      </c>
      <c r="I41" s="27">
        <v>6084</v>
      </c>
      <c r="J41" s="55" t="s">
        <v>26</v>
      </c>
      <c r="K41" s="97" t="e">
        <f t="shared" si="79"/>
        <v>#N/A</v>
      </c>
      <c r="L41" s="97">
        <f t="shared" si="80"/>
        <v>0</v>
      </c>
      <c r="M41" s="97" t="e">
        <f t="shared" si="81"/>
        <v>#N/A</v>
      </c>
      <c r="N41" s="97">
        <f t="shared" si="82"/>
        <v>0</v>
      </c>
      <c r="O41" s="97" t="e">
        <f t="shared" si="83"/>
        <v>#N/A</v>
      </c>
      <c r="P41" s="97" t="e">
        <f t="shared" si="84"/>
        <v>#N/A</v>
      </c>
      <c r="Q41" s="97" t="e">
        <f t="shared" si="85"/>
        <v>#N/A</v>
      </c>
      <c r="R41" s="97" t="e">
        <f t="shared" si="70"/>
        <v>#REF!</v>
      </c>
      <c r="S41" s="97" t="e">
        <f t="shared" si="124"/>
        <v>#REF!</v>
      </c>
      <c r="T41" s="97" t="e">
        <f t="shared" si="124"/>
        <v>#REF!</v>
      </c>
      <c r="U41" s="97" t="e">
        <f t="shared" si="124"/>
        <v>#REF!</v>
      </c>
      <c r="V41" s="97"/>
      <c r="W41" s="97"/>
      <c r="X41" s="97"/>
      <c r="Y41" s="97"/>
      <c r="Z41" s="105" t="str">
        <f>IF(COUNTIF(K41:Y41,"x")=0," ",COUNTIF(K41:Y41,"x"))</f>
        <v xml:space="preserve"> </v>
      </c>
      <c r="AA41" s="114"/>
      <c r="AB41" s="97" t="e">
        <f t="shared" si="86"/>
        <v>#N/A</v>
      </c>
      <c r="AC41" s="97" t="str">
        <f t="shared" si="87"/>
        <v xml:space="preserve"> </v>
      </c>
      <c r="AD41" s="97" t="e">
        <f t="shared" si="88"/>
        <v>#N/A</v>
      </c>
      <c r="AE41" s="97" t="str">
        <f t="shared" si="89"/>
        <v xml:space="preserve"> </v>
      </c>
      <c r="AF41" s="97" t="e">
        <f t="shared" si="90"/>
        <v>#N/A</v>
      </c>
      <c r="AG41" s="97" t="e">
        <f t="shared" si="91"/>
        <v>#N/A</v>
      </c>
      <c r="AH41" s="97" t="e">
        <f t="shared" si="92"/>
        <v>#N/A</v>
      </c>
      <c r="AI41" s="97" t="e">
        <f t="shared" si="72"/>
        <v>#REF!</v>
      </c>
      <c r="AJ41" s="97" t="e">
        <f t="shared" si="125"/>
        <v>#REF!</v>
      </c>
      <c r="AK41" s="97" t="e">
        <f t="shared" si="125"/>
        <v>#REF!</v>
      </c>
      <c r="AL41" s="97" t="e">
        <f t="shared" si="125"/>
        <v>#REF!</v>
      </c>
      <c r="AM41" s="97"/>
      <c r="AN41" s="97"/>
      <c r="AO41" s="97"/>
      <c r="AP41" s="97"/>
      <c r="AQ41" s="105" t="str">
        <f>IF(COUNTIF(AB41:AP41,"x")=0," ",COUNTIF(AB41:AP41,"x"))</f>
        <v xml:space="preserve"> </v>
      </c>
      <c r="AR41" s="114"/>
      <c r="AS41" s="95">
        <f t="shared" si="2"/>
        <v>6084</v>
      </c>
      <c r="AT41" s="124" t="str">
        <f t="shared" si="3"/>
        <v>NBAA</v>
      </c>
      <c r="AU41" s="97" t="e">
        <f t="shared" si="93"/>
        <v>#N/A</v>
      </c>
      <c r="AV41" s="97" t="str">
        <f t="shared" si="94"/>
        <v xml:space="preserve"> </v>
      </c>
      <c r="AW41" s="97" t="e">
        <f t="shared" si="74"/>
        <v>#N/A</v>
      </c>
      <c r="AX41" s="97" t="str">
        <f t="shared" si="75"/>
        <v xml:space="preserve"> </v>
      </c>
      <c r="AY41" s="97" t="e">
        <f t="shared" si="76"/>
        <v>#N/A</v>
      </c>
      <c r="AZ41" s="97" t="e">
        <f t="shared" si="77"/>
        <v>#N/A</v>
      </c>
      <c r="BA41" s="97" t="e">
        <f t="shared" si="78"/>
        <v>#N/A</v>
      </c>
      <c r="BB41" s="97" t="e">
        <f t="shared" si="95"/>
        <v>#REF!</v>
      </c>
      <c r="BC41" s="97" t="e">
        <f t="shared" si="95"/>
        <v>#REF!</v>
      </c>
      <c r="BD41" s="97" t="e">
        <f t="shared" si="95"/>
        <v>#REF!</v>
      </c>
      <c r="BE41" s="97" t="e">
        <f t="shared" si="95"/>
        <v>#REF!</v>
      </c>
      <c r="BF41" s="97"/>
      <c r="BG41" s="97"/>
      <c r="BH41" s="97"/>
      <c r="BI41" s="97"/>
      <c r="BJ41" s="105" t="str">
        <f>IF(COUNTIF(AU41:BI41,"x")=0," ",COUNTIF(AU41:BI41,"x"))</f>
        <v xml:space="preserve"> </v>
      </c>
      <c r="BK41" s="114"/>
      <c r="BL41" s="97" t="e">
        <f t="shared" si="96"/>
        <v>#N/A</v>
      </c>
      <c r="BM41" s="97" t="str">
        <f t="shared" si="97"/>
        <v xml:space="preserve"> </v>
      </c>
      <c r="BN41" s="97" t="e">
        <f t="shared" si="98"/>
        <v>#N/A</v>
      </c>
      <c r="BO41" s="97" t="str">
        <f t="shared" si="99"/>
        <v xml:space="preserve"> </v>
      </c>
      <c r="BP41" s="97" t="e">
        <f t="shared" si="100"/>
        <v>#N/A</v>
      </c>
      <c r="BQ41" s="97" t="e">
        <f t="shared" si="101"/>
        <v>#N/A</v>
      </c>
      <c r="BR41" s="97" t="e">
        <f t="shared" si="102"/>
        <v>#N/A</v>
      </c>
      <c r="BS41" s="97" t="e">
        <f t="shared" si="103"/>
        <v>#REF!</v>
      </c>
      <c r="BT41" s="97" t="e">
        <f t="shared" si="103"/>
        <v>#REF!</v>
      </c>
      <c r="BU41" s="97" t="e">
        <f t="shared" si="103"/>
        <v>#REF!</v>
      </c>
      <c r="BV41" s="97" t="e">
        <f t="shared" si="103"/>
        <v>#REF!</v>
      </c>
      <c r="BW41" s="97"/>
      <c r="BX41" s="97"/>
      <c r="BY41" s="97"/>
      <c r="BZ41" s="97"/>
      <c r="CA41" s="105" t="str">
        <f>IF(COUNTIF(BL41:BZ41,"x")=0," ",COUNTIF(BL41:BZ41,"x"))</f>
        <v xml:space="preserve"> </v>
      </c>
      <c r="CB41" s="114"/>
      <c r="CC41" s="95">
        <f t="shared" si="31"/>
        <v>6084</v>
      </c>
      <c r="CD41" s="124" t="str">
        <f t="shared" si="32"/>
        <v>NBAA</v>
      </c>
      <c r="CE41" s="97" t="e">
        <f t="shared" si="104"/>
        <v>#N/A</v>
      </c>
      <c r="CF41" s="97" t="str">
        <f t="shared" si="105"/>
        <v>X</v>
      </c>
      <c r="CG41" s="97" t="e">
        <f t="shared" si="106"/>
        <v>#N/A</v>
      </c>
      <c r="CH41" s="97" t="str">
        <f t="shared" si="107"/>
        <v xml:space="preserve"> </v>
      </c>
      <c r="CI41" s="97" t="e">
        <f t="shared" si="108"/>
        <v>#N/A</v>
      </c>
      <c r="CJ41" s="97" t="e">
        <f t="shared" si="109"/>
        <v>#N/A</v>
      </c>
      <c r="CK41" s="97" t="e">
        <f t="shared" si="110"/>
        <v>#N/A</v>
      </c>
      <c r="CL41" s="97" t="e">
        <f t="shared" si="111"/>
        <v>#REF!</v>
      </c>
      <c r="CM41" s="97" t="e">
        <f t="shared" si="111"/>
        <v>#REF!</v>
      </c>
      <c r="CN41" s="97" t="e">
        <f t="shared" si="111"/>
        <v>#REF!</v>
      </c>
      <c r="CO41" s="97" t="e">
        <f t="shared" si="111"/>
        <v>#REF!</v>
      </c>
      <c r="CP41" s="97"/>
      <c r="CQ41" s="97"/>
      <c r="CR41" s="97"/>
      <c r="CS41" s="97"/>
      <c r="CT41" s="105">
        <f>IF(COUNTIF(CE41:CS41,"x")=0," ",COUNTIF(CE41:CS41,"x"))</f>
        <v>1</v>
      </c>
      <c r="CU41" s="118"/>
      <c r="CV41" s="95">
        <f t="shared" si="42"/>
        <v>6084</v>
      </c>
      <c r="CW41" s="124" t="str">
        <f t="shared" si="43"/>
        <v>NBAA</v>
      </c>
      <c r="CX41" s="97"/>
      <c r="CY41" s="97">
        <f t="shared" si="113"/>
        <v>4</v>
      </c>
      <c r="CZ41" s="97"/>
      <c r="DA41" s="97">
        <f t="shared" si="115"/>
        <v>10</v>
      </c>
      <c r="DB41" s="97"/>
      <c r="DC41" s="97"/>
      <c r="DD41" s="97"/>
      <c r="DE41" s="97"/>
      <c r="DF41" s="97"/>
      <c r="DG41" s="97"/>
      <c r="DH41" s="97"/>
      <c r="DI41" s="97"/>
      <c r="DM41" s="187"/>
    </row>
    <row r="42" spans="1:118" ht="15.75" x14ac:dyDescent="0.25">
      <c r="A42" s="196">
        <f t="shared" si="6"/>
        <v>6728</v>
      </c>
      <c r="B42" s="197" t="str">
        <f t="shared" si="7"/>
        <v>NBAA</v>
      </c>
      <c r="C42" s="41"/>
      <c r="D42" s="38"/>
      <c r="E42" s="24"/>
      <c r="F42" s="24"/>
      <c r="G42" s="136"/>
      <c r="I42" s="27">
        <v>6728</v>
      </c>
      <c r="J42" s="55" t="s">
        <v>26</v>
      </c>
      <c r="K42" s="97">
        <f t="shared" si="79"/>
        <v>0</v>
      </c>
      <c r="L42" s="97">
        <f t="shared" si="80"/>
        <v>0</v>
      </c>
      <c r="M42" s="97">
        <f t="shared" si="81"/>
        <v>0</v>
      </c>
      <c r="N42" s="97">
        <f t="shared" si="82"/>
        <v>0</v>
      </c>
      <c r="O42" s="97">
        <f t="shared" si="83"/>
        <v>0</v>
      </c>
      <c r="P42" s="97">
        <f t="shared" si="84"/>
        <v>0</v>
      </c>
      <c r="Q42" s="97">
        <f t="shared" si="85"/>
        <v>0</v>
      </c>
      <c r="R42" s="97" t="e">
        <f t="shared" si="70"/>
        <v>#REF!</v>
      </c>
      <c r="S42" s="97" t="e">
        <f t="shared" si="124"/>
        <v>#REF!</v>
      </c>
      <c r="T42" s="97" t="e">
        <f t="shared" si="124"/>
        <v>#REF!</v>
      </c>
      <c r="U42" s="97" t="e">
        <f t="shared" si="124"/>
        <v>#REF!</v>
      </c>
      <c r="V42" s="97"/>
      <c r="W42" s="97"/>
      <c r="X42" s="97"/>
      <c r="Y42" s="97"/>
      <c r="Z42" s="105" t="str">
        <f>IF(COUNTIF(K42:Y42,"x")=0," ",COUNTIF(K42:Y42,"x"))</f>
        <v xml:space="preserve"> </v>
      </c>
      <c r="AA42" s="114"/>
      <c r="AB42" s="97" t="str">
        <f t="shared" si="86"/>
        <v xml:space="preserve"> </v>
      </c>
      <c r="AC42" s="97" t="str">
        <f t="shared" si="87"/>
        <v xml:space="preserve"> </v>
      </c>
      <c r="AD42" s="97" t="str">
        <f t="shared" si="88"/>
        <v xml:space="preserve"> </v>
      </c>
      <c r="AE42" s="97" t="str">
        <f t="shared" si="89"/>
        <v>X</v>
      </c>
      <c r="AF42" s="97" t="str">
        <f t="shared" si="90"/>
        <v xml:space="preserve"> </v>
      </c>
      <c r="AG42" s="97" t="str">
        <f t="shared" si="91"/>
        <v xml:space="preserve"> </v>
      </c>
      <c r="AH42" s="97" t="str">
        <f t="shared" si="92"/>
        <v xml:space="preserve"> </v>
      </c>
      <c r="AI42" s="97" t="e">
        <f t="shared" si="72"/>
        <v>#REF!</v>
      </c>
      <c r="AJ42" s="97" t="e">
        <f t="shared" si="125"/>
        <v>#REF!</v>
      </c>
      <c r="AK42" s="97" t="e">
        <f t="shared" si="125"/>
        <v>#REF!</v>
      </c>
      <c r="AL42" s="97" t="e">
        <f t="shared" si="125"/>
        <v>#REF!</v>
      </c>
      <c r="AM42" s="97"/>
      <c r="AN42" s="97"/>
      <c r="AO42" s="97"/>
      <c r="AP42" s="97"/>
      <c r="AQ42" s="105">
        <f t="shared" si="120"/>
        <v>1</v>
      </c>
      <c r="AR42" s="114"/>
      <c r="AS42" s="95">
        <f t="shared" si="2"/>
        <v>6728</v>
      </c>
      <c r="AT42" s="124" t="str">
        <f t="shared" si="3"/>
        <v>NBAA</v>
      </c>
      <c r="AU42" s="97" t="str">
        <f t="shared" si="93"/>
        <v xml:space="preserve"> </v>
      </c>
      <c r="AV42" s="97" t="str">
        <f t="shared" si="94"/>
        <v xml:space="preserve"> </v>
      </c>
      <c r="AW42" s="97" t="str">
        <f t="shared" si="74"/>
        <v xml:space="preserve"> </v>
      </c>
      <c r="AX42" s="97" t="str">
        <f t="shared" si="75"/>
        <v xml:space="preserve"> </v>
      </c>
      <c r="AY42" s="97" t="str">
        <f t="shared" si="76"/>
        <v xml:space="preserve"> </v>
      </c>
      <c r="AZ42" s="97" t="str">
        <f t="shared" si="77"/>
        <v xml:space="preserve"> </v>
      </c>
      <c r="BA42" s="97" t="str">
        <f t="shared" si="78"/>
        <v xml:space="preserve"> </v>
      </c>
      <c r="BB42" s="97" t="e">
        <f t="shared" si="95"/>
        <v>#REF!</v>
      </c>
      <c r="BC42" s="97" t="e">
        <f t="shared" si="95"/>
        <v>#REF!</v>
      </c>
      <c r="BD42" s="97" t="e">
        <f t="shared" si="95"/>
        <v>#REF!</v>
      </c>
      <c r="BE42" s="97" t="e">
        <f t="shared" si="95"/>
        <v>#REF!</v>
      </c>
      <c r="BF42" s="97"/>
      <c r="BG42" s="97"/>
      <c r="BH42" s="97"/>
      <c r="BI42" s="97"/>
      <c r="BJ42" s="105" t="str">
        <f t="shared" si="121"/>
        <v xml:space="preserve"> </v>
      </c>
      <c r="BK42" s="114"/>
      <c r="BL42" s="97" t="str">
        <f t="shared" si="96"/>
        <v xml:space="preserve"> </v>
      </c>
      <c r="BM42" s="97" t="str">
        <f t="shared" si="97"/>
        <v xml:space="preserve"> </v>
      </c>
      <c r="BN42" s="97" t="str">
        <f t="shared" si="98"/>
        <v xml:space="preserve"> </v>
      </c>
      <c r="BO42" s="97" t="str">
        <f t="shared" si="99"/>
        <v>X</v>
      </c>
      <c r="BP42" s="97" t="str">
        <f t="shared" si="100"/>
        <v xml:space="preserve"> </v>
      </c>
      <c r="BQ42" s="97" t="str">
        <f t="shared" si="101"/>
        <v xml:space="preserve"> </v>
      </c>
      <c r="BR42" s="97" t="str">
        <f t="shared" si="102"/>
        <v xml:space="preserve"> </v>
      </c>
      <c r="BS42" s="97" t="e">
        <f t="shared" si="103"/>
        <v>#REF!</v>
      </c>
      <c r="BT42" s="97" t="e">
        <f t="shared" si="103"/>
        <v>#REF!</v>
      </c>
      <c r="BU42" s="97" t="e">
        <f t="shared" si="103"/>
        <v>#REF!</v>
      </c>
      <c r="BV42" s="97" t="e">
        <f t="shared" si="103"/>
        <v>#REF!</v>
      </c>
      <c r="BW42" s="97"/>
      <c r="BX42" s="97"/>
      <c r="BY42" s="97"/>
      <c r="BZ42" s="97"/>
      <c r="CA42" s="105">
        <f t="shared" si="122"/>
        <v>1</v>
      </c>
      <c r="CB42" s="114"/>
      <c r="CC42" s="95">
        <f t="shared" si="31"/>
        <v>6728</v>
      </c>
      <c r="CD42" s="124" t="str">
        <f t="shared" si="32"/>
        <v>NBAA</v>
      </c>
      <c r="CE42" s="97" t="str">
        <f t="shared" si="104"/>
        <v xml:space="preserve"> </v>
      </c>
      <c r="CF42" s="97" t="str">
        <f t="shared" si="105"/>
        <v xml:space="preserve"> </v>
      </c>
      <c r="CG42" s="97" t="str">
        <f t="shared" si="106"/>
        <v xml:space="preserve"> </v>
      </c>
      <c r="CH42" s="97" t="str">
        <f t="shared" si="107"/>
        <v>X</v>
      </c>
      <c r="CI42" s="97" t="str">
        <f t="shared" si="108"/>
        <v xml:space="preserve"> </v>
      </c>
      <c r="CJ42" s="97" t="str">
        <f t="shared" si="109"/>
        <v xml:space="preserve"> </v>
      </c>
      <c r="CK42" s="97" t="str">
        <f t="shared" si="110"/>
        <v xml:space="preserve"> </v>
      </c>
      <c r="CL42" s="97" t="e">
        <f t="shared" si="111"/>
        <v>#REF!</v>
      </c>
      <c r="CM42" s="97" t="e">
        <f t="shared" si="111"/>
        <v>#REF!</v>
      </c>
      <c r="CN42" s="97" t="e">
        <f t="shared" si="111"/>
        <v>#REF!</v>
      </c>
      <c r="CO42" s="97" t="e">
        <f t="shared" si="111"/>
        <v>#REF!</v>
      </c>
      <c r="CP42" s="97"/>
      <c r="CQ42" s="97"/>
      <c r="CR42" s="97"/>
      <c r="CS42" s="97"/>
      <c r="CT42" s="105">
        <f t="shared" si="123"/>
        <v>1</v>
      </c>
      <c r="CU42" s="118"/>
      <c r="CV42" s="95">
        <f t="shared" si="42"/>
        <v>6728</v>
      </c>
      <c r="CW42" s="124" t="str">
        <f t="shared" si="43"/>
        <v>NBAA</v>
      </c>
      <c r="CX42" s="97">
        <f t="shared" si="112"/>
        <v>11426</v>
      </c>
      <c r="CY42" s="97">
        <f t="shared" si="113"/>
        <v>10804</v>
      </c>
      <c r="CZ42" s="97">
        <f t="shared" si="114"/>
        <v>12609</v>
      </c>
      <c r="DA42" s="97">
        <f t="shared" si="115"/>
        <v>9628</v>
      </c>
      <c r="DB42" s="97">
        <f t="shared" si="116"/>
        <v>11350</v>
      </c>
      <c r="DC42" s="97">
        <f t="shared" si="117"/>
        <v>11104</v>
      </c>
      <c r="DD42" s="97">
        <f t="shared" si="118"/>
        <v>11400</v>
      </c>
      <c r="DE42" s="97"/>
      <c r="DF42" s="97"/>
      <c r="DG42" s="97"/>
      <c r="DH42" s="97"/>
      <c r="DI42" s="97"/>
      <c r="DM42" s="187">
        <f t="shared" si="69"/>
        <v>11188.714285714286</v>
      </c>
    </row>
    <row r="43" spans="1:118" ht="15.75" x14ac:dyDescent="0.25">
      <c r="A43" s="196">
        <f t="shared" si="6"/>
        <v>12296</v>
      </c>
      <c r="B43" s="197" t="str">
        <f t="shared" si="7"/>
        <v>NBAA</v>
      </c>
      <c r="C43" s="41" t="str">
        <f t="shared" si="8"/>
        <v xml:space="preserve"> </v>
      </c>
      <c r="D43" s="38">
        <f t="shared" si="9"/>
        <v>4</v>
      </c>
      <c r="E43" s="24">
        <f t="shared" si="10"/>
        <v>4</v>
      </c>
      <c r="F43" s="24">
        <f t="shared" si="11"/>
        <v>4</v>
      </c>
      <c r="G43" s="136" t="str">
        <f t="shared" si="12"/>
        <v xml:space="preserve"> </v>
      </c>
      <c r="I43" s="27">
        <v>12296</v>
      </c>
      <c r="J43" s="55" t="s">
        <v>26</v>
      </c>
      <c r="K43" s="97">
        <f t="shared" si="79"/>
        <v>0</v>
      </c>
      <c r="L43" s="97">
        <f t="shared" si="80"/>
        <v>0</v>
      </c>
      <c r="M43" s="97">
        <f t="shared" si="81"/>
        <v>0</v>
      </c>
      <c r="N43" s="97">
        <f t="shared" si="82"/>
        <v>0</v>
      </c>
      <c r="O43" s="97">
        <f t="shared" si="83"/>
        <v>0</v>
      </c>
      <c r="P43" s="97">
        <f t="shared" si="84"/>
        <v>0</v>
      </c>
      <c r="Q43" s="97">
        <f t="shared" si="85"/>
        <v>0</v>
      </c>
      <c r="R43" s="97" t="e">
        <f t="shared" si="70"/>
        <v>#REF!</v>
      </c>
      <c r="S43" s="97" t="e">
        <f t="shared" si="124"/>
        <v>#REF!</v>
      </c>
      <c r="T43" s="97" t="e">
        <f t="shared" si="124"/>
        <v>#REF!</v>
      </c>
      <c r="U43" s="97" t="e">
        <f t="shared" si="124"/>
        <v>#REF!</v>
      </c>
      <c r="V43" s="97"/>
      <c r="W43" s="97"/>
      <c r="X43" s="97"/>
      <c r="Y43" s="97"/>
      <c r="Z43" s="105" t="str">
        <f t="shared" si="119"/>
        <v xml:space="preserve"> </v>
      </c>
      <c r="AA43" s="114"/>
      <c r="AB43" s="97" t="str">
        <f t="shared" si="86"/>
        <v xml:space="preserve"> </v>
      </c>
      <c r="AC43" s="97" t="str">
        <f t="shared" si="87"/>
        <v>X</v>
      </c>
      <c r="AD43" s="97" t="str">
        <f t="shared" si="88"/>
        <v xml:space="preserve"> </v>
      </c>
      <c r="AE43" s="97" t="str">
        <f t="shared" si="89"/>
        <v xml:space="preserve"> </v>
      </c>
      <c r="AF43" s="97" t="str">
        <f t="shared" si="90"/>
        <v>X</v>
      </c>
      <c r="AG43" s="97" t="str">
        <f t="shared" si="91"/>
        <v>X</v>
      </c>
      <c r="AH43" s="97" t="str">
        <f t="shared" si="92"/>
        <v>X</v>
      </c>
      <c r="AI43" s="97" t="e">
        <f t="shared" si="72"/>
        <v>#REF!</v>
      </c>
      <c r="AJ43" s="97" t="e">
        <f t="shared" si="125"/>
        <v>#REF!</v>
      </c>
      <c r="AK43" s="97" t="e">
        <f t="shared" si="125"/>
        <v>#REF!</v>
      </c>
      <c r="AL43" s="97" t="e">
        <f t="shared" si="125"/>
        <v>#REF!</v>
      </c>
      <c r="AM43" s="97"/>
      <c r="AN43" s="97"/>
      <c r="AO43" s="97"/>
      <c r="AP43" s="97"/>
      <c r="AQ43" s="105">
        <f t="shared" si="120"/>
        <v>4</v>
      </c>
      <c r="AR43" s="114"/>
      <c r="AS43" s="95">
        <f t="shared" si="2"/>
        <v>12296</v>
      </c>
      <c r="AT43" s="124" t="str">
        <f t="shared" si="3"/>
        <v>NBAA</v>
      </c>
      <c r="AU43" s="97" t="str">
        <f t="shared" si="93"/>
        <v xml:space="preserve"> </v>
      </c>
      <c r="AV43" s="97" t="str">
        <f t="shared" si="94"/>
        <v xml:space="preserve"> </v>
      </c>
      <c r="AW43" s="97" t="str">
        <f t="shared" si="74"/>
        <v xml:space="preserve"> </v>
      </c>
      <c r="AX43" s="97" t="str">
        <f t="shared" si="75"/>
        <v xml:space="preserve"> </v>
      </c>
      <c r="AY43" s="97" t="str">
        <f t="shared" si="76"/>
        <v xml:space="preserve"> </v>
      </c>
      <c r="AZ43" s="97" t="str">
        <f t="shared" si="77"/>
        <v xml:space="preserve"> </v>
      </c>
      <c r="BA43" s="97" t="str">
        <f t="shared" si="78"/>
        <v xml:space="preserve"> </v>
      </c>
      <c r="BB43" s="97" t="e">
        <f t="shared" si="95"/>
        <v>#REF!</v>
      </c>
      <c r="BC43" s="97" t="e">
        <f t="shared" si="95"/>
        <v>#REF!</v>
      </c>
      <c r="BD43" s="97" t="e">
        <f t="shared" si="95"/>
        <v>#REF!</v>
      </c>
      <c r="BE43" s="97" t="e">
        <f t="shared" si="95"/>
        <v>#REF!</v>
      </c>
      <c r="BF43" s="97"/>
      <c r="BG43" s="97"/>
      <c r="BH43" s="97"/>
      <c r="BI43" s="97"/>
      <c r="BJ43" s="105" t="str">
        <f t="shared" si="121"/>
        <v xml:space="preserve"> </v>
      </c>
      <c r="BK43" s="114"/>
      <c r="BL43" s="97" t="str">
        <f t="shared" si="96"/>
        <v xml:space="preserve"> </v>
      </c>
      <c r="BM43" s="97" t="str">
        <f t="shared" si="97"/>
        <v>X</v>
      </c>
      <c r="BN43" s="97" t="str">
        <f t="shared" si="98"/>
        <v xml:space="preserve"> </v>
      </c>
      <c r="BO43" s="97" t="str">
        <f t="shared" si="99"/>
        <v xml:space="preserve"> </v>
      </c>
      <c r="BP43" s="97" t="str">
        <f t="shared" si="100"/>
        <v>X</v>
      </c>
      <c r="BQ43" s="97" t="str">
        <f t="shared" si="101"/>
        <v>X</v>
      </c>
      <c r="BR43" s="97" t="str">
        <f t="shared" si="102"/>
        <v>X</v>
      </c>
      <c r="BS43" s="97" t="e">
        <f t="shared" si="103"/>
        <v>#REF!</v>
      </c>
      <c r="BT43" s="97" t="e">
        <f t="shared" si="103"/>
        <v>#REF!</v>
      </c>
      <c r="BU43" s="97" t="e">
        <f t="shared" si="103"/>
        <v>#REF!</v>
      </c>
      <c r="BV43" s="97" t="e">
        <f t="shared" si="103"/>
        <v>#REF!</v>
      </c>
      <c r="BW43" s="97"/>
      <c r="BX43" s="97"/>
      <c r="BY43" s="97"/>
      <c r="BZ43" s="97"/>
      <c r="CA43" s="105">
        <f t="shared" si="122"/>
        <v>4</v>
      </c>
      <c r="CB43" s="114"/>
      <c r="CC43" s="95">
        <f t="shared" si="31"/>
        <v>12296</v>
      </c>
      <c r="CD43" s="124" t="str">
        <f t="shared" si="32"/>
        <v>NBAA</v>
      </c>
      <c r="CE43" s="97" t="str">
        <f t="shared" si="104"/>
        <v xml:space="preserve"> </v>
      </c>
      <c r="CF43" s="97" t="str">
        <f t="shared" si="105"/>
        <v>X</v>
      </c>
      <c r="CG43" s="97" t="str">
        <f t="shared" si="106"/>
        <v xml:space="preserve"> </v>
      </c>
      <c r="CH43" s="97" t="str">
        <f t="shared" si="107"/>
        <v xml:space="preserve"> </v>
      </c>
      <c r="CI43" s="97" t="str">
        <f t="shared" si="108"/>
        <v>X</v>
      </c>
      <c r="CJ43" s="97" t="str">
        <f t="shared" si="109"/>
        <v>X</v>
      </c>
      <c r="CK43" s="97" t="str">
        <f t="shared" si="110"/>
        <v>X</v>
      </c>
      <c r="CL43" s="97" t="e">
        <f t="shared" si="111"/>
        <v>#REF!</v>
      </c>
      <c r="CM43" s="97" t="e">
        <f t="shared" si="111"/>
        <v>#REF!</v>
      </c>
      <c r="CN43" s="97" t="e">
        <f t="shared" si="111"/>
        <v>#REF!</v>
      </c>
      <c r="CO43" s="97" t="e">
        <f t="shared" si="111"/>
        <v>#REF!</v>
      </c>
      <c r="CP43" s="97"/>
      <c r="CQ43" s="97"/>
      <c r="CR43" s="97"/>
      <c r="CS43" s="97"/>
      <c r="CT43" s="105">
        <f t="shared" si="123"/>
        <v>4</v>
      </c>
      <c r="CU43" s="118"/>
      <c r="CV43" s="95">
        <f t="shared" si="42"/>
        <v>12296</v>
      </c>
      <c r="CW43" s="124" t="str">
        <f t="shared" si="43"/>
        <v>NBAA</v>
      </c>
      <c r="CX43" s="97">
        <f t="shared" si="112"/>
        <v>0</v>
      </c>
      <c r="CY43" s="97">
        <f t="shared" si="113"/>
        <v>0</v>
      </c>
      <c r="CZ43" s="97">
        <f t="shared" si="114"/>
        <v>0</v>
      </c>
      <c r="DA43" s="97">
        <f t="shared" si="115"/>
        <v>0</v>
      </c>
      <c r="DB43" s="97">
        <f t="shared" si="116"/>
        <v>0</v>
      </c>
      <c r="DC43" s="97">
        <f t="shared" si="117"/>
        <v>0</v>
      </c>
      <c r="DD43" s="97">
        <f t="shared" si="118"/>
        <v>0</v>
      </c>
      <c r="DE43" s="97"/>
      <c r="DF43" s="97"/>
      <c r="DG43" s="97"/>
      <c r="DH43" s="97"/>
      <c r="DI43" s="97"/>
      <c r="DM43" s="187">
        <f t="shared" si="69"/>
        <v>0</v>
      </c>
    </row>
    <row r="44" spans="1:118" ht="15.75" x14ac:dyDescent="0.25">
      <c r="A44" s="196">
        <f t="shared" si="6"/>
        <v>15966</v>
      </c>
      <c r="B44" s="197" t="str">
        <f t="shared" si="7"/>
        <v>NBAA</v>
      </c>
      <c r="C44" s="41">
        <f t="shared" si="8"/>
        <v>2</v>
      </c>
      <c r="D44" s="38">
        <f t="shared" si="9"/>
        <v>2</v>
      </c>
      <c r="E44" s="24">
        <f t="shared" si="10"/>
        <v>2</v>
      </c>
      <c r="F44" s="24">
        <f t="shared" si="11"/>
        <v>2</v>
      </c>
      <c r="G44" s="136" t="str">
        <f t="shared" si="12"/>
        <v xml:space="preserve"> </v>
      </c>
      <c r="I44" s="27">
        <v>15966</v>
      </c>
      <c r="J44" s="55" t="s">
        <v>26</v>
      </c>
      <c r="K44" s="97">
        <f t="shared" si="79"/>
        <v>0</v>
      </c>
      <c r="L44" s="97">
        <f t="shared" si="80"/>
        <v>0</v>
      </c>
      <c r="M44" s="97" t="str">
        <f t="shared" si="81"/>
        <v>X</v>
      </c>
      <c r="N44" s="97" t="str">
        <f t="shared" si="82"/>
        <v>X</v>
      </c>
      <c r="O44" s="97">
        <f t="shared" si="83"/>
        <v>0</v>
      </c>
      <c r="P44" s="97">
        <f t="shared" si="84"/>
        <v>0</v>
      </c>
      <c r="Q44" s="97">
        <f t="shared" si="85"/>
        <v>0</v>
      </c>
      <c r="R44" s="97" t="e">
        <f t="shared" si="70"/>
        <v>#REF!</v>
      </c>
      <c r="S44" s="97" t="e">
        <f t="shared" si="124"/>
        <v>#REF!</v>
      </c>
      <c r="T44" s="97" t="e">
        <f t="shared" si="124"/>
        <v>#REF!</v>
      </c>
      <c r="U44" s="97" t="e">
        <f t="shared" si="124"/>
        <v>#REF!</v>
      </c>
      <c r="V44" s="97"/>
      <c r="W44" s="97"/>
      <c r="X44" s="97"/>
      <c r="Y44" s="97"/>
      <c r="Z44" s="105">
        <f t="shared" si="119"/>
        <v>2</v>
      </c>
      <c r="AA44" s="114"/>
      <c r="AB44" s="97" t="str">
        <f t="shared" si="86"/>
        <v xml:space="preserve"> </v>
      </c>
      <c r="AC44" s="97" t="str">
        <f t="shared" si="87"/>
        <v xml:space="preserve"> </v>
      </c>
      <c r="AD44" s="97" t="str">
        <f t="shared" si="88"/>
        <v xml:space="preserve"> </v>
      </c>
      <c r="AE44" s="97" t="str">
        <f t="shared" si="89"/>
        <v xml:space="preserve"> </v>
      </c>
      <c r="AF44" s="97" t="str">
        <f t="shared" si="90"/>
        <v>X</v>
      </c>
      <c r="AG44" s="97" t="str">
        <f t="shared" si="91"/>
        <v>X</v>
      </c>
      <c r="AH44" s="97" t="str">
        <f t="shared" si="92"/>
        <v xml:space="preserve"> </v>
      </c>
      <c r="AI44" s="97" t="e">
        <f t="shared" si="72"/>
        <v>#REF!</v>
      </c>
      <c r="AJ44" s="97" t="e">
        <f t="shared" si="125"/>
        <v>#REF!</v>
      </c>
      <c r="AK44" s="97" t="e">
        <f t="shared" si="125"/>
        <v>#REF!</v>
      </c>
      <c r="AL44" s="97" t="e">
        <f t="shared" si="125"/>
        <v>#REF!</v>
      </c>
      <c r="AM44" s="97"/>
      <c r="AN44" s="97"/>
      <c r="AO44" s="97"/>
      <c r="AP44" s="97"/>
      <c r="AQ44" s="105">
        <f t="shared" si="120"/>
        <v>2</v>
      </c>
      <c r="AR44" s="114"/>
      <c r="AS44" s="95">
        <f t="shared" si="2"/>
        <v>15966</v>
      </c>
      <c r="AT44" s="124" t="str">
        <f t="shared" si="3"/>
        <v>NBAA</v>
      </c>
      <c r="AU44" s="97" t="str">
        <f t="shared" si="93"/>
        <v xml:space="preserve"> </v>
      </c>
      <c r="AV44" s="97" t="str">
        <f t="shared" si="94"/>
        <v xml:space="preserve"> </v>
      </c>
      <c r="AW44" s="97" t="str">
        <f t="shared" si="74"/>
        <v xml:space="preserve"> </v>
      </c>
      <c r="AX44" s="97" t="str">
        <f t="shared" si="75"/>
        <v xml:space="preserve"> </v>
      </c>
      <c r="AY44" s="97" t="str">
        <f t="shared" si="76"/>
        <v xml:space="preserve"> </v>
      </c>
      <c r="AZ44" s="97" t="str">
        <f t="shared" si="77"/>
        <v xml:space="preserve"> </v>
      </c>
      <c r="BA44" s="97" t="str">
        <f t="shared" si="78"/>
        <v xml:space="preserve"> </v>
      </c>
      <c r="BB44" s="97" t="e">
        <f t="shared" si="95"/>
        <v>#REF!</v>
      </c>
      <c r="BC44" s="97" t="e">
        <f t="shared" si="95"/>
        <v>#REF!</v>
      </c>
      <c r="BD44" s="97" t="e">
        <f t="shared" si="95"/>
        <v>#REF!</v>
      </c>
      <c r="BE44" s="97" t="e">
        <f t="shared" si="95"/>
        <v>#REF!</v>
      </c>
      <c r="BF44" s="97"/>
      <c r="BG44" s="97"/>
      <c r="BH44" s="97"/>
      <c r="BI44" s="97"/>
      <c r="BJ44" s="105" t="str">
        <f t="shared" si="121"/>
        <v xml:space="preserve"> </v>
      </c>
      <c r="BK44" s="114"/>
      <c r="BL44" s="97" t="str">
        <f t="shared" si="96"/>
        <v xml:space="preserve"> </v>
      </c>
      <c r="BM44" s="97" t="str">
        <f t="shared" si="97"/>
        <v xml:space="preserve"> </v>
      </c>
      <c r="BN44" s="97" t="str">
        <f t="shared" si="98"/>
        <v xml:space="preserve"> </v>
      </c>
      <c r="BO44" s="97" t="str">
        <f t="shared" si="99"/>
        <v xml:space="preserve"> </v>
      </c>
      <c r="BP44" s="97" t="str">
        <f t="shared" si="100"/>
        <v>X</v>
      </c>
      <c r="BQ44" s="97" t="str">
        <f t="shared" si="101"/>
        <v>X</v>
      </c>
      <c r="BR44" s="97" t="str">
        <f t="shared" si="102"/>
        <v xml:space="preserve"> </v>
      </c>
      <c r="BS44" s="97" t="e">
        <f t="shared" si="103"/>
        <v>#REF!</v>
      </c>
      <c r="BT44" s="97" t="e">
        <f t="shared" si="103"/>
        <v>#REF!</v>
      </c>
      <c r="BU44" s="97" t="e">
        <f t="shared" si="103"/>
        <v>#REF!</v>
      </c>
      <c r="BV44" s="97" t="e">
        <f t="shared" si="103"/>
        <v>#REF!</v>
      </c>
      <c r="BW44" s="97"/>
      <c r="BX44" s="97"/>
      <c r="BY44" s="97"/>
      <c r="BZ44" s="97"/>
      <c r="CA44" s="105">
        <f t="shared" si="122"/>
        <v>2</v>
      </c>
      <c r="CB44" s="114"/>
      <c r="CC44" s="95">
        <f t="shared" si="31"/>
        <v>15966</v>
      </c>
      <c r="CD44" s="124" t="str">
        <f t="shared" si="32"/>
        <v>NBAA</v>
      </c>
      <c r="CE44" s="97" t="str">
        <f t="shared" si="104"/>
        <v xml:space="preserve"> </v>
      </c>
      <c r="CF44" s="97" t="str">
        <f t="shared" si="105"/>
        <v xml:space="preserve"> </v>
      </c>
      <c r="CG44" s="97" t="str">
        <f t="shared" si="106"/>
        <v xml:space="preserve"> </v>
      </c>
      <c r="CH44" s="97" t="str">
        <f t="shared" si="107"/>
        <v xml:space="preserve"> </v>
      </c>
      <c r="CI44" s="97" t="str">
        <f t="shared" si="108"/>
        <v>X</v>
      </c>
      <c r="CJ44" s="97" t="str">
        <f t="shared" si="109"/>
        <v>X</v>
      </c>
      <c r="CK44" s="97" t="str">
        <f t="shared" si="110"/>
        <v xml:space="preserve"> </v>
      </c>
      <c r="CL44" s="97" t="e">
        <f t="shared" si="111"/>
        <v>#REF!</v>
      </c>
      <c r="CM44" s="97" t="e">
        <f t="shared" si="111"/>
        <v>#REF!</v>
      </c>
      <c r="CN44" s="97" t="e">
        <f t="shared" si="111"/>
        <v>#REF!</v>
      </c>
      <c r="CO44" s="97" t="e">
        <f t="shared" si="111"/>
        <v>#REF!</v>
      </c>
      <c r="CP44" s="97"/>
      <c r="CQ44" s="97"/>
      <c r="CR44" s="97"/>
      <c r="CS44" s="97"/>
      <c r="CT44" s="105">
        <f t="shared" si="123"/>
        <v>2</v>
      </c>
      <c r="CU44" s="118"/>
      <c r="CV44" s="95">
        <f t="shared" si="42"/>
        <v>15966</v>
      </c>
      <c r="CW44" s="124" t="str">
        <f t="shared" si="43"/>
        <v>NBAA</v>
      </c>
      <c r="CX44" s="97">
        <f t="shared" si="112"/>
        <v>61466</v>
      </c>
      <c r="CY44" s="97">
        <f t="shared" si="113"/>
        <v>60509</v>
      </c>
      <c r="CZ44" s="97">
        <f t="shared" si="114"/>
        <v>59597</v>
      </c>
      <c r="DA44" s="97">
        <f t="shared" si="115"/>
        <v>60034</v>
      </c>
      <c r="DB44" s="97">
        <f t="shared" si="116"/>
        <v>36299</v>
      </c>
      <c r="DC44" s="97">
        <f t="shared" si="117"/>
        <v>36634</v>
      </c>
      <c r="DD44" s="97">
        <f t="shared" si="118"/>
        <v>36838</v>
      </c>
      <c r="DE44" s="97"/>
      <c r="DF44" s="97"/>
      <c r="DG44" s="97"/>
      <c r="DH44" s="97"/>
      <c r="DI44" s="97"/>
      <c r="DM44" s="187">
        <f t="shared" si="69"/>
        <v>50196.714285714283</v>
      </c>
    </row>
    <row r="45" spans="1:118" ht="15.75" x14ac:dyDescent="0.25">
      <c r="A45" s="196">
        <f t="shared" si="6"/>
        <v>30069</v>
      </c>
      <c r="B45" s="197" t="str">
        <f t="shared" si="7"/>
        <v>NBAA</v>
      </c>
      <c r="C45" s="41" t="str">
        <f t="shared" si="8"/>
        <v xml:space="preserve"> </v>
      </c>
      <c r="D45" s="38">
        <f t="shared" si="9"/>
        <v>1</v>
      </c>
      <c r="E45" s="24">
        <f t="shared" si="10"/>
        <v>1</v>
      </c>
      <c r="F45" s="24">
        <f t="shared" si="11"/>
        <v>2</v>
      </c>
      <c r="G45" s="136" t="str">
        <f t="shared" si="12"/>
        <v xml:space="preserve"> </v>
      </c>
      <c r="I45" s="27">
        <v>30069</v>
      </c>
      <c r="J45" s="55" t="s">
        <v>26</v>
      </c>
      <c r="K45" s="97">
        <f t="shared" si="79"/>
        <v>0</v>
      </c>
      <c r="L45" s="97">
        <f t="shared" si="80"/>
        <v>0</v>
      </c>
      <c r="M45" s="97">
        <f t="shared" si="81"/>
        <v>0</v>
      </c>
      <c r="N45" s="97">
        <f t="shared" si="82"/>
        <v>0</v>
      </c>
      <c r="O45" s="97">
        <f t="shared" si="83"/>
        <v>0</v>
      </c>
      <c r="P45" s="97">
        <f t="shared" si="84"/>
        <v>0</v>
      </c>
      <c r="Q45" s="97">
        <f t="shared" si="85"/>
        <v>0</v>
      </c>
      <c r="R45" s="97" t="e">
        <f t="shared" si="70"/>
        <v>#REF!</v>
      </c>
      <c r="S45" s="97" t="e">
        <f t="shared" si="124"/>
        <v>#REF!</v>
      </c>
      <c r="T45" s="97" t="e">
        <f t="shared" si="124"/>
        <v>#REF!</v>
      </c>
      <c r="U45" s="97" t="e">
        <f t="shared" si="124"/>
        <v>#REF!</v>
      </c>
      <c r="V45" s="97"/>
      <c r="W45" s="97"/>
      <c r="X45" s="97"/>
      <c r="Y45" s="97"/>
      <c r="Z45" s="105" t="str">
        <f t="shared" si="119"/>
        <v xml:space="preserve"> </v>
      </c>
      <c r="AA45" s="114"/>
      <c r="AB45" s="97" t="str">
        <f t="shared" si="86"/>
        <v xml:space="preserve"> </v>
      </c>
      <c r="AC45" s="97" t="str">
        <f t="shared" si="87"/>
        <v>X</v>
      </c>
      <c r="AD45" s="97" t="str">
        <f t="shared" si="88"/>
        <v xml:space="preserve"> </v>
      </c>
      <c r="AE45" s="97" t="str">
        <f t="shared" si="89"/>
        <v xml:space="preserve"> </v>
      </c>
      <c r="AF45" s="97" t="str">
        <f t="shared" si="90"/>
        <v xml:space="preserve"> </v>
      </c>
      <c r="AG45" s="97" t="str">
        <f t="shared" si="91"/>
        <v xml:space="preserve"> </v>
      </c>
      <c r="AH45" s="97" t="str">
        <f t="shared" si="92"/>
        <v xml:space="preserve"> </v>
      </c>
      <c r="AI45" s="97" t="e">
        <f t="shared" si="72"/>
        <v>#REF!</v>
      </c>
      <c r="AJ45" s="97" t="e">
        <f t="shared" si="125"/>
        <v>#REF!</v>
      </c>
      <c r="AK45" s="97" t="e">
        <f t="shared" si="125"/>
        <v>#REF!</v>
      </c>
      <c r="AL45" s="97" t="e">
        <f t="shared" si="125"/>
        <v>#REF!</v>
      </c>
      <c r="AM45" s="97"/>
      <c r="AN45" s="97"/>
      <c r="AO45" s="97"/>
      <c r="AP45" s="97"/>
      <c r="AQ45" s="105">
        <f t="shared" si="120"/>
        <v>1</v>
      </c>
      <c r="AR45" s="114"/>
      <c r="AS45" s="95">
        <f t="shared" si="2"/>
        <v>30069</v>
      </c>
      <c r="AT45" s="124" t="str">
        <f t="shared" si="3"/>
        <v>NBAA</v>
      </c>
      <c r="AU45" s="97" t="str">
        <f t="shared" si="93"/>
        <v xml:space="preserve"> </v>
      </c>
      <c r="AV45" s="97" t="str">
        <f t="shared" si="94"/>
        <v xml:space="preserve"> </v>
      </c>
      <c r="AW45" s="97" t="str">
        <f t="shared" si="74"/>
        <v xml:space="preserve"> </v>
      </c>
      <c r="AX45" s="97" t="str">
        <f t="shared" si="75"/>
        <v xml:space="preserve"> </v>
      </c>
      <c r="AY45" s="97" t="str">
        <f t="shared" si="76"/>
        <v xml:space="preserve"> </v>
      </c>
      <c r="AZ45" s="97" t="str">
        <f t="shared" si="77"/>
        <v xml:space="preserve"> </v>
      </c>
      <c r="BA45" s="97" t="str">
        <f t="shared" si="78"/>
        <v xml:space="preserve"> </v>
      </c>
      <c r="BB45" s="97" t="e">
        <f t="shared" si="95"/>
        <v>#REF!</v>
      </c>
      <c r="BC45" s="97" t="e">
        <f t="shared" si="95"/>
        <v>#REF!</v>
      </c>
      <c r="BD45" s="97" t="e">
        <f t="shared" si="95"/>
        <v>#REF!</v>
      </c>
      <c r="BE45" s="97" t="e">
        <f t="shared" si="95"/>
        <v>#REF!</v>
      </c>
      <c r="BF45" s="97"/>
      <c r="BG45" s="97"/>
      <c r="BH45" s="97"/>
      <c r="BI45" s="97"/>
      <c r="BJ45" s="105" t="str">
        <f t="shared" si="121"/>
        <v xml:space="preserve"> </v>
      </c>
      <c r="BK45" s="114"/>
      <c r="BL45" s="97" t="str">
        <f t="shared" si="96"/>
        <v xml:space="preserve"> </v>
      </c>
      <c r="BM45" s="97" t="str">
        <f t="shared" si="97"/>
        <v>X</v>
      </c>
      <c r="BN45" s="97" t="str">
        <f t="shared" si="98"/>
        <v xml:space="preserve"> </v>
      </c>
      <c r="BO45" s="97" t="str">
        <f t="shared" si="99"/>
        <v xml:space="preserve"> </v>
      </c>
      <c r="BP45" s="97" t="str">
        <f t="shared" si="100"/>
        <v xml:space="preserve"> </v>
      </c>
      <c r="BQ45" s="97" t="str">
        <f t="shared" si="101"/>
        <v xml:space="preserve"> </v>
      </c>
      <c r="BR45" s="97" t="str">
        <f t="shared" si="102"/>
        <v xml:space="preserve"> </v>
      </c>
      <c r="BS45" s="97" t="e">
        <f t="shared" si="103"/>
        <v>#REF!</v>
      </c>
      <c r="BT45" s="97" t="e">
        <f t="shared" si="103"/>
        <v>#REF!</v>
      </c>
      <c r="BU45" s="97" t="e">
        <f t="shared" si="103"/>
        <v>#REF!</v>
      </c>
      <c r="BV45" s="97" t="e">
        <f t="shared" si="103"/>
        <v>#REF!</v>
      </c>
      <c r="BW45" s="97"/>
      <c r="BX45" s="97"/>
      <c r="BY45" s="97"/>
      <c r="BZ45" s="97"/>
      <c r="CA45" s="105">
        <f t="shared" si="122"/>
        <v>1</v>
      </c>
      <c r="CB45" s="114"/>
      <c r="CC45" s="95">
        <f t="shared" si="31"/>
        <v>30069</v>
      </c>
      <c r="CD45" s="124" t="str">
        <f t="shared" si="32"/>
        <v>NBAA</v>
      </c>
      <c r="CE45" s="97" t="str">
        <f t="shared" si="104"/>
        <v xml:space="preserve"> </v>
      </c>
      <c r="CF45" s="97" t="str">
        <f t="shared" si="105"/>
        <v>X</v>
      </c>
      <c r="CG45" s="97" t="str">
        <f t="shared" si="106"/>
        <v xml:space="preserve"> </v>
      </c>
      <c r="CH45" s="97" t="str">
        <f t="shared" si="107"/>
        <v>X</v>
      </c>
      <c r="CI45" s="97" t="str">
        <f t="shared" si="108"/>
        <v xml:space="preserve"> </v>
      </c>
      <c r="CJ45" s="97" t="str">
        <f t="shared" si="109"/>
        <v xml:space="preserve"> </v>
      </c>
      <c r="CK45" s="97" t="str">
        <f t="shared" si="110"/>
        <v xml:space="preserve"> </v>
      </c>
      <c r="CL45" s="97" t="e">
        <f t="shared" si="111"/>
        <v>#REF!</v>
      </c>
      <c r="CM45" s="97" t="e">
        <f t="shared" si="111"/>
        <v>#REF!</v>
      </c>
      <c r="CN45" s="97" t="e">
        <f t="shared" si="111"/>
        <v>#REF!</v>
      </c>
      <c r="CO45" s="97" t="e">
        <f t="shared" si="111"/>
        <v>#REF!</v>
      </c>
      <c r="CP45" s="97"/>
      <c r="CQ45" s="97"/>
      <c r="CR45" s="97"/>
      <c r="CS45" s="97"/>
      <c r="CT45" s="105">
        <f t="shared" si="123"/>
        <v>2</v>
      </c>
      <c r="CU45" s="118"/>
      <c r="CV45" s="95">
        <f t="shared" si="42"/>
        <v>30069</v>
      </c>
      <c r="CW45" s="124" t="str">
        <f t="shared" si="43"/>
        <v>NBAA</v>
      </c>
      <c r="CX45" s="97">
        <f t="shared" si="112"/>
        <v>10372</v>
      </c>
      <c r="CY45" s="97">
        <f t="shared" si="113"/>
        <v>531</v>
      </c>
      <c r="CZ45" s="97">
        <f t="shared" si="114"/>
        <v>1981</v>
      </c>
      <c r="DA45" s="97">
        <f t="shared" si="115"/>
        <v>10055</v>
      </c>
      <c r="DB45" s="97">
        <f t="shared" si="116"/>
        <v>10015</v>
      </c>
      <c r="DC45" s="97">
        <f t="shared" si="117"/>
        <v>10037</v>
      </c>
      <c r="DD45" s="97">
        <f t="shared" si="118"/>
        <v>10012</v>
      </c>
      <c r="DE45" s="97"/>
      <c r="DF45" s="97"/>
      <c r="DG45" s="97"/>
      <c r="DH45" s="97"/>
      <c r="DI45" s="97"/>
      <c r="DM45" s="187">
        <f t="shared" si="69"/>
        <v>7571.8571428571431</v>
      </c>
      <c r="DN45" s="206">
        <f>SUM(DM23:DM45)</f>
        <v>1366997.9523809522</v>
      </c>
    </row>
    <row r="46" spans="1:118" ht="15.75" x14ac:dyDescent="0.25">
      <c r="A46" s="196">
        <f t="shared" si="6"/>
        <v>51</v>
      </c>
      <c r="B46" s="197" t="str">
        <f t="shared" si="7"/>
        <v>NGSA</v>
      </c>
      <c r="C46" s="41" t="str">
        <f t="shared" si="8"/>
        <v xml:space="preserve"> </v>
      </c>
      <c r="D46" s="38" t="str">
        <f t="shared" si="9"/>
        <v xml:space="preserve"> </v>
      </c>
      <c r="E46" s="24" t="str">
        <f t="shared" si="10"/>
        <v xml:space="preserve"> </v>
      </c>
      <c r="F46" s="24" t="str">
        <f t="shared" si="11"/>
        <v xml:space="preserve"> </v>
      </c>
      <c r="G46" s="136" t="str">
        <f t="shared" si="12"/>
        <v xml:space="preserve"> </v>
      </c>
      <c r="I46" s="27">
        <v>51</v>
      </c>
      <c r="J46" s="55" t="s">
        <v>27</v>
      </c>
      <c r="K46" s="97">
        <f>VLOOKUP($I46,ngsa0201,17,FALSE)</f>
        <v>0</v>
      </c>
      <c r="L46" s="97">
        <f>VLOOKUP($I46,ngsa0205,17,FALSE)</f>
        <v>0</v>
      </c>
      <c r="M46" s="97">
        <f>VLOOKUP($I46,ngsa0221,17,FALSE)</f>
        <v>0</v>
      </c>
      <c r="N46" s="97">
        <f>VLOOKUP($I46,ngsa0226,17,FALSE)</f>
        <v>0</v>
      </c>
      <c r="O46" s="97" t="e">
        <f>VLOOKUP($I46,ngsa0320,17,FALSE)</f>
        <v>#N/A</v>
      </c>
      <c r="P46" s="97" t="e">
        <f>VLOOKUP($I46,ngsa0321,17,FALSE)</f>
        <v>#N/A</v>
      </c>
      <c r="Q46" s="97" t="e">
        <f>VLOOKUP($I46,ngsa0322,17,FALSE)</f>
        <v>#N/A</v>
      </c>
      <c r="R46" s="97" t="e">
        <f>VLOOKUP($I46,ngsaTEMP,17,FALSE)</f>
        <v>#REF!</v>
      </c>
      <c r="S46" s="97" t="e">
        <f t="shared" ref="S46:U61" si="126">VLOOKUP($I46,ngsaTEMP,17,FALSE)</f>
        <v>#REF!</v>
      </c>
      <c r="T46" s="97" t="e">
        <f t="shared" si="126"/>
        <v>#REF!</v>
      </c>
      <c r="U46" s="97" t="e">
        <f t="shared" si="126"/>
        <v>#REF!</v>
      </c>
      <c r="V46" s="97"/>
      <c r="W46" s="97"/>
      <c r="X46" s="97"/>
      <c r="Y46" s="97"/>
      <c r="Z46" s="105" t="str">
        <f t="shared" si="119"/>
        <v xml:space="preserve"> </v>
      </c>
      <c r="AA46" s="114"/>
      <c r="AB46" s="97" t="str">
        <f>VLOOKUP($I46,ngsa0201,18,FALSE)</f>
        <v xml:space="preserve"> </v>
      </c>
      <c r="AC46" s="97" t="str">
        <f>VLOOKUP($I46,ngsa0205,18,FALSE)</f>
        <v xml:space="preserve"> </v>
      </c>
      <c r="AD46" s="97" t="str">
        <f>VLOOKUP($I46,ngsa0221,18,FALSE)</f>
        <v xml:space="preserve"> </v>
      </c>
      <c r="AE46" s="97" t="str">
        <f>VLOOKUP($I46,ngsa0226,18,FALSE)</f>
        <v xml:space="preserve"> </v>
      </c>
      <c r="AF46" s="97" t="e">
        <f>VLOOKUP($I46,ngsa0320,18,FALSE)</f>
        <v>#N/A</v>
      </c>
      <c r="AG46" s="97" t="e">
        <f>VLOOKUP($I46,ngsa0321,18,FALSE)</f>
        <v>#N/A</v>
      </c>
      <c r="AH46" s="97" t="e">
        <f>VLOOKUP($I46,ngsa0322,18,FALSE)</f>
        <v>#N/A</v>
      </c>
      <c r="AI46" s="97" t="e">
        <f>VLOOKUP($I46,ngsaTEMP,18,FALSE)</f>
        <v>#REF!</v>
      </c>
      <c r="AJ46" s="97" t="e">
        <f t="shared" ref="AJ46:AL61" si="127">VLOOKUP($I46,ngsaTEMP,18,FALSE)</f>
        <v>#REF!</v>
      </c>
      <c r="AK46" s="97" t="e">
        <f t="shared" si="127"/>
        <v>#REF!</v>
      </c>
      <c r="AL46" s="97" t="e">
        <f t="shared" si="127"/>
        <v>#REF!</v>
      </c>
      <c r="AM46" s="97"/>
      <c r="AN46" s="97"/>
      <c r="AO46" s="97"/>
      <c r="AP46" s="97"/>
      <c r="AQ46" s="105" t="str">
        <f t="shared" si="120"/>
        <v xml:space="preserve"> </v>
      </c>
      <c r="AR46" s="114"/>
      <c r="AS46" s="95">
        <f t="shared" si="2"/>
        <v>51</v>
      </c>
      <c r="AT46" s="124" t="str">
        <f t="shared" si="3"/>
        <v>NGSA</v>
      </c>
      <c r="AU46" s="97" t="str">
        <f>VLOOKUP($I46,ngsa0201,19,FALSE)</f>
        <v xml:space="preserve"> </v>
      </c>
      <c r="AV46" s="97" t="str">
        <f>VLOOKUP($I46,ngsa0205,19,FALSE)</f>
        <v xml:space="preserve"> </v>
      </c>
      <c r="AW46" s="97" t="str">
        <f>VLOOKUP($I46,ngsa0221,19,FALSE)</f>
        <v xml:space="preserve"> </v>
      </c>
      <c r="AX46" s="97" t="str">
        <f>VLOOKUP($I46,ngsa0226,19,FALSE)</f>
        <v xml:space="preserve"> </v>
      </c>
      <c r="AY46" s="97" t="e">
        <f>VLOOKUP($I46,ngsa0320,19,FALSE)</f>
        <v>#N/A</v>
      </c>
      <c r="AZ46" s="97" t="e">
        <f>VLOOKUP($I46,ngsa0321,19,FALSE)</f>
        <v>#N/A</v>
      </c>
      <c r="BA46" s="97" t="e">
        <f>VLOOKUP($I46,ngsa0322,19,FALSE)</f>
        <v>#N/A</v>
      </c>
      <c r="BB46" s="97" t="e">
        <f>VLOOKUP($I46,ngsaTEMP,19,FALSE)</f>
        <v>#REF!</v>
      </c>
      <c r="BC46" s="97" t="e">
        <f>VLOOKUP($I46,ngsaTEMP,19,FALSE)</f>
        <v>#REF!</v>
      </c>
      <c r="BD46" s="97" t="e">
        <f>VLOOKUP($I46,ngsaTEMP,19,FALSE)</f>
        <v>#REF!</v>
      </c>
      <c r="BE46" s="97" t="e">
        <f>VLOOKUP($I46,ngsaTEMP,19,FALSE)</f>
        <v>#REF!</v>
      </c>
      <c r="BF46" s="97"/>
      <c r="BG46" s="97"/>
      <c r="BH46" s="97"/>
      <c r="BI46" s="97"/>
      <c r="BJ46" s="105" t="str">
        <f t="shared" si="121"/>
        <v xml:space="preserve"> </v>
      </c>
      <c r="BK46" s="114"/>
      <c r="BL46" s="97" t="str">
        <f>VLOOKUP($I46,ngsa0201,20,FALSE)</f>
        <v xml:space="preserve"> </v>
      </c>
      <c r="BM46" s="97">
        <f>VLOOKUP($I46,ngsa0205,20,FALSE)</f>
        <v>0</v>
      </c>
      <c r="BN46" s="97" t="str">
        <f>VLOOKUP($I46,ngsa0221,20,FALSE)</f>
        <v xml:space="preserve"> </v>
      </c>
      <c r="BO46" s="97" t="str">
        <f>VLOOKUP($I46,ngsa0226,20,FALSE)</f>
        <v xml:space="preserve"> </v>
      </c>
      <c r="BP46" s="97" t="e">
        <f>VLOOKUP($I46,ngsa0320,20,FALSE)</f>
        <v>#N/A</v>
      </c>
      <c r="BQ46" s="97" t="e">
        <f>VLOOKUP($I46,ngsa0321,20,FALSE)</f>
        <v>#N/A</v>
      </c>
      <c r="BR46" s="97" t="e">
        <f>VLOOKUP($I46,ngsa0322,20,FALSE)</f>
        <v>#N/A</v>
      </c>
      <c r="BS46" s="97" t="e">
        <f>VLOOKUP($I46,ngsaTEMP,20,FALSE)</f>
        <v>#REF!</v>
      </c>
      <c r="BT46" s="97" t="e">
        <f>VLOOKUP($I46,ngsaTEMP,20,FALSE)</f>
        <v>#REF!</v>
      </c>
      <c r="BU46" s="97" t="e">
        <f>VLOOKUP($I46,ngsaTEMP,20,FALSE)</f>
        <v>#REF!</v>
      </c>
      <c r="BV46" s="97" t="e">
        <f>VLOOKUP($I46,ngsaTEMP,20,FALSE)</f>
        <v>#REF!</v>
      </c>
      <c r="BW46" s="97"/>
      <c r="BX46" s="97"/>
      <c r="BY46" s="97"/>
      <c r="BZ46" s="97"/>
      <c r="CA46" s="105" t="str">
        <f t="shared" si="122"/>
        <v xml:space="preserve"> </v>
      </c>
      <c r="CB46" s="114"/>
      <c r="CC46" s="95">
        <f t="shared" si="31"/>
        <v>51</v>
      </c>
      <c r="CD46" s="124" t="str">
        <f t="shared" si="32"/>
        <v>NGSA</v>
      </c>
      <c r="CE46" s="97" t="str">
        <f>VLOOKUP($I46,ngsa0201,21,FALSE)</f>
        <v xml:space="preserve"> </v>
      </c>
      <c r="CF46" s="97">
        <f>VLOOKUP($I46,ngsa0205,21,FALSE)</f>
        <v>0</v>
      </c>
      <c r="CG46" s="97" t="str">
        <f>VLOOKUP($I46,ngsa0221,21,FALSE)</f>
        <v xml:space="preserve"> </v>
      </c>
      <c r="CH46" s="97" t="str">
        <f>VLOOKUP($I46,ngsa0226,21,FALSE)</f>
        <v xml:space="preserve"> </v>
      </c>
      <c r="CI46" s="97" t="e">
        <f>VLOOKUP($I46,ngsa0320,21,FALSE)</f>
        <v>#N/A</v>
      </c>
      <c r="CJ46" s="97" t="e">
        <f>VLOOKUP($I46,ngsa0321,21,FALSE)</f>
        <v>#N/A</v>
      </c>
      <c r="CK46" s="97" t="e">
        <f>VLOOKUP($I46,ngsa0322,21,FALSE)</f>
        <v>#N/A</v>
      </c>
      <c r="CL46" s="97" t="e">
        <f>VLOOKUP($I46,ngsaTEMP,21,FALSE)</f>
        <v>#REF!</v>
      </c>
      <c r="CM46" s="97" t="e">
        <f>VLOOKUP($I46,ngsaTEMP,21,FALSE)</f>
        <v>#REF!</v>
      </c>
      <c r="CN46" s="97" t="e">
        <f>VLOOKUP($I46,ngsaTEMP,21,FALSE)</f>
        <v>#REF!</v>
      </c>
      <c r="CO46" s="97" t="e">
        <f>VLOOKUP($I46,ngsaTEMP,21,FALSE)</f>
        <v>#REF!</v>
      </c>
      <c r="CP46" s="97"/>
      <c r="CQ46" s="97"/>
      <c r="CR46" s="97"/>
      <c r="CS46" s="97"/>
      <c r="CT46" s="105" t="str">
        <f t="shared" si="123"/>
        <v xml:space="preserve"> </v>
      </c>
      <c r="CU46" s="118"/>
      <c r="CV46" s="95">
        <f t="shared" si="42"/>
        <v>51</v>
      </c>
      <c r="CW46" s="124" t="str">
        <f t="shared" si="43"/>
        <v>NGSA</v>
      </c>
      <c r="CX46" s="97">
        <f>VLOOKUP($I46,ngsa0201,13,FALSE)</f>
        <v>8460</v>
      </c>
      <c r="CY46" s="97">
        <f>VLOOKUP($I46,ngsa0205,13,FALSE)</f>
        <v>7817</v>
      </c>
      <c r="CZ46" s="97">
        <f>VLOOKUP($I46,ngsa0221,13,FALSE)</f>
        <v>7934</v>
      </c>
      <c r="DA46" s="97">
        <f>VLOOKUP($I46,ngsa0226,13,FALSE)</f>
        <v>7825</v>
      </c>
      <c r="DB46" s="97" t="e">
        <f>VLOOKUP($I46,ngsa0320,13,FALSE)</f>
        <v>#N/A</v>
      </c>
      <c r="DC46" s="97" t="e">
        <f>VLOOKUP($I46,ngsa0321,13,FALSE)</f>
        <v>#N/A</v>
      </c>
      <c r="DD46" s="97" t="e">
        <f>VLOOKUP($I46,ngsa0322,13,FALSE)</f>
        <v>#N/A</v>
      </c>
      <c r="DE46" s="97"/>
      <c r="DF46" s="97"/>
      <c r="DG46" s="97"/>
      <c r="DH46" s="97"/>
      <c r="DI46" s="97"/>
      <c r="DM46" s="206">
        <f>AVERAGE(CX46:DA46)</f>
        <v>8009</v>
      </c>
    </row>
    <row r="47" spans="1:118" ht="15.75" x14ac:dyDescent="0.25">
      <c r="A47" s="196">
        <f t="shared" si="6"/>
        <v>62</v>
      </c>
      <c r="B47" s="197" t="str">
        <f t="shared" si="7"/>
        <v>NGSA</v>
      </c>
      <c r="C47" s="41" t="str">
        <f t="shared" si="8"/>
        <v xml:space="preserve"> </v>
      </c>
      <c r="D47" s="38" t="str">
        <f t="shared" si="9"/>
        <v xml:space="preserve"> </v>
      </c>
      <c r="E47" s="24" t="str">
        <f t="shared" si="10"/>
        <v xml:space="preserve"> </v>
      </c>
      <c r="F47" s="24">
        <f t="shared" si="11"/>
        <v>1</v>
      </c>
      <c r="G47" s="136" t="str">
        <f t="shared" si="12"/>
        <v xml:space="preserve"> </v>
      </c>
      <c r="I47" s="27">
        <v>62</v>
      </c>
      <c r="J47" s="55" t="s">
        <v>27</v>
      </c>
      <c r="K47" s="97">
        <f t="shared" ref="K47:K92" si="128">VLOOKUP($I47,ngsa0201,17,FALSE)</f>
        <v>0</v>
      </c>
      <c r="L47" s="97">
        <f t="shared" ref="L47:L92" si="129">VLOOKUP($I47,ngsa0205,17,FALSE)</f>
        <v>0</v>
      </c>
      <c r="M47" s="97">
        <f t="shared" ref="M47:M92" si="130">VLOOKUP($I47,ngsa0221,17,FALSE)</f>
        <v>0</v>
      </c>
      <c r="N47" s="97">
        <f t="shared" ref="N47:N92" si="131">VLOOKUP($I47,ngsa0226,17,FALSE)</f>
        <v>0</v>
      </c>
      <c r="O47" s="97" t="e">
        <f t="shared" ref="O47:O92" si="132">VLOOKUP($I47,ngsa0320,17,FALSE)</f>
        <v>#N/A</v>
      </c>
      <c r="P47" s="97" t="e">
        <f t="shared" ref="P47:P92" si="133">VLOOKUP($I47,ngsa0321,17,FALSE)</f>
        <v>#N/A</v>
      </c>
      <c r="Q47" s="97" t="e">
        <f t="shared" ref="Q47:Q92" si="134">VLOOKUP($I47,ngsa0322,17,FALSE)</f>
        <v>#N/A</v>
      </c>
      <c r="R47" s="97" t="e">
        <f t="shared" ref="R47:U92" si="135">VLOOKUP($I47,ngsaTEMP,17,FALSE)</f>
        <v>#REF!</v>
      </c>
      <c r="S47" s="97" t="e">
        <f t="shared" si="126"/>
        <v>#REF!</v>
      </c>
      <c r="T47" s="97" t="e">
        <f t="shared" si="126"/>
        <v>#REF!</v>
      </c>
      <c r="U47" s="97" t="e">
        <f t="shared" si="126"/>
        <v>#REF!</v>
      </c>
      <c r="V47" s="97"/>
      <c r="W47" s="97"/>
      <c r="X47" s="97"/>
      <c r="Y47" s="97"/>
      <c r="Z47" s="105" t="str">
        <f t="shared" si="119"/>
        <v xml:space="preserve"> </v>
      </c>
      <c r="AA47" s="114"/>
      <c r="AB47" s="97" t="str">
        <f t="shared" ref="AB47:AB93" si="136">VLOOKUP($I47,ngsa0201,18,FALSE)</f>
        <v xml:space="preserve"> </v>
      </c>
      <c r="AC47" s="97" t="str">
        <f t="shared" ref="AC47:AC93" si="137">VLOOKUP($I47,ngsa0205,18,FALSE)</f>
        <v xml:space="preserve"> </v>
      </c>
      <c r="AD47" s="97" t="str">
        <f t="shared" ref="AD47:AD93" si="138">VLOOKUP($I47,ngsa0221,18,FALSE)</f>
        <v xml:space="preserve"> </v>
      </c>
      <c r="AE47" s="97" t="str">
        <f t="shared" ref="AE47:AE93" si="139">VLOOKUP($I47,ngsa0226,18,FALSE)</f>
        <v xml:space="preserve"> </v>
      </c>
      <c r="AF47" s="97" t="e">
        <f t="shared" ref="AF47:AF93" si="140">VLOOKUP($I47,ngsa0320,18,FALSE)</f>
        <v>#N/A</v>
      </c>
      <c r="AG47" s="97" t="e">
        <f t="shared" ref="AG47:AG93" si="141">VLOOKUP($I47,ngsa0321,18,FALSE)</f>
        <v>#N/A</v>
      </c>
      <c r="AH47" s="97" t="e">
        <f t="shared" ref="AH47:AH93" si="142">VLOOKUP($I47,ngsa0322,18,FALSE)</f>
        <v>#N/A</v>
      </c>
      <c r="AI47" s="97" t="e">
        <f t="shared" ref="AI47:AL79" si="143">VLOOKUP($I47,ngsaTEMP,18,FALSE)</f>
        <v>#REF!</v>
      </c>
      <c r="AJ47" s="97" t="e">
        <f t="shared" si="127"/>
        <v>#REF!</v>
      </c>
      <c r="AK47" s="97" t="e">
        <f t="shared" si="127"/>
        <v>#REF!</v>
      </c>
      <c r="AL47" s="97" t="e">
        <f t="shared" si="127"/>
        <v>#REF!</v>
      </c>
      <c r="AM47" s="97"/>
      <c r="AN47" s="97"/>
      <c r="AO47" s="97"/>
      <c r="AP47" s="97"/>
      <c r="AQ47" s="105" t="str">
        <f t="shared" si="120"/>
        <v xml:space="preserve"> </v>
      </c>
      <c r="AR47" s="114"/>
      <c r="AS47" s="95">
        <f t="shared" si="2"/>
        <v>62</v>
      </c>
      <c r="AT47" s="124" t="str">
        <f t="shared" si="3"/>
        <v>NGSA</v>
      </c>
      <c r="AU47" s="97" t="str">
        <f t="shared" ref="AU47:AU93" si="144">VLOOKUP($I47,ngsa0201,19,FALSE)</f>
        <v xml:space="preserve"> </v>
      </c>
      <c r="AV47" s="97" t="str">
        <f t="shared" ref="AV47:AV93" si="145">VLOOKUP($I47,ngsa0205,19,FALSE)</f>
        <v xml:space="preserve"> </v>
      </c>
      <c r="AW47" s="97" t="str">
        <f t="shared" ref="AW47:AW93" si="146">VLOOKUP($I47,ngsa0221,19,FALSE)</f>
        <v xml:space="preserve"> </v>
      </c>
      <c r="AX47" s="97" t="str">
        <f t="shared" ref="AX47:AX93" si="147">VLOOKUP($I47,ngsa0226,19,FALSE)</f>
        <v xml:space="preserve"> </v>
      </c>
      <c r="AY47" s="97" t="e">
        <f t="shared" ref="AY47:AY93" si="148">VLOOKUP($I47,ngsa0320,19,FALSE)</f>
        <v>#N/A</v>
      </c>
      <c r="AZ47" s="97" t="e">
        <f t="shared" ref="AZ47:AZ93" si="149">VLOOKUP($I47,ngsa0321,19,FALSE)</f>
        <v>#N/A</v>
      </c>
      <c r="BA47" s="97" t="e">
        <f t="shared" ref="BA47:BA93" si="150">VLOOKUP($I47,ngsa0322,19,FALSE)</f>
        <v>#N/A</v>
      </c>
      <c r="BB47" s="97" t="e">
        <f t="shared" ref="BB47:BE79" si="151">VLOOKUP($I47,ngsaTEMP,19,FALSE)</f>
        <v>#REF!</v>
      </c>
      <c r="BC47" s="97" t="e">
        <f t="shared" si="151"/>
        <v>#REF!</v>
      </c>
      <c r="BD47" s="97" t="e">
        <f t="shared" si="151"/>
        <v>#REF!</v>
      </c>
      <c r="BE47" s="97" t="e">
        <f t="shared" si="151"/>
        <v>#REF!</v>
      </c>
      <c r="BF47" s="97"/>
      <c r="BG47" s="97"/>
      <c r="BH47" s="97"/>
      <c r="BI47" s="97"/>
      <c r="BJ47" s="105" t="str">
        <f t="shared" si="121"/>
        <v xml:space="preserve"> </v>
      </c>
      <c r="BK47" s="114"/>
      <c r="BL47" s="97" t="str">
        <f t="shared" ref="BL47:BL93" si="152">VLOOKUP($I47,ngsa0201,20,FALSE)</f>
        <v xml:space="preserve"> </v>
      </c>
      <c r="BM47" s="97" t="str">
        <f t="shared" ref="BM47:BM93" si="153">VLOOKUP($I47,ngsa0205,20,FALSE)</f>
        <v xml:space="preserve"> </v>
      </c>
      <c r="BN47" s="97" t="str">
        <f t="shared" ref="BN47:BN93" si="154">VLOOKUP($I47,ngsa0221,20,FALSE)</f>
        <v xml:space="preserve"> </v>
      </c>
      <c r="BO47" s="97" t="str">
        <f t="shared" ref="BO47:BO93" si="155">VLOOKUP($I47,ngsa0226,20,FALSE)</f>
        <v xml:space="preserve"> </v>
      </c>
      <c r="BP47" s="97" t="e">
        <f t="shared" ref="BP47:BP93" si="156">VLOOKUP($I47,ngsa0320,20,FALSE)</f>
        <v>#N/A</v>
      </c>
      <c r="BQ47" s="97" t="e">
        <f t="shared" ref="BQ47:BQ93" si="157">VLOOKUP($I47,ngsa0321,20,FALSE)</f>
        <v>#N/A</v>
      </c>
      <c r="BR47" s="97" t="e">
        <f t="shared" ref="BR47:BR93" si="158">VLOOKUP($I47,ngsa0322,20,FALSE)</f>
        <v>#N/A</v>
      </c>
      <c r="BS47" s="97" t="e">
        <f t="shared" ref="BS47:BV79" si="159">VLOOKUP($I47,ngsaTEMP,20,FALSE)</f>
        <v>#REF!</v>
      </c>
      <c r="BT47" s="97" t="e">
        <f t="shared" si="159"/>
        <v>#REF!</v>
      </c>
      <c r="BU47" s="97" t="e">
        <f t="shared" si="159"/>
        <v>#REF!</v>
      </c>
      <c r="BV47" s="97" t="e">
        <f t="shared" si="159"/>
        <v>#REF!</v>
      </c>
      <c r="BW47" s="97"/>
      <c r="BX47" s="97"/>
      <c r="BY47" s="97"/>
      <c r="BZ47" s="97"/>
      <c r="CA47" s="105" t="str">
        <f t="shared" si="122"/>
        <v xml:space="preserve"> </v>
      </c>
      <c r="CB47" s="114"/>
      <c r="CC47" s="95">
        <f t="shared" si="31"/>
        <v>62</v>
      </c>
      <c r="CD47" s="124" t="str">
        <f t="shared" si="32"/>
        <v>NGSA</v>
      </c>
      <c r="CE47" s="97" t="str">
        <f t="shared" ref="CE47:CE93" si="160">VLOOKUP($I47,ngsa0201,21,FALSE)</f>
        <v xml:space="preserve"> </v>
      </c>
      <c r="CF47" s="97" t="str">
        <f t="shared" ref="CF47:CF93" si="161">VLOOKUP($I47,ngsa0205,21,FALSE)</f>
        <v>X</v>
      </c>
      <c r="CG47" s="97" t="str">
        <f t="shared" ref="CG47:CG93" si="162">VLOOKUP($I47,ngsa0221,21,FALSE)</f>
        <v xml:space="preserve"> </v>
      </c>
      <c r="CH47" s="97" t="str">
        <f t="shared" ref="CH47:CH93" si="163">VLOOKUP($I47,ngsa0226,21,FALSE)</f>
        <v xml:space="preserve"> </v>
      </c>
      <c r="CI47" s="97" t="e">
        <f t="shared" ref="CI47:CI93" si="164">VLOOKUP($I47,ngsa0320,21,FALSE)</f>
        <v>#N/A</v>
      </c>
      <c r="CJ47" s="97" t="e">
        <f t="shared" ref="CJ47:CJ93" si="165">VLOOKUP($I47,ngsa0321,21,FALSE)</f>
        <v>#N/A</v>
      </c>
      <c r="CK47" s="97" t="e">
        <f t="shared" ref="CK47:CK93" si="166">VLOOKUP($I47,ngsa0322,21,FALSE)</f>
        <v>#N/A</v>
      </c>
      <c r="CL47" s="97" t="e">
        <f t="shared" ref="CL47:CO79" si="167">VLOOKUP($I47,ngsaTEMP,21,FALSE)</f>
        <v>#REF!</v>
      </c>
      <c r="CM47" s="97" t="e">
        <f t="shared" si="167"/>
        <v>#REF!</v>
      </c>
      <c r="CN47" s="97" t="e">
        <f t="shared" si="167"/>
        <v>#REF!</v>
      </c>
      <c r="CO47" s="97" t="e">
        <f t="shared" si="167"/>
        <v>#REF!</v>
      </c>
      <c r="CP47" s="97"/>
      <c r="CQ47" s="97"/>
      <c r="CR47" s="97"/>
      <c r="CS47" s="97"/>
      <c r="CT47" s="105">
        <f t="shared" si="123"/>
        <v>1</v>
      </c>
      <c r="CU47" s="118"/>
      <c r="CV47" s="95">
        <f t="shared" si="42"/>
        <v>62</v>
      </c>
      <c r="CW47" s="124" t="str">
        <f t="shared" si="43"/>
        <v>NGSA</v>
      </c>
      <c r="CX47" s="97">
        <f t="shared" ref="CX47:CX93" si="168">VLOOKUP($I47,ngsa0201,13,FALSE)</f>
        <v>1217</v>
      </c>
      <c r="CY47" s="97">
        <f t="shared" ref="CY47:CY93" si="169">VLOOKUP($I47,ngsa0205,13,FALSE)</f>
        <v>1238</v>
      </c>
      <c r="CZ47" s="97">
        <f t="shared" ref="CZ47:CZ93" si="170">VLOOKUP($I47,ngsa0221,13,FALSE)</f>
        <v>0</v>
      </c>
      <c r="DA47" s="97">
        <f t="shared" ref="DA47:DA93" si="171">VLOOKUP($I47,ngsa0226,13,FALSE)</f>
        <v>0</v>
      </c>
      <c r="DB47" s="97" t="e">
        <f t="shared" ref="DB47:DB93" si="172">VLOOKUP($I47,ngsa0320,13,FALSE)</f>
        <v>#N/A</v>
      </c>
      <c r="DC47" s="97" t="e">
        <f t="shared" ref="DC47:DC93" si="173">VLOOKUP($I47,ngsa0321,13,FALSE)</f>
        <v>#N/A</v>
      </c>
      <c r="DD47" s="97" t="e">
        <f t="shared" ref="DD47:DD93" si="174">VLOOKUP($I47,ngsa0322,13,FALSE)</f>
        <v>#N/A</v>
      </c>
      <c r="DE47" s="97"/>
      <c r="DF47" s="97"/>
      <c r="DG47" s="97"/>
      <c r="DH47" s="97"/>
      <c r="DI47" s="97"/>
      <c r="DM47" s="206">
        <f>AVERAGE(CX47:DA47)</f>
        <v>613.75</v>
      </c>
    </row>
    <row r="48" spans="1:118" ht="15.75" x14ac:dyDescent="0.25">
      <c r="A48" s="196">
        <f t="shared" si="6"/>
        <v>145</v>
      </c>
      <c r="B48" s="197" t="str">
        <f t="shared" si="7"/>
        <v>NGSA</v>
      </c>
      <c r="C48" s="41" t="str">
        <f t="shared" si="8"/>
        <v xml:space="preserve"> </v>
      </c>
      <c r="D48" s="38" t="str">
        <f t="shared" si="9"/>
        <v xml:space="preserve"> </v>
      </c>
      <c r="E48" s="24" t="str">
        <f t="shared" si="10"/>
        <v xml:space="preserve"> </v>
      </c>
      <c r="F48" s="24" t="str">
        <f t="shared" si="11"/>
        <v xml:space="preserve"> </v>
      </c>
      <c r="G48" s="136" t="str">
        <f t="shared" si="12"/>
        <v xml:space="preserve"> </v>
      </c>
      <c r="I48" s="27">
        <v>145</v>
      </c>
      <c r="J48" s="55" t="s">
        <v>27</v>
      </c>
      <c r="K48" s="97">
        <f t="shared" si="128"/>
        <v>0</v>
      </c>
      <c r="L48" s="97">
        <f t="shared" si="129"/>
        <v>0</v>
      </c>
      <c r="M48" s="97">
        <f t="shared" si="130"/>
        <v>0</v>
      </c>
      <c r="N48" s="97">
        <f t="shared" si="131"/>
        <v>0</v>
      </c>
      <c r="O48" s="97" t="e">
        <f t="shared" si="132"/>
        <v>#N/A</v>
      </c>
      <c r="P48" s="97" t="e">
        <f t="shared" si="133"/>
        <v>#N/A</v>
      </c>
      <c r="Q48" s="97" t="e">
        <f t="shared" si="134"/>
        <v>#N/A</v>
      </c>
      <c r="R48" s="97" t="e">
        <f t="shared" si="135"/>
        <v>#REF!</v>
      </c>
      <c r="S48" s="97" t="e">
        <f t="shared" si="126"/>
        <v>#REF!</v>
      </c>
      <c r="T48" s="97" t="e">
        <f t="shared" si="126"/>
        <v>#REF!</v>
      </c>
      <c r="U48" s="97" t="e">
        <f t="shared" si="126"/>
        <v>#REF!</v>
      </c>
      <c r="V48" s="97"/>
      <c r="W48" s="97"/>
      <c r="X48" s="97"/>
      <c r="Y48" s="97"/>
      <c r="Z48" s="105" t="str">
        <f t="shared" si="119"/>
        <v xml:space="preserve"> </v>
      </c>
      <c r="AA48" s="114"/>
      <c r="AB48" s="97" t="str">
        <f t="shared" si="136"/>
        <v xml:space="preserve"> </v>
      </c>
      <c r="AC48" s="97" t="str">
        <f t="shared" si="137"/>
        <v xml:space="preserve"> </v>
      </c>
      <c r="AD48" s="97" t="str">
        <f t="shared" si="138"/>
        <v xml:space="preserve"> </v>
      </c>
      <c r="AE48" s="97" t="str">
        <f t="shared" si="139"/>
        <v xml:space="preserve"> </v>
      </c>
      <c r="AF48" s="97" t="e">
        <f t="shared" si="140"/>
        <v>#N/A</v>
      </c>
      <c r="AG48" s="97" t="e">
        <f t="shared" si="141"/>
        <v>#N/A</v>
      </c>
      <c r="AH48" s="97" t="e">
        <f t="shared" si="142"/>
        <v>#N/A</v>
      </c>
      <c r="AI48" s="97" t="e">
        <f t="shared" si="143"/>
        <v>#REF!</v>
      </c>
      <c r="AJ48" s="97" t="e">
        <f t="shared" si="127"/>
        <v>#REF!</v>
      </c>
      <c r="AK48" s="97" t="e">
        <f t="shared" si="127"/>
        <v>#REF!</v>
      </c>
      <c r="AL48" s="97" t="e">
        <f t="shared" si="127"/>
        <v>#REF!</v>
      </c>
      <c r="AM48" s="97"/>
      <c r="AN48" s="97"/>
      <c r="AO48" s="97"/>
      <c r="AP48" s="97"/>
      <c r="AQ48" s="105" t="str">
        <f t="shared" si="120"/>
        <v xml:space="preserve"> </v>
      </c>
      <c r="AR48" s="114"/>
      <c r="AS48" s="95">
        <f t="shared" si="2"/>
        <v>145</v>
      </c>
      <c r="AT48" s="124" t="str">
        <f t="shared" si="3"/>
        <v>NGSA</v>
      </c>
      <c r="AU48" s="97" t="str">
        <f t="shared" si="144"/>
        <v xml:space="preserve"> </v>
      </c>
      <c r="AV48" s="97" t="str">
        <f t="shared" si="145"/>
        <v xml:space="preserve"> </v>
      </c>
      <c r="AW48" s="97" t="str">
        <f t="shared" si="146"/>
        <v xml:space="preserve"> </v>
      </c>
      <c r="AX48" s="97" t="str">
        <f t="shared" si="147"/>
        <v xml:space="preserve"> </v>
      </c>
      <c r="AY48" s="97" t="e">
        <f t="shared" si="148"/>
        <v>#N/A</v>
      </c>
      <c r="AZ48" s="97" t="e">
        <f t="shared" si="149"/>
        <v>#N/A</v>
      </c>
      <c r="BA48" s="97" t="e">
        <f t="shared" si="150"/>
        <v>#N/A</v>
      </c>
      <c r="BB48" s="97" t="e">
        <f t="shared" si="151"/>
        <v>#REF!</v>
      </c>
      <c r="BC48" s="97" t="e">
        <f t="shared" si="151"/>
        <v>#REF!</v>
      </c>
      <c r="BD48" s="97" t="e">
        <f t="shared" si="151"/>
        <v>#REF!</v>
      </c>
      <c r="BE48" s="97" t="e">
        <f t="shared" si="151"/>
        <v>#REF!</v>
      </c>
      <c r="BF48" s="97"/>
      <c r="BG48" s="97"/>
      <c r="BH48" s="97"/>
      <c r="BI48" s="97"/>
      <c r="BJ48" s="105" t="str">
        <f t="shared" si="121"/>
        <v xml:space="preserve"> </v>
      </c>
      <c r="BK48" s="114"/>
      <c r="BL48" s="97" t="str">
        <f t="shared" si="152"/>
        <v xml:space="preserve"> </v>
      </c>
      <c r="BM48" s="97">
        <f t="shared" si="153"/>
        <v>0</v>
      </c>
      <c r="BN48" s="97" t="str">
        <f t="shared" si="154"/>
        <v xml:space="preserve"> </v>
      </c>
      <c r="BO48" s="97" t="str">
        <f t="shared" si="155"/>
        <v xml:space="preserve"> </v>
      </c>
      <c r="BP48" s="97" t="e">
        <f t="shared" si="156"/>
        <v>#N/A</v>
      </c>
      <c r="BQ48" s="97" t="e">
        <f t="shared" si="157"/>
        <v>#N/A</v>
      </c>
      <c r="BR48" s="97" t="e">
        <f t="shared" si="158"/>
        <v>#N/A</v>
      </c>
      <c r="BS48" s="97" t="e">
        <f t="shared" si="159"/>
        <v>#REF!</v>
      </c>
      <c r="BT48" s="97" t="e">
        <f t="shared" si="159"/>
        <v>#REF!</v>
      </c>
      <c r="BU48" s="97" t="e">
        <f t="shared" si="159"/>
        <v>#REF!</v>
      </c>
      <c r="BV48" s="97" t="e">
        <f t="shared" si="159"/>
        <v>#REF!</v>
      </c>
      <c r="BW48" s="97"/>
      <c r="BX48" s="97"/>
      <c r="BY48" s="97"/>
      <c r="BZ48" s="97"/>
      <c r="CA48" s="105" t="str">
        <f t="shared" si="122"/>
        <v xml:space="preserve"> </v>
      </c>
      <c r="CB48" s="114"/>
      <c r="CC48" s="95">
        <f t="shared" si="31"/>
        <v>145</v>
      </c>
      <c r="CD48" s="124" t="str">
        <f t="shared" si="32"/>
        <v>NGSA</v>
      </c>
      <c r="CE48" s="97" t="str">
        <f t="shared" si="160"/>
        <v xml:space="preserve"> </v>
      </c>
      <c r="CF48" s="97">
        <f t="shared" si="161"/>
        <v>0</v>
      </c>
      <c r="CG48" s="97" t="str">
        <f t="shared" si="162"/>
        <v xml:space="preserve"> </v>
      </c>
      <c r="CH48" s="97" t="str">
        <f t="shared" si="163"/>
        <v xml:space="preserve"> </v>
      </c>
      <c r="CI48" s="97" t="e">
        <f t="shared" si="164"/>
        <v>#N/A</v>
      </c>
      <c r="CJ48" s="97" t="e">
        <f t="shared" si="165"/>
        <v>#N/A</v>
      </c>
      <c r="CK48" s="97" t="e">
        <f t="shared" si="166"/>
        <v>#N/A</v>
      </c>
      <c r="CL48" s="97" t="e">
        <f t="shared" si="167"/>
        <v>#REF!</v>
      </c>
      <c r="CM48" s="97" t="e">
        <f t="shared" si="167"/>
        <v>#REF!</v>
      </c>
      <c r="CN48" s="97" t="e">
        <f t="shared" si="167"/>
        <v>#REF!</v>
      </c>
      <c r="CO48" s="97" t="e">
        <f t="shared" si="167"/>
        <v>#REF!</v>
      </c>
      <c r="CP48" s="97"/>
      <c r="CQ48" s="97"/>
      <c r="CR48" s="97"/>
      <c r="CS48" s="97"/>
      <c r="CT48" s="105" t="str">
        <f t="shared" si="123"/>
        <v xml:space="preserve"> </v>
      </c>
      <c r="CU48" s="118"/>
      <c r="CV48" s="95">
        <f t="shared" si="42"/>
        <v>145</v>
      </c>
      <c r="CW48" s="124" t="str">
        <f t="shared" si="43"/>
        <v>NGSA</v>
      </c>
      <c r="CX48" s="97">
        <f t="shared" si="168"/>
        <v>685</v>
      </c>
      <c r="CY48" s="97">
        <f t="shared" si="169"/>
        <v>695</v>
      </c>
      <c r="CZ48" s="97">
        <f t="shared" si="170"/>
        <v>0</v>
      </c>
      <c r="DA48" s="97">
        <f t="shared" si="171"/>
        <v>0</v>
      </c>
      <c r="DB48" s="97" t="e">
        <f t="shared" si="172"/>
        <v>#N/A</v>
      </c>
      <c r="DC48" s="97" t="e">
        <f t="shared" si="173"/>
        <v>#N/A</v>
      </c>
      <c r="DD48" s="97" t="e">
        <f t="shared" si="174"/>
        <v>#N/A</v>
      </c>
      <c r="DE48" s="186"/>
      <c r="DF48" s="186"/>
      <c r="DG48" s="186"/>
      <c r="DH48" s="186"/>
      <c r="DI48" s="186"/>
      <c r="DM48" s="206">
        <f>AVERAGE(CX48:DA48)</f>
        <v>345</v>
      </c>
    </row>
    <row r="49" spans="1:118" ht="15.75" x14ac:dyDescent="0.25">
      <c r="A49" s="196">
        <f t="shared" si="6"/>
        <v>254</v>
      </c>
      <c r="B49" s="197" t="str">
        <f t="shared" si="7"/>
        <v>NGSA</v>
      </c>
      <c r="C49" s="41" t="str">
        <f t="shared" si="8"/>
        <v xml:space="preserve"> </v>
      </c>
      <c r="D49" s="38" t="str">
        <f t="shared" si="9"/>
        <v xml:space="preserve"> </v>
      </c>
      <c r="E49" s="24" t="str">
        <f t="shared" si="10"/>
        <v xml:space="preserve"> </v>
      </c>
      <c r="F49" s="24" t="str">
        <f t="shared" si="11"/>
        <v xml:space="preserve"> </v>
      </c>
      <c r="G49" s="136" t="str">
        <f t="shared" si="12"/>
        <v xml:space="preserve"> </v>
      </c>
      <c r="I49" s="27">
        <v>254</v>
      </c>
      <c r="J49" s="55" t="s">
        <v>27</v>
      </c>
      <c r="K49" s="97">
        <f t="shared" si="128"/>
        <v>0</v>
      </c>
      <c r="L49" s="97">
        <f t="shared" si="129"/>
        <v>0</v>
      </c>
      <c r="M49" s="97">
        <f t="shared" si="130"/>
        <v>0</v>
      </c>
      <c r="N49" s="97">
        <f t="shared" si="131"/>
        <v>0</v>
      </c>
      <c r="O49" s="97">
        <f t="shared" si="132"/>
        <v>0</v>
      </c>
      <c r="P49" s="97">
        <f t="shared" si="133"/>
        <v>0</v>
      </c>
      <c r="Q49" s="97">
        <f t="shared" si="134"/>
        <v>0</v>
      </c>
      <c r="R49" s="97" t="e">
        <f t="shared" si="135"/>
        <v>#REF!</v>
      </c>
      <c r="S49" s="97" t="e">
        <f t="shared" si="126"/>
        <v>#REF!</v>
      </c>
      <c r="T49" s="97" t="e">
        <f t="shared" si="126"/>
        <v>#REF!</v>
      </c>
      <c r="U49" s="97" t="e">
        <f t="shared" si="126"/>
        <v>#REF!</v>
      </c>
      <c r="V49" s="97"/>
      <c r="W49" s="97"/>
      <c r="X49" s="97"/>
      <c r="Y49" s="97"/>
      <c r="Z49" s="105" t="str">
        <f t="shared" si="119"/>
        <v xml:space="preserve"> </v>
      </c>
      <c r="AA49" s="114"/>
      <c r="AB49" s="97" t="str">
        <f t="shared" si="136"/>
        <v xml:space="preserve"> </v>
      </c>
      <c r="AC49" s="97" t="str">
        <f t="shared" si="137"/>
        <v xml:space="preserve"> </v>
      </c>
      <c r="AD49" s="97" t="str">
        <f t="shared" si="138"/>
        <v xml:space="preserve"> </v>
      </c>
      <c r="AE49" s="97" t="str">
        <f t="shared" si="139"/>
        <v xml:space="preserve"> </v>
      </c>
      <c r="AF49" s="97" t="str">
        <f t="shared" si="140"/>
        <v xml:space="preserve"> </v>
      </c>
      <c r="AG49" s="97" t="str">
        <f t="shared" si="141"/>
        <v xml:space="preserve"> </v>
      </c>
      <c r="AH49" s="97" t="str">
        <f t="shared" si="142"/>
        <v xml:space="preserve"> </v>
      </c>
      <c r="AI49" s="97" t="e">
        <f t="shared" si="143"/>
        <v>#REF!</v>
      </c>
      <c r="AJ49" s="97" t="e">
        <f t="shared" si="127"/>
        <v>#REF!</v>
      </c>
      <c r="AK49" s="97" t="e">
        <f t="shared" si="127"/>
        <v>#REF!</v>
      </c>
      <c r="AL49" s="97" t="e">
        <f t="shared" si="127"/>
        <v>#REF!</v>
      </c>
      <c r="AM49" s="97"/>
      <c r="AN49" s="97"/>
      <c r="AO49" s="97"/>
      <c r="AP49" s="97"/>
      <c r="AQ49" s="105" t="str">
        <f t="shared" si="120"/>
        <v xml:space="preserve"> </v>
      </c>
      <c r="AR49" s="114"/>
      <c r="AS49" s="95">
        <f t="shared" si="2"/>
        <v>254</v>
      </c>
      <c r="AT49" s="124" t="str">
        <f t="shared" si="3"/>
        <v>NGSA</v>
      </c>
      <c r="AU49" s="97" t="str">
        <f t="shared" si="144"/>
        <v xml:space="preserve"> </v>
      </c>
      <c r="AV49" s="97" t="str">
        <f t="shared" si="145"/>
        <v xml:space="preserve"> </v>
      </c>
      <c r="AW49" s="97" t="str">
        <f t="shared" si="146"/>
        <v xml:space="preserve"> </v>
      </c>
      <c r="AX49" s="97" t="str">
        <f t="shared" si="147"/>
        <v xml:space="preserve"> </v>
      </c>
      <c r="AY49" s="97" t="str">
        <f t="shared" si="148"/>
        <v xml:space="preserve"> </v>
      </c>
      <c r="AZ49" s="97" t="str">
        <f t="shared" si="149"/>
        <v xml:space="preserve"> </v>
      </c>
      <c r="BA49" s="97" t="str">
        <f t="shared" si="150"/>
        <v xml:space="preserve"> </v>
      </c>
      <c r="BB49" s="97" t="e">
        <f t="shared" si="151"/>
        <v>#REF!</v>
      </c>
      <c r="BC49" s="97" t="e">
        <f t="shared" si="151"/>
        <v>#REF!</v>
      </c>
      <c r="BD49" s="97" t="e">
        <f t="shared" si="151"/>
        <v>#REF!</v>
      </c>
      <c r="BE49" s="97" t="e">
        <f t="shared" si="151"/>
        <v>#REF!</v>
      </c>
      <c r="BF49" s="97"/>
      <c r="BG49" s="97"/>
      <c r="BH49" s="97"/>
      <c r="BI49" s="97"/>
      <c r="BJ49" s="105" t="str">
        <f t="shared" si="121"/>
        <v xml:space="preserve"> </v>
      </c>
      <c r="BK49" s="114"/>
      <c r="BL49" s="97" t="str">
        <f t="shared" si="152"/>
        <v xml:space="preserve"> </v>
      </c>
      <c r="BM49" s="97" t="str">
        <f t="shared" si="153"/>
        <v xml:space="preserve"> </v>
      </c>
      <c r="BN49" s="97" t="str">
        <f t="shared" si="154"/>
        <v xml:space="preserve"> </v>
      </c>
      <c r="BO49" s="97" t="str">
        <f t="shared" si="155"/>
        <v xml:space="preserve"> </v>
      </c>
      <c r="BP49" s="97" t="str">
        <f t="shared" si="156"/>
        <v xml:space="preserve"> </v>
      </c>
      <c r="BQ49" s="97" t="str">
        <f t="shared" si="157"/>
        <v xml:space="preserve"> </v>
      </c>
      <c r="BR49" s="97" t="str">
        <f t="shared" si="158"/>
        <v xml:space="preserve"> </v>
      </c>
      <c r="BS49" s="97" t="e">
        <f t="shared" si="159"/>
        <v>#REF!</v>
      </c>
      <c r="BT49" s="97" t="e">
        <f t="shared" si="159"/>
        <v>#REF!</v>
      </c>
      <c r="BU49" s="97" t="e">
        <f t="shared" si="159"/>
        <v>#REF!</v>
      </c>
      <c r="BV49" s="97" t="e">
        <f t="shared" si="159"/>
        <v>#REF!</v>
      </c>
      <c r="BW49" s="97"/>
      <c r="BX49" s="97"/>
      <c r="BY49" s="97"/>
      <c r="BZ49" s="97"/>
      <c r="CA49" s="105" t="str">
        <f t="shared" si="122"/>
        <v xml:space="preserve"> </v>
      </c>
      <c r="CB49" s="114"/>
      <c r="CC49" s="95">
        <f t="shared" si="31"/>
        <v>254</v>
      </c>
      <c r="CD49" s="124" t="str">
        <f t="shared" si="32"/>
        <v>NGSA</v>
      </c>
      <c r="CE49" s="97" t="str">
        <f t="shared" si="160"/>
        <v xml:space="preserve"> </v>
      </c>
      <c r="CF49" s="97" t="str">
        <f t="shared" si="161"/>
        <v xml:space="preserve"> </v>
      </c>
      <c r="CG49" s="97" t="str">
        <f t="shared" si="162"/>
        <v xml:space="preserve"> </v>
      </c>
      <c r="CH49" s="97" t="str">
        <f t="shared" si="163"/>
        <v xml:space="preserve"> </v>
      </c>
      <c r="CI49" s="97" t="str">
        <f t="shared" si="164"/>
        <v xml:space="preserve"> </v>
      </c>
      <c r="CJ49" s="97" t="str">
        <f t="shared" si="165"/>
        <v xml:space="preserve"> </v>
      </c>
      <c r="CK49" s="97" t="str">
        <f t="shared" si="166"/>
        <v xml:space="preserve"> </v>
      </c>
      <c r="CL49" s="97" t="e">
        <f t="shared" si="167"/>
        <v>#REF!</v>
      </c>
      <c r="CM49" s="97" t="e">
        <f t="shared" si="167"/>
        <v>#REF!</v>
      </c>
      <c r="CN49" s="97" t="e">
        <f t="shared" si="167"/>
        <v>#REF!</v>
      </c>
      <c r="CO49" s="97" t="e">
        <f t="shared" si="167"/>
        <v>#REF!</v>
      </c>
      <c r="CP49" s="97"/>
      <c r="CQ49" s="97"/>
      <c r="CR49" s="97"/>
      <c r="CS49" s="97"/>
      <c r="CT49" s="105" t="str">
        <f t="shared" si="123"/>
        <v xml:space="preserve"> </v>
      </c>
      <c r="CU49" s="118"/>
      <c r="CV49" s="95">
        <f t="shared" si="42"/>
        <v>254</v>
      </c>
      <c r="CW49" s="124" t="str">
        <f t="shared" si="43"/>
        <v>NGSA</v>
      </c>
      <c r="CX49" s="97">
        <f t="shared" si="168"/>
        <v>16740</v>
      </c>
      <c r="CY49" s="97">
        <f t="shared" si="169"/>
        <v>16370</v>
      </c>
      <c r="CZ49" s="97">
        <f t="shared" si="170"/>
        <v>12395</v>
      </c>
      <c r="DA49" s="97">
        <f t="shared" si="171"/>
        <v>10195</v>
      </c>
      <c r="DB49" s="97">
        <f t="shared" si="172"/>
        <v>12401</v>
      </c>
      <c r="DC49" s="97">
        <f t="shared" si="173"/>
        <v>11913</v>
      </c>
      <c r="DD49" s="97">
        <f t="shared" si="174"/>
        <v>10234</v>
      </c>
      <c r="DE49" s="186"/>
      <c r="DF49" s="186"/>
      <c r="DG49" s="186"/>
      <c r="DH49" s="186"/>
      <c r="DI49" s="186"/>
      <c r="DM49" s="187">
        <f t="shared" si="69"/>
        <v>12892.571428571429</v>
      </c>
      <c r="DN49" s="187">
        <f>SUM(DM24:DM49)</f>
        <v>1334749.8452380949</v>
      </c>
    </row>
    <row r="50" spans="1:118" ht="15.75" x14ac:dyDescent="0.25">
      <c r="A50" s="196">
        <f t="shared" si="6"/>
        <v>261</v>
      </c>
      <c r="B50" s="197" t="str">
        <f t="shared" si="7"/>
        <v>NGSA</v>
      </c>
      <c r="C50" s="41" t="str">
        <f t="shared" si="8"/>
        <v xml:space="preserve"> </v>
      </c>
      <c r="D50" s="38" t="str">
        <f t="shared" si="9"/>
        <v xml:space="preserve"> </v>
      </c>
      <c r="E50" s="24" t="str">
        <f t="shared" si="10"/>
        <v xml:space="preserve"> </v>
      </c>
      <c r="F50" s="24" t="str">
        <f t="shared" si="11"/>
        <v xml:space="preserve"> </v>
      </c>
      <c r="G50" s="136" t="str">
        <f t="shared" si="12"/>
        <v xml:space="preserve"> </v>
      </c>
      <c r="I50" s="27">
        <v>261</v>
      </c>
      <c r="J50" s="55" t="s">
        <v>27</v>
      </c>
      <c r="K50" s="97">
        <f t="shared" si="128"/>
        <v>0</v>
      </c>
      <c r="L50" s="97" t="e">
        <f t="shared" si="129"/>
        <v>#N/A</v>
      </c>
      <c r="M50" s="97" t="e">
        <f t="shared" si="130"/>
        <v>#N/A</v>
      </c>
      <c r="N50" s="97" t="e">
        <f t="shared" si="131"/>
        <v>#N/A</v>
      </c>
      <c r="O50" s="97" t="e">
        <f t="shared" si="132"/>
        <v>#N/A</v>
      </c>
      <c r="P50" s="97" t="e">
        <f t="shared" si="133"/>
        <v>#N/A</v>
      </c>
      <c r="Q50" s="97" t="e">
        <f t="shared" si="134"/>
        <v>#N/A</v>
      </c>
      <c r="R50" s="97" t="e">
        <f t="shared" si="135"/>
        <v>#REF!</v>
      </c>
      <c r="S50" s="97" t="e">
        <f t="shared" si="126"/>
        <v>#REF!</v>
      </c>
      <c r="T50" s="97" t="e">
        <f t="shared" si="126"/>
        <v>#REF!</v>
      </c>
      <c r="U50" s="97" t="e">
        <f t="shared" si="126"/>
        <v>#REF!</v>
      </c>
      <c r="V50" s="97"/>
      <c r="W50" s="97"/>
      <c r="X50" s="97"/>
      <c r="Y50" s="97"/>
      <c r="Z50" s="105" t="str">
        <f t="shared" si="119"/>
        <v xml:space="preserve"> </v>
      </c>
      <c r="AA50" s="114"/>
      <c r="AB50" s="97">
        <f t="shared" si="136"/>
        <v>0</v>
      </c>
      <c r="AC50" s="97" t="e">
        <f t="shared" si="137"/>
        <v>#N/A</v>
      </c>
      <c r="AD50" s="97" t="e">
        <f t="shared" si="138"/>
        <v>#N/A</v>
      </c>
      <c r="AE50" s="97" t="e">
        <f t="shared" si="139"/>
        <v>#N/A</v>
      </c>
      <c r="AF50" s="97" t="e">
        <f t="shared" si="140"/>
        <v>#N/A</v>
      </c>
      <c r="AG50" s="97" t="e">
        <f t="shared" si="141"/>
        <v>#N/A</v>
      </c>
      <c r="AH50" s="97" t="e">
        <f t="shared" si="142"/>
        <v>#N/A</v>
      </c>
      <c r="AI50" s="97" t="e">
        <f t="shared" si="143"/>
        <v>#REF!</v>
      </c>
      <c r="AJ50" s="97" t="e">
        <f t="shared" si="127"/>
        <v>#REF!</v>
      </c>
      <c r="AK50" s="97" t="e">
        <f t="shared" si="127"/>
        <v>#REF!</v>
      </c>
      <c r="AL50" s="97" t="e">
        <f t="shared" si="127"/>
        <v>#REF!</v>
      </c>
      <c r="AM50" s="97"/>
      <c r="AN50" s="97"/>
      <c r="AO50" s="97"/>
      <c r="AP50" s="97"/>
      <c r="AQ50" s="105" t="str">
        <f t="shared" si="120"/>
        <v xml:space="preserve"> </v>
      </c>
      <c r="AR50" s="114"/>
      <c r="AS50" s="95">
        <f t="shared" si="2"/>
        <v>261</v>
      </c>
      <c r="AT50" s="124" t="str">
        <f t="shared" si="3"/>
        <v>NGSA</v>
      </c>
      <c r="AU50" s="97" t="str">
        <f t="shared" si="144"/>
        <v xml:space="preserve"> </v>
      </c>
      <c r="AV50" s="97" t="e">
        <f t="shared" si="145"/>
        <v>#N/A</v>
      </c>
      <c r="AW50" s="97" t="e">
        <f t="shared" si="146"/>
        <v>#N/A</v>
      </c>
      <c r="AX50" s="97" t="e">
        <f t="shared" si="147"/>
        <v>#N/A</v>
      </c>
      <c r="AY50" s="97" t="e">
        <f t="shared" si="148"/>
        <v>#N/A</v>
      </c>
      <c r="AZ50" s="97" t="e">
        <f t="shared" si="149"/>
        <v>#N/A</v>
      </c>
      <c r="BA50" s="97" t="e">
        <f t="shared" si="150"/>
        <v>#N/A</v>
      </c>
      <c r="BB50" s="97" t="e">
        <f t="shared" si="151"/>
        <v>#REF!</v>
      </c>
      <c r="BC50" s="97" t="e">
        <f t="shared" si="151"/>
        <v>#REF!</v>
      </c>
      <c r="BD50" s="97" t="e">
        <f t="shared" si="151"/>
        <v>#REF!</v>
      </c>
      <c r="BE50" s="97" t="e">
        <f t="shared" si="151"/>
        <v>#REF!</v>
      </c>
      <c r="BF50" s="97"/>
      <c r="BG50" s="97"/>
      <c r="BH50" s="97"/>
      <c r="BI50" s="97"/>
      <c r="BJ50" s="105" t="str">
        <f>IF(COUNTIF(AU50:BI50,"x")=0," ",COUNTIF(AU50:BI50,"x"))</f>
        <v xml:space="preserve"> </v>
      </c>
      <c r="BK50" s="114"/>
      <c r="BL50" s="97" t="str">
        <f t="shared" si="152"/>
        <v xml:space="preserve"> </v>
      </c>
      <c r="BM50" s="97" t="e">
        <f t="shared" si="153"/>
        <v>#N/A</v>
      </c>
      <c r="BN50" s="97" t="e">
        <f t="shared" si="154"/>
        <v>#N/A</v>
      </c>
      <c r="BO50" s="97" t="e">
        <f t="shared" si="155"/>
        <v>#N/A</v>
      </c>
      <c r="BP50" s="97" t="e">
        <f t="shared" si="156"/>
        <v>#N/A</v>
      </c>
      <c r="BQ50" s="97" t="e">
        <f t="shared" si="157"/>
        <v>#N/A</v>
      </c>
      <c r="BR50" s="97" t="e">
        <f t="shared" si="158"/>
        <v>#N/A</v>
      </c>
      <c r="BS50" s="97" t="e">
        <f t="shared" si="159"/>
        <v>#REF!</v>
      </c>
      <c r="BT50" s="97" t="e">
        <f t="shared" si="159"/>
        <v>#REF!</v>
      </c>
      <c r="BU50" s="97" t="e">
        <f t="shared" si="159"/>
        <v>#REF!</v>
      </c>
      <c r="BV50" s="97" t="e">
        <f t="shared" si="159"/>
        <v>#REF!</v>
      </c>
      <c r="BW50" s="97"/>
      <c r="BX50" s="97"/>
      <c r="BY50" s="97"/>
      <c r="BZ50" s="97"/>
      <c r="CA50" s="105" t="str">
        <f t="shared" si="122"/>
        <v xml:space="preserve"> </v>
      </c>
      <c r="CB50" s="114"/>
      <c r="CC50" s="95">
        <f t="shared" si="31"/>
        <v>261</v>
      </c>
      <c r="CD50" s="124" t="str">
        <f t="shared" si="32"/>
        <v>NGSA</v>
      </c>
      <c r="CE50" s="97" t="str">
        <f t="shared" si="160"/>
        <v xml:space="preserve"> </v>
      </c>
      <c r="CF50" s="97" t="e">
        <f t="shared" si="161"/>
        <v>#N/A</v>
      </c>
      <c r="CG50" s="97" t="e">
        <f t="shared" si="162"/>
        <v>#N/A</v>
      </c>
      <c r="CH50" s="97" t="e">
        <f t="shared" si="163"/>
        <v>#N/A</v>
      </c>
      <c r="CI50" s="97" t="e">
        <f t="shared" si="164"/>
        <v>#N/A</v>
      </c>
      <c r="CJ50" s="97" t="e">
        <f t="shared" si="165"/>
        <v>#N/A</v>
      </c>
      <c r="CK50" s="97" t="e">
        <f t="shared" si="166"/>
        <v>#N/A</v>
      </c>
      <c r="CL50" s="97" t="e">
        <f t="shared" si="167"/>
        <v>#REF!</v>
      </c>
      <c r="CM50" s="97" t="e">
        <f t="shared" si="167"/>
        <v>#REF!</v>
      </c>
      <c r="CN50" s="97" t="e">
        <f t="shared" si="167"/>
        <v>#REF!</v>
      </c>
      <c r="CO50" s="97" t="e">
        <f t="shared" si="167"/>
        <v>#REF!</v>
      </c>
      <c r="CP50" s="97"/>
      <c r="CQ50" s="97"/>
      <c r="CR50" s="97"/>
      <c r="CS50" s="97"/>
      <c r="CT50" s="105" t="str">
        <f t="shared" si="123"/>
        <v xml:space="preserve"> </v>
      </c>
      <c r="CU50" s="118"/>
      <c r="CV50" s="95">
        <f t="shared" si="42"/>
        <v>261</v>
      </c>
      <c r="CW50" s="124" t="str">
        <f t="shared" si="43"/>
        <v>NGSA</v>
      </c>
      <c r="CX50" s="97">
        <f t="shared" si="168"/>
        <v>0</v>
      </c>
      <c r="CY50" s="97" t="e">
        <f t="shared" si="169"/>
        <v>#N/A</v>
      </c>
      <c r="CZ50" s="97" t="e">
        <f t="shared" si="170"/>
        <v>#N/A</v>
      </c>
      <c r="DA50" s="97" t="e">
        <f t="shared" si="171"/>
        <v>#N/A</v>
      </c>
      <c r="DB50" s="97" t="e">
        <f t="shared" si="172"/>
        <v>#N/A</v>
      </c>
      <c r="DC50" s="97" t="e">
        <f t="shared" si="173"/>
        <v>#N/A</v>
      </c>
      <c r="DD50" s="97" t="e">
        <f t="shared" si="174"/>
        <v>#N/A</v>
      </c>
      <c r="DE50" s="186"/>
      <c r="DF50" s="186"/>
      <c r="DG50" s="186"/>
      <c r="DH50" s="186"/>
      <c r="DI50" s="186"/>
      <c r="DJ50" s="97"/>
      <c r="DK50" s="97"/>
      <c r="DL50" s="97"/>
      <c r="DM50" s="187"/>
    </row>
    <row r="51" spans="1:118" ht="15.75" x14ac:dyDescent="0.25">
      <c r="A51" s="196">
        <f t="shared" si="6"/>
        <v>326</v>
      </c>
      <c r="B51" s="197" t="str">
        <f t="shared" si="7"/>
        <v>NGSA</v>
      </c>
      <c r="C51" s="41" t="str">
        <f t="shared" si="8"/>
        <v xml:space="preserve"> </v>
      </c>
      <c r="D51" s="38" t="str">
        <f t="shared" si="9"/>
        <v xml:space="preserve"> </v>
      </c>
      <c r="E51" s="24" t="str">
        <f t="shared" si="10"/>
        <v xml:space="preserve"> </v>
      </c>
      <c r="F51" s="24" t="str">
        <f t="shared" si="11"/>
        <v xml:space="preserve"> </v>
      </c>
      <c r="G51" s="136" t="str">
        <f t="shared" si="12"/>
        <v xml:space="preserve"> </v>
      </c>
      <c r="I51" s="27">
        <v>326</v>
      </c>
      <c r="J51" s="55" t="s">
        <v>27</v>
      </c>
      <c r="K51" s="97">
        <f t="shared" si="128"/>
        <v>0</v>
      </c>
      <c r="L51" s="97">
        <f t="shared" si="129"/>
        <v>0</v>
      </c>
      <c r="M51" s="97">
        <f t="shared" si="130"/>
        <v>0</v>
      </c>
      <c r="N51" s="97">
        <f t="shared" si="131"/>
        <v>0</v>
      </c>
      <c r="O51" s="97" t="e">
        <f t="shared" si="132"/>
        <v>#N/A</v>
      </c>
      <c r="P51" s="97" t="e">
        <f t="shared" si="133"/>
        <v>#N/A</v>
      </c>
      <c r="Q51" s="97" t="e">
        <f t="shared" si="134"/>
        <v>#N/A</v>
      </c>
      <c r="R51" s="97" t="e">
        <f t="shared" si="135"/>
        <v>#REF!</v>
      </c>
      <c r="S51" s="97" t="e">
        <f t="shared" si="126"/>
        <v>#REF!</v>
      </c>
      <c r="T51" s="97" t="e">
        <f t="shared" si="126"/>
        <v>#REF!</v>
      </c>
      <c r="U51" s="97" t="e">
        <f t="shared" si="126"/>
        <v>#REF!</v>
      </c>
      <c r="V51" s="97"/>
      <c r="W51" s="97"/>
      <c r="X51" s="97"/>
      <c r="Y51" s="97"/>
      <c r="Z51" s="105" t="str">
        <f t="shared" ref="Z51:Z71" si="175">IF(COUNTIF(K51:Y51,"x")=0," ",COUNTIF(K51:Y51,"x"))</f>
        <v xml:space="preserve"> </v>
      </c>
      <c r="AA51" s="114"/>
      <c r="AB51" s="97">
        <f t="shared" si="136"/>
        <v>0</v>
      </c>
      <c r="AC51" s="97" t="str">
        <f t="shared" si="137"/>
        <v xml:space="preserve"> </v>
      </c>
      <c r="AD51" s="97" t="str">
        <f t="shared" si="138"/>
        <v xml:space="preserve"> </v>
      </c>
      <c r="AE51" s="97" t="str">
        <f t="shared" si="139"/>
        <v xml:space="preserve"> </v>
      </c>
      <c r="AF51" s="97" t="e">
        <f t="shared" si="140"/>
        <v>#N/A</v>
      </c>
      <c r="AG51" s="97" t="e">
        <f t="shared" si="141"/>
        <v>#N/A</v>
      </c>
      <c r="AH51" s="97" t="e">
        <f t="shared" si="142"/>
        <v>#N/A</v>
      </c>
      <c r="AI51" s="97" t="e">
        <f t="shared" si="143"/>
        <v>#REF!</v>
      </c>
      <c r="AJ51" s="97" t="e">
        <f t="shared" si="127"/>
        <v>#REF!</v>
      </c>
      <c r="AK51" s="97" t="e">
        <f t="shared" si="127"/>
        <v>#REF!</v>
      </c>
      <c r="AL51" s="97" t="e">
        <f t="shared" si="127"/>
        <v>#REF!</v>
      </c>
      <c r="AM51" s="97"/>
      <c r="AN51" s="97"/>
      <c r="AO51" s="97"/>
      <c r="AP51" s="97"/>
      <c r="AQ51" s="105" t="str">
        <f t="shared" ref="AQ51:AQ71" si="176">IF(COUNTIF(AB51:AP51,"x")=0," ",COUNTIF(AB51:AP51,"x"))</f>
        <v xml:space="preserve"> </v>
      </c>
      <c r="AR51" s="114"/>
      <c r="AS51" s="95">
        <f t="shared" si="2"/>
        <v>326</v>
      </c>
      <c r="AT51" s="124" t="str">
        <f t="shared" si="3"/>
        <v>NGSA</v>
      </c>
      <c r="AU51" s="97" t="str">
        <f t="shared" si="144"/>
        <v xml:space="preserve"> </v>
      </c>
      <c r="AV51" s="97" t="str">
        <f t="shared" si="145"/>
        <v xml:space="preserve"> </v>
      </c>
      <c r="AW51" s="97" t="str">
        <f t="shared" si="146"/>
        <v xml:space="preserve"> </v>
      </c>
      <c r="AX51" s="97" t="str">
        <f t="shared" si="147"/>
        <v xml:space="preserve"> </v>
      </c>
      <c r="AY51" s="97" t="e">
        <f t="shared" si="148"/>
        <v>#N/A</v>
      </c>
      <c r="AZ51" s="97" t="e">
        <f t="shared" si="149"/>
        <v>#N/A</v>
      </c>
      <c r="BA51" s="97" t="e">
        <f t="shared" si="150"/>
        <v>#N/A</v>
      </c>
      <c r="BB51" s="97" t="e">
        <f t="shared" si="151"/>
        <v>#REF!</v>
      </c>
      <c r="BC51" s="97" t="e">
        <f t="shared" si="151"/>
        <v>#REF!</v>
      </c>
      <c r="BD51" s="97" t="e">
        <f t="shared" si="151"/>
        <v>#REF!</v>
      </c>
      <c r="BE51" s="97" t="e">
        <f t="shared" si="151"/>
        <v>#REF!</v>
      </c>
      <c r="BF51" s="97"/>
      <c r="BG51" s="97"/>
      <c r="BH51" s="97"/>
      <c r="BI51" s="97"/>
      <c r="BJ51" s="105" t="str">
        <f t="shared" ref="BJ51:BJ107" si="177">IF(COUNTIF(AU51:BI51,"x")=0," ",COUNTIF(AU51:BI51,"x"))</f>
        <v xml:space="preserve"> </v>
      </c>
      <c r="BK51" s="114"/>
      <c r="BL51" s="97">
        <f t="shared" si="152"/>
        <v>0</v>
      </c>
      <c r="BM51" s="97">
        <f t="shared" si="153"/>
        <v>0</v>
      </c>
      <c r="BN51" s="97" t="str">
        <f t="shared" si="154"/>
        <v xml:space="preserve"> </v>
      </c>
      <c r="BO51" s="97" t="str">
        <f t="shared" si="155"/>
        <v xml:space="preserve"> </v>
      </c>
      <c r="BP51" s="97" t="e">
        <f t="shared" si="156"/>
        <v>#N/A</v>
      </c>
      <c r="BQ51" s="97" t="e">
        <f t="shared" si="157"/>
        <v>#N/A</v>
      </c>
      <c r="BR51" s="97" t="e">
        <f t="shared" si="158"/>
        <v>#N/A</v>
      </c>
      <c r="BS51" s="97" t="e">
        <f t="shared" si="159"/>
        <v>#REF!</v>
      </c>
      <c r="BT51" s="97" t="e">
        <f t="shared" si="159"/>
        <v>#REF!</v>
      </c>
      <c r="BU51" s="97" t="e">
        <f t="shared" si="159"/>
        <v>#REF!</v>
      </c>
      <c r="BV51" s="97" t="e">
        <f t="shared" si="159"/>
        <v>#REF!</v>
      </c>
      <c r="BW51" s="97"/>
      <c r="BX51" s="97"/>
      <c r="BY51" s="97"/>
      <c r="BZ51" s="97"/>
      <c r="CA51" s="105" t="str">
        <f t="shared" ref="CA51:CA107" si="178">IF(COUNTIF(BL51:BZ51,"x")=0," ",COUNTIF(BL51:BZ51,"x"))</f>
        <v xml:space="preserve"> </v>
      </c>
      <c r="CB51" s="114"/>
      <c r="CC51" s="95">
        <f t="shared" si="31"/>
        <v>326</v>
      </c>
      <c r="CD51" s="124" t="str">
        <f t="shared" si="32"/>
        <v>NGSA</v>
      </c>
      <c r="CE51" s="97">
        <f t="shared" si="160"/>
        <v>0</v>
      </c>
      <c r="CF51" s="97">
        <f t="shared" si="161"/>
        <v>0</v>
      </c>
      <c r="CG51" s="97" t="str">
        <f t="shared" si="162"/>
        <v xml:space="preserve"> </v>
      </c>
      <c r="CH51" s="97" t="str">
        <f t="shared" si="163"/>
        <v xml:space="preserve"> </v>
      </c>
      <c r="CI51" s="97" t="e">
        <f t="shared" si="164"/>
        <v>#N/A</v>
      </c>
      <c r="CJ51" s="97" t="e">
        <f t="shared" si="165"/>
        <v>#N/A</v>
      </c>
      <c r="CK51" s="97" t="e">
        <f t="shared" si="166"/>
        <v>#N/A</v>
      </c>
      <c r="CL51" s="97" t="e">
        <f t="shared" si="167"/>
        <v>#REF!</v>
      </c>
      <c r="CM51" s="97" t="e">
        <f t="shared" si="167"/>
        <v>#REF!</v>
      </c>
      <c r="CN51" s="97" t="e">
        <f t="shared" si="167"/>
        <v>#REF!</v>
      </c>
      <c r="CO51" s="97" t="e">
        <f t="shared" si="167"/>
        <v>#REF!</v>
      </c>
      <c r="CP51" s="97"/>
      <c r="CQ51" s="97"/>
      <c r="CR51" s="97"/>
      <c r="CS51" s="97"/>
      <c r="CT51" s="105" t="str">
        <f t="shared" ref="CT51:CT107" si="179">IF(COUNTIF(CE51:CS51,"x")=0," ",COUNTIF(CE51:CS51,"x"))</f>
        <v xml:space="preserve"> </v>
      </c>
      <c r="CU51" s="118"/>
      <c r="CV51" s="95">
        <f t="shared" si="42"/>
        <v>326</v>
      </c>
      <c r="CW51" s="124" t="str">
        <f t="shared" si="43"/>
        <v>NGSA</v>
      </c>
      <c r="CX51" s="97">
        <f t="shared" si="168"/>
        <v>157</v>
      </c>
      <c r="CY51" s="97">
        <f t="shared" si="169"/>
        <v>122</v>
      </c>
      <c r="CZ51" s="97">
        <f t="shared" si="170"/>
        <v>157</v>
      </c>
      <c r="DA51" s="97">
        <f t="shared" si="171"/>
        <v>116</v>
      </c>
      <c r="DB51" s="97" t="e">
        <f t="shared" si="172"/>
        <v>#N/A</v>
      </c>
      <c r="DC51" s="97" t="e">
        <f t="shared" si="173"/>
        <v>#N/A</v>
      </c>
      <c r="DD51" s="97" t="e">
        <f t="shared" si="174"/>
        <v>#N/A</v>
      </c>
      <c r="DE51" s="186"/>
      <c r="DF51" s="186"/>
      <c r="DG51" s="186"/>
      <c r="DH51" s="186"/>
      <c r="DI51" s="186"/>
      <c r="DM51" s="206">
        <f>AVERAGE(CX51:DA51)</f>
        <v>138</v>
      </c>
    </row>
    <row r="52" spans="1:118" ht="15.75" x14ac:dyDescent="0.25">
      <c r="A52" s="196">
        <f t="shared" si="6"/>
        <v>375</v>
      </c>
      <c r="B52" s="197" t="str">
        <f t="shared" si="7"/>
        <v>NGSA</v>
      </c>
      <c r="C52" s="41" t="str">
        <f t="shared" si="8"/>
        <v xml:space="preserve"> </v>
      </c>
      <c r="D52" s="38" t="str">
        <f t="shared" si="9"/>
        <v xml:space="preserve"> </v>
      </c>
      <c r="E52" s="24" t="str">
        <f t="shared" si="10"/>
        <v xml:space="preserve"> </v>
      </c>
      <c r="F52" s="24">
        <f t="shared" si="11"/>
        <v>1</v>
      </c>
      <c r="G52" s="136" t="str">
        <f t="shared" si="12"/>
        <v xml:space="preserve"> </v>
      </c>
      <c r="I52" s="27">
        <v>375</v>
      </c>
      <c r="J52" s="55" t="s">
        <v>27</v>
      </c>
      <c r="K52" s="97">
        <f t="shared" si="128"/>
        <v>0</v>
      </c>
      <c r="L52" s="97">
        <f t="shared" si="129"/>
        <v>0</v>
      </c>
      <c r="M52" s="97">
        <f t="shared" si="130"/>
        <v>0</v>
      </c>
      <c r="N52" s="97">
        <f t="shared" si="131"/>
        <v>0</v>
      </c>
      <c r="O52" s="97" t="e">
        <f t="shared" si="132"/>
        <v>#N/A</v>
      </c>
      <c r="P52" s="97" t="e">
        <f t="shared" si="133"/>
        <v>#N/A</v>
      </c>
      <c r="Q52" s="97" t="e">
        <f t="shared" si="134"/>
        <v>#N/A</v>
      </c>
      <c r="R52" s="97" t="e">
        <f t="shared" si="135"/>
        <v>#REF!</v>
      </c>
      <c r="S52" s="97" t="e">
        <f t="shared" si="126"/>
        <v>#REF!</v>
      </c>
      <c r="T52" s="97" t="e">
        <f t="shared" si="126"/>
        <v>#REF!</v>
      </c>
      <c r="U52" s="97" t="e">
        <f t="shared" si="126"/>
        <v>#REF!</v>
      </c>
      <c r="V52" s="97"/>
      <c r="W52" s="97"/>
      <c r="X52" s="97"/>
      <c r="Y52" s="97"/>
      <c r="Z52" s="105" t="str">
        <f t="shared" si="175"/>
        <v xml:space="preserve"> </v>
      </c>
      <c r="AA52" s="114"/>
      <c r="AB52" s="97" t="str">
        <f t="shared" si="136"/>
        <v xml:space="preserve"> </v>
      </c>
      <c r="AC52" s="97" t="str">
        <f t="shared" si="137"/>
        <v xml:space="preserve"> </v>
      </c>
      <c r="AD52" s="97" t="str">
        <f t="shared" si="138"/>
        <v xml:space="preserve"> </v>
      </c>
      <c r="AE52" s="97" t="str">
        <f t="shared" si="139"/>
        <v xml:space="preserve"> </v>
      </c>
      <c r="AF52" s="97" t="e">
        <f t="shared" si="140"/>
        <v>#N/A</v>
      </c>
      <c r="AG52" s="97" t="e">
        <f t="shared" si="141"/>
        <v>#N/A</v>
      </c>
      <c r="AH52" s="97" t="e">
        <f t="shared" si="142"/>
        <v>#N/A</v>
      </c>
      <c r="AI52" s="97" t="e">
        <f t="shared" si="143"/>
        <v>#REF!</v>
      </c>
      <c r="AJ52" s="97" t="e">
        <f t="shared" si="127"/>
        <v>#REF!</v>
      </c>
      <c r="AK52" s="97" t="e">
        <f t="shared" si="127"/>
        <v>#REF!</v>
      </c>
      <c r="AL52" s="97" t="e">
        <f t="shared" si="127"/>
        <v>#REF!</v>
      </c>
      <c r="AM52" s="97"/>
      <c r="AN52" s="97"/>
      <c r="AO52" s="97"/>
      <c r="AP52" s="97"/>
      <c r="AQ52" s="105" t="str">
        <f t="shared" si="176"/>
        <v xml:space="preserve"> </v>
      </c>
      <c r="AR52" s="114"/>
      <c r="AS52" s="95">
        <f t="shared" si="2"/>
        <v>375</v>
      </c>
      <c r="AT52" s="124" t="str">
        <f t="shared" si="3"/>
        <v>NGSA</v>
      </c>
      <c r="AU52" s="97" t="str">
        <f t="shared" si="144"/>
        <v xml:space="preserve"> </v>
      </c>
      <c r="AV52" s="97" t="str">
        <f t="shared" si="145"/>
        <v xml:space="preserve"> </v>
      </c>
      <c r="AW52" s="97" t="str">
        <f t="shared" si="146"/>
        <v xml:space="preserve"> </v>
      </c>
      <c r="AX52" s="97" t="str">
        <f t="shared" si="147"/>
        <v xml:space="preserve"> </v>
      </c>
      <c r="AY52" s="97" t="e">
        <f t="shared" si="148"/>
        <v>#N/A</v>
      </c>
      <c r="AZ52" s="97" t="e">
        <f t="shared" si="149"/>
        <v>#N/A</v>
      </c>
      <c r="BA52" s="97" t="e">
        <f t="shared" si="150"/>
        <v>#N/A</v>
      </c>
      <c r="BB52" s="97" t="e">
        <f t="shared" si="151"/>
        <v>#REF!</v>
      </c>
      <c r="BC52" s="97" t="e">
        <f t="shared" si="151"/>
        <v>#REF!</v>
      </c>
      <c r="BD52" s="97" t="e">
        <f t="shared" si="151"/>
        <v>#REF!</v>
      </c>
      <c r="BE52" s="97" t="e">
        <f t="shared" si="151"/>
        <v>#REF!</v>
      </c>
      <c r="BF52" s="97"/>
      <c r="BG52" s="97"/>
      <c r="BH52" s="97"/>
      <c r="BI52" s="97"/>
      <c r="BJ52" s="105" t="str">
        <f t="shared" si="177"/>
        <v xml:space="preserve"> </v>
      </c>
      <c r="BK52" s="114"/>
      <c r="BL52" s="97" t="str">
        <f t="shared" si="152"/>
        <v xml:space="preserve"> </v>
      </c>
      <c r="BM52" s="97" t="str">
        <f t="shared" si="153"/>
        <v xml:space="preserve"> </v>
      </c>
      <c r="BN52" s="97" t="str">
        <f t="shared" si="154"/>
        <v xml:space="preserve"> </v>
      </c>
      <c r="BO52" s="97" t="str">
        <f t="shared" si="155"/>
        <v xml:space="preserve"> </v>
      </c>
      <c r="BP52" s="97" t="e">
        <f t="shared" si="156"/>
        <v>#N/A</v>
      </c>
      <c r="BQ52" s="97" t="e">
        <f t="shared" si="157"/>
        <v>#N/A</v>
      </c>
      <c r="BR52" s="97" t="e">
        <f t="shared" si="158"/>
        <v>#N/A</v>
      </c>
      <c r="BS52" s="97" t="e">
        <f t="shared" si="159"/>
        <v>#REF!</v>
      </c>
      <c r="BT52" s="97" t="e">
        <f t="shared" si="159"/>
        <v>#REF!</v>
      </c>
      <c r="BU52" s="97" t="e">
        <f t="shared" si="159"/>
        <v>#REF!</v>
      </c>
      <c r="BV52" s="97" t="e">
        <f t="shared" si="159"/>
        <v>#REF!</v>
      </c>
      <c r="BW52" s="97"/>
      <c r="BX52" s="97"/>
      <c r="BY52" s="97"/>
      <c r="BZ52" s="97"/>
      <c r="CA52" s="105" t="str">
        <f t="shared" si="178"/>
        <v xml:space="preserve"> </v>
      </c>
      <c r="CB52" s="114"/>
      <c r="CC52" s="95">
        <f t="shared" si="31"/>
        <v>375</v>
      </c>
      <c r="CD52" s="124" t="str">
        <f t="shared" si="32"/>
        <v>NGSA</v>
      </c>
      <c r="CE52" s="97" t="str">
        <f t="shared" si="160"/>
        <v xml:space="preserve"> </v>
      </c>
      <c r="CF52" s="97" t="str">
        <f t="shared" si="161"/>
        <v>X</v>
      </c>
      <c r="CG52" s="97" t="str">
        <f t="shared" si="162"/>
        <v xml:space="preserve"> </v>
      </c>
      <c r="CH52" s="97" t="str">
        <f t="shared" si="163"/>
        <v xml:space="preserve"> </v>
      </c>
      <c r="CI52" s="97" t="e">
        <f t="shared" si="164"/>
        <v>#N/A</v>
      </c>
      <c r="CJ52" s="97" t="e">
        <f t="shared" si="165"/>
        <v>#N/A</v>
      </c>
      <c r="CK52" s="97" t="e">
        <f t="shared" si="166"/>
        <v>#N/A</v>
      </c>
      <c r="CL52" s="97" t="e">
        <f t="shared" si="167"/>
        <v>#REF!</v>
      </c>
      <c r="CM52" s="97" t="e">
        <f t="shared" si="167"/>
        <v>#REF!</v>
      </c>
      <c r="CN52" s="97" t="e">
        <f t="shared" si="167"/>
        <v>#REF!</v>
      </c>
      <c r="CO52" s="97" t="e">
        <f t="shared" si="167"/>
        <v>#REF!</v>
      </c>
      <c r="CP52" s="97"/>
      <c r="CQ52" s="97"/>
      <c r="CR52" s="97"/>
      <c r="CS52" s="97"/>
      <c r="CT52" s="105">
        <f t="shared" si="179"/>
        <v>1</v>
      </c>
      <c r="CU52" s="118"/>
      <c r="CV52" s="95">
        <f t="shared" si="42"/>
        <v>375</v>
      </c>
      <c r="CW52" s="124" t="str">
        <f t="shared" si="43"/>
        <v>NGSA</v>
      </c>
      <c r="CX52" s="97">
        <f t="shared" si="168"/>
        <v>0</v>
      </c>
      <c r="CY52" s="97">
        <f t="shared" si="169"/>
        <v>0</v>
      </c>
      <c r="CZ52" s="97">
        <f t="shared" si="170"/>
        <v>0</v>
      </c>
      <c r="DA52" s="97">
        <f t="shared" si="171"/>
        <v>0</v>
      </c>
      <c r="DB52" s="97" t="e">
        <f t="shared" si="172"/>
        <v>#N/A</v>
      </c>
      <c r="DC52" s="97" t="e">
        <f t="shared" si="173"/>
        <v>#N/A</v>
      </c>
      <c r="DD52" s="97" t="e">
        <f t="shared" si="174"/>
        <v>#N/A</v>
      </c>
      <c r="DE52" s="186"/>
      <c r="DF52" s="186"/>
      <c r="DG52" s="186"/>
      <c r="DH52" s="186"/>
      <c r="DI52" s="186"/>
      <c r="DM52" s="206">
        <f>AVERAGE(CX52:DA52)</f>
        <v>0</v>
      </c>
    </row>
    <row r="53" spans="1:118" ht="15.75" x14ac:dyDescent="0.25">
      <c r="A53" s="196">
        <f t="shared" si="6"/>
        <v>389</v>
      </c>
      <c r="B53" s="197" t="str">
        <f t="shared" si="7"/>
        <v>NGSA</v>
      </c>
      <c r="C53" s="41" t="str">
        <f t="shared" si="8"/>
        <v xml:space="preserve"> </v>
      </c>
      <c r="D53" s="38" t="str">
        <f t="shared" si="9"/>
        <v xml:space="preserve"> </v>
      </c>
      <c r="E53" s="24" t="str">
        <f t="shared" si="10"/>
        <v xml:space="preserve"> </v>
      </c>
      <c r="F53" s="24">
        <f t="shared" si="11"/>
        <v>1</v>
      </c>
      <c r="G53" s="136" t="str">
        <f t="shared" si="12"/>
        <v xml:space="preserve"> </v>
      </c>
      <c r="I53" s="27">
        <v>389</v>
      </c>
      <c r="J53" s="55" t="s">
        <v>27</v>
      </c>
      <c r="K53" s="97">
        <f t="shared" si="128"/>
        <v>0</v>
      </c>
      <c r="L53" s="97" t="e">
        <f t="shared" si="129"/>
        <v>#N/A</v>
      </c>
      <c r="M53" s="97" t="e">
        <f t="shared" si="130"/>
        <v>#N/A</v>
      </c>
      <c r="N53" s="97" t="e">
        <f t="shared" si="131"/>
        <v>#N/A</v>
      </c>
      <c r="O53" s="97" t="e">
        <f t="shared" si="132"/>
        <v>#N/A</v>
      </c>
      <c r="P53" s="97" t="e">
        <f t="shared" si="133"/>
        <v>#N/A</v>
      </c>
      <c r="Q53" s="97" t="e">
        <f t="shared" si="134"/>
        <v>#N/A</v>
      </c>
      <c r="R53" s="97" t="e">
        <f t="shared" si="135"/>
        <v>#REF!</v>
      </c>
      <c r="S53" s="97" t="e">
        <f t="shared" si="126"/>
        <v>#REF!</v>
      </c>
      <c r="T53" s="97" t="e">
        <f t="shared" si="126"/>
        <v>#REF!</v>
      </c>
      <c r="U53" s="97" t="e">
        <f t="shared" si="126"/>
        <v>#REF!</v>
      </c>
      <c r="V53" s="97"/>
      <c r="W53" s="97"/>
      <c r="X53" s="97"/>
      <c r="Y53" s="97"/>
      <c r="Z53" s="105" t="str">
        <f t="shared" si="175"/>
        <v xml:space="preserve"> </v>
      </c>
      <c r="AA53" s="114"/>
      <c r="AB53" s="97" t="str">
        <f t="shared" si="136"/>
        <v xml:space="preserve"> </v>
      </c>
      <c r="AC53" s="97" t="e">
        <f t="shared" si="137"/>
        <v>#N/A</v>
      </c>
      <c r="AD53" s="97" t="e">
        <f t="shared" si="138"/>
        <v>#N/A</v>
      </c>
      <c r="AE53" s="97" t="e">
        <f t="shared" si="139"/>
        <v>#N/A</v>
      </c>
      <c r="AF53" s="97" t="e">
        <f t="shared" si="140"/>
        <v>#N/A</v>
      </c>
      <c r="AG53" s="97" t="e">
        <f t="shared" si="141"/>
        <v>#N/A</v>
      </c>
      <c r="AH53" s="97" t="e">
        <f t="shared" si="142"/>
        <v>#N/A</v>
      </c>
      <c r="AI53" s="97" t="e">
        <f t="shared" si="143"/>
        <v>#REF!</v>
      </c>
      <c r="AJ53" s="97" t="e">
        <f t="shared" si="127"/>
        <v>#REF!</v>
      </c>
      <c r="AK53" s="97" t="e">
        <f t="shared" si="127"/>
        <v>#REF!</v>
      </c>
      <c r="AL53" s="97" t="e">
        <f t="shared" si="127"/>
        <v>#REF!</v>
      </c>
      <c r="AM53" s="97"/>
      <c r="AN53" s="97"/>
      <c r="AO53" s="97"/>
      <c r="AP53" s="97"/>
      <c r="AQ53" s="105" t="str">
        <f t="shared" si="176"/>
        <v xml:space="preserve"> </v>
      </c>
      <c r="AR53" s="114"/>
      <c r="AS53" s="95">
        <f t="shared" si="2"/>
        <v>389</v>
      </c>
      <c r="AT53" s="124" t="str">
        <f t="shared" si="3"/>
        <v>NGSA</v>
      </c>
      <c r="AU53" s="97" t="str">
        <f t="shared" si="144"/>
        <v xml:space="preserve"> </v>
      </c>
      <c r="AV53" s="97" t="e">
        <f t="shared" si="145"/>
        <v>#N/A</v>
      </c>
      <c r="AW53" s="97" t="e">
        <f t="shared" si="146"/>
        <v>#N/A</v>
      </c>
      <c r="AX53" s="97" t="e">
        <f t="shared" si="147"/>
        <v>#N/A</v>
      </c>
      <c r="AY53" s="97" t="e">
        <f t="shared" si="148"/>
        <v>#N/A</v>
      </c>
      <c r="AZ53" s="97" t="e">
        <f t="shared" si="149"/>
        <v>#N/A</v>
      </c>
      <c r="BA53" s="97" t="e">
        <f t="shared" si="150"/>
        <v>#N/A</v>
      </c>
      <c r="BB53" s="97" t="e">
        <f t="shared" si="151"/>
        <v>#REF!</v>
      </c>
      <c r="BC53" s="97" t="e">
        <f t="shared" si="151"/>
        <v>#REF!</v>
      </c>
      <c r="BD53" s="97" t="e">
        <f t="shared" si="151"/>
        <v>#REF!</v>
      </c>
      <c r="BE53" s="97" t="e">
        <f t="shared" si="151"/>
        <v>#REF!</v>
      </c>
      <c r="BF53" s="97"/>
      <c r="BG53" s="97"/>
      <c r="BH53" s="97"/>
      <c r="BI53" s="97"/>
      <c r="BJ53" s="105" t="str">
        <f t="shared" si="177"/>
        <v xml:space="preserve"> </v>
      </c>
      <c r="BK53" s="114"/>
      <c r="BL53" s="97" t="str">
        <f t="shared" si="152"/>
        <v xml:space="preserve"> </v>
      </c>
      <c r="BM53" s="97" t="e">
        <f t="shared" si="153"/>
        <v>#N/A</v>
      </c>
      <c r="BN53" s="97" t="e">
        <f t="shared" si="154"/>
        <v>#N/A</v>
      </c>
      <c r="BO53" s="97" t="e">
        <f t="shared" si="155"/>
        <v>#N/A</v>
      </c>
      <c r="BP53" s="97" t="e">
        <f t="shared" si="156"/>
        <v>#N/A</v>
      </c>
      <c r="BQ53" s="97" t="e">
        <f t="shared" si="157"/>
        <v>#N/A</v>
      </c>
      <c r="BR53" s="97" t="e">
        <f t="shared" si="158"/>
        <v>#N/A</v>
      </c>
      <c r="BS53" s="97" t="e">
        <f t="shared" si="159"/>
        <v>#REF!</v>
      </c>
      <c r="BT53" s="97" t="e">
        <f t="shared" si="159"/>
        <v>#REF!</v>
      </c>
      <c r="BU53" s="97" t="e">
        <f t="shared" si="159"/>
        <v>#REF!</v>
      </c>
      <c r="BV53" s="97" t="e">
        <f t="shared" si="159"/>
        <v>#REF!</v>
      </c>
      <c r="BW53" s="97"/>
      <c r="BX53" s="97"/>
      <c r="BY53" s="97"/>
      <c r="BZ53" s="97"/>
      <c r="CA53" s="105" t="str">
        <f t="shared" si="178"/>
        <v xml:space="preserve"> </v>
      </c>
      <c r="CB53" s="114"/>
      <c r="CC53" s="95">
        <f t="shared" si="31"/>
        <v>389</v>
      </c>
      <c r="CD53" s="124" t="str">
        <f t="shared" si="32"/>
        <v>NGSA</v>
      </c>
      <c r="CE53" s="97" t="str">
        <f t="shared" si="160"/>
        <v>X</v>
      </c>
      <c r="CF53" s="97" t="e">
        <f t="shared" si="161"/>
        <v>#N/A</v>
      </c>
      <c r="CG53" s="97" t="e">
        <f t="shared" si="162"/>
        <v>#N/A</v>
      </c>
      <c r="CH53" s="97" t="e">
        <f t="shared" si="163"/>
        <v>#N/A</v>
      </c>
      <c r="CI53" s="97" t="e">
        <f t="shared" si="164"/>
        <v>#N/A</v>
      </c>
      <c r="CJ53" s="97" t="e">
        <f t="shared" si="165"/>
        <v>#N/A</v>
      </c>
      <c r="CK53" s="97" t="e">
        <f t="shared" si="166"/>
        <v>#N/A</v>
      </c>
      <c r="CL53" s="97" t="e">
        <f t="shared" si="167"/>
        <v>#REF!</v>
      </c>
      <c r="CM53" s="97" t="e">
        <f t="shared" si="167"/>
        <v>#REF!</v>
      </c>
      <c r="CN53" s="97" t="e">
        <f t="shared" si="167"/>
        <v>#REF!</v>
      </c>
      <c r="CO53" s="97" t="e">
        <f t="shared" si="167"/>
        <v>#REF!</v>
      </c>
      <c r="CP53" s="97"/>
      <c r="CQ53" s="97"/>
      <c r="CR53" s="97"/>
      <c r="CS53" s="97"/>
      <c r="CT53" s="105">
        <f t="shared" si="179"/>
        <v>1</v>
      </c>
      <c r="CU53" s="118"/>
      <c r="CV53" s="95">
        <f t="shared" si="42"/>
        <v>389</v>
      </c>
      <c r="CW53" s="124" t="str">
        <f t="shared" si="43"/>
        <v>NGSA</v>
      </c>
      <c r="CX53" s="97">
        <f t="shared" si="168"/>
        <v>0</v>
      </c>
      <c r="CY53" s="97" t="e">
        <f t="shared" si="169"/>
        <v>#N/A</v>
      </c>
      <c r="CZ53" s="97" t="e">
        <f t="shared" si="170"/>
        <v>#N/A</v>
      </c>
      <c r="DA53" s="97" t="e">
        <f t="shared" si="171"/>
        <v>#N/A</v>
      </c>
      <c r="DB53" s="97" t="e">
        <f t="shared" si="172"/>
        <v>#N/A</v>
      </c>
      <c r="DC53" s="97" t="e">
        <f t="shared" si="173"/>
        <v>#N/A</v>
      </c>
      <c r="DD53" s="97" t="e">
        <f t="shared" si="174"/>
        <v>#N/A</v>
      </c>
      <c r="DE53" s="186"/>
      <c r="DF53" s="186"/>
      <c r="DG53" s="186"/>
      <c r="DH53" s="186"/>
      <c r="DI53" s="186"/>
    </row>
    <row r="54" spans="1:118" ht="15.75" x14ac:dyDescent="0.25">
      <c r="A54" s="196">
        <f t="shared" si="6"/>
        <v>399</v>
      </c>
      <c r="B54" s="197" t="str">
        <f t="shared" si="7"/>
        <v>NGSA</v>
      </c>
      <c r="C54" s="41" t="str">
        <f t="shared" si="8"/>
        <v xml:space="preserve"> </v>
      </c>
      <c r="D54" s="38" t="str">
        <f t="shared" si="9"/>
        <v xml:space="preserve"> </v>
      </c>
      <c r="E54" s="24" t="str">
        <f t="shared" si="10"/>
        <v xml:space="preserve"> </v>
      </c>
      <c r="F54" s="24">
        <f t="shared" si="11"/>
        <v>3</v>
      </c>
      <c r="G54" s="136" t="str">
        <f t="shared" si="12"/>
        <v xml:space="preserve"> </v>
      </c>
      <c r="I54" s="27">
        <v>399</v>
      </c>
      <c r="J54" s="55" t="s">
        <v>27</v>
      </c>
      <c r="K54" s="97">
        <f t="shared" si="128"/>
        <v>0</v>
      </c>
      <c r="L54" s="97">
        <f t="shared" si="129"/>
        <v>0</v>
      </c>
      <c r="M54" s="97">
        <f t="shared" si="130"/>
        <v>0</v>
      </c>
      <c r="N54" s="97">
        <f t="shared" si="131"/>
        <v>0</v>
      </c>
      <c r="O54" s="97">
        <f t="shared" si="132"/>
        <v>0</v>
      </c>
      <c r="P54" s="97">
        <f t="shared" si="133"/>
        <v>0</v>
      </c>
      <c r="Q54" s="97">
        <f t="shared" si="134"/>
        <v>0</v>
      </c>
      <c r="R54" s="97" t="e">
        <f t="shared" si="135"/>
        <v>#REF!</v>
      </c>
      <c r="S54" s="97" t="e">
        <f t="shared" si="126"/>
        <v>#REF!</v>
      </c>
      <c r="T54" s="97" t="e">
        <f t="shared" si="126"/>
        <v>#REF!</v>
      </c>
      <c r="U54" s="97" t="e">
        <f t="shared" si="126"/>
        <v>#REF!</v>
      </c>
      <c r="V54" s="97"/>
      <c r="W54" s="97"/>
      <c r="X54" s="97"/>
      <c r="Y54" s="97"/>
      <c r="Z54" s="105" t="str">
        <f t="shared" si="175"/>
        <v xml:space="preserve"> </v>
      </c>
      <c r="AA54" s="114"/>
      <c r="AB54" s="97" t="str">
        <f t="shared" si="136"/>
        <v xml:space="preserve"> </v>
      </c>
      <c r="AC54" s="97" t="str">
        <f t="shared" si="137"/>
        <v xml:space="preserve"> </v>
      </c>
      <c r="AD54" s="97" t="str">
        <f t="shared" si="138"/>
        <v xml:space="preserve"> </v>
      </c>
      <c r="AE54" s="97" t="str">
        <f t="shared" si="139"/>
        <v xml:space="preserve"> </v>
      </c>
      <c r="AF54" s="97" t="str">
        <f t="shared" si="140"/>
        <v xml:space="preserve"> </v>
      </c>
      <c r="AG54" s="97" t="str">
        <f t="shared" si="141"/>
        <v xml:space="preserve"> </v>
      </c>
      <c r="AH54" s="97" t="str">
        <f t="shared" si="142"/>
        <v xml:space="preserve"> </v>
      </c>
      <c r="AI54" s="97" t="e">
        <f t="shared" si="143"/>
        <v>#REF!</v>
      </c>
      <c r="AJ54" s="97" t="e">
        <f t="shared" si="127"/>
        <v>#REF!</v>
      </c>
      <c r="AK54" s="97" t="e">
        <f t="shared" si="127"/>
        <v>#REF!</v>
      </c>
      <c r="AL54" s="97" t="e">
        <f t="shared" si="127"/>
        <v>#REF!</v>
      </c>
      <c r="AM54" s="97"/>
      <c r="AN54" s="97"/>
      <c r="AO54" s="97"/>
      <c r="AP54" s="97"/>
      <c r="AQ54" s="105" t="str">
        <f t="shared" si="176"/>
        <v xml:space="preserve"> </v>
      </c>
      <c r="AR54" s="114"/>
      <c r="AS54" s="95">
        <f t="shared" si="2"/>
        <v>399</v>
      </c>
      <c r="AT54" s="124" t="str">
        <f t="shared" si="3"/>
        <v>NGSA</v>
      </c>
      <c r="AU54" s="97" t="str">
        <f t="shared" si="144"/>
        <v xml:space="preserve"> </v>
      </c>
      <c r="AV54" s="97" t="str">
        <f t="shared" si="145"/>
        <v xml:space="preserve"> </v>
      </c>
      <c r="AW54" s="97" t="str">
        <f t="shared" si="146"/>
        <v xml:space="preserve"> </v>
      </c>
      <c r="AX54" s="97" t="str">
        <f t="shared" si="147"/>
        <v xml:space="preserve"> </v>
      </c>
      <c r="AY54" s="97" t="str">
        <f t="shared" si="148"/>
        <v xml:space="preserve"> </v>
      </c>
      <c r="AZ54" s="97" t="str">
        <f t="shared" si="149"/>
        <v xml:space="preserve"> </v>
      </c>
      <c r="BA54" s="97" t="str">
        <f t="shared" si="150"/>
        <v xml:space="preserve"> </v>
      </c>
      <c r="BB54" s="97" t="e">
        <f t="shared" si="151"/>
        <v>#REF!</v>
      </c>
      <c r="BC54" s="97" t="e">
        <f t="shared" si="151"/>
        <v>#REF!</v>
      </c>
      <c r="BD54" s="97" t="e">
        <f t="shared" si="151"/>
        <v>#REF!</v>
      </c>
      <c r="BE54" s="97" t="e">
        <f t="shared" si="151"/>
        <v>#REF!</v>
      </c>
      <c r="BF54" s="97"/>
      <c r="BG54" s="97"/>
      <c r="BH54" s="97"/>
      <c r="BI54" s="97"/>
      <c r="BJ54" s="105" t="str">
        <f t="shared" si="177"/>
        <v xml:space="preserve"> </v>
      </c>
      <c r="BK54" s="114"/>
      <c r="BL54" s="97" t="str">
        <f t="shared" si="152"/>
        <v xml:space="preserve"> </v>
      </c>
      <c r="BM54" s="97" t="str">
        <f t="shared" si="153"/>
        <v xml:space="preserve"> </v>
      </c>
      <c r="BN54" s="97" t="str">
        <f t="shared" si="154"/>
        <v xml:space="preserve"> </v>
      </c>
      <c r="BO54" s="97" t="str">
        <f t="shared" si="155"/>
        <v xml:space="preserve"> </v>
      </c>
      <c r="BP54" s="97" t="str">
        <f t="shared" si="156"/>
        <v xml:space="preserve"> </v>
      </c>
      <c r="BQ54" s="97" t="str">
        <f t="shared" si="157"/>
        <v xml:space="preserve"> </v>
      </c>
      <c r="BR54" s="97" t="str">
        <f t="shared" si="158"/>
        <v xml:space="preserve"> </v>
      </c>
      <c r="BS54" s="97" t="e">
        <f t="shared" si="159"/>
        <v>#REF!</v>
      </c>
      <c r="BT54" s="97" t="e">
        <f t="shared" si="159"/>
        <v>#REF!</v>
      </c>
      <c r="BU54" s="97" t="e">
        <f t="shared" si="159"/>
        <v>#REF!</v>
      </c>
      <c r="BV54" s="97" t="e">
        <f t="shared" si="159"/>
        <v>#REF!</v>
      </c>
      <c r="BW54" s="97"/>
      <c r="BX54" s="97"/>
      <c r="BY54" s="97"/>
      <c r="BZ54" s="97"/>
      <c r="CA54" s="105" t="str">
        <f t="shared" si="178"/>
        <v xml:space="preserve"> </v>
      </c>
      <c r="CB54" s="114"/>
      <c r="CC54" s="95">
        <f t="shared" si="31"/>
        <v>399</v>
      </c>
      <c r="CD54" s="124" t="str">
        <f t="shared" si="32"/>
        <v>NGSA</v>
      </c>
      <c r="CE54" s="97" t="str">
        <f t="shared" si="160"/>
        <v>X</v>
      </c>
      <c r="CF54" s="97" t="str">
        <f t="shared" si="161"/>
        <v xml:space="preserve"> </v>
      </c>
      <c r="CG54" s="97" t="str">
        <f t="shared" si="162"/>
        <v>X</v>
      </c>
      <c r="CH54" s="97" t="str">
        <f t="shared" si="163"/>
        <v>X</v>
      </c>
      <c r="CI54" s="97" t="str">
        <f t="shared" si="164"/>
        <v xml:space="preserve"> </v>
      </c>
      <c r="CJ54" s="97" t="str">
        <f t="shared" si="165"/>
        <v xml:space="preserve"> </v>
      </c>
      <c r="CK54" s="97" t="str">
        <f t="shared" si="166"/>
        <v xml:space="preserve"> </v>
      </c>
      <c r="CL54" s="97" t="e">
        <f t="shared" si="167"/>
        <v>#REF!</v>
      </c>
      <c r="CM54" s="97" t="e">
        <f t="shared" si="167"/>
        <v>#REF!</v>
      </c>
      <c r="CN54" s="97" t="e">
        <f t="shared" si="167"/>
        <v>#REF!</v>
      </c>
      <c r="CO54" s="97" t="e">
        <f t="shared" si="167"/>
        <v>#REF!</v>
      </c>
      <c r="CP54" s="97"/>
      <c r="CQ54" s="97"/>
      <c r="CR54" s="97"/>
      <c r="CS54" s="97"/>
      <c r="CT54" s="105">
        <f t="shared" si="179"/>
        <v>3</v>
      </c>
      <c r="CU54" s="118"/>
      <c r="CV54" s="95">
        <f t="shared" si="42"/>
        <v>399</v>
      </c>
      <c r="CW54" s="124" t="str">
        <f t="shared" si="43"/>
        <v>NGSA</v>
      </c>
      <c r="CX54" s="97">
        <f t="shared" si="168"/>
        <v>197</v>
      </c>
      <c r="CY54" s="97">
        <f t="shared" si="169"/>
        <v>151</v>
      </c>
      <c r="CZ54" s="97">
        <f t="shared" si="170"/>
        <v>192</v>
      </c>
      <c r="DA54" s="97">
        <f t="shared" si="171"/>
        <v>188</v>
      </c>
      <c r="DB54" s="97">
        <f t="shared" si="172"/>
        <v>125</v>
      </c>
      <c r="DC54" s="97">
        <f t="shared" si="173"/>
        <v>148</v>
      </c>
      <c r="DD54" s="97">
        <f t="shared" si="174"/>
        <v>150</v>
      </c>
      <c r="DE54" s="186"/>
      <c r="DF54" s="186"/>
      <c r="DG54" s="186"/>
      <c r="DH54" s="186"/>
      <c r="DI54" s="186"/>
      <c r="DM54" s="187">
        <f t="shared" si="69"/>
        <v>164.42857142857142</v>
      </c>
    </row>
    <row r="55" spans="1:118" ht="15.75" x14ac:dyDescent="0.25">
      <c r="A55" s="196">
        <f t="shared" si="6"/>
        <v>462</v>
      </c>
      <c r="B55" s="197" t="str">
        <f t="shared" si="7"/>
        <v>NGSA</v>
      </c>
      <c r="C55" s="41" t="str">
        <f t="shared" si="8"/>
        <v xml:space="preserve"> </v>
      </c>
      <c r="D55" s="38" t="str">
        <f t="shared" si="9"/>
        <v xml:space="preserve"> </v>
      </c>
      <c r="E55" s="24" t="str">
        <f t="shared" si="10"/>
        <v xml:space="preserve"> </v>
      </c>
      <c r="F55" s="24">
        <f t="shared" si="11"/>
        <v>1</v>
      </c>
      <c r="G55" s="136" t="str">
        <f t="shared" si="12"/>
        <v xml:space="preserve"> </v>
      </c>
      <c r="I55" s="27">
        <v>462</v>
      </c>
      <c r="J55" s="55" t="s">
        <v>27</v>
      </c>
      <c r="K55" s="97">
        <f t="shared" si="128"/>
        <v>0</v>
      </c>
      <c r="L55" s="97">
        <f t="shared" si="129"/>
        <v>0</v>
      </c>
      <c r="M55" s="97">
        <f t="shared" si="130"/>
        <v>0</v>
      </c>
      <c r="N55" s="97">
        <f t="shared" si="131"/>
        <v>0</v>
      </c>
      <c r="O55" s="97" t="e">
        <f t="shared" si="132"/>
        <v>#N/A</v>
      </c>
      <c r="P55" s="97" t="e">
        <f t="shared" si="133"/>
        <v>#N/A</v>
      </c>
      <c r="Q55" s="97" t="e">
        <f t="shared" si="134"/>
        <v>#N/A</v>
      </c>
      <c r="R55" s="97" t="e">
        <f t="shared" si="135"/>
        <v>#REF!</v>
      </c>
      <c r="S55" s="97" t="e">
        <f t="shared" si="126"/>
        <v>#REF!</v>
      </c>
      <c r="T55" s="97" t="e">
        <f t="shared" si="126"/>
        <v>#REF!</v>
      </c>
      <c r="U55" s="97" t="e">
        <f t="shared" si="126"/>
        <v>#REF!</v>
      </c>
      <c r="V55" s="97"/>
      <c r="W55" s="97"/>
      <c r="X55" s="97"/>
      <c r="Y55" s="97"/>
      <c r="Z55" s="105" t="str">
        <f t="shared" si="175"/>
        <v xml:space="preserve"> </v>
      </c>
      <c r="AA55" s="114"/>
      <c r="AB55" s="97">
        <f t="shared" si="136"/>
        <v>0</v>
      </c>
      <c r="AC55" s="97" t="str">
        <f t="shared" si="137"/>
        <v xml:space="preserve"> </v>
      </c>
      <c r="AD55" s="97" t="str">
        <f t="shared" si="138"/>
        <v xml:space="preserve"> </v>
      </c>
      <c r="AE55" s="97" t="str">
        <f t="shared" si="139"/>
        <v xml:space="preserve"> </v>
      </c>
      <c r="AF55" s="97" t="e">
        <f t="shared" si="140"/>
        <v>#N/A</v>
      </c>
      <c r="AG55" s="97" t="e">
        <f t="shared" si="141"/>
        <v>#N/A</v>
      </c>
      <c r="AH55" s="97" t="e">
        <f t="shared" si="142"/>
        <v>#N/A</v>
      </c>
      <c r="AI55" s="97" t="e">
        <f t="shared" si="143"/>
        <v>#REF!</v>
      </c>
      <c r="AJ55" s="97" t="e">
        <f t="shared" si="127"/>
        <v>#REF!</v>
      </c>
      <c r="AK55" s="97" t="e">
        <f t="shared" si="127"/>
        <v>#REF!</v>
      </c>
      <c r="AL55" s="97" t="e">
        <f t="shared" si="127"/>
        <v>#REF!</v>
      </c>
      <c r="AM55" s="97"/>
      <c r="AN55" s="97"/>
      <c r="AO55" s="97"/>
      <c r="AP55" s="97"/>
      <c r="AQ55" s="105" t="str">
        <f t="shared" si="176"/>
        <v xml:space="preserve"> </v>
      </c>
      <c r="AR55" s="114"/>
      <c r="AS55" s="95">
        <f t="shared" si="2"/>
        <v>462</v>
      </c>
      <c r="AT55" s="124" t="str">
        <f t="shared" si="3"/>
        <v>NGSA</v>
      </c>
      <c r="AU55" s="97" t="str">
        <f t="shared" si="144"/>
        <v xml:space="preserve"> </v>
      </c>
      <c r="AV55" s="97" t="str">
        <f t="shared" si="145"/>
        <v xml:space="preserve"> </v>
      </c>
      <c r="AW55" s="97" t="str">
        <f t="shared" si="146"/>
        <v xml:space="preserve"> </v>
      </c>
      <c r="AX55" s="97" t="str">
        <f t="shared" si="147"/>
        <v xml:space="preserve"> </v>
      </c>
      <c r="AY55" s="97" t="e">
        <f t="shared" si="148"/>
        <v>#N/A</v>
      </c>
      <c r="AZ55" s="97" t="e">
        <f t="shared" si="149"/>
        <v>#N/A</v>
      </c>
      <c r="BA55" s="97" t="e">
        <f t="shared" si="150"/>
        <v>#N/A</v>
      </c>
      <c r="BB55" s="97" t="e">
        <f t="shared" si="151"/>
        <v>#REF!</v>
      </c>
      <c r="BC55" s="97" t="e">
        <f t="shared" si="151"/>
        <v>#REF!</v>
      </c>
      <c r="BD55" s="97" t="e">
        <f t="shared" si="151"/>
        <v>#REF!</v>
      </c>
      <c r="BE55" s="97" t="e">
        <f t="shared" si="151"/>
        <v>#REF!</v>
      </c>
      <c r="BF55" s="97"/>
      <c r="BG55" s="97"/>
      <c r="BH55" s="97"/>
      <c r="BI55" s="97"/>
      <c r="BJ55" s="105" t="str">
        <f t="shared" si="177"/>
        <v xml:space="preserve"> </v>
      </c>
      <c r="BK55" s="114"/>
      <c r="BL55" s="97">
        <f t="shared" si="152"/>
        <v>0</v>
      </c>
      <c r="BM55" s="97">
        <f t="shared" si="153"/>
        <v>0</v>
      </c>
      <c r="BN55" s="97" t="str">
        <f t="shared" si="154"/>
        <v xml:space="preserve"> </v>
      </c>
      <c r="BO55" s="97" t="str">
        <f t="shared" si="155"/>
        <v xml:space="preserve"> </v>
      </c>
      <c r="BP55" s="97" t="e">
        <f t="shared" si="156"/>
        <v>#N/A</v>
      </c>
      <c r="BQ55" s="97" t="e">
        <f t="shared" si="157"/>
        <v>#N/A</v>
      </c>
      <c r="BR55" s="97" t="e">
        <f t="shared" si="158"/>
        <v>#N/A</v>
      </c>
      <c r="BS55" s="97" t="e">
        <f t="shared" si="159"/>
        <v>#REF!</v>
      </c>
      <c r="BT55" s="97" t="e">
        <f t="shared" si="159"/>
        <v>#REF!</v>
      </c>
      <c r="BU55" s="97" t="e">
        <f t="shared" si="159"/>
        <v>#REF!</v>
      </c>
      <c r="BV55" s="97" t="e">
        <f t="shared" si="159"/>
        <v>#REF!</v>
      </c>
      <c r="BW55" s="97"/>
      <c r="BX55" s="97"/>
      <c r="BY55" s="97"/>
      <c r="BZ55" s="97"/>
      <c r="CA55" s="105" t="str">
        <f t="shared" si="178"/>
        <v xml:space="preserve"> </v>
      </c>
      <c r="CB55" s="114"/>
      <c r="CC55" s="95">
        <f t="shared" si="31"/>
        <v>462</v>
      </c>
      <c r="CD55" s="124" t="str">
        <f t="shared" si="32"/>
        <v>NGSA</v>
      </c>
      <c r="CE55" s="97">
        <f t="shared" si="160"/>
        <v>0</v>
      </c>
      <c r="CF55" s="97">
        <f t="shared" si="161"/>
        <v>0</v>
      </c>
      <c r="CG55" s="97" t="str">
        <f t="shared" si="162"/>
        <v>X</v>
      </c>
      <c r="CH55" s="97" t="str">
        <f t="shared" si="163"/>
        <v xml:space="preserve"> </v>
      </c>
      <c r="CI55" s="97" t="e">
        <f t="shared" si="164"/>
        <v>#N/A</v>
      </c>
      <c r="CJ55" s="97" t="e">
        <f t="shared" si="165"/>
        <v>#N/A</v>
      </c>
      <c r="CK55" s="97" t="e">
        <f t="shared" si="166"/>
        <v>#N/A</v>
      </c>
      <c r="CL55" s="97" t="e">
        <f t="shared" si="167"/>
        <v>#REF!</v>
      </c>
      <c r="CM55" s="97" t="e">
        <f t="shared" si="167"/>
        <v>#REF!</v>
      </c>
      <c r="CN55" s="97" t="e">
        <f t="shared" si="167"/>
        <v>#REF!</v>
      </c>
      <c r="CO55" s="97" t="e">
        <f t="shared" si="167"/>
        <v>#REF!</v>
      </c>
      <c r="CP55" s="97"/>
      <c r="CQ55" s="97"/>
      <c r="CR55" s="97"/>
      <c r="CS55" s="97"/>
      <c r="CT55" s="105">
        <f t="shared" si="179"/>
        <v>1</v>
      </c>
      <c r="CU55" s="118"/>
      <c r="CV55" s="95">
        <f t="shared" si="42"/>
        <v>462</v>
      </c>
      <c r="CW55" s="124" t="str">
        <f t="shared" si="43"/>
        <v>NGSA</v>
      </c>
      <c r="CX55" s="97">
        <f t="shared" si="168"/>
        <v>165</v>
      </c>
      <c r="CY55" s="97">
        <f t="shared" si="169"/>
        <v>99</v>
      </c>
      <c r="CZ55" s="97">
        <f t="shared" si="170"/>
        <v>152</v>
      </c>
      <c r="DA55" s="97">
        <f t="shared" si="171"/>
        <v>144</v>
      </c>
      <c r="DB55" s="97" t="e">
        <f t="shared" si="172"/>
        <v>#N/A</v>
      </c>
      <c r="DC55" s="97" t="e">
        <f t="shared" si="173"/>
        <v>#N/A</v>
      </c>
      <c r="DD55" s="97" t="e">
        <f t="shared" si="174"/>
        <v>#N/A</v>
      </c>
      <c r="DE55" s="186"/>
      <c r="DF55" s="186"/>
      <c r="DG55" s="186"/>
      <c r="DH55" s="186"/>
      <c r="DI55" s="186"/>
      <c r="DM55" s="206">
        <f>AVERAGE(CX55:DA55)</f>
        <v>140</v>
      </c>
    </row>
    <row r="56" spans="1:118" ht="15.75" x14ac:dyDescent="0.25">
      <c r="A56" s="196">
        <f t="shared" si="6"/>
        <v>470</v>
      </c>
      <c r="B56" s="197" t="str">
        <f t="shared" si="7"/>
        <v>NGSA</v>
      </c>
      <c r="C56" s="41" t="str">
        <f t="shared" si="8"/>
        <v xml:space="preserve"> </v>
      </c>
      <c r="D56" s="38" t="str">
        <f t="shared" si="9"/>
        <v xml:space="preserve"> </v>
      </c>
      <c r="E56" s="24" t="str">
        <f t="shared" si="10"/>
        <v xml:space="preserve"> </v>
      </c>
      <c r="F56" s="24" t="str">
        <f t="shared" si="11"/>
        <v xml:space="preserve"> </v>
      </c>
      <c r="G56" s="136" t="str">
        <f t="shared" si="12"/>
        <v xml:space="preserve"> </v>
      </c>
      <c r="I56" s="27">
        <v>470</v>
      </c>
      <c r="J56" s="55" t="s">
        <v>27</v>
      </c>
      <c r="K56" s="97">
        <f t="shared" si="128"/>
        <v>0</v>
      </c>
      <c r="L56" s="97">
        <f t="shared" si="129"/>
        <v>0</v>
      </c>
      <c r="M56" s="97">
        <f t="shared" si="130"/>
        <v>0</v>
      </c>
      <c r="N56" s="97">
        <f t="shared" si="131"/>
        <v>0</v>
      </c>
      <c r="O56" s="97" t="e">
        <f t="shared" si="132"/>
        <v>#N/A</v>
      </c>
      <c r="P56" s="97" t="e">
        <f t="shared" si="133"/>
        <v>#N/A</v>
      </c>
      <c r="Q56" s="97" t="e">
        <f t="shared" si="134"/>
        <v>#N/A</v>
      </c>
      <c r="R56" s="97" t="e">
        <f t="shared" si="135"/>
        <v>#REF!</v>
      </c>
      <c r="S56" s="97" t="e">
        <f t="shared" si="126"/>
        <v>#REF!</v>
      </c>
      <c r="T56" s="97" t="e">
        <f t="shared" si="126"/>
        <v>#REF!</v>
      </c>
      <c r="U56" s="97" t="e">
        <f t="shared" si="126"/>
        <v>#REF!</v>
      </c>
      <c r="V56" s="97"/>
      <c r="W56" s="97"/>
      <c r="X56" s="97"/>
      <c r="Y56" s="97"/>
      <c r="Z56" s="105" t="str">
        <f t="shared" si="175"/>
        <v xml:space="preserve"> </v>
      </c>
      <c r="AA56" s="114"/>
      <c r="AB56" s="97" t="str">
        <f t="shared" si="136"/>
        <v xml:space="preserve"> </v>
      </c>
      <c r="AC56" s="97" t="str">
        <f t="shared" si="137"/>
        <v xml:space="preserve"> </v>
      </c>
      <c r="AD56" s="97" t="str">
        <f t="shared" si="138"/>
        <v xml:space="preserve"> </v>
      </c>
      <c r="AE56" s="97" t="str">
        <f t="shared" si="139"/>
        <v xml:space="preserve"> </v>
      </c>
      <c r="AF56" s="97" t="e">
        <f t="shared" si="140"/>
        <v>#N/A</v>
      </c>
      <c r="AG56" s="97" t="e">
        <f t="shared" si="141"/>
        <v>#N/A</v>
      </c>
      <c r="AH56" s="97" t="e">
        <f t="shared" si="142"/>
        <v>#N/A</v>
      </c>
      <c r="AI56" s="97" t="e">
        <f t="shared" si="143"/>
        <v>#REF!</v>
      </c>
      <c r="AJ56" s="97" t="e">
        <f t="shared" si="127"/>
        <v>#REF!</v>
      </c>
      <c r="AK56" s="97" t="e">
        <f t="shared" si="127"/>
        <v>#REF!</v>
      </c>
      <c r="AL56" s="97" t="e">
        <f t="shared" si="127"/>
        <v>#REF!</v>
      </c>
      <c r="AM56" s="97"/>
      <c r="AN56" s="97"/>
      <c r="AO56" s="97"/>
      <c r="AP56" s="97"/>
      <c r="AQ56" s="105" t="str">
        <f t="shared" si="176"/>
        <v xml:space="preserve"> </v>
      </c>
      <c r="AR56" s="114"/>
      <c r="AS56" s="95">
        <f t="shared" si="2"/>
        <v>470</v>
      </c>
      <c r="AT56" s="124" t="str">
        <f t="shared" si="3"/>
        <v>NGSA</v>
      </c>
      <c r="AU56" s="97" t="str">
        <f t="shared" si="144"/>
        <v xml:space="preserve"> </v>
      </c>
      <c r="AV56" s="97" t="str">
        <f t="shared" si="145"/>
        <v xml:space="preserve"> </v>
      </c>
      <c r="AW56" s="97" t="str">
        <f t="shared" si="146"/>
        <v xml:space="preserve"> </v>
      </c>
      <c r="AX56" s="97" t="str">
        <f t="shared" si="147"/>
        <v xml:space="preserve"> </v>
      </c>
      <c r="AY56" s="97" t="e">
        <f t="shared" si="148"/>
        <v>#N/A</v>
      </c>
      <c r="AZ56" s="97" t="e">
        <f t="shared" si="149"/>
        <v>#N/A</v>
      </c>
      <c r="BA56" s="97" t="e">
        <f t="shared" si="150"/>
        <v>#N/A</v>
      </c>
      <c r="BB56" s="97" t="e">
        <f t="shared" si="151"/>
        <v>#REF!</v>
      </c>
      <c r="BC56" s="97" t="e">
        <f t="shared" si="151"/>
        <v>#REF!</v>
      </c>
      <c r="BD56" s="97" t="e">
        <f t="shared" si="151"/>
        <v>#REF!</v>
      </c>
      <c r="BE56" s="97" t="e">
        <f t="shared" si="151"/>
        <v>#REF!</v>
      </c>
      <c r="BF56" s="97"/>
      <c r="BG56" s="97"/>
      <c r="BH56" s="97"/>
      <c r="BI56" s="97"/>
      <c r="BJ56" s="105" t="str">
        <f t="shared" si="177"/>
        <v xml:space="preserve"> </v>
      </c>
      <c r="BK56" s="114"/>
      <c r="BL56" s="97" t="str">
        <f t="shared" si="152"/>
        <v xml:space="preserve"> </v>
      </c>
      <c r="BM56" s="97">
        <f t="shared" si="153"/>
        <v>0</v>
      </c>
      <c r="BN56" s="97" t="str">
        <f t="shared" si="154"/>
        <v xml:space="preserve"> </v>
      </c>
      <c r="BO56" s="97" t="str">
        <f t="shared" si="155"/>
        <v xml:space="preserve"> </v>
      </c>
      <c r="BP56" s="97" t="e">
        <f t="shared" si="156"/>
        <v>#N/A</v>
      </c>
      <c r="BQ56" s="97" t="e">
        <f t="shared" si="157"/>
        <v>#N/A</v>
      </c>
      <c r="BR56" s="97" t="e">
        <f t="shared" si="158"/>
        <v>#N/A</v>
      </c>
      <c r="BS56" s="97" t="e">
        <f t="shared" si="159"/>
        <v>#REF!</v>
      </c>
      <c r="BT56" s="97" t="e">
        <f t="shared" si="159"/>
        <v>#REF!</v>
      </c>
      <c r="BU56" s="97" t="e">
        <f t="shared" si="159"/>
        <v>#REF!</v>
      </c>
      <c r="BV56" s="97" t="e">
        <f t="shared" si="159"/>
        <v>#REF!</v>
      </c>
      <c r="BW56" s="97"/>
      <c r="BX56" s="97"/>
      <c r="BY56" s="97"/>
      <c r="BZ56" s="97"/>
      <c r="CA56" s="105" t="str">
        <f t="shared" si="178"/>
        <v xml:space="preserve"> </v>
      </c>
      <c r="CB56" s="114"/>
      <c r="CC56" s="95">
        <f t="shared" si="31"/>
        <v>470</v>
      </c>
      <c r="CD56" s="124" t="str">
        <f t="shared" si="32"/>
        <v>NGSA</v>
      </c>
      <c r="CE56" s="97" t="str">
        <f t="shared" si="160"/>
        <v xml:space="preserve"> </v>
      </c>
      <c r="CF56" s="97">
        <f t="shared" si="161"/>
        <v>0</v>
      </c>
      <c r="CG56" s="97" t="str">
        <f t="shared" si="162"/>
        <v xml:space="preserve"> </v>
      </c>
      <c r="CH56" s="97" t="str">
        <f t="shared" si="163"/>
        <v xml:space="preserve"> </v>
      </c>
      <c r="CI56" s="97" t="e">
        <f t="shared" si="164"/>
        <v>#N/A</v>
      </c>
      <c r="CJ56" s="97" t="e">
        <f t="shared" si="165"/>
        <v>#N/A</v>
      </c>
      <c r="CK56" s="97" t="e">
        <f t="shared" si="166"/>
        <v>#N/A</v>
      </c>
      <c r="CL56" s="97" t="e">
        <f t="shared" si="167"/>
        <v>#REF!</v>
      </c>
      <c r="CM56" s="97" t="e">
        <f t="shared" si="167"/>
        <v>#REF!</v>
      </c>
      <c r="CN56" s="97" t="e">
        <f t="shared" si="167"/>
        <v>#REF!</v>
      </c>
      <c r="CO56" s="97" t="e">
        <f t="shared" si="167"/>
        <v>#REF!</v>
      </c>
      <c r="CP56" s="97"/>
      <c r="CQ56" s="97"/>
      <c r="CR56" s="97"/>
      <c r="CS56" s="97"/>
      <c r="CT56" s="105" t="str">
        <f t="shared" si="179"/>
        <v xml:space="preserve"> </v>
      </c>
      <c r="CU56" s="118"/>
      <c r="CV56" s="95">
        <f t="shared" si="42"/>
        <v>470</v>
      </c>
      <c r="CW56" s="124" t="str">
        <f t="shared" si="43"/>
        <v>NGSA</v>
      </c>
      <c r="CX56" s="97">
        <f t="shared" si="168"/>
        <v>192</v>
      </c>
      <c r="CY56" s="97">
        <f t="shared" si="169"/>
        <v>131</v>
      </c>
      <c r="CZ56" s="97">
        <f t="shared" si="170"/>
        <v>227</v>
      </c>
      <c r="DA56" s="97">
        <f t="shared" si="171"/>
        <v>101</v>
      </c>
      <c r="DB56" s="97" t="e">
        <f t="shared" si="172"/>
        <v>#N/A</v>
      </c>
      <c r="DC56" s="97" t="e">
        <f t="shared" si="173"/>
        <v>#N/A</v>
      </c>
      <c r="DD56" s="97" t="e">
        <f t="shared" si="174"/>
        <v>#N/A</v>
      </c>
      <c r="DE56" s="186"/>
      <c r="DF56" s="186"/>
      <c r="DG56" s="186"/>
      <c r="DH56" s="186"/>
      <c r="DI56" s="186"/>
      <c r="DM56" s="206">
        <f>AVERAGE(CX56:DA56)</f>
        <v>162.75</v>
      </c>
    </row>
    <row r="57" spans="1:118" ht="15.75" x14ac:dyDescent="0.25">
      <c r="A57" s="196">
        <f t="shared" si="6"/>
        <v>503</v>
      </c>
      <c r="B57" s="197" t="str">
        <f t="shared" si="7"/>
        <v>NGSA</v>
      </c>
      <c r="C57" s="41" t="str">
        <f t="shared" si="8"/>
        <v xml:space="preserve"> </v>
      </c>
      <c r="D57" s="38" t="str">
        <f t="shared" si="9"/>
        <v xml:space="preserve"> </v>
      </c>
      <c r="E57" s="24" t="str">
        <f t="shared" si="10"/>
        <v xml:space="preserve"> </v>
      </c>
      <c r="F57" s="24" t="str">
        <f t="shared" si="11"/>
        <v xml:space="preserve"> </v>
      </c>
      <c r="G57" s="136" t="str">
        <f t="shared" si="12"/>
        <v xml:space="preserve"> </v>
      </c>
      <c r="I57" s="27">
        <v>503</v>
      </c>
      <c r="J57" s="55" t="s">
        <v>27</v>
      </c>
      <c r="K57" s="97">
        <f t="shared" si="128"/>
        <v>0</v>
      </c>
      <c r="L57" s="97">
        <f t="shared" si="129"/>
        <v>0</v>
      </c>
      <c r="M57" s="97">
        <f t="shared" si="130"/>
        <v>0</v>
      </c>
      <c r="N57" s="97">
        <f t="shared" si="131"/>
        <v>0</v>
      </c>
      <c r="O57" s="97" t="e">
        <f t="shared" si="132"/>
        <v>#N/A</v>
      </c>
      <c r="P57" s="97" t="e">
        <f t="shared" si="133"/>
        <v>#N/A</v>
      </c>
      <c r="Q57" s="97" t="e">
        <f t="shared" si="134"/>
        <v>#N/A</v>
      </c>
      <c r="R57" s="97" t="e">
        <f t="shared" si="135"/>
        <v>#REF!</v>
      </c>
      <c r="S57" s="97" t="e">
        <f t="shared" si="126"/>
        <v>#REF!</v>
      </c>
      <c r="T57" s="97" t="e">
        <f t="shared" si="126"/>
        <v>#REF!</v>
      </c>
      <c r="U57" s="97" t="e">
        <f t="shared" si="126"/>
        <v>#REF!</v>
      </c>
      <c r="V57" s="97"/>
      <c r="W57" s="97"/>
      <c r="X57" s="97"/>
      <c r="Y57" s="97"/>
      <c r="Z57" s="105" t="str">
        <f t="shared" si="175"/>
        <v xml:space="preserve"> </v>
      </c>
      <c r="AA57" s="114"/>
      <c r="AB57" s="97">
        <f t="shared" si="136"/>
        <v>0</v>
      </c>
      <c r="AC57" s="97" t="str">
        <f t="shared" si="137"/>
        <v xml:space="preserve"> </v>
      </c>
      <c r="AD57" s="97" t="str">
        <f t="shared" si="138"/>
        <v xml:space="preserve"> </v>
      </c>
      <c r="AE57" s="97" t="str">
        <f t="shared" si="139"/>
        <v xml:space="preserve"> </v>
      </c>
      <c r="AF57" s="97" t="e">
        <f t="shared" si="140"/>
        <v>#N/A</v>
      </c>
      <c r="AG57" s="97" t="e">
        <f t="shared" si="141"/>
        <v>#N/A</v>
      </c>
      <c r="AH57" s="97" t="e">
        <f t="shared" si="142"/>
        <v>#N/A</v>
      </c>
      <c r="AI57" s="97" t="e">
        <f t="shared" si="143"/>
        <v>#REF!</v>
      </c>
      <c r="AJ57" s="97" t="e">
        <f t="shared" si="127"/>
        <v>#REF!</v>
      </c>
      <c r="AK57" s="97" t="e">
        <f t="shared" si="127"/>
        <v>#REF!</v>
      </c>
      <c r="AL57" s="97" t="e">
        <f t="shared" si="127"/>
        <v>#REF!</v>
      </c>
      <c r="AM57" s="97"/>
      <c r="AN57" s="97"/>
      <c r="AO57" s="97"/>
      <c r="AP57" s="97"/>
      <c r="AQ57" s="105" t="str">
        <f t="shared" si="176"/>
        <v xml:space="preserve"> </v>
      </c>
      <c r="AR57" s="114"/>
      <c r="AS57" s="95">
        <f t="shared" si="2"/>
        <v>503</v>
      </c>
      <c r="AT57" s="124" t="str">
        <f t="shared" si="3"/>
        <v>NGSA</v>
      </c>
      <c r="AU57" s="97" t="str">
        <f t="shared" si="144"/>
        <v xml:space="preserve"> </v>
      </c>
      <c r="AV57" s="97" t="str">
        <f t="shared" si="145"/>
        <v xml:space="preserve"> </v>
      </c>
      <c r="AW57" s="97" t="str">
        <f t="shared" si="146"/>
        <v xml:space="preserve"> </v>
      </c>
      <c r="AX57" s="97" t="str">
        <f t="shared" si="147"/>
        <v xml:space="preserve"> </v>
      </c>
      <c r="AY57" s="97" t="e">
        <f t="shared" si="148"/>
        <v>#N/A</v>
      </c>
      <c r="AZ57" s="97" t="e">
        <f t="shared" si="149"/>
        <v>#N/A</v>
      </c>
      <c r="BA57" s="97" t="e">
        <f t="shared" si="150"/>
        <v>#N/A</v>
      </c>
      <c r="BB57" s="97" t="e">
        <f t="shared" si="151"/>
        <v>#REF!</v>
      </c>
      <c r="BC57" s="97" t="e">
        <f t="shared" si="151"/>
        <v>#REF!</v>
      </c>
      <c r="BD57" s="97" t="e">
        <f t="shared" si="151"/>
        <v>#REF!</v>
      </c>
      <c r="BE57" s="97" t="e">
        <f t="shared" si="151"/>
        <v>#REF!</v>
      </c>
      <c r="BF57" s="97"/>
      <c r="BG57" s="97"/>
      <c r="BH57" s="97"/>
      <c r="BI57" s="97"/>
      <c r="BJ57" s="105" t="str">
        <f t="shared" si="177"/>
        <v xml:space="preserve"> </v>
      </c>
      <c r="BK57" s="114"/>
      <c r="BL57" s="97">
        <f t="shared" si="152"/>
        <v>0</v>
      </c>
      <c r="BM57" s="97">
        <f t="shared" si="153"/>
        <v>0</v>
      </c>
      <c r="BN57" s="97" t="str">
        <f t="shared" si="154"/>
        <v xml:space="preserve"> </v>
      </c>
      <c r="BO57" s="97" t="str">
        <f t="shared" si="155"/>
        <v xml:space="preserve"> </v>
      </c>
      <c r="BP57" s="97" t="e">
        <f t="shared" si="156"/>
        <v>#N/A</v>
      </c>
      <c r="BQ57" s="97" t="e">
        <f t="shared" si="157"/>
        <v>#N/A</v>
      </c>
      <c r="BR57" s="97" t="e">
        <f t="shared" si="158"/>
        <v>#N/A</v>
      </c>
      <c r="BS57" s="97" t="e">
        <f t="shared" si="159"/>
        <v>#REF!</v>
      </c>
      <c r="BT57" s="97" t="e">
        <f t="shared" si="159"/>
        <v>#REF!</v>
      </c>
      <c r="BU57" s="97" t="e">
        <f t="shared" si="159"/>
        <v>#REF!</v>
      </c>
      <c r="BV57" s="97" t="e">
        <f t="shared" si="159"/>
        <v>#REF!</v>
      </c>
      <c r="BW57" s="97"/>
      <c r="BX57" s="97"/>
      <c r="BY57" s="97"/>
      <c r="BZ57" s="97"/>
      <c r="CA57" s="105" t="str">
        <f t="shared" si="178"/>
        <v xml:space="preserve"> </v>
      </c>
      <c r="CB57" s="114"/>
      <c r="CC57" s="95">
        <f t="shared" si="31"/>
        <v>503</v>
      </c>
      <c r="CD57" s="124" t="str">
        <f t="shared" si="32"/>
        <v>NGSA</v>
      </c>
      <c r="CE57" s="97">
        <f t="shared" si="160"/>
        <v>0</v>
      </c>
      <c r="CF57" s="97">
        <f t="shared" si="161"/>
        <v>0</v>
      </c>
      <c r="CG57" s="97" t="str">
        <f t="shared" si="162"/>
        <v xml:space="preserve"> </v>
      </c>
      <c r="CH57" s="97" t="str">
        <f t="shared" si="163"/>
        <v xml:space="preserve"> </v>
      </c>
      <c r="CI57" s="97" t="e">
        <f t="shared" si="164"/>
        <v>#N/A</v>
      </c>
      <c r="CJ57" s="97" t="e">
        <f t="shared" si="165"/>
        <v>#N/A</v>
      </c>
      <c r="CK57" s="97" t="e">
        <f t="shared" si="166"/>
        <v>#N/A</v>
      </c>
      <c r="CL57" s="97" t="e">
        <f t="shared" si="167"/>
        <v>#REF!</v>
      </c>
      <c r="CM57" s="97" t="e">
        <f t="shared" si="167"/>
        <v>#REF!</v>
      </c>
      <c r="CN57" s="97" t="e">
        <f t="shared" si="167"/>
        <v>#REF!</v>
      </c>
      <c r="CO57" s="97" t="e">
        <f t="shared" si="167"/>
        <v>#REF!</v>
      </c>
      <c r="CP57" s="97"/>
      <c r="CQ57" s="97"/>
      <c r="CR57" s="97"/>
      <c r="CS57" s="97"/>
      <c r="CT57" s="105" t="str">
        <f t="shared" si="179"/>
        <v xml:space="preserve"> </v>
      </c>
      <c r="CU57" s="118"/>
      <c r="CV57" s="95">
        <f t="shared" si="42"/>
        <v>503</v>
      </c>
      <c r="CW57" s="124" t="str">
        <f t="shared" si="43"/>
        <v>NGSA</v>
      </c>
      <c r="CX57" s="97">
        <f t="shared" si="168"/>
        <v>0</v>
      </c>
      <c r="CY57" s="97">
        <f t="shared" si="169"/>
        <v>0</v>
      </c>
      <c r="CZ57" s="97">
        <f t="shared" si="170"/>
        <v>0</v>
      </c>
      <c r="DA57" s="97">
        <f t="shared" si="171"/>
        <v>0</v>
      </c>
      <c r="DB57" s="97" t="e">
        <f t="shared" si="172"/>
        <v>#N/A</v>
      </c>
      <c r="DC57" s="97" t="e">
        <f t="shared" si="173"/>
        <v>#N/A</v>
      </c>
      <c r="DD57" s="97" t="e">
        <f t="shared" si="174"/>
        <v>#N/A</v>
      </c>
      <c r="DE57" s="186"/>
      <c r="DF57" s="186"/>
      <c r="DG57" s="186"/>
      <c r="DH57" s="186"/>
      <c r="DI57" s="186"/>
      <c r="DM57" s="206">
        <f>AVERAGE(CX57:DA57)</f>
        <v>0</v>
      </c>
    </row>
    <row r="58" spans="1:118" ht="15.75" x14ac:dyDescent="0.25">
      <c r="A58" s="196">
        <f t="shared" si="6"/>
        <v>512</v>
      </c>
      <c r="B58" s="197" t="str">
        <f t="shared" si="7"/>
        <v>NGSA</v>
      </c>
      <c r="C58" s="41" t="str">
        <f t="shared" si="8"/>
        <v xml:space="preserve"> </v>
      </c>
      <c r="D58" s="38" t="str">
        <f t="shared" si="9"/>
        <v xml:space="preserve"> </v>
      </c>
      <c r="E58" s="24" t="str">
        <f t="shared" si="10"/>
        <v xml:space="preserve"> </v>
      </c>
      <c r="F58" s="24">
        <f t="shared" si="11"/>
        <v>2</v>
      </c>
      <c r="G58" s="136" t="str">
        <f t="shared" si="12"/>
        <v xml:space="preserve"> </v>
      </c>
      <c r="I58" s="27">
        <v>512</v>
      </c>
      <c r="J58" s="55" t="s">
        <v>27</v>
      </c>
      <c r="K58" s="97">
        <f t="shared" si="128"/>
        <v>0</v>
      </c>
      <c r="L58" s="97">
        <f t="shared" si="129"/>
        <v>0</v>
      </c>
      <c r="M58" s="97">
        <f t="shared" si="130"/>
        <v>0</v>
      </c>
      <c r="N58" s="97">
        <f t="shared" si="131"/>
        <v>0</v>
      </c>
      <c r="O58" s="97">
        <f t="shared" si="132"/>
        <v>0</v>
      </c>
      <c r="P58" s="97">
        <f t="shared" si="133"/>
        <v>0</v>
      </c>
      <c r="Q58" s="97">
        <f t="shared" si="134"/>
        <v>0</v>
      </c>
      <c r="R58" s="97" t="e">
        <f t="shared" si="135"/>
        <v>#REF!</v>
      </c>
      <c r="S58" s="97" t="e">
        <f t="shared" si="126"/>
        <v>#REF!</v>
      </c>
      <c r="T58" s="97" t="e">
        <f t="shared" si="126"/>
        <v>#REF!</v>
      </c>
      <c r="U58" s="97" t="e">
        <f t="shared" si="126"/>
        <v>#REF!</v>
      </c>
      <c r="V58" s="97"/>
      <c r="W58" s="97"/>
      <c r="X58" s="97"/>
      <c r="Y58" s="97"/>
      <c r="Z58" s="105" t="str">
        <f t="shared" si="175"/>
        <v xml:space="preserve"> </v>
      </c>
      <c r="AA58" s="114"/>
      <c r="AB58" s="97">
        <f t="shared" si="136"/>
        <v>0</v>
      </c>
      <c r="AC58" s="97" t="str">
        <f t="shared" si="137"/>
        <v xml:space="preserve"> </v>
      </c>
      <c r="AD58" s="97" t="str">
        <f t="shared" si="138"/>
        <v xml:space="preserve"> </v>
      </c>
      <c r="AE58" s="97" t="str">
        <f t="shared" si="139"/>
        <v xml:space="preserve"> </v>
      </c>
      <c r="AF58" s="97" t="str">
        <f t="shared" si="140"/>
        <v xml:space="preserve"> </v>
      </c>
      <c r="AG58" s="97" t="str">
        <f t="shared" si="141"/>
        <v xml:space="preserve"> </v>
      </c>
      <c r="AH58" s="97" t="str">
        <f t="shared" si="142"/>
        <v xml:space="preserve"> </v>
      </c>
      <c r="AI58" s="97" t="e">
        <f t="shared" si="143"/>
        <v>#REF!</v>
      </c>
      <c r="AJ58" s="97" t="e">
        <f t="shared" si="127"/>
        <v>#REF!</v>
      </c>
      <c r="AK58" s="97" t="e">
        <f t="shared" si="127"/>
        <v>#REF!</v>
      </c>
      <c r="AL58" s="97" t="e">
        <f t="shared" si="127"/>
        <v>#REF!</v>
      </c>
      <c r="AM58" s="97"/>
      <c r="AN58" s="97"/>
      <c r="AO58" s="97"/>
      <c r="AP58" s="97"/>
      <c r="AQ58" s="105" t="str">
        <f t="shared" si="176"/>
        <v xml:space="preserve"> </v>
      </c>
      <c r="AR58" s="114"/>
      <c r="AS58" s="95">
        <f t="shared" si="2"/>
        <v>512</v>
      </c>
      <c r="AT58" s="124" t="str">
        <f t="shared" si="3"/>
        <v>NGSA</v>
      </c>
      <c r="AU58" s="97" t="str">
        <f t="shared" si="144"/>
        <v xml:space="preserve"> </v>
      </c>
      <c r="AV58" s="97" t="str">
        <f t="shared" si="145"/>
        <v xml:space="preserve"> </v>
      </c>
      <c r="AW58" s="97" t="str">
        <f t="shared" si="146"/>
        <v xml:space="preserve"> </v>
      </c>
      <c r="AX58" s="97" t="str">
        <f t="shared" si="147"/>
        <v xml:space="preserve"> </v>
      </c>
      <c r="AY58" s="97" t="str">
        <f t="shared" si="148"/>
        <v xml:space="preserve"> </v>
      </c>
      <c r="AZ58" s="97" t="str">
        <f t="shared" si="149"/>
        <v xml:space="preserve"> </v>
      </c>
      <c r="BA58" s="97" t="str">
        <f t="shared" si="150"/>
        <v xml:space="preserve"> </v>
      </c>
      <c r="BB58" s="97" t="e">
        <f t="shared" si="151"/>
        <v>#REF!</v>
      </c>
      <c r="BC58" s="97" t="e">
        <f t="shared" si="151"/>
        <v>#REF!</v>
      </c>
      <c r="BD58" s="97" t="e">
        <f t="shared" si="151"/>
        <v>#REF!</v>
      </c>
      <c r="BE58" s="97" t="e">
        <f t="shared" si="151"/>
        <v>#REF!</v>
      </c>
      <c r="BF58" s="97"/>
      <c r="BG58" s="97"/>
      <c r="BH58" s="97"/>
      <c r="BI58" s="97"/>
      <c r="BJ58" s="105" t="str">
        <f t="shared" si="177"/>
        <v xml:space="preserve"> </v>
      </c>
      <c r="BK58" s="114"/>
      <c r="BL58" s="97">
        <f t="shared" si="152"/>
        <v>0</v>
      </c>
      <c r="BM58" s="97" t="str">
        <f t="shared" si="153"/>
        <v xml:space="preserve"> </v>
      </c>
      <c r="BN58" s="97" t="str">
        <f t="shared" si="154"/>
        <v xml:space="preserve"> </v>
      </c>
      <c r="BO58" s="97" t="str">
        <f t="shared" si="155"/>
        <v xml:space="preserve"> </v>
      </c>
      <c r="BP58" s="97" t="str">
        <f t="shared" si="156"/>
        <v xml:space="preserve"> </v>
      </c>
      <c r="BQ58" s="97" t="str">
        <f t="shared" si="157"/>
        <v xml:space="preserve"> </v>
      </c>
      <c r="BR58" s="97" t="str">
        <f t="shared" si="158"/>
        <v xml:space="preserve"> </v>
      </c>
      <c r="BS58" s="97" t="e">
        <f t="shared" si="159"/>
        <v>#REF!</v>
      </c>
      <c r="BT58" s="97" t="e">
        <f t="shared" si="159"/>
        <v>#REF!</v>
      </c>
      <c r="BU58" s="97" t="e">
        <f t="shared" si="159"/>
        <v>#REF!</v>
      </c>
      <c r="BV58" s="97" t="e">
        <f t="shared" si="159"/>
        <v>#REF!</v>
      </c>
      <c r="BW58" s="97"/>
      <c r="BX58" s="97"/>
      <c r="BY58" s="97"/>
      <c r="BZ58" s="97"/>
      <c r="CA58" s="105" t="str">
        <f t="shared" si="178"/>
        <v xml:space="preserve"> </v>
      </c>
      <c r="CB58" s="114"/>
      <c r="CC58" s="95">
        <f t="shared" si="31"/>
        <v>512</v>
      </c>
      <c r="CD58" s="124" t="str">
        <f t="shared" si="32"/>
        <v>NGSA</v>
      </c>
      <c r="CE58" s="97">
        <f t="shared" si="160"/>
        <v>0</v>
      </c>
      <c r="CF58" s="97" t="str">
        <f t="shared" si="161"/>
        <v xml:space="preserve"> </v>
      </c>
      <c r="CG58" s="97" t="str">
        <f t="shared" si="162"/>
        <v xml:space="preserve"> </v>
      </c>
      <c r="CH58" s="97" t="str">
        <f t="shared" si="163"/>
        <v xml:space="preserve"> </v>
      </c>
      <c r="CI58" s="97" t="str">
        <f t="shared" si="164"/>
        <v>X</v>
      </c>
      <c r="CJ58" s="97" t="str">
        <f t="shared" si="165"/>
        <v>X</v>
      </c>
      <c r="CK58" s="97" t="str">
        <f t="shared" si="166"/>
        <v xml:space="preserve"> </v>
      </c>
      <c r="CL58" s="97" t="e">
        <f t="shared" si="167"/>
        <v>#REF!</v>
      </c>
      <c r="CM58" s="97" t="e">
        <f t="shared" si="167"/>
        <v>#REF!</v>
      </c>
      <c r="CN58" s="97" t="e">
        <f t="shared" si="167"/>
        <v>#REF!</v>
      </c>
      <c r="CO58" s="97" t="e">
        <f t="shared" si="167"/>
        <v>#REF!</v>
      </c>
      <c r="CP58" s="97"/>
      <c r="CQ58" s="97"/>
      <c r="CR58" s="97"/>
      <c r="CS58" s="97"/>
      <c r="CT58" s="105">
        <f t="shared" si="179"/>
        <v>2</v>
      </c>
      <c r="CU58" s="118"/>
      <c r="CV58" s="95">
        <f t="shared" si="42"/>
        <v>512</v>
      </c>
      <c r="CW58" s="124" t="str">
        <f t="shared" si="43"/>
        <v>NGSA</v>
      </c>
      <c r="CX58" s="97">
        <f t="shared" si="168"/>
        <v>633</v>
      </c>
      <c r="CY58" s="97">
        <f t="shared" si="169"/>
        <v>842</v>
      </c>
      <c r="CZ58" s="97">
        <f t="shared" si="170"/>
        <v>768</v>
      </c>
      <c r="DA58" s="97">
        <f t="shared" si="171"/>
        <v>653</v>
      </c>
      <c r="DB58" s="97">
        <f t="shared" si="172"/>
        <v>650</v>
      </c>
      <c r="DC58" s="97">
        <f t="shared" si="173"/>
        <v>847</v>
      </c>
      <c r="DD58" s="97">
        <f t="shared" si="174"/>
        <v>780</v>
      </c>
      <c r="DE58" s="186"/>
      <c r="DF58" s="186"/>
      <c r="DG58" s="186"/>
      <c r="DH58" s="186"/>
      <c r="DI58" s="186"/>
      <c r="DM58" s="187">
        <f t="shared" si="69"/>
        <v>739</v>
      </c>
    </row>
    <row r="59" spans="1:118" ht="15.75" x14ac:dyDescent="0.25">
      <c r="A59" s="196">
        <f t="shared" si="6"/>
        <v>602</v>
      </c>
      <c r="B59" s="197" t="str">
        <f t="shared" si="7"/>
        <v>NGSA</v>
      </c>
      <c r="C59" s="41" t="str">
        <f t="shared" si="8"/>
        <v xml:space="preserve"> </v>
      </c>
      <c r="D59" s="38" t="str">
        <f t="shared" si="9"/>
        <v xml:space="preserve"> </v>
      </c>
      <c r="E59" s="24" t="str">
        <f t="shared" si="10"/>
        <v xml:space="preserve"> </v>
      </c>
      <c r="F59" s="24" t="str">
        <f t="shared" si="11"/>
        <v xml:space="preserve"> </v>
      </c>
      <c r="G59" s="136" t="str">
        <f t="shared" si="12"/>
        <v xml:space="preserve"> </v>
      </c>
      <c r="I59" s="27">
        <v>602</v>
      </c>
      <c r="J59" s="55" t="s">
        <v>27</v>
      </c>
      <c r="K59" s="97">
        <f t="shared" si="128"/>
        <v>0</v>
      </c>
      <c r="L59" s="97" t="e">
        <f t="shared" si="129"/>
        <v>#N/A</v>
      </c>
      <c r="M59" s="97" t="e">
        <f t="shared" si="130"/>
        <v>#N/A</v>
      </c>
      <c r="N59" s="97" t="e">
        <f t="shared" si="131"/>
        <v>#N/A</v>
      </c>
      <c r="O59" s="97" t="e">
        <f t="shared" si="132"/>
        <v>#N/A</v>
      </c>
      <c r="P59" s="97" t="e">
        <f t="shared" si="133"/>
        <v>#N/A</v>
      </c>
      <c r="Q59" s="97" t="e">
        <f t="shared" si="134"/>
        <v>#N/A</v>
      </c>
      <c r="R59" s="97" t="e">
        <f t="shared" si="135"/>
        <v>#REF!</v>
      </c>
      <c r="S59" s="97" t="e">
        <f t="shared" si="126"/>
        <v>#REF!</v>
      </c>
      <c r="T59" s="97" t="e">
        <f t="shared" si="126"/>
        <v>#REF!</v>
      </c>
      <c r="U59" s="97" t="e">
        <f t="shared" si="126"/>
        <v>#REF!</v>
      </c>
      <c r="V59" s="97"/>
      <c r="W59" s="97"/>
      <c r="X59" s="97"/>
      <c r="Y59" s="97"/>
      <c r="Z59" s="105" t="str">
        <f t="shared" si="175"/>
        <v xml:space="preserve"> </v>
      </c>
      <c r="AA59" s="114"/>
      <c r="AB59" s="97" t="str">
        <f t="shared" si="136"/>
        <v xml:space="preserve"> </v>
      </c>
      <c r="AC59" s="97" t="e">
        <f t="shared" si="137"/>
        <v>#N/A</v>
      </c>
      <c r="AD59" s="97" t="e">
        <f t="shared" si="138"/>
        <v>#N/A</v>
      </c>
      <c r="AE59" s="97" t="e">
        <f t="shared" si="139"/>
        <v>#N/A</v>
      </c>
      <c r="AF59" s="97" t="e">
        <f t="shared" si="140"/>
        <v>#N/A</v>
      </c>
      <c r="AG59" s="97" t="e">
        <f t="shared" si="141"/>
        <v>#N/A</v>
      </c>
      <c r="AH59" s="97" t="e">
        <f t="shared" si="142"/>
        <v>#N/A</v>
      </c>
      <c r="AI59" s="97" t="e">
        <f t="shared" si="143"/>
        <v>#REF!</v>
      </c>
      <c r="AJ59" s="97" t="e">
        <f t="shared" si="127"/>
        <v>#REF!</v>
      </c>
      <c r="AK59" s="97" t="e">
        <f t="shared" si="127"/>
        <v>#REF!</v>
      </c>
      <c r="AL59" s="97" t="e">
        <f t="shared" si="127"/>
        <v>#REF!</v>
      </c>
      <c r="AM59" s="97"/>
      <c r="AN59" s="97"/>
      <c r="AO59" s="97"/>
      <c r="AP59" s="97"/>
      <c r="AQ59" s="105" t="str">
        <f t="shared" si="176"/>
        <v xml:space="preserve"> </v>
      </c>
      <c r="AR59" s="114"/>
      <c r="AS59" s="95">
        <f t="shared" si="2"/>
        <v>602</v>
      </c>
      <c r="AT59" s="124" t="str">
        <f t="shared" si="3"/>
        <v>NGSA</v>
      </c>
      <c r="AU59" s="97" t="str">
        <f t="shared" si="144"/>
        <v xml:space="preserve"> </v>
      </c>
      <c r="AV59" s="97" t="e">
        <f t="shared" si="145"/>
        <v>#N/A</v>
      </c>
      <c r="AW59" s="97" t="e">
        <f t="shared" si="146"/>
        <v>#N/A</v>
      </c>
      <c r="AX59" s="97" t="e">
        <f t="shared" si="147"/>
        <v>#N/A</v>
      </c>
      <c r="AY59" s="97" t="e">
        <f t="shared" si="148"/>
        <v>#N/A</v>
      </c>
      <c r="AZ59" s="97" t="e">
        <f t="shared" si="149"/>
        <v>#N/A</v>
      </c>
      <c r="BA59" s="97" t="e">
        <f t="shared" si="150"/>
        <v>#N/A</v>
      </c>
      <c r="BB59" s="97" t="e">
        <f t="shared" si="151"/>
        <v>#REF!</v>
      </c>
      <c r="BC59" s="97" t="e">
        <f t="shared" si="151"/>
        <v>#REF!</v>
      </c>
      <c r="BD59" s="97" t="e">
        <f t="shared" si="151"/>
        <v>#REF!</v>
      </c>
      <c r="BE59" s="97" t="e">
        <f t="shared" si="151"/>
        <v>#REF!</v>
      </c>
      <c r="BF59" s="97"/>
      <c r="BG59" s="97"/>
      <c r="BH59" s="97"/>
      <c r="BI59" s="97"/>
      <c r="BJ59" s="105" t="str">
        <f t="shared" si="177"/>
        <v xml:space="preserve"> </v>
      </c>
      <c r="BK59" s="114"/>
      <c r="BL59" s="97" t="str">
        <f t="shared" si="152"/>
        <v xml:space="preserve"> </v>
      </c>
      <c r="BM59" s="97" t="e">
        <f t="shared" si="153"/>
        <v>#N/A</v>
      </c>
      <c r="BN59" s="97" t="e">
        <f t="shared" si="154"/>
        <v>#N/A</v>
      </c>
      <c r="BO59" s="97" t="e">
        <f t="shared" si="155"/>
        <v>#N/A</v>
      </c>
      <c r="BP59" s="97" t="e">
        <f t="shared" si="156"/>
        <v>#N/A</v>
      </c>
      <c r="BQ59" s="97" t="e">
        <f t="shared" si="157"/>
        <v>#N/A</v>
      </c>
      <c r="BR59" s="97" t="e">
        <f t="shared" si="158"/>
        <v>#N/A</v>
      </c>
      <c r="BS59" s="97" t="e">
        <f t="shared" si="159"/>
        <v>#REF!</v>
      </c>
      <c r="BT59" s="97" t="e">
        <f t="shared" si="159"/>
        <v>#REF!</v>
      </c>
      <c r="BU59" s="97" t="e">
        <f t="shared" si="159"/>
        <v>#REF!</v>
      </c>
      <c r="BV59" s="97" t="e">
        <f t="shared" si="159"/>
        <v>#REF!</v>
      </c>
      <c r="BW59" s="97"/>
      <c r="BX59" s="97"/>
      <c r="BY59" s="97"/>
      <c r="BZ59" s="97"/>
      <c r="CA59" s="105" t="str">
        <f t="shared" si="178"/>
        <v xml:space="preserve"> </v>
      </c>
      <c r="CB59" s="114"/>
      <c r="CC59" s="95">
        <f t="shared" si="31"/>
        <v>602</v>
      </c>
      <c r="CD59" s="124" t="str">
        <f t="shared" si="32"/>
        <v>NGSA</v>
      </c>
      <c r="CE59" s="97" t="str">
        <f t="shared" si="160"/>
        <v xml:space="preserve"> </v>
      </c>
      <c r="CF59" s="97" t="e">
        <f t="shared" si="161"/>
        <v>#N/A</v>
      </c>
      <c r="CG59" s="97" t="e">
        <f t="shared" si="162"/>
        <v>#N/A</v>
      </c>
      <c r="CH59" s="97" t="e">
        <f t="shared" si="163"/>
        <v>#N/A</v>
      </c>
      <c r="CI59" s="97" t="e">
        <f t="shared" si="164"/>
        <v>#N/A</v>
      </c>
      <c r="CJ59" s="97" t="e">
        <f t="shared" si="165"/>
        <v>#N/A</v>
      </c>
      <c r="CK59" s="97" t="e">
        <f t="shared" si="166"/>
        <v>#N/A</v>
      </c>
      <c r="CL59" s="97" t="e">
        <f t="shared" si="167"/>
        <v>#REF!</v>
      </c>
      <c r="CM59" s="97" t="e">
        <f t="shared" si="167"/>
        <v>#REF!</v>
      </c>
      <c r="CN59" s="97" t="e">
        <f t="shared" si="167"/>
        <v>#REF!</v>
      </c>
      <c r="CO59" s="97" t="e">
        <f t="shared" si="167"/>
        <v>#REF!</v>
      </c>
      <c r="CP59" s="97"/>
      <c r="CQ59" s="97"/>
      <c r="CR59" s="97"/>
      <c r="CS59" s="97"/>
      <c r="CT59" s="105" t="str">
        <f t="shared" si="179"/>
        <v xml:space="preserve"> </v>
      </c>
      <c r="CU59" s="118"/>
      <c r="CV59" s="95">
        <f t="shared" si="42"/>
        <v>602</v>
      </c>
      <c r="CW59" s="124" t="str">
        <f t="shared" si="43"/>
        <v>NGSA</v>
      </c>
      <c r="CX59" s="97">
        <f t="shared" si="168"/>
        <v>0</v>
      </c>
      <c r="CY59" s="97" t="e">
        <f t="shared" si="169"/>
        <v>#N/A</v>
      </c>
      <c r="CZ59" s="97" t="e">
        <f t="shared" si="170"/>
        <v>#N/A</v>
      </c>
      <c r="DA59" s="97" t="e">
        <f t="shared" si="171"/>
        <v>#N/A</v>
      </c>
      <c r="DB59" s="97" t="e">
        <f t="shared" si="172"/>
        <v>#N/A</v>
      </c>
      <c r="DC59" s="97" t="e">
        <f t="shared" si="173"/>
        <v>#N/A</v>
      </c>
      <c r="DD59" s="97" t="e">
        <f t="shared" si="174"/>
        <v>#N/A</v>
      </c>
      <c r="DE59" s="186"/>
      <c r="DF59" s="186"/>
      <c r="DG59" s="186"/>
      <c r="DH59" s="186"/>
      <c r="DI59" s="186"/>
      <c r="DM59" s="206"/>
    </row>
    <row r="60" spans="1:118" ht="15.75" x14ac:dyDescent="0.25">
      <c r="A60" s="196">
        <f t="shared" si="6"/>
        <v>650</v>
      </c>
      <c r="B60" s="197" t="str">
        <f t="shared" si="7"/>
        <v>NGSA</v>
      </c>
      <c r="C60" s="41" t="str">
        <f t="shared" si="8"/>
        <v xml:space="preserve"> </v>
      </c>
      <c r="D60" s="38" t="str">
        <f t="shared" si="9"/>
        <v xml:space="preserve"> </v>
      </c>
      <c r="E60" s="24" t="str">
        <f t="shared" si="10"/>
        <v xml:space="preserve"> </v>
      </c>
      <c r="F60" s="24" t="str">
        <f t="shared" si="11"/>
        <v xml:space="preserve"> </v>
      </c>
      <c r="G60" s="136" t="str">
        <f t="shared" si="12"/>
        <v xml:space="preserve"> </v>
      </c>
      <c r="I60" s="27">
        <v>650</v>
      </c>
      <c r="J60" s="55" t="s">
        <v>27</v>
      </c>
      <c r="K60" s="97">
        <f t="shared" si="128"/>
        <v>0</v>
      </c>
      <c r="L60" s="97">
        <f t="shared" si="129"/>
        <v>0</v>
      </c>
      <c r="M60" s="97">
        <f t="shared" si="130"/>
        <v>0</v>
      </c>
      <c r="N60" s="97">
        <f t="shared" si="131"/>
        <v>0</v>
      </c>
      <c r="O60" s="97" t="e">
        <f t="shared" si="132"/>
        <v>#N/A</v>
      </c>
      <c r="P60" s="97" t="e">
        <f t="shared" si="133"/>
        <v>#N/A</v>
      </c>
      <c r="Q60" s="97" t="e">
        <f t="shared" si="134"/>
        <v>#N/A</v>
      </c>
      <c r="R60" s="97" t="e">
        <f t="shared" si="135"/>
        <v>#REF!</v>
      </c>
      <c r="S60" s="97" t="e">
        <f t="shared" si="126"/>
        <v>#REF!</v>
      </c>
      <c r="T60" s="97" t="e">
        <f t="shared" si="126"/>
        <v>#REF!</v>
      </c>
      <c r="U60" s="97" t="e">
        <f t="shared" si="126"/>
        <v>#REF!</v>
      </c>
      <c r="V60" s="97"/>
      <c r="W60" s="97"/>
      <c r="X60" s="97"/>
      <c r="Y60" s="97"/>
      <c r="Z60" s="105" t="str">
        <f t="shared" si="175"/>
        <v xml:space="preserve"> </v>
      </c>
      <c r="AA60" s="114"/>
      <c r="AB60" s="97" t="str">
        <f t="shared" si="136"/>
        <v xml:space="preserve"> </v>
      </c>
      <c r="AC60" s="97" t="str">
        <f t="shared" si="137"/>
        <v xml:space="preserve"> </v>
      </c>
      <c r="AD60" s="97" t="str">
        <f t="shared" si="138"/>
        <v xml:space="preserve"> </v>
      </c>
      <c r="AE60" s="97" t="str">
        <f t="shared" si="139"/>
        <v xml:space="preserve"> </v>
      </c>
      <c r="AF60" s="97" t="e">
        <f t="shared" si="140"/>
        <v>#N/A</v>
      </c>
      <c r="AG60" s="97" t="e">
        <f t="shared" si="141"/>
        <v>#N/A</v>
      </c>
      <c r="AH60" s="97" t="e">
        <f t="shared" si="142"/>
        <v>#N/A</v>
      </c>
      <c r="AI60" s="97" t="e">
        <f t="shared" si="143"/>
        <v>#REF!</v>
      </c>
      <c r="AJ60" s="97" t="e">
        <f t="shared" si="127"/>
        <v>#REF!</v>
      </c>
      <c r="AK60" s="97" t="e">
        <f t="shared" si="127"/>
        <v>#REF!</v>
      </c>
      <c r="AL60" s="97" t="e">
        <f t="shared" si="127"/>
        <v>#REF!</v>
      </c>
      <c r="AM60" s="97"/>
      <c r="AN60" s="97"/>
      <c r="AO60" s="97"/>
      <c r="AP60" s="97"/>
      <c r="AQ60" s="105" t="str">
        <f t="shared" si="176"/>
        <v xml:space="preserve"> </v>
      </c>
      <c r="AR60" s="114"/>
      <c r="AS60" s="95">
        <f t="shared" si="2"/>
        <v>650</v>
      </c>
      <c r="AT60" s="124" t="str">
        <f t="shared" si="3"/>
        <v>NGSA</v>
      </c>
      <c r="AU60" s="97" t="str">
        <f t="shared" si="144"/>
        <v xml:space="preserve"> </v>
      </c>
      <c r="AV60" s="97" t="str">
        <f t="shared" si="145"/>
        <v xml:space="preserve"> </v>
      </c>
      <c r="AW60" s="97" t="str">
        <f t="shared" si="146"/>
        <v xml:space="preserve"> </v>
      </c>
      <c r="AX60" s="97" t="str">
        <f t="shared" si="147"/>
        <v xml:space="preserve"> </v>
      </c>
      <c r="AY60" s="97" t="e">
        <f t="shared" si="148"/>
        <v>#N/A</v>
      </c>
      <c r="AZ60" s="97" t="e">
        <f t="shared" si="149"/>
        <v>#N/A</v>
      </c>
      <c r="BA60" s="97" t="e">
        <f t="shared" si="150"/>
        <v>#N/A</v>
      </c>
      <c r="BB60" s="97" t="e">
        <f t="shared" si="151"/>
        <v>#REF!</v>
      </c>
      <c r="BC60" s="97" t="e">
        <f t="shared" si="151"/>
        <v>#REF!</v>
      </c>
      <c r="BD60" s="97" t="e">
        <f t="shared" si="151"/>
        <v>#REF!</v>
      </c>
      <c r="BE60" s="97" t="e">
        <f t="shared" si="151"/>
        <v>#REF!</v>
      </c>
      <c r="BF60" s="97"/>
      <c r="BG60" s="97"/>
      <c r="BH60" s="97"/>
      <c r="BI60" s="97"/>
      <c r="BJ60" s="105" t="str">
        <f t="shared" si="177"/>
        <v xml:space="preserve"> </v>
      </c>
      <c r="BK60" s="114"/>
      <c r="BL60" s="97" t="str">
        <f t="shared" si="152"/>
        <v xml:space="preserve"> </v>
      </c>
      <c r="BM60" s="97">
        <f t="shared" si="153"/>
        <v>0</v>
      </c>
      <c r="BN60" s="97" t="str">
        <f t="shared" si="154"/>
        <v xml:space="preserve"> </v>
      </c>
      <c r="BO60" s="97" t="str">
        <f t="shared" si="155"/>
        <v xml:space="preserve"> </v>
      </c>
      <c r="BP60" s="97" t="e">
        <f t="shared" si="156"/>
        <v>#N/A</v>
      </c>
      <c r="BQ60" s="97" t="e">
        <f t="shared" si="157"/>
        <v>#N/A</v>
      </c>
      <c r="BR60" s="97" t="e">
        <f t="shared" si="158"/>
        <v>#N/A</v>
      </c>
      <c r="BS60" s="97" t="e">
        <f t="shared" si="159"/>
        <v>#REF!</v>
      </c>
      <c r="BT60" s="97" t="e">
        <f t="shared" si="159"/>
        <v>#REF!</v>
      </c>
      <c r="BU60" s="97" t="e">
        <f t="shared" si="159"/>
        <v>#REF!</v>
      </c>
      <c r="BV60" s="97" t="e">
        <f t="shared" si="159"/>
        <v>#REF!</v>
      </c>
      <c r="BW60" s="97"/>
      <c r="BX60" s="97"/>
      <c r="BY60" s="97"/>
      <c r="BZ60" s="97"/>
      <c r="CA60" s="105" t="str">
        <f t="shared" si="178"/>
        <v xml:space="preserve"> </v>
      </c>
      <c r="CB60" s="114"/>
      <c r="CC60" s="95">
        <f t="shared" si="31"/>
        <v>650</v>
      </c>
      <c r="CD60" s="124" t="str">
        <f t="shared" si="32"/>
        <v>NGSA</v>
      </c>
      <c r="CE60" s="97" t="str">
        <f t="shared" si="160"/>
        <v xml:space="preserve"> </v>
      </c>
      <c r="CF60" s="97">
        <f t="shared" si="161"/>
        <v>0</v>
      </c>
      <c r="CG60" s="97" t="str">
        <f t="shared" si="162"/>
        <v xml:space="preserve"> </v>
      </c>
      <c r="CH60" s="97" t="str">
        <f t="shared" si="163"/>
        <v xml:space="preserve"> </v>
      </c>
      <c r="CI60" s="97" t="e">
        <f t="shared" si="164"/>
        <v>#N/A</v>
      </c>
      <c r="CJ60" s="97" t="e">
        <f t="shared" si="165"/>
        <v>#N/A</v>
      </c>
      <c r="CK60" s="97" t="e">
        <f t="shared" si="166"/>
        <v>#N/A</v>
      </c>
      <c r="CL60" s="97" t="e">
        <f t="shared" si="167"/>
        <v>#REF!</v>
      </c>
      <c r="CM60" s="97" t="e">
        <f t="shared" si="167"/>
        <v>#REF!</v>
      </c>
      <c r="CN60" s="97" t="e">
        <f t="shared" si="167"/>
        <v>#REF!</v>
      </c>
      <c r="CO60" s="97" t="e">
        <f t="shared" si="167"/>
        <v>#REF!</v>
      </c>
      <c r="CP60" s="97"/>
      <c r="CQ60" s="97"/>
      <c r="CR60" s="97"/>
      <c r="CS60" s="97"/>
      <c r="CT60" s="105" t="str">
        <f t="shared" si="179"/>
        <v xml:space="preserve"> </v>
      </c>
      <c r="CU60" s="118"/>
      <c r="CV60" s="95">
        <f t="shared" si="42"/>
        <v>650</v>
      </c>
      <c r="CW60" s="124" t="str">
        <f t="shared" si="43"/>
        <v>NGSA</v>
      </c>
      <c r="CX60" s="97">
        <f t="shared" si="168"/>
        <v>717</v>
      </c>
      <c r="CY60" s="97">
        <f t="shared" si="169"/>
        <v>718</v>
      </c>
      <c r="CZ60" s="97">
        <f t="shared" si="170"/>
        <v>0</v>
      </c>
      <c r="DA60" s="97">
        <f t="shared" si="171"/>
        <v>0</v>
      </c>
      <c r="DB60" s="97" t="e">
        <f t="shared" si="172"/>
        <v>#N/A</v>
      </c>
      <c r="DC60" s="97" t="e">
        <f t="shared" si="173"/>
        <v>#N/A</v>
      </c>
      <c r="DD60" s="97" t="e">
        <f t="shared" si="174"/>
        <v>#N/A</v>
      </c>
      <c r="DE60" s="186"/>
      <c r="DF60" s="186"/>
      <c r="DG60" s="186"/>
      <c r="DH60" s="186"/>
      <c r="DI60" s="186"/>
      <c r="DM60" s="206">
        <f>AVERAGE(CX60:DA60)</f>
        <v>358.75</v>
      </c>
    </row>
    <row r="61" spans="1:118" ht="15.75" x14ac:dyDescent="0.25">
      <c r="A61" s="196">
        <f t="shared" si="6"/>
        <v>741</v>
      </c>
      <c r="B61" s="197" t="str">
        <f t="shared" si="7"/>
        <v>NGSA</v>
      </c>
      <c r="C61" s="41" t="str">
        <f t="shared" si="8"/>
        <v xml:space="preserve"> </v>
      </c>
      <c r="D61" s="38" t="str">
        <f t="shared" si="9"/>
        <v xml:space="preserve"> </v>
      </c>
      <c r="E61" s="24" t="str">
        <f t="shared" si="10"/>
        <v xml:space="preserve"> </v>
      </c>
      <c r="F61" s="24" t="str">
        <f t="shared" si="11"/>
        <v xml:space="preserve"> </v>
      </c>
      <c r="G61" s="136" t="str">
        <f t="shared" si="12"/>
        <v xml:space="preserve"> </v>
      </c>
      <c r="I61" s="27">
        <v>741</v>
      </c>
      <c r="J61" s="55" t="s">
        <v>27</v>
      </c>
      <c r="K61" s="97">
        <f t="shared" si="128"/>
        <v>0</v>
      </c>
      <c r="L61" s="97" t="e">
        <f t="shared" si="129"/>
        <v>#N/A</v>
      </c>
      <c r="M61" s="97" t="e">
        <f t="shared" si="130"/>
        <v>#N/A</v>
      </c>
      <c r="N61" s="97" t="e">
        <f t="shared" si="131"/>
        <v>#N/A</v>
      </c>
      <c r="O61" s="97" t="e">
        <f t="shared" si="132"/>
        <v>#N/A</v>
      </c>
      <c r="P61" s="97" t="e">
        <f t="shared" si="133"/>
        <v>#N/A</v>
      </c>
      <c r="Q61" s="97" t="e">
        <f t="shared" si="134"/>
        <v>#N/A</v>
      </c>
      <c r="R61" s="97" t="e">
        <f t="shared" si="135"/>
        <v>#REF!</v>
      </c>
      <c r="S61" s="97" t="e">
        <f t="shared" si="126"/>
        <v>#REF!</v>
      </c>
      <c r="T61" s="97" t="e">
        <f t="shared" si="126"/>
        <v>#REF!</v>
      </c>
      <c r="U61" s="97" t="e">
        <f t="shared" si="126"/>
        <v>#REF!</v>
      </c>
      <c r="V61" s="97"/>
      <c r="W61" s="97"/>
      <c r="X61" s="97"/>
      <c r="Y61" s="97"/>
      <c r="Z61" s="105" t="str">
        <f t="shared" si="175"/>
        <v xml:space="preserve"> </v>
      </c>
      <c r="AA61" s="114"/>
      <c r="AB61" s="97" t="str">
        <f t="shared" si="136"/>
        <v xml:space="preserve"> </v>
      </c>
      <c r="AC61" s="97" t="e">
        <f t="shared" si="137"/>
        <v>#N/A</v>
      </c>
      <c r="AD61" s="97" t="e">
        <f t="shared" si="138"/>
        <v>#N/A</v>
      </c>
      <c r="AE61" s="97" t="e">
        <f t="shared" si="139"/>
        <v>#N/A</v>
      </c>
      <c r="AF61" s="97" t="e">
        <f t="shared" si="140"/>
        <v>#N/A</v>
      </c>
      <c r="AG61" s="97" t="e">
        <f t="shared" si="141"/>
        <v>#N/A</v>
      </c>
      <c r="AH61" s="97" t="e">
        <f t="shared" si="142"/>
        <v>#N/A</v>
      </c>
      <c r="AI61" s="97" t="e">
        <f t="shared" si="143"/>
        <v>#REF!</v>
      </c>
      <c r="AJ61" s="97" t="e">
        <f t="shared" si="127"/>
        <v>#REF!</v>
      </c>
      <c r="AK61" s="97" t="e">
        <f t="shared" si="127"/>
        <v>#REF!</v>
      </c>
      <c r="AL61" s="97" t="e">
        <f t="shared" si="127"/>
        <v>#REF!</v>
      </c>
      <c r="AM61" s="97"/>
      <c r="AN61" s="97"/>
      <c r="AO61" s="97"/>
      <c r="AP61" s="97"/>
      <c r="AQ61" s="105" t="str">
        <f t="shared" si="176"/>
        <v xml:space="preserve"> </v>
      </c>
      <c r="AR61" s="114"/>
      <c r="AS61" s="95">
        <f t="shared" si="2"/>
        <v>741</v>
      </c>
      <c r="AT61" s="124" t="str">
        <f t="shared" si="3"/>
        <v>NGSA</v>
      </c>
      <c r="AU61" s="97" t="str">
        <f t="shared" si="144"/>
        <v xml:space="preserve"> </v>
      </c>
      <c r="AV61" s="97" t="e">
        <f t="shared" si="145"/>
        <v>#N/A</v>
      </c>
      <c r="AW61" s="97" t="e">
        <f t="shared" si="146"/>
        <v>#N/A</v>
      </c>
      <c r="AX61" s="97" t="e">
        <f t="shared" si="147"/>
        <v>#N/A</v>
      </c>
      <c r="AY61" s="97" t="e">
        <f t="shared" si="148"/>
        <v>#N/A</v>
      </c>
      <c r="AZ61" s="97" t="e">
        <f t="shared" si="149"/>
        <v>#N/A</v>
      </c>
      <c r="BA61" s="97" t="e">
        <f t="shared" si="150"/>
        <v>#N/A</v>
      </c>
      <c r="BB61" s="97" t="e">
        <f t="shared" si="151"/>
        <v>#REF!</v>
      </c>
      <c r="BC61" s="97" t="e">
        <f t="shared" si="151"/>
        <v>#REF!</v>
      </c>
      <c r="BD61" s="97" t="e">
        <f t="shared" si="151"/>
        <v>#REF!</v>
      </c>
      <c r="BE61" s="97" t="e">
        <f t="shared" si="151"/>
        <v>#REF!</v>
      </c>
      <c r="BF61" s="97"/>
      <c r="BG61" s="97"/>
      <c r="BH61" s="97"/>
      <c r="BI61" s="97"/>
      <c r="BJ61" s="105" t="str">
        <f t="shared" si="177"/>
        <v xml:space="preserve"> </v>
      </c>
      <c r="BK61" s="114"/>
      <c r="BL61" s="97" t="str">
        <f t="shared" si="152"/>
        <v xml:space="preserve"> </v>
      </c>
      <c r="BM61" s="97" t="e">
        <f t="shared" si="153"/>
        <v>#N/A</v>
      </c>
      <c r="BN61" s="97" t="e">
        <f t="shared" si="154"/>
        <v>#N/A</v>
      </c>
      <c r="BO61" s="97" t="e">
        <f t="shared" si="155"/>
        <v>#N/A</v>
      </c>
      <c r="BP61" s="97" t="e">
        <f t="shared" si="156"/>
        <v>#N/A</v>
      </c>
      <c r="BQ61" s="97" t="e">
        <f t="shared" si="157"/>
        <v>#N/A</v>
      </c>
      <c r="BR61" s="97" t="e">
        <f t="shared" si="158"/>
        <v>#N/A</v>
      </c>
      <c r="BS61" s="97" t="e">
        <f t="shared" si="159"/>
        <v>#REF!</v>
      </c>
      <c r="BT61" s="97" t="e">
        <f t="shared" si="159"/>
        <v>#REF!</v>
      </c>
      <c r="BU61" s="97" t="e">
        <f t="shared" si="159"/>
        <v>#REF!</v>
      </c>
      <c r="BV61" s="97" t="e">
        <f t="shared" si="159"/>
        <v>#REF!</v>
      </c>
      <c r="BW61" s="97"/>
      <c r="BX61" s="97"/>
      <c r="BY61" s="97"/>
      <c r="BZ61" s="97"/>
      <c r="CA61" s="105" t="str">
        <f t="shared" si="178"/>
        <v xml:space="preserve"> </v>
      </c>
      <c r="CB61" s="114"/>
      <c r="CC61" s="95">
        <f t="shared" si="31"/>
        <v>741</v>
      </c>
      <c r="CD61" s="124" t="str">
        <f t="shared" si="32"/>
        <v>NGSA</v>
      </c>
      <c r="CE61" s="97" t="str">
        <f t="shared" si="160"/>
        <v xml:space="preserve"> </v>
      </c>
      <c r="CF61" s="97" t="e">
        <f t="shared" si="161"/>
        <v>#N/A</v>
      </c>
      <c r="CG61" s="97" t="e">
        <f t="shared" si="162"/>
        <v>#N/A</v>
      </c>
      <c r="CH61" s="97" t="e">
        <f t="shared" si="163"/>
        <v>#N/A</v>
      </c>
      <c r="CI61" s="97" t="e">
        <f t="shared" si="164"/>
        <v>#N/A</v>
      </c>
      <c r="CJ61" s="97" t="e">
        <f t="shared" si="165"/>
        <v>#N/A</v>
      </c>
      <c r="CK61" s="97" t="e">
        <f t="shared" si="166"/>
        <v>#N/A</v>
      </c>
      <c r="CL61" s="97" t="e">
        <f t="shared" si="167"/>
        <v>#REF!</v>
      </c>
      <c r="CM61" s="97" t="e">
        <f t="shared" si="167"/>
        <v>#REF!</v>
      </c>
      <c r="CN61" s="97" t="e">
        <f t="shared" si="167"/>
        <v>#REF!</v>
      </c>
      <c r="CO61" s="97" t="e">
        <f t="shared" si="167"/>
        <v>#REF!</v>
      </c>
      <c r="CP61" s="97"/>
      <c r="CQ61" s="97"/>
      <c r="CR61" s="97"/>
      <c r="CS61" s="97"/>
      <c r="CT61" s="105" t="str">
        <f t="shared" si="179"/>
        <v xml:space="preserve"> </v>
      </c>
      <c r="CU61" s="118"/>
      <c r="CV61" s="95">
        <f t="shared" si="42"/>
        <v>741</v>
      </c>
      <c r="CW61" s="124" t="str">
        <f t="shared" si="43"/>
        <v>NGSA</v>
      </c>
      <c r="CX61" s="97">
        <f t="shared" si="168"/>
        <v>0</v>
      </c>
      <c r="CY61" s="97" t="e">
        <f t="shared" si="169"/>
        <v>#N/A</v>
      </c>
      <c r="CZ61" s="97" t="e">
        <f t="shared" si="170"/>
        <v>#N/A</v>
      </c>
      <c r="DA61" s="97" t="e">
        <f t="shared" si="171"/>
        <v>#N/A</v>
      </c>
      <c r="DB61" s="97" t="e">
        <f t="shared" si="172"/>
        <v>#N/A</v>
      </c>
      <c r="DC61" s="97" t="e">
        <f t="shared" si="173"/>
        <v>#N/A</v>
      </c>
      <c r="DD61" s="97" t="e">
        <f t="shared" si="174"/>
        <v>#N/A</v>
      </c>
      <c r="DE61" s="186"/>
      <c r="DF61" s="186"/>
      <c r="DG61" s="186"/>
      <c r="DH61" s="186"/>
      <c r="DI61" s="186"/>
      <c r="DM61" s="206"/>
    </row>
    <row r="62" spans="1:118" ht="15.75" x14ac:dyDescent="0.25">
      <c r="A62" s="196">
        <f t="shared" si="6"/>
        <v>779</v>
      </c>
      <c r="B62" s="197" t="str">
        <f t="shared" si="7"/>
        <v>NGSA</v>
      </c>
      <c r="C62" s="41" t="str">
        <f t="shared" si="8"/>
        <v xml:space="preserve"> </v>
      </c>
      <c r="D62" s="38" t="str">
        <f t="shared" si="9"/>
        <v xml:space="preserve"> </v>
      </c>
      <c r="E62" s="24" t="str">
        <f t="shared" si="10"/>
        <v xml:space="preserve"> </v>
      </c>
      <c r="F62" s="24">
        <f t="shared" si="11"/>
        <v>3</v>
      </c>
      <c r="G62" s="136" t="str">
        <f t="shared" si="12"/>
        <v xml:space="preserve"> </v>
      </c>
      <c r="I62" s="27">
        <v>779</v>
      </c>
      <c r="J62" s="181" t="s">
        <v>27</v>
      </c>
      <c r="K62" s="97">
        <f t="shared" si="128"/>
        <v>0</v>
      </c>
      <c r="L62" s="97">
        <f t="shared" si="129"/>
        <v>0</v>
      </c>
      <c r="M62" s="97">
        <f t="shared" si="130"/>
        <v>0</v>
      </c>
      <c r="N62" s="97">
        <f t="shared" si="131"/>
        <v>0</v>
      </c>
      <c r="O62" s="97">
        <f t="shared" si="132"/>
        <v>0</v>
      </c>
      <c r="P62" s="97">
        <f t="shared" si="133"/>
        <v>0</v>
      </c>
      <c r="Q62" s="97">
        <f t="shared" si="134"/>
        <v>0</v>
      </c>
      <c r="R62" s="97" t="e">
        <f t="shared" si="135"/>
        <v>#REF!</v>
      </c>
      <c r="S62" s="97" t="e">
        <f t="shared" si="135"/>
        <v>#REF!</v>
      </c>
      <c r="T62" s="97" t="e">
        <f t="shared" si="135"/>
        <v>#REF!</v>
      </c>
      <c r="U62" s="97" t="e">
        <f t="shared" si="135"/>
        <v>#REF!</v>
      </c>
      <c r="V62" s="97"/>
      <c r="W62" s="97"/>
      <c r="X62" s="97"/>
      <c r="Y62" s="97"/>
      <c r="Z62" s="105" t="str">
        <f t="shared" si="175"/>
        <v xml:space="preserve"> </v>
      </c>
      <c r="AA62" s="114"/>
      <c r="AB62" s="97">
        <f t="shared" si="136"/>
        <v>0</v>
      </c>
      <c r="AC62" s="97" t="str">
        <f t="shared" si="137"/>
        <v xml:space="preserve"> </v>
      </c>
      <c r="AD62" s="97" t="str">
        <f t="shared" si="138"/>
        <v xml:space="preserve"> </v>
      </c>
      <c r="AE62" s="97" t="str">
        <f t="shared" si="139"/>
        <v xml:space="preserve"> </v>
      </c>
      <c r="AF62" s="97" t="str">
        <f t="shared" si="140"/>
        <v xml:space="preserve"> </v>
      </c>
      <c r="AG62" s="97" t="str">
        <f t="shared" si="141"/>
        <v xml:space="preserve"> </v>
      </c>
      <c r="AH62" s="97" t="str">
        <f t="shared" si="142"/>
        <v xml:space="preserve"> </v>
      </c>
      <c r="AI62" s="97" t="e">
        <f t="shared" si="143"/>
        <v>#REF!</v>
      </c>
      <c r="AJ62" s="97" t="e">
        <f t="shared" si="143"/>
        <v>#REF!</v>
      </c>
      <c r="AK62" s="97" t="e">
        <f t="shared" si="143"/>
        <v>#REF!</v>
      </c>
      <c r="AL62" s="97" t="e">
        <f t="shared" si="143"/>
        <v>#REF!</v>
      </c>
      <c r="AM62" s="97"/>
      <c r="AN62" s="97"/>
      <c r="AO62" s="97"/>
      <c r="AP62" s="97"/>
      <c r="AQ62" s="105" t="str">
        <f t="shared" si="176"/>
        <v xml:space="preserve"> </v>
      </c>
      <c r="AR62" s="114"/>
      <c r="AS62" s="95">
        <f t="shared" si="2"/>
        <v>779</v>
      </c>
      <c r="AT62" s="124" t="str">
        <f t="shared" si="3"/>
        <v>NGSA</v>
      </c>
      <c r="AU62" s="97" t="str">
        <f t="shared" si="144"/>
        <v xml:space="preserve"> </v>
      </c>
      <c r="AV62" s="97" t="str">
        <f t="shared" si="145"/>
        <v xml:space="preserve"> </v>
      </c>
      <c r="AW62" s="97" t="str">
        <f t="shared" si="146"/>
        <v xml:space="preserve"> </v>
      </c>
      <c r="AX62" s="97" t="str">
        <f t="shared" si="147"/>
        <v xml:space="preserve"> </v>
      </c>
      <c r="AY62" s="97" t="str">
        <f t="shared" si="148"/>
        <v xml:space="preserve"> </v>
      </c>
      <c r="AZ62" s="97" t="str">
        <f t="shared" si="149"/>
        <v xml:space="preserve"> </v>
      </c>
      <c r="BA62" s="97" t="str">
        <f t="shared" si="150"/>
        <v xml:space="preserve"> </v>
      </c>
      <c r="BB62" s="97" t="e">
        <f t="shared" si="151"/>
        <v>#REF!</v>
      </c>
      <c r="BC62" s="97" t="e">
        <f t="shared" si="151"/>
        <v>#REF!</v>
      </c>
      <c r="BD62" s="97" t="e">
        <f t="shared" si="151"/>
        <v>#REF!</v>
      </c>
      <c r="BE62" s="97" t="e">
        <f t="shared" si="151"/>
        <v>#REF!</v>
      </c>
      <c r="BF62" s="97"/>
      <c r="BG62" s="97"/>
      <c r="BH62" s="97"/>
      <c r="BI62" s="97"/>
      <c r="BJ62" s="105" t="str">
        <f t="shared" si="177"/>
        <v xml:space="preserve"> </v>
      </c>
      <c r="BK62" s="114"/>
      <c r="BL62" s="97">
        <f t="shared" si="152"/>
        <v>0</v>
      </c>
      <c r="BM62" s="97" t="str">
        <f t="shared" si="153"/>
        <v xml:space="preserve"> </v>
      </c>
      <c r="BN62" s="97" t="str">
        <f t="shared" si="154"/>
        <v xml:space="preserve"> </v>
      </c>
      <c r="BO62" s="97" t="str">
        <f t="shared" si="155"/>
        <v xml:space="preserve"> </v>
      </c>
      <c r="BP62" s="97" t="str">
        <f t="shared" si="156"/>
        <v xml:space="preserve"> </v>
      </c>
      <c r="BQ62" s="97" t="str">
        <f t="shared" si="157"/>
        <v xml:space="preserve"> </v>
      </c>
      <c r="BR62" s="97" t="str">
        <f t="shared" si="158"/>
        <v xml:space="preserve"> </v>
      </c>
      <c r="BS62" s="97" t="e">
        <f t="shared" si="159"/>
        <v>#REF!</v>
      </c>
      <c r="BT62" s="97" t="e">
        <f t="shared" si="159"/>
        <v>#REF!</v>
      </c>
      <c r="BU62" s="97" t="e">
        <f t="shared" si="159"/>
        <v>#REF!</v>
      </c>
      <c r="BV62" s="97" t="e">
        <f t="shared" si="159"/>
        <v>#REF!</v>
      </c>
      <c r="BW62" s="97"/>
      <c r="BX62" s="97"/>
      <c r="BY62" s="97"/>
      <c r="BZ62" s="97"/>
      <c r="CA62" s="105" t="str">
        <f t="shared" si="178"/>
        <v xml:space="preserve"> </v>
      </c>
      <c r="CB62" s="114"/>
      <c r="CC62" s="95">
        <f t="shared" si="31"/>
        <v>779</v>
      </c>
      <c r="CD62" s="124" t="str">
        <f t="shared" si="32"/>
        <v>NGSA</v>
      </c>
      <c r="CE62" s="97">
        <f t="shared" si="160"/>
        <v>0</v>
      </c>
      <c r="CF62" s="97" t="str">
        <f t="shared" si="161"/>
        <v>X</v>
      </c>
      <c r="CG62" s="97" t="str">
        <f t="shared" si="162"/>
        <v xml:space="preserve"> </v>
      </c>
      <c r="CH62" s="97" t="str">
        <f t="shared" si="163"/>
        <v xml:space="preserve"> </v>
      </c>
      <c r="CI62" s="97" t="str">
        <f t="shared" si="164"/>
        <v>X</v>
      </c>
      <c r="CJ62" s="97" t="str">
        <f t="shared" si="165"/>
        <v>X</v>
      </c>
      <c r="CK62" s="97" t="str">
        <f t="shared" si="166"/>
        <v xml:space="preserve"> </v>
      </c>
      <c r="CL62" s="97" t="e">
        <f t="shared" si="167"/>
        <v>#REF!</v>
      </c>
      <c r="CM62" s="97" t="e">
        <f t="shared" si="167"/>
        <v>#REF!</v>
      </c>
      <c r="CN62" s="97" t="e">
        <f t="shared" si="167"/>
        <v>#REF!</v>
      </c>
      <c r="CO62" s="97" t="e">
        <f t="shared" si="167"/>
        <v>#REF!</v>
      </c>
      <c r="CP62" s="97"/>
      <c r="CQ62" s="97"/>
      <c r="CR62" s="97"/>
      <c r="CS62" s="97"/>
      <c r="CT62" s="105">
        <f t="shared" si="179"/>
        <v>3</v>
      </c>
      <c r="CU62" s="118"/>
      <c r="CV62" s="95">
        <f t="shared" si="42"/>
        <v>779</v>
      </c>
      <c r="CW62" s="124" t="str">
        <f t="shared" si="43"/>
        <v>NGSA</v>
      </c>
      <c r="CX62" s="97">
        <f t="shared" si="168"/>
        <v>1335</v>
      </c>
      <c r="CY62" s="97">
        <f t="shared" si="169"/>
        <v>0</v>
      </c>
      <c r="CZ62" s="97">
        <f t="shared" si="170"/>
        <v>1237</v>
      </c>
      <c r="DA62" s="97">
        <f t="shared" si="171"/>
        <v>475</v>
      </c>
      <c r="DB62" s="97">
        <f t="shared" si="172"/>
        <v>1183</v>
      </c>
      <c r="DC62" s="97">
        <f t="shared" si="173"/>
        <v>1260</v>
      </c>
      <c r="DD62" s="97">
        <f t="shared" si="174"/>
        <v>1262</v>
      </c>
      <c r="DE62" s="186"/>
      <c r="DF62" s="186"/>
      <c r="DG62" s="186"/>
      <c r="DH62" s="186"/>
      <c r="DI62" s="186"/>
      <c r="DM62" s="187">
        <f t="shared" si="69"/>
        <v>964.57142857142856</v>
      </c>
    </row>
    <row r="63" spans="1:118" ht="15.75" x14ac:dyDescent="0.25">
      <c r="A63" s="196">
        <f t="shared" si="6"/>
        <v>928</v>
      </c>
      <c r="B63" s="197" t="str">
        <f t="shared" si="7"/>
        <v>NGSA</v>
      </c>
      <c r="C63" s="41" t="str">
        <f t="shared" si="8"/>
        <v xml:space="preserve"> </v>
      </c>
      <c r="D63" s="38" t="str">
        <f t="shared" si="9"/>
        <v xml:space="preserve"> </v>
      </c>
      <c r="E63" s="24" t="str">
        <f t="shared" si="10"/>
        <v xml:space="preserve"> </v>
      </c>
      <c r="F63" s="24">
        <f t="shared" si="11"/>
        <v>3</v>
      </c>
      <c r="G63" s="136" t="str">
        <f t="shared" si="12"/>
        <v xml:space="preserve"> </v>
      </c>
      <c r="I63" s="27">
        <v>928</v>
      </c>
      <c r="J63" s="181" t="s">
        <v>27</v>
      </c>
      <c r="K63" s="97">
        <f t="shared" si="128"/>
        <v>0</v>
      </c>
      <c r="L63" s="97">
        <f t="shared" si="129"/>
        <v>0</v>
      </c>
      <c r="M63" s="97">
        <f t="shared" si="130"/>
        <v>0</v>
      </c>
      <c r="N63" s="97">
        <f t="shared" si="131"/>
        <v>0</v>
      </c>
      <c r="O63" s="97">
        <f t="shared" si="132"/>
        <v>0</v>
      </c>
      <c r="P63" s="97">
        <f t="shared" si="133"/>
        <v>0</v>
      </c>
      <c r="Q63" s="97">
        <f t="shared" si="134"/>
        <v>0</v>
      </c>
      <c r="R63" s="97" t="e">
        <f t="shared" si="135"/>
        <v>#REF!</v>
      </c>
      <c r="S63" s="97" t="e">
        <f t="shared" si="135"/>
        <v>#REF!</v>
      </c>
      <c r="T63" s="97" t="e">
        <f t="shared" si="135"/>
        <v>#REF!</v>
      </c>
      <c r="U63" s="97" t="e">
        <f t="shared" si="135"/>
        <v>#REF!</v>
      </c>
      <c r="V63" s="97"/>
      <c r="W63" s="97"/>
      <c r="X63" s="97"/>
      <c r="Y63" s="97"/>
      <c r="Z63" s="105" t="str">
        <f t="shared" si="175"/>
        <v xml:space="preserve"> </v>
      </c>
      <c r="AA63" s="114"/>
      <c r="AB63" s="97" t="str">
        <f t="shared" si="136"/>
        <v xml:space="preserve"> </v>
      </c>
      <c r="AC63" s="97" t="str">
        <f t="shared" si="137"/>
        <v xml:space="preserve"> </v>
      </c>
      <c r="AD63" s="97" t="str">
        <f t="shared" si="138"/>
        <v xml:space="preserve"> </v>
      </c>
      <c r="AE63" s="97" t="str">
        <f t="shared" si="139"/>
        <v xml:space="preserve"> </v>
      </c>
      <c r="AF63" s="97" t="str">
        <f t="shared" si="140"/>
        <v xml:space="preserve"> </v>
      </c>
      <c r="AG63" s="97" t="str">
        <f t="shared" si="141"/>
        <v xml:space="preserve"> </v>
      </c>
      <c r="AH63" s="97" t="str">
        <f t="shared" si="142"/>
        <v xml:space="preserve"> </v>
      </c>
      <c r="AI63" s="97" t="e">
        <f t="shared" si="143"/>
        <v>#REF!</v>
      </c>
      <c r="AJ63" s="97" t="e">
        <f t="shared" si="143"/>
        <v>#REF!</v>
      </c>
      <c r="AK63" s="97" t="e">
        <f t="shared" si="143"/>
        <v>#REF!</v>
      </c>
      <c r="AL63" s="97" t="e">
        <f t="shared" si="143"/>
        <v>#REF!</v>
      </c>
      <c r="AM63" s="97"/>
      <c r="AN63" s="97"/>
      <c r="AO63" s="97"/>
      <c r="AP63" s="97"/>
      <c r="AQ63" s="105" t="str">
        <f t="shared" si="176"/>
        <v xml:space="preserve"> </v>
      </c>
      <c r="AR63" s="114"/>
      <c r="AS63" s="95">
        <f t="shared" si="2"/>
        <v>928</v>
      </c>
      <c r="AT63" s="124" t="str">
        <f t="shared" si="3"/>
        <v>NGSA</v>
      </c>
      <c r="AU63" s="97" t="str">
        <f t="shared" si="144"/>
        <v xml:space="preserve"> </v>
      </c>
      <c r="AV63" s="97" t="str">
        <f t="shared" si="145"/>
        <v xml:space="preserve"> </v>
      </c>
      <c r="AW63" s="97" t="str">
        <f t="shared" si="146"/>
        <v xml:space="preserve"> </v>
      </c>
      <c r="AX63" s="97" t="str">
        <f t="shared" si="147"/>
        <v xml:space="preserve"> </v>
      </c>
      <c r="AY63" s="97" t="str">
        <f t="shared" si="148"/>
        <v xml:space="preserve"> </v>
      </c>
      <c r="AZ63" s="97" t="str">
        <f t="shared" si="149"/>
        <v xml:space="preserve"> </v>
      </c>
      <c r="BA63" s="97" t="str">
        <f t="shared" si="150"/>
        <v xml:space="preserve"> </v>
      </c>
      <c r="BB63" s="97" t="e">
        <f t="shared" si="151"/>
        <v>#REF!</v>
      </c>
      <c r="BC63" s="97" t="e">
        <f t="shared" si="151"/>
        <v>#REF!</v>
      </c>
      <c r="BD63" s="97" t="e">
        <f t="shared" si="151"/>
        <v>#REF!</v>
      </c>
      <c r="BE63" s="97" t="e">
        <f t="shared" si="151"/>
        <v>#REF!</v>
      </c>
      <c r="BF63" s="97"/>
      <c r="BG63" s="97"/>
      <c r="BH63" s="97"/>
      <c r="BI63" s="97"/>
      <c r="BJ63" s="105" t="str">
        <f t="shared" si="177"/>
        <v xml:space="preserve"> </v>
      </c>
      <c r="BK63" s="114"/>
      <c r="BL63" s="97" t="str">
        <f t="shared" si="152"/>
        <v xml:space="preserve"> </v>
      </c>
      <c r="BM63" s="97" t="str">
        <f t="shared" si="153"/>
        <v xml:space="preserve"> </v>
      </c>
      <c r="BN63" s="97" t="str">
        <f t="shared" si="154"/>
        <v xml:space="preserve"> </v>
      </c>
      <c r="BO63" s="97" t="str">
        <f t="shared" si="155"/>
        <v xml:space="preserve"> </v>
      </c>
      <c r="BP63" s="97" t="str">
        <f t="shared" si="156"/>
        <v xml:space="preserve"> </v>
      </c>
      <c r="BQ63" s="97" t="str">
        <f t="shared" si="157"/>
        <v xml:space="preserve"> </v>
      </c>
      <c r="BR63" s="97" t="str">
        <f t="shared" si="158"/>
        <v xml:space="preserve"> </v>
      </c>
      <c r="BS63" s="97" t="e">
        <f t="shared" si="159"/>
        <v>#REF!</v>
      </c>
      <c r="BT63" s="97" t="e">
        <f t="shared" si="159"/>
        <v>#REF!</v>
      </c>
      <c r="BU63" s="97" t="e">
        <f t="shared" si="159"/>
        <v>#REF!</v>
      </c>
      <c r="BV63" s="97" t="e">
        <f t="shared" si="159"/>
        <v>#REF!</v>
      </c>
      <c r="BW63" s="97"/>
      <c r="BX63" s="97"/>
      <c r="BY63" s="97"/>
      <c r="BZ63" s="97"/>
      <c r="CA63" s="105" t="str">
        <f t="shared" si="178"/>
        <v xml:space="preserve"> </v>
      </c>
      <c r="CB63" s="114"/>
      <c r="CC63" s="95">
        <f t="shared" si="31"/>
        <v>928</v>
      </c>
      <c r="CD63" s="124" t="str">
        <f t="shared" si="32"/>
        <v>NGSA</v>
      </c>
      <c r="CE63" s="97" t="str">
        <f t="shared" si="160"/>
        <v xml:space="preserve"> </v>
      </c>
      <c r="CF63" s="97" t="str">
        <f t="shared" si="161"/>
        <v>X</v>
      </c>
      <c r="CG63" s="97" t="str">
        <f t="shared" si="162"/>
        <v>X</v>
      </c>
      <c r="CH63" s="97" t="str">
        <f t="shared" si="163"/>
        <v>X</v>
      </c>
      <c r="CI63" s="97" t="str">
        <f t="shared" si="164"/>
        <v xml:space="preserve"> </v>
      </c>
      <c r="CJ63" s="97" t="str">
        <f t="shared" si="165"/>
        <v xml:space="preserve"> </v>
      </c>
      <c r="CK63" s="97" t="str">
        <f t="shared" si="166"/>
        <v xml:space="preserve"> </v>
      </c>
      <c r="CL63" s="97" t="e">
        <f t="shared" si="167"/>
        <v>#REF!</v>
      </c>
      <c r="CM63" s="97" t="e">
        <f t="shared" si="167"/>
        <v>#REF!</v>
      </c>
      <c r="CN63" s="97" t="e">
        <f t="shared" si="167"/>
        <v>#REF!</v>
      </c>
      <c r="CO63" s="97" t="e">
        <f t="shared" si="167"/>
        <v>#REF!</v>
      </c>
      <c r="CP63" s="97"/>
      <c r="CQ63" s="97"/>
      <c r="CR63" s="97"/>
      <c r="CS63" s="97"/>
      <c r="CT63" s="105">
        <f t="shared" si="179"/>
        <v>3</v>
      </c>
      <c r="CU63" s="118"/>
      <c r="CV63" s="95">
        <f t="shared" si="42"/>
        <v>928</v>
      </c>
      <c r="CW63" s="124" t="str">
        <f t="shared" si="43"/>
        <v>NGSA</v>
      </c>
      <c r="CX63" s="97">
        <f t="shared" si="168"/>
        <v>174</v>
      </c>
      <c r="CY63" s="97">
        <f t="shared" si="169"/>
        <v>175</v>
      </c>
      <c r="CZ63" s="97">
        <f t="shared" si="170"/>
        <v>172</v>
      </c>
      <c r="DA63" s="97">
        <f t="shared" si="171"/>
        <v>179</v>
      </c>
      <c r="DB63" s="97">
        <f t="shared" si="172"/>
        <v>221</v>
      </c>
      <c r="DC63" s="97">
        <f t="shared" si="173"/>
        <v>203</v>
      </c>
      <c r="DD63" s="97">
        <f t="shared" si="174"/>
        <v>207</v>
      </c>
      <c r="DE63" s="186"/>
      <c r="DF63" s="186"/>
      <c r="DG63" s="186"/>
      <c r="DH63" s="186"/>
      <c r="DI63" s="186"/>
      <c r="DM63" s="187">
        <f>AVERAGE(CX63:DC63)</f>
        <v>187.33333333333334</v>
      </c>
    </row>
    <row r="64" spans="1:118" ht="15.75" x14ac:dyDescent="0.25">
      <c r="A64" s="196">
        <f t="shared" si="6"/>
        <v>5325</v>
      </c>
      <c r="B64" s="197" t="str">
        <f t="shared" si="7"/>
        <v>NGSA</v>
      </c>
      <c r="C64" s="41" t="str">
        <f t="shared" si="8"/>
        <v xml:space="preserve"> </v>
      </c>
      <c r="D64" s="38" t="str">
        <f t="shared" si="9"/>
        <v xml:space="preserve"> </v>
      </c>
      <c r="E64" s="24" t="str">
        <f t="shared" si="10"/>
        <v xml:space="preserve"> </v>
      </c>
      <c r="F64" s="24" t="str">
        <f t="shared" si="11"/>
        <v xml:space="preserve"> </v>
      </c>
      <c r="G64" s="136" t="str">
        <f t="shared" si="12"/>
        <v xml:space="preserve"> </v>
      </c>
      <c r="I64" s="27">
        <v>5325</v>
      </c>
      <c r="J64" s="181" t="s">
        <v>27</v>
      </c>
      <c r="K64" s="97">
        <f t="shared" si="128"/>
        <v>0</v>
      </c>
      <c r="L64" s="97">
        <f t="shared" si="129"/>
        <v>0</v>
      </c>
      <c r="M64" s="97">
        <f t="shared" si="130"/>
        <v>0</v>
      </c>
      <c r="N64" s="97">
        <f t="shared" si="131"/>
        <v>0</v>
      </c>
      <c r="O64" s="97" t="e">
        <f t="shared" si="132"/>
        <v>#N/A</v>
      </c>
      <c r="P64" s="97" t="e">
        <f t="shared" si="133"/>
        <v>#N/A</v>
      </c>
      <c r="Q64" s="97" t="e">
        <f t="shared" si="134"/>
        <v>#N/A</v>
      </c>
      <c r="R64" s="97" t="e">
        <f t="shared" si="135"/>
        <v>#REF!</v>
      </c>
      <c r="S64" s="97" t="e">
        <f t="shared" si="135"/>
        <v>#REF!</v>
      </c>
      <c r="T64" s="97" t="e">
        <f t="shared" si="135"/>
        <v>#REF!</v>
      </c>
      <c r="U64" s="97" t="e">
        <f t="shared" si="135"/>
        <v>#REF!</v>
      </c>
      <c r="V64" s="97"/>
      <c r="W64" s="97"/>
      <c r="X64" s="97"/>
      <c r="Y64" s="97"/>
      <c r="Z64" s="105" t="str">
        <f t="shared" si="175"/>
        <v xml:space="preserve"> </v>
      </c>
      <c r="AA64" s="114"/>
      <c r="AB64" s="97" t="str">
        <f t="shared" si="136"/>
        <v xml:space="preserve"> </v>
      </c>
      <c r="AC64" s="97" t="str">
        <f t="shared" si="137"/>
        <v xml:space="preserve"> </v>
      </c>
      <c r="AD64" s="97" t="str">
        <f t="shared" si="138"/>
        <v xml:space="preserve"> </v>
      </c>
      <c r="AE64" s="97" t="str">
        <f t="shared" si="139"/>
        <v xml:space="preserve"> </v>
      </c>
      <c r="AF64" s="97" t="e">
        <f t="shared" si="140"/>
        <v>#N/A</v>
      </c>
      <c r="AG64" s="97" t="e">
        <f t="shared" si="141"/>
        <v>#N/A</v>
      </c>
      <c r="AH64" s="97" t="e">
        <f t="shared" si="142"/>
        <v>#N/A</v>
      </c>
      <c r="AI64" s="97" t="e">
        <f t="shared" si="143"/>
        <v>#REF!</v>
      </c>
      <c r="AJ64" s="97" t="e">
        <f t="shared" si="143"/>
        <v>#REF!</v>
      </c>
      <c r="AK64" s="97" t="e">
        <f t="shared" si="143"/>
        <v>#REF!</v>
      </c>
      <c r="AL64" s="97" t="e">
        <f t="shared" si="143"/>
        <v>#REF!</v>
      </c>
      <c r="AM64" s="97"/>
      <c r="AN64" s="97"/>
      <c r="AO64" s="97"/>
      <c r="AP64" s="97"/>
      <c r="AQ64" s="105" t="str">
        <f t="shared" si="176"/>
        <v xml:space="preserve"> </v>
      </c>
      <c r="AR64" s="114"/>
      <c r="AS64" s="95">
        <f t="shared" si="2"/>
        <v>5325</v>
      </c>
      <c r="AT64" s="124" t="str">
        <f t="shared" si="3"/>
        <v>NGSA</v>
      </c>
      <c r="AU64" s="97" t="str">
        <f t="shared" si="144"/>
        <v xml:space="preserve"> </v>
      </c>
      <c r="AV64" s="97" t="str">
        <f t="shared" si="145"/>
        <v xml:space="preserve"> </v>
      </c>
      <c r="AW64" s="97" t="str">
        <f t="shared" si="146"/>
        <v xml:space="preserve"> </v>
      </c>
      <c r="AX64" s="97" t="str">
        <f t="shared" si="147"/>
        <v xml:space="preserve"> </v>
      </c>
      <c r="AY64" s="97" t="e">
        <f t="shared" si="148"/>
        <v>#N/A</v>
      </c>
      <c r="AZ64" s="97" t="e">
        <f t="shared" si="149"/>
        <v>#N/A</v>
      </c>
      <c r="BA64" s="97" t="e">
        <f t="shared" si="150"/>
        <v>#N/A</v>
      </c>
      <c r="BB64" s="97" t="e">
        <f t="shared" si="151"/>
        <v>#REF!</v>
      </c>
      <c r="BC64" s="97" t="e">
        <f t="shared" si="151"/>
        <v>#REF!</v>
      </c>
      <c r="BD64" s="97" t="e">
        <f t="shared" si="151"/>
        <v>#REF!</v>
      </c>
      <c r="BE64" s="97" t="e">
        <f t="shared" si="151"/>
        <v>#REF!</v>
      </c>
      <c r="BF64" s="97"/>
      <c r="BG64" s="97"/>
      <c r="BH64" s="97"/>
      <c r="BI64" s="97"/>
      <c r="BJ64" s="105" t="str">
        <f t="shared" si="177"/>
        <v xml:space="preserve"> </v>
      </c>
      <c r="BK64" s="114"/>
      <c r="BL64" s="97" t="str">
        <f t="shared" si="152"/>
        <v xml:space="preserve"> </v>
      </c>
      <c r="BM64" s="97">
        <f t="shared" si="153"/>
        <v>0</v>
      </c>
      <c r="BN64" s="97" t="str">
        <f t="shared" si="154"/>
        <v xml:space="preserve"> </v>
      </c>
      <c r="BO64" s="97" t="str">
        <f t="shared" si="155"/>
        <v xml:space="preserve"> </v>
      </c>
      <c r="BP64" s="97" t="e">
        <f t="shared" si="156"/>
        <v>#N/A</v>
      </c>
      <c r="BQ64" s="97" t="e">
        <f t="shared" si="157"/>
        <v>#N/A</v>
      </c>
      <c r="BR64" s="97" t="e">
        <f t="shared" si="158"/>
        <v>#N/A</v>
      </c>
      <c r="BS64" s="97" t="e">
        <f t="shared" si="159"/>
        <v>#REF!</v>
      </c>
      <c r="BT64" s="97" t="e">
        <f t="shared" si="159"/>
        <v>#REF!</v>
      </c>
      <c r="BU64" s="97" t="e">
        <f t="shared" si="159"/>
        <v>#REF!</v>
      </c>
      <c r="BV64" s="97" t="e">
        <f t="shared" si="159"/>
        <v>#REF!</v>
      </c>
      <c r="BW64" s="97"/>
      <c r="BX64" s="97"/>
      <c r="BY64" s="97"/>
      <c r="BZ64" s="97"/>
      <c r="CA64" s="105" t="str">
        <f t="shared" si="178"/>
        <v xml:space="preserve"> </v>
      </c>
      <c r="CB64" s="114"/>
      <c r="CC64" s="95">
        <f t="shared" si="31"/>
        <v>5325</v>
      </c>
      <c r="CD64" s="124" t="str">
        <f t="shared" si="32"/>
        <v>NGSA</v>
      </c>
      <c r="CE64" s="97" t="str">
        <f t="shared" si="160"/>
        <v xml:space="preserve"> </v>
      </c>
      <c r="CF64" s="97">
        <f t="shared" si="161"/>
        <v>0</v>
      </c>
      <c r="CG64" s="97" t="str">
        <f t="shared" si="162"/>
        <v xml:space="preserve"> </v>
      </c>
      <c r="CH64" s="97" t="str">
        <f t="shared" si="163"/>
        <v xml:space="preserve"> </v>
      </c>
      <c r="CI64" s="97" t="e">
        <f t="shared" si="164"/>
        <v>#N/A</v>
      </c>
      <c r="CJ64" s="97" t="e">
        <f t="shared" si="165"/>
        <v>#N/A</v>
      </c>
      <c r="CK64" s="97" t="e">
        <f t="shared" si="166"/>
        <v>#N/A</v>
      </c>
      <c r="CL64" s="97" t="e">
        <f t="shared" si="167"/>
        <v>#REF!</v>
      </c>
      <c r="CM64" s="97" t="e">
        <f t="shared" si="167"/>
        <v>#REF!</v>
      </c>
      <c r="CN64" s="97" t="e">
        <f t="shared" si="167"/>
        <v>#REF!</v>
      </c>
      <c r="CO64" s="97" t="e">
        <f t="shared" si="167"/>
        <v>#REF!</v>
      </c>
      <c r="CP64" s="97"/>
      <c r="CQ64" s="97"/>
      <c r="CR64" s="97"/>
      <c r="CS64" s="97"/>
      <c r="CT64" s="105" t="str">
        <f t="shared" si="179"/>
        <v xml:space="preserve"> </v>
      </c>
      <c r="CU64" s="118"/>
      <c r="CV64" s="95">
        <f t="shared" si="42"/>
        <v>5325</v>
      </c>
      <c r="CW64" s="124" t="str">
        <f t="shared" si="43"/>
        <v>NGSA</v>
      </c>
      <c r="CX64" s="97">
        <f t="shared" si="168"/>
        <v>337</v>
      </c>
      <c r="CY64" s="97">
        <f t="shared" si="169"/>
        <v>176</v>
      </c>
      <c r="CZ64" s="97">
        <f t="shared" si="170"/>
        <v>256</v>
      </c>
      <c r="DA64" s="97">
        <f t="shared" si="171"/>
        <v>232</v>
      </c>
      <c r="DB64" s="97" t="e">
        <f t="shared" si="172"/>
        <v>#N/A</v>
      </c>
      <c r="DC64" s="97" t="e">
        <f t="shared" si="173"/>
        <v>#N/A</v>
      </c>
      <c r="DD64" s="97" t="e">
        <f t="shared" si="174"/>
        <v>#N/A</v>
      </c>
      <c r="DE64" s="186"/>
      <c r="DF64" s="186"/>
      <c r="DG64" s="186"/>
      <c r="DH64" s="186"/>
      <c r="DI64" s="186"/>
      <c r="DM64" s="206">
        <f>AVERAGE(CX64:DA64)</f>
        <v>250.25</v>
      </c>
    </row>
    <row r="65" spans="1:118" ht="15.75" x14ac:dyDescent="0.25">
      <c r="A65" s="196">
        <f t="shared" si="6"/>
        <v>5382</v>
      </c>
      <c r="B65" s="197" t="str">
        <f t="shared" si="7"/>
        <v>NGSA</v>
      </c>
      <c r="C65" s="41" t="str">
        <f t="shared" si="8"/>
        <v xml:space="preserve"> </v>
      </c>
      <c r="D65" s="38" t="str">
        <f t="shared" si="9"/>
        <v xml:space="preserve"> </v>
      </c>
      <c r="E65" s="24" t="str">
        <f t="shared" si="10"/>
        <v xml:space="preserve"> </v>
      </c>
      <c r="F65" s="24">
        <f t="shared" si="11"/>
        <v>1</v>
      </c>
      <c r="G65" s="136" t="str">
        <f t="shared" si="12"/>
        <v xml:space="preserve"> </v>
      </c>
      <c r="I65" s="27">
        <v>5382</v>
      </c>
      <c r="J65" s="55" t="s">
        <v>27</v>
      </c>
      <c r="K65" s="97">
        <f t="shared" si="128"/>
        <v>0</v>
      </c>
      <c r="L65" s="97">
        <f t="shared" si="129"/>
        <v>0</v>
      </c>
      <c r="M65" s="97">
        <f t="shared" si="130"/>
        <v>0</v>
      </c>
      <c r="N65" s="97">
        <f t="shared" si="131"/>
        <v>0</v>
      </c>
      <c r="O65" s="97" t="e">
        <f t="shared" si="132"/>
        <v>#N/A</v>
      </c>
      <c r="P65" s="97" t="e">
        <f t="shared" si="133"/>
        <v>#N/A</v>
      </c>
      <c r="Q65" s="97" t="e">
        <f t="shared" si="134"/>
        <v>#N/A</v>
      </c>
      <c r="R65" s="97" t="e">
        <f t="shared" si="135"/>
        <v>#REF!</v>
      </c>
      <c r="S65" s="97" t="e">
        <f t="shared" si="135"/>
        <v>#REF!</v>
      </c>
      <c r="T65" s="97" t="e">
        <f t="shared" si="135"/>
        <v>#REF!</v>
      </c>
      <c r="U65" s="97" t="e">
        <f t="shared" si="135"/>
        <v>#REF!</v>
      </c>
      <c r="V65" s="97"/>
      <c r="W65" s="97"/>
      <c r="X65" s="97"/>
      <c r="Y65" s="97"/>
      <c r="Z65" s="105" t="str">
        <f t="shared" si="175"/>
        <v xml:space="preserve"> </v>
      </c>
      <c r="AA65" s="114"/>
      <c r="AB65" s="97" t="str">
        <f t="shared" si="136"/>
        <v xml:space="preserve"> </v>
      </c>
      <c r="AC65" s="97" t="str">
        <f t="shared" si="137"/>
        <v xml:space="preserve"> </v>
      </c>
      <c r="AD65" s="97" t="str">
        <f t="shared" si="138"/>
        <v xml:space="preserve"> </v>
      </c>
      <c r="AE65" s="97" t="str">
        <f t="shared" si="139"/>
        <v xml:space="preserve"> </v>
      </c>
      <c r="AF65" s="97" t="e">
        <f t="shared" si="140"/>
        <v>#N/A</v>
      </c>
      <c r="AG65" s="97" t="e">
        <f t="shared" si="141"/>
        <v>#N/A</v>
      </c>
      <c r="AH65" s="97" t="e">
        <f t="shared" si="142"/>
        <v>#N/A</v>
      </c>
      <c r="AI65" s="97" t="e">
        <f t="shared" si="143"/>
        <v>#REF!</v>
      </c>
      <c r="AJ65" s="97" t="e">
        <f t="shared" si="143"/>
        <v>#REF!</v>
      </c>
      <c r="AK65" s="97" t="e">
        <f t="shared" si="143"/>
        <v>#REF!</v>
      </c>
      <c r="AL65" s="97" t="e">
        <f t="shared" si="143"/>
        <v>#REF!</v>
      </c>
      <c r="AM65" s="97"/>
      <c r="AN65" s="97"/>
      <c r="AO65" s="97"/>
      <c r="AP65" s="97"/>
      <c r="AQ65" s="105" t="str">
        <f t="shared" si="176"/>
        <v xml:space="preserve"> </v>
      </c>
      <c r="AR65" s="114"/>
      <c r="AS65" s="95">
        <f t="shared" si="2"/>
        <v>5382</v>
      </c>
      <c r="AT65" s="124" t="str">
        <f t="shared" si="3"/>
        <v>NGSA</v>
      </c>
      <c r="AU65" s="97" t="str">
        <f t="shared" si="144"/>
        <v xml:space="preserve"> </v>
      </c>
      <c r="AV65" s="97" t="str">
        <f t="shared" si="145"/>
        <v xml:space="preserve"> </v>
      </c>
      <c r="AW65" s="97" t="str">
        <f t="shared" si="146"/>
        <v xml:space="preserve"> </v>
      </c>
      <c r="AX65" s="97" t="str">
        <f t="shared" si="147"/>
        <v xml:space="preserve"> </v>
      </c>
      <c r="AY65" s="97" t="e">
        <f t="shared" si="148"/>
        <v>#N/A</v>
      </c>
      <c r="AZ65" s="97" t="e">
        <f t="shared" si="149"/>
        <v>#N/A</v>
      </c>
      <c r="BA65" s="97" t="e">
        <f t="shared" si="150"/>
        <v>#N/A</v>
      </c>
      <c r="BB65" s="97" t="e">
        <f t="shared" si="151"/>
        <v>#REF!</v>
      </c>
      <c r="BC65" s="97" t="e">
        <f t="shared" si="151"/>
        <v>#REF!</v>
      </c>
      <c r="BD65" s="97" t="e">
        <f t="shared" si="151"/>
        <v>#REF!</v>
      </c>
      <c r="BE65" s="97" t="e">
        <f t="shared" si="151"/>
        <v>#REF!</v>
      </c>
      <c r="BF65" s="97"/>
      <c r="BG65" s="97"/>
      <c r="BH65" s="97"/>
      <c r="BI65" s="97"/>
      <c r="BJ65" s="105" t="str">
        <f t="shared" si="177"/>
        <v xml:space="preserve"> </v>
      </c>
      <c r="BK65" s="114"/>
      <c r="BL65" s="97" t="str">
        <f t="shared" si="152"/>
        <v xml:space="preserve"> </v>
      </c>
      <c r="BM65" s="97" t="str">
        <f t="shared" si="153"/>
        <v xml:space="preserve"> </v>
      </c>
      <c r="BN65" s="97" t="str">
        <f t="shared" si="154"/>
        <v xml:space="preserve"> </v>
      </c>
      <c r="BO65" s="97" t="str">
        <f t="shared" si="155"/>
        <v xml:space="preserve"> </v>
      </c>
      <c r="BP65" s="97" t="e">
        <f t="shared" si="156"/>
        <v>#N/A</v>
      </c>
      <c r="BQ65" s="97" t="e">
        <f t="shared" si="157"/>
        <v>#N/A</v>
      </c>
      <c r="BR65" s="97" t="e">
        <f t="shared" si="158"/>
        <v>#N/A</v>
      </c>
      <c r="BS65" s="97" t="e">
        <f t="shared" si="159"/>
        <v>#REF!</v>
      </c>
      <c r="BT65" s="97" t="e">
        <f t="shared" si="159"/>
        <v>#REF!</v>
      </c>
      <c r="BU65" s="97" t="e">
        <f t="shared" si="159"/>
        <v>#REF!</v>
      </c>
      <c r="BV65" s="97" t="e">
        <f t="shared" si="159"/>
        <v>#REF!</v>
      </c>
      <c r="BW65" s="97"/>
      <c r="BX65" s="97"/>
      <c r="BY65" s="97"/>
      <c r="BZ65" s="97"/>
      <c r="CA65" s="105" t="str">
        <f t="shared" si="178"/>
        <v xml:space="preserve"> </v>
      </c>
      <c r="CB65" s="114"/>
      <c r="CC65" s="95">
        <f t="shared" si="31"/>
        <v>5382</v>
      </c>
      <c r="CD65" s="124" t="str">
        <f t="shared" si="32"/>
        <v>NGSA</v>
      </c>
      <c r="CE65" s="97" t="str">
        <f t="shared" si="160"/>
        <v xml:space="preserve"> </v>
      </c>
      <c r="CF65" s="97" t="str">
        <f t="shared" si="161"/>
        <v>X</v>
      </c>
      <c r="CG65" s="97" t="str">
        <f t="shared" si="162"/>
        <v xml:space="preserve"> </v>
      </c>
      <c r="CH65" s="97" t="str">
        <f t="shared" si="163"/>
        <v xml:space="preserve"> </v>
      </c>
      <c r="CI65" s="97" t="e">
        <f t="shared" si="164"/>
        <v>#N/A</v>
      </c>
      <c r="CJ65" s="97" t="e">
        <f t="shared" si="165"/>
        <v>#N/A</v>
      </c>
      <c r="CK65" s="97" t="e">
        <f t="shared" si="166"/>
        <v>#N/A</v>
      </c>
      <c r="CL65" s="97" t="e">
        <f t="shared" si="167"/>
        <v>#REF!</v>
      </c>
      <c r="CM65" s="97" t="e">
        <f t="shared" si="167"/>
        <v>#REF!</v>
      </c>
      <c r="CN65" s="97" t="e">
        <f t="shared" si="167"/>
        <v>#REF!</v>
      </c>
      <c r="CO65" s="97" t="e">
        <f t="shared" si="167"/>
        <v>#REF!</v>
      </c>
      <c r="CP65" s="97"/>
      <c r="CQ65" s="97"/>
      <c r="CR65" s="97"/>
      <c r="CS65" s="97"/>
      <c r="CT65" s="105">
        <f t="shared" si="179"/>
        <v>1</v>
      </c>
      <c r="CU65" s="118"/>
      <c r="CV65" s="95">
        <f t="shared" si="42"/>
        <v>5382</v>
      </c>
      <c r="CW65" s="124" t="str">
        <f t="shared" si="43"/>
        <v>NGSA</v>
      </c>
      <c r="CX65" s="97">
        <f t="shared" si="168"/>
        <v>1</v>
      </c>
      <c r="CY65" s="97">
        <f t="shared" si="169"/>
        <v>130</v>
      </c>
      <c r="CZ65" s="97">
        <f t="shared" si="170"/>
        <v>1</v>
      </c>
      <c r="DA65" s="97">
        <f t="shared" si="171"/>
        <v>131</v>
      </c>
      <c r="DB65" s="97" t="e">
        <f t="shared" si="172"/>
        <v>#N/A</v>
      </c>
      <c r="DC65" s="97" t="e">
        <f t="shared" si="173"/>
        <v>#N/A</v>
      </c>
      <c r="DD65" s="97" t="e">
        <f t="shared" si="174"/>
        <v>#N/A</v>
      </c>
      <c r="DE65" s="186"/>
      <c r="DF65" s="186"/>
      <c r="DG65" s="186"/>
      <c r="DH65" s="186"/>
      <c r="DI65" s="186"/>
      <c r="DM65" s="206">
        <f>AVERAGE(CX65:DA65)</f>
        <v>65.75</v>
      </c>
    </row>
    <row r="66" spans="1:118" ht="15.75" x14ac:dyDescent="0.25">
      <c r="A66" s="196">
        <f t="shared" si="6"/>
        <v>6581</v>
      </c>
      <c r="B66" s="197" t="str">
        <f t="shared" si="7"/>
        <v>NGSA</v>
      </c>
      <c r="C66" s="41" t="str">
        <f t="shared" si="8"/>
        <v xml:space="preserve"> </v>
      </c>
      <c r="D66" s="38" t="str">
        <f t="shared" si="9"/>
        <v xml:space="preserve"> </v>
      </c>
      <c r="E66" s="24" t="str">
        <f t="shared" si="10"/>
        <v xml:space="preserve"> </v>
      </c>
      <c r="F66" s="24">
        <f t="shared" si="11"/>
        <v>1</v>
      </c>
      <c r="G66" s="136" t="str">
        <f t="shared" si="12"/>
        <v xml:space="preserve"> </v>
      </c>
      <c r="I66" s="27">
        <v>6581</v>
      </c>
      <c r="J66" s="55" t="s">
        <v>27</v>
      </c>
      <c r="K66" s="97">
        <f t="shared" si="128"/>
        <v>0</v>
      </c>
      <c r="L66" s="97">
        <f t="shared" si="129"/>
        <v>0</v>
      </c>
      <c r="M66" s="97">
        <f t="shared" si="130"/>
        <v>0</v>
      </c>
      <c r="N66" s="97">
        <f t="shared" si="131"/>
        <v>0</v>
      </c>
      <c r="O66" s="97" t="e">
        <f t="shared" si="132"/>
        <v>#N/A</v>
      </c>
      <c r="P66" s="97" t="e">
        <f t="shared" si="133"/>
        <v>#N/A</v>
      </c>
      <c r="Q66" s="97" t="e">
        <f t="shared" si="134"/>
        <v>#N/A</v>
      </c>
      <c r="R66" s="97" t="e">
        <f t="shared" si="135"/>
        <v>#REF!</v>
      </c>
      <c r="S66" s="97" t="e">
        <f t="shared" si="135"/>
        <v>#REF!</v>
      </c>
      <c r="T66" s="97" t="e">
        <f t="shared" si="135"/>
        <v>#REF!</v>
      </c>
      <c r="U66" s="97" t="e">
        <f t="shared" si="135"/>
        <v>#REF!</v>
      </c>
      <c r="V66" s="97"/>
      <c r="W66" s="97"/>
      <c r="X66" s="97"/>
      <c r="Y66" s="97"/>
      <c r="Z66" s="105" t="str">
        <f t="shared" si="175"/>
        <v xml:space="preserve"> </v>
      </c>
      <c r="AA66" s="114"/>
      <c r="AB66" s="97" t="str">
        <f t="shared" si="136"/>
        <v xml:space="preserve"> </v>
      </c>
      <c r="AC66" s="97" t="str">
        <f t="shared" si="137"/>
        <v xml:space="preserve"> </v>
      </c>
      <c r="AD66" s="97" t="str">
        <f t="shared" si="138"/>
        <v xml:space="preserve"> </v>
      </c>
      <c r="AE66" s="97" t="str">
        <f t="shared" si="139"/>
        <v xml:space="preserve"> </v>
      </c>
      <c r="AF66" s="97" t="e">
        <f t="shared" si="140"/>
        <v>#N/A</v>
      </c>
      <c r="AG66" s="97" t="e">
        <f t="shared" si="141"/>
        <v>#N/A</v>
      </c>
      <c r="AH66" s="97" t="e">
        <f t="shared" si="142"/>
        <v>#N/A</v>
      </c>
      <c r="AI66" s="97" t="e">
        <f t="shared" si="143"/>
        <v>#REF!</v>
      </c>
      <c r="AJ66" s="97" t="e">
        <f t="shared" si="143"/>
        <v>#REF!</v>
      </c>
      <c r="AK66" s="97" t="e">
        <f t="shared" si="143"/>
        <v>#REF!</v>
      </c>
      <c r="AL66" s="97" t="e">
        <f t="shared" si="143"/>
        <v>#REF!</v>
      </c>
      <c r="AM66" s="97"/>
      <c r="AN66" s="97"/>
      <c r="AO66" s="97"/>
      <c r="AP66" s="97"/>
      <c r="AQ66" s="105" t="str">
        <f t="shared" si="176"/>
        <v xml:space="preserve"> </v>
      </c>
      <c r="AR66" s="114"/>
      <c r="AS66" s="95">
        <f t="shared" si="2"/>
        <v>6581</v>
      </c>
      <c r="AT66" s="124" t="str">
        <f t="shared" si="3"/>
        <v>NGSA</v>
      </c>
      <c r="AU66" s="97" t="str">
        <f t="shared" si="144"/>
        <v xml:space="preserve"> </v>
      </c>
      <c r="AV66" s="97" t="str">
        <f t="shared" si="145"/>
        <v xml:space="preserve"> </v>
      </c>
      <c r="AW66" s="97" t="str">
        <f t="shared" si="146"/>
        <v xml:space="preserve"> </v>
      </c>
      <c r="AX66" s="97" t="str">
        <f t="shared" si="147"/>
        <v xml:space="preserve"> </v>
      </c>
      <c r="AY66" s="97" t="e">
        <f t="shared" si="148"/>
        <v>#N/A</v>
      </c>
      <c r="AZ66" s="97" t="e">
        <f t="shared" si="149"/>
        <v>#N/A</v>
      </c>
      <c r="BA66" s="97" t="e">
        <f t="shared" si="150"/>
        <v>#N/A</v>
      </c>
      <c r="BB66" s="97" t="e">
        <f t="shared" si="151"/>
        <v>#REF!</v>
      </c>
      <c r="BC66" s="97" t="e">
        <f t="shared" si="151"/>
        <v>#REF!</v>
      </c>
      <c r="BD66" s="97" t="e">
        <f t="shared" si="151"/>
        <v>#REF!</v>
      </c>
      <c r="BE66" s="97" t="e">
        <f t="shared" si="151"/>
        <v>#REF!</v>
      </c>
      <c r="BF66" s="97"/>
      <c r="BG66" s="97"/>
      <c r="BH66" s="97"/>
      <c r="BI66" s="97"/>
      <c r="BJ66" s="105" t="str">
        <f t="shared" si="177"/>
        <v xml:space="preserve"> </v>
      </c>
      <c r="BK66" s="114"/>
      <c r="BL66" s="97" t="str">
        <f t="shared" si="152"/>
        <v xml:space="preserve"> </v>
      </c>
      <c r="BM66" s="97">
        <f t="shared" si="153"/>
        <v>0</v>
      </c>
      <c r="BN66" s="97" t="str">
        <f t="shared" si="154"/>
        <v xml:space="preserve"> </v>
      </c>
      <c r="BO66" s="97" t="str">
        <f t="shared" si="155"/>
        <v xml:space="preserve"> </v>
      </c>
      <c r="BP66" s="97" t="e">
        <f t="shared" si="156"/>
        <v>#N/A</v>
      </c>
      <c r="BQ66" s="97" t="e">
        <f t="shared" si="157"/>
        <v>#N/A</v>
      </c>
      <c r="BR66" s="97" t="e">
        <f t="shared" si="158"/>
        <v>#N/A</v>
      </c>
      <c r="BS66" s="97" t="e">
        <f t="shared" si="159"/>
        <v>#REF!</v>
      </c>
      <c r="BT66" s="97" t="e">
        <f t="shared" si="159"/>
        <v>#REF!</v>
      </c>
      <c r="BU66" s="97" t="e">
        <f t="shared" si="159"/>
        <v>#REF!</v>
      </c>
      <c r="BV66" s="97" t="e">
        <f t="shared" si="159"/>
        <v>#REF!</v>
      </c>
      <c r="BW66" s="97"/>
      <c r="BX66" s="97"/>
      <c r="BY66" s="97"/>
      <c r="BZ66" s="97"/>
      <c r="CA66" s="105" t="str">
        <f t="shared" si="178"/>
        <v xml:space="preserve"> </v>
      </c>
      <c r="CB66" s="114"/>
      <c r="CC66" s="95">
        <f t="shared" si="31"/>
        <v>6581</v>
      </c>
      <c r="CD66" s="124" t="str">
        <f t="shared" si="32"/>
        <v>NGSA</v>
      </c>
      <c r="CE66" s="97" t="str">
        <f t="shared" si="160"/>
        <v xml:space="preserve"> </v>
      </c>
      <c r="CF66" s="97">
        <f t="shared" si="161"/>
        <v>0</v>
      </c>
      <c r="CG66" s="97" t="str">
        <f t="shared" si="162"/>
        <v xml:space="preserve"> </v>
      </c>
      <c r="CH66" s="97" t="str">
        <f t="shared" si="163"/>
        <v>X</v>
      </c>
      <c r="CI66" s="97" t="e">
        <f t="shared" si="164"/>
        <v>#N/A</v>
      </c>
      <c r="CJ66" s="97" t="e">
        <f t="shared" si="165"/>
        <v>#N/A</v>
      </c>
      <c r="CK66" s="97" t="e">
        <f t="shared" si="166"/>
        <v>#N/A</v>
      </c>
      <c r="CL66" s="97" t="e">
        <f t="shared" si="167"/>
        <v>#REF!</v>
      </c>
      <c r="CM66" s="97" t="e">
        <f t="shared" si="167"/>
        <v>#REF!</v>
      </c>
      <c r="CN66" s="97" t="e">
        <f t="shared" si="167"/>
        <v>#REF!</v>
      </c>
      <c r="CO66" s="97" t="e">
        <f t="shared" si="167"/>
        <v>#REF!</v>
      </c>
      <c r="CP66" s="97"/>
      <c r="CQ66" s="97"/>
      <c r="CR66" s="97"/>
      <c r="CS66" s="97"/>
      <c r="CT66" s="105">
        <f t="shared" si="179"/>
        <v>1</v>
      </c>
      <c r="CU66" s="118"/>
      <c r="CV66" s="95">
        <f t="shared" si="42"/>
        <v>6581</v>
      </c>
      <c r="CW66" s="124" t="str">
        <f t="shared" si="43"/>
        <v>NGSA</v>
      </c>
      <c r="CX66" s="97">
        <f t="shared" si="168"/>
        <v>0</v>
      </c>
      <c r="CY66" s="97">
        <f t="shared" si="169"/>
        <v>5503</v>
      </c>
      <c r="CZ66" s="97">
        <f t="shared" si="170"/>
        <v>0</v>
      </c>
      <c r="DA66" s="97">
        <f t="shared" si="171"/>
        <v>0</v>
      </c>
      <c r="DB66" s="97" t="e">
        <f t="shared" si="172"/>
        <v>#N/A</v>
      </c>
      <c r="DC66" s="97" t="e">
        <f t="shared" si="173"/>
        <v>#N/A</v>
      </c>
      <c r="DD66" s="97" t="e">
        <f t="shared" si="174"/>
        <v>#N/A</v>
      </c>
      <c r="DE66" s="186"/>
      <c r="DF66" s="186"/>
      <c r="DG66" s="186"/>
      <c r="DH66" s="186"/>
      <c r="DI66" s="186"/>
      <c r="DM66" s="206">
        <f>AVERAGE(CX66:DA66)</f>
        <v>1375.75</v>
      </c>
    </row>
    <row r="67" spans="1:118" ht="15.75" x14ac:dyDescent="0.25">
      <c r="A67" s="196">
        <f t="shared" si="6"/>
        <v>7602</v>
      </c>
      <c r="B67" s="197" t="str">
        <f t="shared" si="7"/>
        <v>NGSA</v>
      </c>
      <c r="C67" s="41" t="str">
        <f t="shared" si="8"/>
        <v xml:space="preserve"> </v>
      </c>
      <c r="D67" s="38">
        <f t="shared" si="9"/>
        <v>2</v>
      </c>
      <c r="E67" s="24">
        <f t="shared" si="10"/>
        <v>2</v>
      </c>
      <c r="F67" s="24">
        <f t="shared" si="11"/>
        <v>2</v>
      </c>
      <c r="G67" s="136">
        <f t="shared" si="12"/>
        <v>1</v>
      </c>
      <c r="I67" s="27">
        <v>7602</v>
      </c>
      <c r="J67" s="55" t="s">
        <v>27</v>
      </c>
      <c r="K67" s="97">
        <f t="shared" si="128"/>
        <v>0</v>
      </c>
      <c r="L67" s="97">
        <f t="shared" si="129"/>
        <v>0</v>
      </c>
      <c r="M67" s="97">
        <f t="shared" si="130"/>
        <v>0</v>
      </c>
      <c r="N67" s="97">
        <f t="shared" si="131"/>
        <v>0</v>
      </c>
      <c r="O67" s="97">
        <f t="shared" si="132"/>
        <v>0</v>
      </c>
      <c r="P67" s="97">
        <f t="shared" si="133"/>
        <v>0</v>
      </c>
      <c r="Q67" s="97">
        <f t="shared" si="134"/>
        <v>0</v>
      </c>
      <c r="R67" s="97" t="e">
        <f t="shared" si="135"/>
        <v>#REF!</v>
      </c>
      <c r="S67" s="97" t="e">
        <f t="shared" si="135"/>
        <v>#REF!</v>
      </c>
      <c r="T67" s="97" t="e">
        <f t="shared" si="135"/>
        <v>#REF!</v>
      </c>
      <c r="U67" s="97" t="e">
        <f t="shared" si="135"/>
        <v>#REF!</v>
      </c>
      <c r="V67" s="97"/>
      <c r="W67" s="97"/>
      <c r="X67" s="97"/>
      <c r="Y67" s="97"/>
      <c r="Z67" s="105" t="str">
        <f t="shared" si="175"/>
        <v xml:space="preserve"> </v>
      </c>
      <c r="AA67" s="114"/>
      <c r="AB67" s="97" t="str">
        <f t="shared" si="136"/>
        <v xml:space="preserve"> </v>
      </c>
      <c r="AC67" s="97" t="str">
        <f t="shared" si="137"/>
        <v>X</v>
      </c>
      <c r="AD67" s="97" t="str">
        <f t="shared" si="138"/>
        <v xml:space="preserve"> </v>
      </c>
      <c r="AE67" s="97" t="str">
        <f t="shared" si="139"/>
        <v>X</v>
      </c>
      <c r="AF67" s="97" t="str">
        <f t="shared" si="140"/>
        <v xml:space="preserve"> </v>
      </c>
      <c r="AG67" s="97" t="str">
        <f t="shared" si="141"/>
        <v xml:space="preserve"> </v>
      </c>
      <c r="AH67" s="97" t="str">
        <f t="shared" si="142"/>
        <v xml:space="preserve"> </v>
      </c>
      <c r="AI67" s="97" t="e">
        <f t="shared" si="143"/>
        <v>#REF!</v>
      </c>
      <c r="AJ67" s="97" t="e">
        <f t="shared" si="143"/>
        <v>#REF!</v>
      </c>
      <c r="AK67" s="97" t="e">
        <f t="shared" si="143"/>
        <v>#REF!</v>
      </c>
      <c r="AL67" s="97" t="e">
        <f t="shared" si="143"/>
        <v>#REF!</v>
      </c>
      <c r="AM67" s="97"/>
      <c r="AN67" s="97"/>
      <c r="AO67" s="97"/>
      <c r="AP67" s="97"/>
      <c r="AQ67" s="105">
        <f t="shared" si="176"/>
        <v>2</v>
      </c>
      <c r="AR67" s="114"/>
      <c r="AS67" s="95">
        <f t="shared" si="2"/>
        <v>7602</v>
      </c>
      <c r="AT67" s="124" t="str">
        <f t="shared" si="3"/>
        <v>NGSA</v>
      </c>
      <c r="AU67" s="97" t="str">
        <f t="shared" si="144"/>
        <v xml:space="preserve"> </v>
      </c>
      <c r="AV67" s="97" t="str">
        <f t="shared" si="145"/>
        <v xml:space="preserve"> </v>
      </c>
      <c r="AW67" s="97" t="str">
        <f t="shared" si="146"/>
        <v>X</v>
      </c>
      <c r="AX67" s="97" t="str">
        <f t="shared" si="147"/>
        <v xml:space="preserve"> </v>
      </c>
      <c r="AY67" s="97" t="str">
        <f t="shared" si="148"/>
        <v xml:space="preserve"> </v>
      </c>
      <c r="AZ67" s="97" t="str">
        <f t="shared" si="149"/>
        <v xml:space="preserve"> </v>
      </c>
      <c r="BA67" s="97" t="str">
        <f t="shared" si="150"/>
        <v xml:space="preserve"> </v>
      </c>
      <c r="BB67" s="97" t="e">
        <f t="shared" si="151"/>
        <v>#REF!</v>
      </c>
      <c r="BC67" s="97" t="e">
        <f t="shared" si="151"/>
        <v>#REF!</v>
      </c>
      <c r="BD67" s="97" t="e">
        <f t="shared" si="151"/>
        <v>#REF!</v>
      </c>
      <c r="BE67" s="97" t="e">
        <f t="shared" si="151"/>
        <v>#REF!</v>
      </c>
      <c r="BF67" s="97"/>
      <c r="BG67" s="97"/>
      <c r="BH67" s="97"/>
      <c r="BI67" s="97"/>
      <c r="BJ67" s="105">
        <f t="shared" si="177"/>
        <v>1</v>
      </c>
      <c r="BK67" s="114"/>
      <c r="BL67" s="97" t="str">
        <f t="shared" si="152"/>
        <v xml:space="preserve"> </v>
      </c>
      <c r="BM67" s="97" t="str">
        <f t="shared" si="153"/>
        <v>X</v>
      </c>
      <c r="BN67" s="97" t="str">
        <f t="shared" si="154"/>
        <v xml:space="preserve"> </v>
      </c>
      <c r="BO67" s="97" t="str">
        <f t="shared" si="155"/>
        <v>X</v>
      </c>
      <c r="BP67" s="97" t="str">
        <f t="shared" si="156"/>
        <v xml:space="preserve"> </v>
      </c>
      <c r="BQ67" s="97" t="str">
        <f t="shared" si="157"/>
        <v xml:space="preserve"> </v>
      </c>
      <c r="BR67" s="97" t="str">
        <f t="shared" si="158"/>
        <v xml:space="preserve"> </v>
      </c>
      <c r="BS67" s="97" t="e">
        <f t="shared" si="159"/>
        <v>#REF!</v>
      </c>
      <c r="BT67" s="97" t="e">
        <f t="shared" si="159"/>
        <v>#REF!</v>
      </c>
      <c r="BU67" s="97" t="e">
        <f t="shared" si="159"/>
        <v>#REF!</v>
      </c>
      <c r="BV67" s="97" t="e">
        <f t="shared" si="159"/>
        <v>#REF!</v>
      </c>
      <c r="BW67" s="97"/>
      <c r="BX67" s="97"/>
      <c r="BY67" s="97"/>
      <c r="BZ67" s="97"/>
      <c r="CA67" s="105">
        <f t="shared" si="178"/>
        <v>2</v>
      </c>
      <c r="CB67" s="114"/>
      <c r="CC67" s="95">
        <f t="shared" si="31"/>
        <v>7602</v>
      </c>
      <c r="CD67" s="124" t="str">
        <f t="shared" si="32"/>
        <v>NGSA</v>
      </c>
      <c r="CE67" s="97" t="str">
        <f t="shared" si="160"/>
        <v xml:space="preserve"> </v>
      </c>
      <c r="CF67" s="97" t="str">
        <f t="shared" si="161"/>
        <v>X</v>
      </c>
      <c r="CG67" s="97" t="str">
        <f t="shared" si="162"/>
        <v xml:space="preserve"> </v>
      </c>
      <c r="CH67" s="97" t="str">
        <f t="shared" si="163"/>
        <v>X</v>
      </c>
      <c r="CI67" s="97" t="str">
        <f t="shared" si="164"/>
        <v xml:space="preserve"> </v>
      </c>
      <c r="CJ67" s="97" t="str">
        <f t="shared" si="165"/>
        <v xml:space="preserve"> </v>
      </c>
      <c r="CK67" s="97" t="str">
        <f t="shared" si="166"/>
        <v xml:space="preserve"> </v>
      </c>
      <c r="CL67" s="97" t="e">
        <f t="shared" si="167"/>
        <v>#REF!</v>
      </c>
      <c r="CM67" s="97" t="e">
        <f t="shared" si="167"/>
        <v>#REF!</v>
      </c>
      <c r="CN67" s="97" t="e">
        <f t="shared" si="167"/>
        <v>#REF!</v>
      </c>
      <c r="CO67" s="97" t="e">
        <f t="shared" si="167"/>
        <v>#REF!</v>
      </c>
      <c r="CP67" s="97"/>
      <c r="CQ67" s="97"/>
      <c r="CR67" s="97"/>
      <c r="CS67" s="97"/>
      <c r="CT67" s="105">
        <f t="shared" si="179"/>
        <v>2</v>
      </c>
      <c r="CU67" s="118"/>
      <c r="CV67" s="95">
        <f t="shared" si="42"/>
        <v>7602</v>
      </c>
      <c r="CW67" s="124" t="str">
        <f t="shared" si="43"/>
        <v>NGSA</v>
      </c>
      <c r="CX67" s="97">
        <f t="shared" si="168"/>
        <v>10454</v>
      </c>
      <c r="CY67" s="97">
        <f t="shared" si="169"/>
        <v>10637</v>
      </c>
      <c r="CZ67" s="97">
        <f t="shared" si="170"/>
        <v>11956</v>
      </c>
      <c r="DA67" s="97">
        <f t="shared" si="171"/>
        <v>2691</v>
      </c>
      <c r="DB67" s="97">
        <f t="shared" si="172"/>
        <v>10245</v>
      </c>
      <c r="DC67" s="97">
        <f t="shared" si="173"/>
        <v>10253</v>
      </c>
      <c r="DD67" s="97">
        <f t="shared" si="174"/>
        <v>10420</v>
      </c>
      <c r="DE67" s="186"/>
      <c r="DF67" s="186"/>
      <c r="DG67" s="186"/>
      <c r="DH67" s="186"/>
      <c r="DI67" s="186"/>
      <c r="DM67" s="187">
        <f t="shared" si="69"/>
        <v>9522.2857142857138</v>
      </c>
    </row>
    <row r="68" spans="1:118" ht="15.75" x14ac:dyDescent="0.25">
      <c r="A68" s="196">
        <f t="shared" si="6"/>
        <v>7604</v>
      </c>
      <c r="B68" s="197" t="str">
        <f t="shared" si="7"/>
        <v>NGSA</v>
      </c>
      <c r="C68" s="41">
        <f t="shared" si="8"/>
        <v>1</v>
      </c>
      <c r="D68" s="38">
        <f t="shared" si="9"/>
        <v>5</v>
      </c>
      <c r="E68" s="24">
        <f t="shared" si="10"/>
        <v>5</v>
      </c>
      <c r="F68" s="24">
        <f t="shared" si="11"/>
        <v>4</v>
      </c>
      <c r="G68" s="136" t="str">
        <f t="shared" si="12"/>
        <v xml:space="preserve"> </v>
      </c>
      <c r="I68" s="27">
        <v>7604</v>
      </c>
      <c r="J68" s="55" t="s">
        <v>27</v>
      </c>
      <c r="K68" s="97">
        <f t="shared" si="128"/>
        <v>0</v>
      </c>
      <c r="L68" s="97">
        <f t="shared" si="129"/>
        <v>0</v>
      </c>
      <c r="M68" s="97" t="str">
        <f t="shared" si="130"/>
        <v>X</v>
      </c>
      <c r="N68" s="97">
        <f t="shared" si="131"/>
        <v>0</v>
      </c>
      <c r="O68" s="97">
        <f t="shared" si="132"/>
        <v>0</v>
      </c>
      <c r="P68" s="97">
        <f t="shared" si="133"/>
        <v>0</v>
      </c>
      <c r="Q68" s="97">
        <f t="shared" si="134"/>
        <v>0</v>
      </c>
      <c r="R68" s="97" t="e">
        <f t="shared" si="135"/>
        <v>#REF!</v>
      </c>
      <c r="S68" s="97" t="e">
        <f t="shared" si="135"/>
        <v>#REF!</v>
      </c>
      <c r="T68" s="97" t="e">
        <f t="shared" si="135"/>
        <v>#REF!</v>
      </c>
      <c r="U68" s="97" t="e">
        <f t="shared" si="135"/>
        <v>#REF!</v>
      </c>
      <c r="V68" s="97"/>
      <c r="W68" s="97"/>
      <c r="X68" s="97"/>
      <c r="Y68" s="97"/>
      <c r="Z68" s="105">
        <f t="shared" si="175"/>
        <v>1</v>
      </c>
      <c r="AA68" s="114"/>
      <c r="AB68" s="97">
        <f t="shared" si="136"/>
        <v>0</v>
      </c>
      <c r="AC68" s="97" t="str">
        <f t="shared" si="137"/>
        <v>X</v>
      </c>
      <c r="AD68" s="97" t="str">
        <f t="shared" si="138"/>
        <v xml:space="preserve"> </v>
      </c>
      <c r="AE68" s="97" t="str">
        <f t="shared" si="139"/>
        <v>X</v>
      </c>
      <c r="AF68" s="97" t="str">
        <f t="shared" si="140"/>
        <v>X</v>
      </c>
      <c r="AG68" s="97" t="str">
        <f t="shared" si="141"/>
        <v>X</v>
      </c>
      <c r="AH68" s="97" t="str">
        <f t="shared" si="142"/>
        <v>X</v>
      </c>
      <c r="AI68" s="97" t="e">
        <f t="shared" si="143"/>
        <v>#REF!</v>
      </c>
      <c r="AJ68" s="97" t="e">
        <f t="shared" si="143"/>
        <v>#REF!</v>
      </c>
      <c r="AK68" s="97" t="e">
        <f t="shared" si="143"/>
        <v>#REF!</v>
      </c>
      <c r="AL68" s="97" t="e">
        <f t="shared" si="143"/>
        <v>#REF!</v>
      </c>
      <c r="AM68" s="97"/>
      <c r="AN68" s="97"/>
      <c r="AO68" s="97"/>
      <c r="AP68" s="97"/>
      <c r="AQ68" s="105">
        <f t="shared" si="176"/>
        <v>5</v>
      </c>
      <c r="AR68" s="114"/>
      <c r="AS68" s="95">
        <f t="shared" si="2"/>
        <v>7604</v>
      </c>
      <c r="AT68" s="124" t="str">
        <f t="shared" si="3"/>
        <v>NGSA</v>
      </c>
      <c r="AU68" s="97" t="str">
        <f t="shared" si="144"/>
        <v xml:space="preserve"> </v>
      </c>
      <c r="AV68" s="97" t="str">
        <f t="shared" si="145"/>
        <v xml:space="preserve"> </v>
      </c>
      <c r="AW68" s="97" t="str">
        <f t="shared" si="146"/>
        <v xml:space="preserve"> </v>
      </c>
      <c r="AX68" s="97" t="str">
        <f t="shared" si="147"/>
        <v xml:space="preserve"> </v>
      </c>
      <c r="AY68" s="97" t="str">
        <f t="shared" si="148"/>
        <v xml:space="preserve"> </v>
      </c>
      <c r="AZ68" s="97" t="str">
        <f t="shared" si="149"/>
        <v xml:space="preserve"> </v>
      </c>
      <c r="BA68" s="97" t="str">
        <f t="shared" si="150"/>
        <v xml:space="preserve"> </v>
      </c>
      <c r="BB68" s="97" t="e">
        <f t="shared" si="151"/>
        <v>#REF!</v>
      </c>
      <c r="BC68" s="97" t="e">
        <f t="shared" si="151"/>
        <v>#REF!</v>
      </c>
      <c r="BD68" s="97" t="e">
        <f t="shared" si="151"/>
        <v>#REF!</v>
      </c>
      <c r="BE68" s="97" t="e">
        <f t="shared" si="151"/>
        <v>#REF!</v>
      </c>
      <c r="BF68" s="97"/>
      <c r="BG68" s="97"/>
      <c r="BH68" s="97"/>
      <c r="BI68" s="97"/>
      <c r="BJ68" s="105" t="str">
        <f t="shared" si="177"/>
        <v xml:space="preserve"> </v>
      </c>
      <c r="BK68" s="114"/>
      <c r="BL68" s="97">
        <f t="shared" si="152"/>
        <v>0</v>
      </c>
      <c r="BM68" s="97">
        <f t="shared" si="153"/>
        <v>0</v>
      </c>
      <c r="BN68" s="97" t="str">
        <f t="shared" si="154"/>
        <v>X</v>
      </c>
      <c r="BO68" s="97" t="str">
        <f t="shared" si="155"/>
        <v>X</v>
      </c>
      <c r="BP68" s="97" t="str">
        <f t="shared" si="156"/>
        <v>X</v>
      </c>
      <c r="BQ68" s="97" t="str">
        <f t="shared" si="157"/>
        <v>X</v>
      </c>
      <c r="BR68" s="97" t="str">
        <f t="shared" si="158"/>
        <v>X</v>
      </c>
      <c r="BS68" s="97" t="e">
        <f t="shared" si="159"/>
        <v>#REF!</v>
      </c>
      <c r="BT68" s="97" t="e">
        <f t="shared" si="159"/>
        <v>#REF!</v>
      </c>
      <c r="BU68" s="97" t="e">
        <f t="shared" si="159"/>
        <v>#REF!</v>
      </c>
      <c r="BV68" s="97" t="e">
        <f t="shared" si="159"/>
        <v>#REF!</v>
      </c>
      <c r="BW68" s="97"/>
      <c r="BX68" s="97"/>
      <c r="BY68" s="97"/>
      <c r="BZ68" s="97"/>
      <c r="CA68" s="105">
        <f t="shared" si="178"/>
        <v>5</v>
      </c>
      <c r="CB68" s="114"/>
      <c r="CC68" s="95">
        <f t="shared" si="31"/>
        <v>7604</v>
      </c>
      <c r="CD68" s="124" t="str">
        <f t="shared" si="32"/>
        <v>NGSA</v>
      </c>
      <c r="CE68" s="97">
        <f t="shared" si="160"/>
        <v>0</v>
      </c>
      <c r="CF68" s="97">
        <f t="shared" si="161"/>
        <v>0</v>
      </c>
      <c r="CG68" s="97" t="str">
        <f t="shared" si="162"/>
        <v xml:space="preserve"> </v>
      </c>
      <c r="CH68" s="97" t="str">
        <f t="shared" si="163"/>
        <v>X</v>
      </c>
      <c r="CI68" s="97" t="str">
        <f t="shared" si="164"/>
        <v>X</v>
      </c>
      <c r="CJ68" s="97" t="str">
        <f t="shared" si="165"/>
        <v>X</v>
      </c>
      <c r="CK68" s="97" t="str">
        <f t="shared" si="166"/>
        <v>X</v>
      </c>
      <c r="CL68" s="97" t="e">
        <f t="shared" si="167"/>
        <v>#REF!</v>
      </c>
      <c r="CM68" s="97" t="e">
        <f t="shared" si="167"/>
        <v>#REF!</v>
      </c>
      <c r="CN68" s="97" t="e">
        <f t="shared" si="167"/>
        <v>#REF!</v>
      </c>
      <c r="CO68" s="97" t="e">
        <f t="shared" si="167"/>
        <v>#REF!</v>
      </c>
      <c r="CP68" s="97"/>
      <c r="CQ68" s="97"/>
      <c r="CR68" s="97"/>
      <c r="CS68" s="97"/>
      <c r="CT68" s="105">
        <f t="shared" si="179"/>
        <v>4</v>
      </c>
      <c r="CU68" s="118"/>
      <c r="CV68" s="95">
        <f t="shared" si="42"/>
        <v>7604</v>
      </c>
      <c r="CW68" s="124" t="str">
        <f t="shared" si="43"/>
        <v>NGSA</v>
      </c>
      <c r="CX68" s="97">
        <f t="shared" si="168"/>
        <v>38167</v>
      </c>
      <c r="CY68" s="97">
        <f t="shared" si="169"/>
        <v>39623</v>
      </c>
      <c r="CZ68" s="97">
        <f t="shared" si="170"/>
        <v>23235</v>
      </c>
      <c r="DA68" s="97">
        <f t="shared" si="171"/>
        <v>29218</v>
      </c>
      <c r="DB68" s="97">
        <f t="shared" si="172"/>
        <v>22532</v>
      </c>
      <c r="DC68" s="97">
        <f t="shared" si="173"/>
        <v>24958</v>
      </c>
      <c r="DD68" s="97">
        <f t="shared" si="174"/>
        <v>27648</v>
      </c>
      <c r="DE68" s="186"/>
      <c r="DF68" s="186"/>
      <c r="DG68" s="186"/>
      <c r="DH68" s="186"/>
      <c r="DI68" s="186"/>
      <c r="DM68" s="187">
        <f t="shared" si="69"/>
        <v>29340.142857142859</v>
      </c>
    </row>
    <row r="69" spans="1:118" ht="15.75" x14ac:dyDescent="0.25">
      <c r="A69" s="196">
        <f t="shared" si="6"/>
        <v>8537</v>
      </c>
      <c r="B69" s="197" t="str">
        <f t="shared" si="7"/>
        <v>NGSA</v>
      </c>
      <c r="C69" s="41" t="str">
        <f t="shared" si="8"/>
        <v xml:space="preserve"> </v>
      </c>
      <c r="D69" s="38" t="str">
        <f t="shared" si="9"/>
        <v xml:space="preserve"> </v>
      </c>
      <c r="E69" s="24" t="str">
        <f t="shared" si="10"/>
        <v xml:space="preserve"> </v>
      </c>
      <c r="F69" s="24" t="str">
        <f t="shared" si="11"/>
        <v xml:space="preserve"> </v>
      </c>
      <c r="G69" s="136" t="str">
        <f t="shared" si="12"/>
        <v xml:space="preserve"> </v>
      </c>
      <c r="I69" s="27">
        <v>8537</v>
      </c>
      <c r="J69" s="55" t="s">
        <v>27</v>
      </c>
      <c r="K69" s="97">
        <f t="shared" si="128"/>
        <v>0</v>
      </c>
      <c r="L69" s="97" t="e">
        <f t="shared" si="129"/>
        <v>#N/A</v>
      </c>
      <c r="M69" s="97" t="e">
        <f t="shared" si="130"/>
        <v>#N/A</v>
      </c>
      <c r="N69" s="97" t="e">
        <f t="shared" si="131"/>
        <v>#N/A</v>
      </c>
      <c r="O69" s="97" t="e">
        <f t="shared" si="132"/>
        <v>#N/A</v>
      </c>
      <c r="P69" s="97" t="e">
        <f t="shared" si="133"/>
        <v>#N/A</v>
      </c>
      <c r="Q69" s="97" t="e">
        <f t="shared" si="134"/>
        <v>#N/A</v>
      </c>
      <c r="R69" s="97" t="e">
        <f t="shared" si="135"/>
        <v>#REF!</v>
      </c>
      <c r="S69" s="97" t="e">
        <f t="shared" si="135"/>
        <v>#REF!</v>
      </c>
      <c r="T69" s="97" t="e">
        <f t="shared" si="135"/>
        <v>#REF!</v>
      </c>
      <c r="U69" s="97" t="e">
        <f t="shared" si="135"/>
        <v>#REF!</v>
      </c>
      <c r="V69" s="97"/>
      <c r="W69" s="97"/>
      <c r="X69" s="97"/>
      <c r="Y69" s="97"/>
      <c r="Z69" s="105" t="str">
        <f t="shared" si="175"/>
        <v xml:space="preserve"> </v>
      </c>
      <c r="AA69" s="114"/>
      <c r="AB69" s="97">
        <f t="shared" si="136"/>
        <v>0</v>
      </c>
      <c r="AC69" s="97" t="e">
        <f t="shared" si="137"/>
        <v>#N/A</v>
      </c>
      <c r="AD69" s="97" t="e">
        <f t="shared" si="138"/>
        <v>#N/A</v>
      </c>
      <c r="AE69" s="97" t="e">
        <f t="shared" si="139"/>
        <v>#N/A</v>
      </c>
      <c r="AF69" s="97" t="e">
        <f t="shared" si="140"/>
        <v>#N/A</v>
      </c>
      <c r="AG69" s="97" t="e">
        <f t="shared" si="141"/>
        <v>#N/A</v>
      </c>
      <c r="AH69" s="97" t="e">
        <f t="shared" si="142"/>
        <v>#N/A</v>
      </c>
      <c r="AI69" s="97" t="e">
        <f t="shared" si="143"/>
        <v>#REF!</v>
      </c>
      <c r="AJ69" s="97" t="e">
        <f t="shared" si="143"/>
        <v>#REF!</v>
      </c>
      <c r="AK69" s="97" t="e">
        <f t="shared" si="143"/>
        <v>#REF!</v>
      </c>
      <c r="AL69" s="97" t="e">
        <f t="shared" si="143"/>
        <v>#REF!</v>
      </c>
      <c r="AM69" s="97"/>
      <c r="AN69" s="97"/>
      <c r="AO69" s="97"/>
      <c r="AP69" s="97"/>
      <c r="AQ69" s="105" t="str">
        <f t="shared" si="176"/>
        <v xml:space="preserve"> </v>
      </c>
      <c r="AR69" s="114"/>
      <c r="AS69" s="95">
        <f t="shared" si="2"/>
        <v>8537</v>
      </c>
      <c r="AT69" s="124" t="str">
        <f t="shared" si="3"/>
        <v>NGSA</v>
      </c>
      <c r="AU69" s="97" t="str">
        <f t="shared" si="144"/>
        <v xml:space="preserve"> </v>
      </c>
      <c r="AV69" s="97" t="e">
        <f t="shared" si="145"/>
        <v>#N/A</v>
      </c>
      <c r="AW69" s="97" t="e">
        <f t="shared" si="146"/>
        <v>#N/A</v>
      </c>
      <c r="AX69" s="97" t="e">
        <f t="shared" si="147"/>
        <v>#N/A</v>
      </c>
      <c r="AY69" s="97" t="e">
        <f t="shared" si="148"/>
        <v>#N/A</v>
      </c>
      <c r="AZ69" s="97" t="e">
        <f t="shared" si="149"/>
        <v>#N/A</v>
      </c>
      <c r="BA69" s="97" t="e">
        <f t="shared" si="150"/>
        <v>#N/A</v>
      </c>
      <c r="BB69" s="97" t="e">
        <f t="shared" si="151"/>
        <v>#REF!</v>
      </c>
      <c r="BC69" s="97" t="e">
        <f t="shared" si="151"/>
        <v>#REF!</v>
      </c>
      <c r="BD69" s="97" t="e">
        <f t="shared" si="151"/>
        <v>#REF!</v>
      </c>
      <c r="BE69" s="97" t="e">
        <f t="shared" si="151"/>
        <v>#REF!</v>
      </c>
      <c r="BF69" s="97"/>
      <c r="BG69" s="97"/>
      <c r="BH69" s="97"/>
      <c r="BI69" s="97"/>
      <c r="BJ69" s="105" t="str">
        <f t="shared" si="177"/>
        <v xml:space="preserve"> </v>
      </c>
      <c r="BK69" s="114"/>
      <c r="BL69" s="97">
        <f t="shared" si="152"/>
        <v>0</v>
      </c>
      <c r="BM69" s="97" t="e">
        <f t="shared" si="153"/>
        <v>#N/A</v>
      </c>
      <c r="BN69" s="97" t="e">
        <f t="shared" si="154"/>
        <v>#N/A</v>
      </c>
      <c r="BO69" s="97" t="e">
        <f t="shared" si="155"/>
        <v>#N/A</v>
      </c>
      <c r="BP69" s="97" t="e">
        <f t="shared" si="156"/>
        <v>#N/A</v>
      </c>
      <c r="BQ69" s="97" t="e">
        <f t="shared" si="157"/>
        <v>#N/A</v>
      </c>
      <c r="BR69" s="97" t="e">
        <f t="shared" si="158"/>
        <v>#N/A</v>
      </c>
      <c r="BS69" s="97" t="e">
        <f t="shared" si="159"/>
        <v>#REF!</v>
      </c>
      <c r="BT69" s="97" t="e">
        <f t="shared" si="159"/>
        <v>#REF!</v>
      </c>
      <c r="BU69" s="97" t="e">
        <f t="shared" si="159"/>
        <v>#REF!</v>
      </c>
      <c r="BV69" s="97" t="e">
        <f t="shared" si="159"/>
        <v>#REF!</v>
      </c>
      <c r="BW69" s="97"/>
      <c r="BX69" s="97"/>
      <c r="BY69" s="97"/>
      <c r="BZ69" s="97"/>
      <c r="CA69" s="105" t="str">
        <f t="shared" si="178"/>
        <v xml:space="preserve"> </v>
      </c>
      <c r="CB69" s="114"/>
      <c r="CC69" s="95">
        <f t="shared" si="31"/>
        <v>8537</v>
      </c>
      <c r="CD69" s="124" t="str">
        <f t="shared" si="32"/>
        <v>NGSA</v>
      </c>
      <c r="CE69" s="97">
        <f t="shared" si="160"/>
        <v>0</v>
      </c>
      <c r="CF69" s="97" t="e">
        <f t="shared" si="161"/>
        <v>#N/A</v>
      </c>
      <c r="CG69" s="97" t="e">
        <f t="shared" si="162"/>
        <v>#N/A</v>
      </c>
      <c r="CH69" s="97" t="e">
        <f t="shared" si="163"/>
        <v>#N/A</v>
      </c>
      <c r="CI69" s="97" t="e">
        <f t="shared" si="164"/>
        <v>#N/A</v>
      </c>
      <c r="CJ69" s="97" t="e">
        <f t="shared" si="165"/>
        <v>#N/A</v>
      </c>
      <c r="CK69" s="97" t="e">
        <f t="shared" si="166"/>
        <v>#N/A</v>
      </c>
      <c r="CL69" s="97" t="e">
        <f t="shared" si="167"/>
        <v>#REF!</v>
      </c>
      <c r="CM69" s="97" t="e">
        <f t="shared" si="167"/>
        <v>#REF!</v>
      </c>
      <c r="CN69" s="97" t="e">
        <f t="shared" si="167"/>
        <v>#REF!</v>
      </c>
      <c r="CO69" s="97" t="e">
        <f t="shared" si="167"/>
        <v>#REF!</v>
      </c>
      <c r="CP69" s="97"/>
      <c r="CQ69" s="97"/>
      <c r="CR69" s="97"/>
      <c r="CS69" s="97"/>
      <c r="CT69" s="105" t="str">
        <f t="shared" si="179"/>
        <v xml:space="preserve"> </v>
      </c>
      <c r="CU69" s="118"/>
      <c r="CV69" s="95">
        <f t="shared" si="42"/>
        <v>8537</v>
      </c>
      <c r="CW69" s="124" t="str">
        <f t="shared" si="43"/>
        <v>NGSA</v>
      </c>
      <c r="CX69" s="97">
        <f t="shared" si="168"/>
        <v>0</v>
      </c>
      <c r="CY69" s="97" t="e">
        <f t="shared" si="169"/>
        <v>#N/A</v>
      </c>
      <c r="CZ69" s="97" t="e">
        <f t="shared" si="170"/>
        <v>#N/A</v>
      </c>
      <c r="DA69" s="97" t="e">
        <f t="shared" si="171"/>
        <v>#N/A</v>
      </c>
      <c r="DB69" s="97" t="e">
        <f t="shared" si="172"/>
        <v>#N/A</v>
      </c>
      <c r="DC69" s="97" t="e">
        <f t="shared" si="173"/>
        <v>#N/A</v>
      </c>
      <c r="DD69" s="97" t="e">
        <f t="shared" si="174"/>
        <v>#N/A</v>
      </c>
      <c r="DE69" s="186"/>
      <c r="DF69" s="186"/>
      <c r="DG69" s="186"/>
      <c r="DH69" s="186"/>
      <c r="DI69" s="186"/>
      <c r="DM69" s="206"/>
    </row>
    <row r="70" spans="1:118" ht="15.75" x14ac:dyDescent="0.25">
      <c r="A70" s="196">
        <f t="shared" si="6"/>
        <v>13636</v>
      </c>
      <c r="B70" s="197" t="str">
        <f t="shared" si="7"/>
        <v>NGSA</v>
      </c>
      <c r="C70" s="41" t="str">
        <f t="shared" si="8"/>
        <v xml:space="preserve"> </v>
      </c>
      <c r="D70" s="38" t="str">
        <f t="shared" si="9"/>
        <v xml:space="preserve"> </v>
      </c>
      <c r="E70" s="24" t="str">
        <f t="shared" si="10"/>
        <v xml:space="preserve"> </v>
      </c>
      <c r="F70" s="24">
        <f t="shared" si="11"/>
        <v>3</v>
      </c>
      <c r="G70" s="136" t="str">
        <f t="shared" si="12"/>
        <v xml:space="preserve"> </v>
      </c>
      <c r="I70" s="27">
        <v>13636</v>
      </c>
      <c r="J70" s="55" t="s">
        <v>27</v>
      </c>
      <c r="K70" s="97">
        <f t="shared" si="128"/>
        <v>0</v>
      </c>
      <c r="L70" s="97">
        <f t="shared" si="129"/>
        <v>0</v>
      </c>
      <c r="M70" s="97">
        <f t="shared" si="130"/>
        <v>0</v>
      </c>
      <c r="N70" s="97">
        <f t="shared" si="131"/>
        <v>0</v>
      </c>
      <c r="O70" s="97">
        <f t="shared" si="132"/>
        <v>0</v>
      </c>
      <c r="P70" s="97">
        <f t="shared" si="133"/>
        <v>0</v>
      </c>
      <c r="Q70" s="97">
        <f t="shared" si="134"/>
        <v>0</v>
      </c>
      <c r="R70" s="97" t="e">
        <f t="shared" si="135"/>
        <v>#REF!</v>
      </c>
      <c r="S70" s="97" t="e">
        <f t="shared" si="135"/>
        <v>#REF!</v>
      </c>
      <c r="T70" s="97" t="e">
        <f t="shared" si="135"/>
        <v>#REF!</v>
      </c>
      <c r="U70" s="97" t="e">
        <f t="shared" si="135"/>
        <v>#REF!</v>
      </c>
      <c r="V70" s="97"/>
      <c r="W70" s="97"/>
      <c r="X70" s="97"/>
      <c r="Y70" s="97"/>
      <c r="Z70" s="105" t="str">
        <f t="shared" si="175"/>
        <v xml:space="preserve"> </v>
      </c>
      <c r="AA70" s="114"/>
      <c r="AB70" s="97" t="str">
        <f t="shared" si="136"/>
        <v xml:space="preserve"> </v>
      </c>
      <c r="AC70" s="97" t="str">
        <f t="shared" si="137"/>
        <v xml:space="preserve"> </v>
      </c>
      <c r="AD70" s="97" t="str">
        <f t="shared" si="138"/>
        <v xml:space="preserve"> </v>
      </c>
      <c r="AE70" s="97" t="str">
        <f t="shared" si="139"/>
        <v xml:space="preserve"> </v>
      </c>
      <c r="AF70" s="97" t="str">
        <f t="shared" si="140"/>
        <v xml:space="preserve"> </v>
      </c>
      <c r="AG70" s="97" t="str">
        <f t="shared" si="141"/>
        <v xml:space="preserve"> </v>
      </c>
      <c r="AH70" s="97" t="str">
        <f t="shared" si="142"/>
        <v xml:space="preserve"> </v>
      </c>
      <c r="AI70" s="97" t="e">
        <f t="shared" si="143"/>
        <v>#REF!</v>
      </c>
      <c r="AJ70" s="97" t="e">
        <f t="shared" si="143"/>
        <v>#REF!</v>
      </c>
      <c r="AK70" s="97" t="e">
        <f t="shared" si="143"/>
        <v>#REF!</v>
      </c>
      <c r="AL70" s="97" t="e">
        <f t="shared" si="143"/>
        <v>#REF!</v>
      </c>
      <c r="AM70" s="97"/>
      <c r="AN70" s="97"/>
      <c r="AO70" s="97"/>
      <c r="AP70" s="97"/>
      <c r="AQ70" s="105" t="str">
        <f t="shared" si="176"/>
        <v xml:space="preserve"> </v>
      </c>
      <c r="AR70" s="114"/>
      <c r="AS70" s="95">
        <f t="shared" si="2"/>
        <v>13636</v>
      </c>
      <c r="AT70" s="124" t="str">
        <f t="shared" si="3"/>
        <v>NGSA</v>
      </c>
      <c r="AU70" s="97" t="str">
        <f t="shared" si="144"/>
        <v xml:space="preserve"> </v>
      </c>
      <c r="AV70" s="97" t="str">
        <f t="shared" si="145"/>
        <v xml:space="preserve"> </v>
      </c>
      <c r="AW70" s="97" t="str">
        <f t="shared" si="146"/>
        <v xml:space="preserve"> </v>
      </c>
      <c r="AX70" s="97" t="str">
        <f t="shared" si="147"/>
        <v xml:space="preserve"> </v>
      </c>
      <c r="AY70" s="97" t="str">
        <f t="shared" si="148"/>
        <v xml:space="preserve"> </v>
      </c>
      <c r="AZ70" s="97" t="str">
        <f t="shared" si="149"/>
        <v xml:space="preserve"> </v>
      </c>
      <c r="BA70" s="97" t="str">
        <f t="shared" si="150"/>
        <v xml:space="preserve"> </v>
      </c>
      <c r="BB70" s="97" t="e">
        <f t="shared" si="151"/>
        <v>#REF!</v>
      </c>
      <c r="BC70" s="97" t="e">
        <f t="shared" si="151"/>
        <v>#REF!</v>
      </c>
      <c r="BD70" s="97" t="e">
        <f t="shared" si="151"/>
        <v>#REF!</v>
      </c>
      <c r="BE70" s="97" t="e">
        <f t="shared" si="151"/>
        <v>#REF!</v>
      </c>
      <c r="BF70" s="97"/>
      <c r="BG70" s="97"/>
      <c r="BH70" s="97"/>
      <c r="BI70" s="97"/>
      <c r="BJ70" s="105" t="str">
        <f t="shared" si="177"/>
        <v xml:space="preserve"> </v>
      </c>
      <c r="BK70" s="114"/>
      <c r="BL70" s="97" t="str">
        <f t="shared" si="152"/>
        <v xml:space="preserve"> </v>
      </c>
      <c r="BM70" s="97" t="str">
        <f t="shared" si="153"/>
        <v xml:space="preserve"> </v>
      </c>
      <c r="BN70" s="97" t="str">
        <f t="shared" si="154"/>
        <v xml:space="preserve"> </v>
      </c>
      <c r="BO70" s="97" t="str">
        <f t="shared" si="155"/>
        <v xml:space="preserve"> </v>
      </c>
      <c r="BP70" s="97" t="str">
        <f t="shared" si="156"/>
        <v xml:space="preserve"> </v>
      </c>
      <c r="BQ70" s="97" t="str">
        <f t="shared" si="157"/>
        <v xml:space="preserve"> </v>
      </c>
      <c r="BR70" s="97" t="str">
        <f t="shared" si="158"/>
        <v xml:space="preserve"> </v>
      </c>
      <c r="BS70" s="97" t="e">
        <f t="shared" si="159"/>
        <v>#REF!</v>
      </c>
      <c r="BT70" s="97" t="e">
        <f t="shared" si="159"/>
        <v>#REF!</v>
      </c>
      <c r="BU70" s="97" t="e">
        <f t="shared" si="159"/>
        <v>#REF!</v>
      </c>
      <c r="BV70" s="97" t="e">
        <f t="shared" si="159"/>
        <v>#REF!</v>
      </c>
      <c r="BW70" s="97"/>
      <c r="BX70" s="97"/>
      <c r="BY70" s="97"/>
      <c r="BZ70" s="97"/>
      <c r="CA70" s="105" t="str">
        <f t="shared" si="178"/>
        <v xml:space="preserve"> </v>
      </c>
      <c r="CB70" s="114"/>
      <c r="CC70" s="95">
        <f t="shared" si="31"/>
        <v>13636</v>
      </c>
      <c r="CD70" s="124" t="str">
        <f t="shared" si="32"/>
        <v>NGSA</v>
      </c>
      <c r="CE70" s="97" t="str">
        <f t="shared" si="160"/>
        <v xml:space="preserve"> </v>
      </c>
      <c r="CF70" s="97" t="str">
        <f t="shared" si="161"/>
        <v>X</v>
      </c>
      <c r="CG70" s="97" t="str">
        <f t="shared" si="162"/>
        <v>X</v>
      </c>
      <c r="CH70" s="97" t="str">
        <f t="shared" si="163"/>
        <v>X</v>
      </c>
      <c r="CI70" s="97" t="str">
        <f t="shared" si="164"/>
        <v xml:space="preserve"> </v>
      </c>
      <c r="CJ70" s="97" t="str">
        <f t="shared" si="165"/>
        <v xml:space="preserve"> </v>
      </c>
      <c r="CK70" s="97" t="str">
        <f t="shared" si="166"/>
        <v xml:space="preserve"> </v>
      </c>
      <c r="CL70" s="97" t="e">
        <f t="shared" si="167"/>
        <v>#REF!</v>
      </c>
      <c r="CM70" s="97" t="e">
        <f t="shared" si="167"/>
        <v>#REF!</v>
      </c>
      <c r="CN70" s="97" t="e">
        <f t="shared" si="167"/>
        <v>#REF!</v>
      </c>
      <c r="CO70" s="97" t="e">
        <f t="shared" si="167"/>
        <v>#REF!</v>
      </c>
      <c r="CP70" s="97"/>
      <c r="CQ70" s="97"/>
      <c r="CR70" s="97"/>
      <c r="CS70" s="97"/>
      <c r="CT70" s="105">
        <f t="shared" si="179"/>
        <v>3</v>
      </c>
      <c r="CU70" s="118"/>
      <c r="CV70" s="95">
        <f t="shared" si="42"/>
        <v>13636</v>
      </c>
      <c r="CW70" s="124" t="str">
        <f t="shared" si="43"/>
        <v>NGSA</v>
      </c>
      <c r="CX70" s="97">
        <f t="shared" si="168"/>
        <v>0</v>
      </c>
      <c r="CY70" s="97">
        <f t="shared" si="169"/>
        <v>120</v>
      </c>
      <c r="CZ70" s="97">
        <f t="shared" si="170"/>
        <v>95</v>
      </c>
      <c r="DA70" s="97">
        <f t="shared" si="171"/>
        <v>51</v>
      </c>
      <c r="DB70" s="97">
        <f t="shared" si="172"/>
        <v>29</v>
      </c>
      <c r="DC70" s="97">
        <f t="shared" si="173"/>
        <v>0</v>
      </c>
      <c r="DD70" s="97">
        <f t="shared" si="174"/>
        <v>0</v>
      </c>
      <c r="DE70" s="186"/>
      <c r="DF70" s="186"/>
      <c r="DG70" s="186"/>
      <c r="DH70" s="186"/>
      <c r="DI70" s="186"/>
      <c r="DM70" s="187">
        <f t="shared" si="69"/>
        <v>42.142857142857146</v>
      </c>
    </row>
    <row r="71" spans="1:118" ht="15.75" x14ac:dyDescent="0.25">
      <c r="A71" s="196">
        <f t="shared" si="6"/>
        <v>16547</v>
      </c>
      <c r="B71" s="197" t="str">
        <f t="shared" si="7"/>
        <v>NGSA</v>
      </c>
      <c r="C71" s="41" t="str">
        <f t="shared" si="8"/>
        <v xml:space="preserve"> </v>
      </c>
      <c r="D71" s="38" t="str">
        <f t="shared" si="9"/>
        <v xml:space="preserve"> </v>
      </c>
      <c r="E71" s="24" t="str">
        <f t="shared" si="10"/>
        <v xml:space="preserve"> </v>
      </c>
      <c r="F71" s="24" t="str">
        <f t="shared" si="11"/>
        <v xml:space="preserve"> </v>
      </c>
      <c r="G71" s="136" t="str">
        <f t="shared" si="12"/>
        <v xml:space="preserve"> </v>
      </c>
      <c r="I71" s="27">
        <v>16547</v>
      </c>
      <c r="J71" s="55" t="s">
        <v>27</v>
      </c>
      <c r="K71" s="97">
        <f t="shared" si="128"/>
        <v>0</v>
      </c>
      <c r="L71" s="97" t="e">
        <f t="shared" si="129"/>
        <v>#N/A</v>
      </c>
      <c r="M71" s="97" t="e">
        <f t="shared" si="130"/>
        <v>#N/A</v>
      </c>
      <c r="N71" s="97" t="e">
        <f t="shared" si="131"/>
        <v>#N/A</v>
      </c>
      <c r="O71" s="97" t="e">
        <f t="shared" si="132"/>
        <v>#N/A</v>
      </c>
      <c r="P71" s="97" t="e">
        <f t="shared" si="133"/>
        <v>#N/A</v>
      </c>
      <c r="Q71" s="97" t="e">
        <f t="shared" si="134"/>
        <v>#N/A</v>
      </c>
      <c r="R71" s="97" t="e">
        <f t="shared" si="135"/>
        <v>#REF!</v>
      </c>
      <c r="S71" s="97" t="e">
        <f t="shared" si="135"/>
        <v>#REF!</v>
      </c>
      <c r="T71" s="97" t="e">
        <f t="shared" si="135"/>
        <v>#REF!</v>
      </c>
      <c r="U71" s="97" t="e">
        <f t="shared" si="135"/>
        <v>#REF!</v>
      </c>
      <c r="V71" s="97"/>
      <c r="W71" s="97"/>
      <c r="X71" s="97"/>
      <c r="Y71" s="97"/>
      <c r="Z71" s="105" t="str">
        <f t="shared" si="175"/>
        <v xml:space="preserve"> </v>
      </c>
      <c r="AA71" s="114"/>
      <c r="AB71" s="97" t="str">
        <f t="shared" si="136"/>
        <v xml:space="preserve"> </v>
      </c>
      <c r="AC71" s="97" t="e">
        <f t="shared" si="137"/>
        <v>#N/A</v>
      </c>
      <c r="AD71" s="97" t="e">
        <f t="shared" si="138"/>
        <v>#N/A</v>
      </c>
      <c r="AE71" s="97" t="e">
        <f t="shared" si="139"/>
        <v>#N/A</v>
      </c>
      <c r="AF71" s="97" t="e">
        <f t="shared" si="140"/>
        <v>#N/A</v>
      </c>
      <c r="AG71" s="97" t="e">
        <f t="shared" si="141"/>
        <v>#N/A</v>
      </c>
      <c r="AH71" s="97" t="e">
        <f t="shared" si="142"/>
        <v>#N/A</v>
      </c>
      <c r="AI71" s="97" t="e">
        <f t="shared" si="143"/>
        <v>#REF!</v>
      </c>
      <c r="AJ71" s="97" t="e">
        <f t="shared" si="143"/>
        <v>#REF!</v>
      </c>
      <c r="AK71" s="97" t="e">
        <f t="shared" si="143"/>
        <v>#REF!</v>
      </c>
      <c r="AL71" s="97" t="e">
        <f t="shared" si="143"/>
        <v>#REF!</v>
      </c>
      <c r="AM71" s="97"/>
      <c r="AN71" s="97"/>
      <c r="AO71" s="97"/>
      <c r="AP71" s="97"/>
      <c r="AQ71" s="105" t="str">
        <f t="shared" si="176"/>
        <v xml:space="preserve"> </v>
      </c>
      <c r="AR71" s="114"/>
      <c r="AS71" s="95">
        <f t="shared" si="2"/>
        <v>16547</v>
      </c>
      <c r="AT71" s="124" t="str">
        <f t="shared" si="3"/>
        <v>NGSA</v>
      </c>
      <c r="AU71" s="97" t="str">
        <f t="shared" si="144"/>
        <v xml:space="preserve"> </v>
      </c>
      <c r="AV71" s="97" t="e">
        <f t="shared" si="145"/>
        <v>#N/A</v>
      </c>
      <c r="AW71" s="97" t="e">
        <f t="shared" si="146"/>
        <v>#N/A</v>
      </c>
      <c r="AX71" s="97" t="e">
        <f t="shared" si="147"/>
        <v>#N/A</v>
      </c>
      <c r="AY71" s="97" t="e">
        <f t="shared" si="148"/>
        <v>#N/A</v>
      </c>
      <c r="AZ71" s="97" t="e">
        <f t="shared" si="149"/>
        <v>#N/A</v>
      </c>
      <c r="BA71" s="97" t="e">
        <f t="shared" si="150"/>
        <v>#N/A</v>
      </c>
      <c r="BB71" s="97" t="e">
        <f t="shared" si="151"/>
        <v>#REF!</v>
      </c>
      <c r="BC71" s="97" t="e">
        <f t="shared" si="151"/>
        <v>#REF!</v>
      </c>
      <c r="BD71" s="97" t="e">
        <f t="shared" si="151"/>
        <v>#REF!</v>
      </c>
      <c r="BE71" s="97" t="e">
        <f t="shared" si="151"/>
        <v>#REF!</v>
      </c>
      <c r="BF71" s="97"/>
      <c r="BG71" s="97"/>
      <c r="BH71" s="97"/>
      <c r="BI71" s="97"/>
      <c r="BJ71" s="105" t="str">
        <f t="shared" si="177"/>
        <v xml:space="preserve"> </v>
      </c>
      <c r="BK71" s="114"/>
      <c r="BL71" s="97" t="str">
        <f t="shared" si="152"/>
        <v xml:space="preserve"> </v>
      </c>
      <c r="BM71" s="97" t="e">
        <f t="shared" si="153"/>
        <v>#N/A</v>
      </c>
      <c r="BN71" s="97" t="e">
        <f t="shared" si="154"/>
        <v>#N/A</v>
      </c>
      <c r="BO71" s="97" t="e">
        <f t="shared" si="155"/>
        <v>#N/A</v>
      </c>
      <c r="BP71" s="97" t="e">
        <f t="shared" si="156"/>
        <v>#N/A</v>
      </c>
      <c r="BQ71" s="97" t="e">
        <f t="shared" si="157"/>
        <v>#N/A</v>
      </c>
      <c r="BR71" s="97" t="e">
        <f t="shared" si="158"/>
        <v>#N/A</v>
      </c>
      <c r="BS71" s="97" t="e">
        <f t="shared" si="159"/>
        <v>#REF!</v>
      </c>
      <c r="BT71" s="97" t="e">
        <f t="shared" si="159"/>
        <v>#REF!</v>
      </c>
      <c r="BU71" s="97" t="e">
        <f t="shared" si="159"/>
        <v>#REF!</v>
      </c>
      <c r="BV71" s="97" t="e">
        <f t="shared" si="159"/>
        <v>#REF!</v>
      </c>
      <c r="BW71" s="97"/>
      <c r="BX71" s="97"/>
      <c r="BY71" s="97"/>
      <c r="BZ71" s="97"/>
      <c r="CA71" s="105" t="str">
        <f t="shared" si="178"/>
        <v xml:space="preserve"> </v>
      </c>
      <c r="CB71" s="114"/>
      <c r="CC71" s="95">
        <f t="shared" si="31"/>
        <v>16547</v>
      </c>
      <c r="CD71" s="124" t="str">
        <f t="shared" si="32"/>
        <v>NGSA</v>
      </c>
      <c r="CE71" s="97" t="str">
        <f t="shared" si="160"/>
        <v xml:space="preserve"> </v>
      </c>
      <c r="CF71" s="97" t="e">
        <f t="shared" si="161"/>
        <v>#N/A</v>
      </c>
      <c r="CG71" s="97" t="e">
        <f t="shared" si="162"/>
        <v>#N/A</v>
      </c>
      <c r="CH71" s="97" t="e">
        <f t="shared" si="163"/>
        <v>#N/A</v>
      </c>
      <c r="CI71" s="97" t="e">
        <f t="shared" si="164"/>
        <v>#N/A</v>
      </c>
      <c r="CJ71" s="97" t="e">
        <f t="shared" si="165"/>
        <v>#N/A</v>
      </c>
      <c r="CK71" s="97" t="e">
        <f t="shared" si="166"/>
        <v>#N/A</v>
      </c>
      <c r="CL71" s="97" t="e">
        <f t="shared" si="167"/>
        <v>#REF!</v>
      </c>
      <c r="CM71" s="97" t="e">
        <f t="shared" si="167"/>
        <v>#REF!</v>
      </c>
      <c r="CN71" s="97" t="e">
        <f t="shared" si="167"/>
        <v>#REF!</v>
      </c>
      <c r="CO71" s="97" t="e">
        <f t="shared" si="167"/>
        <v>#REF!</v>
      </c>
      <c r="CP71" s="97"/>
      <c r="CQ71" s="97"/>
      <c r="CR71" s="97"/>
      <c r="CS71" s="97"/>
      <c r="CT71" s="105" t="str">
        <f t="shared" si="179"/>
        <v xml:space="preserve"> </v>
      </c>
      <c r="CU71" s="118"/>
      <c r="CV71" s="95">
        <f t="shared" si="42"/>
        <v>16547</v>
      </c>
      <c r="CW71" s="124" t="str">
        <f t="shared" si="43"/>
        <v>NGSA</v>
      </c>
      <c r="CX71" s="97">
        <f t="shared" si="168"/>
        <v>0</v>
      </c>
      <c r="CY71" s="97" t="e">
        <f t="shared" si="169"/>
        <v>#N/A</v>
      </c>
      <c r="CZ71" s="97" t="e">
        <f t="shared" si="170"/>
        <v>#N/A</v>
      </c>
      <c r="DA71" s="97" t="e">
        <f t="shared" si="171"/>
        <v>#N/A</v>
      </c>
      <c r="DB71" s="97" t="e">
        <f t="shared" si="172"/>
        <v>#N/A</v>
      </c>
      <c r="DC71" s="97" t="e">
        <f t="shared" si="173"/>
        <v>#N/A</v>
      </c>
      <c r="DD71" s="97" t="e">
        <f t="shared" si="174"/>
        <v>#N/A</v>
      </c>
      <c r="DE71" s="186"/>
      <c r="DF71" s="186"/>
      <c r="DG71" s="186"/>
      <c r="DH71" s="186"/>
      <c r="DI71" s="186"/>
      <c r="DM71" s="206"/>
    </row>
    <row r="72" spans="1:118" ht="15.75" x14ac:dyDescent="0.25">
      <c r="A72" s="196">
        <f t="shared" si="6"/>
        <v>18586</v>
      </c>
      <c r="B72" s="197" t="str">
        <f t="shared" si="7"/>
        <v>NGSA</v>
      </c>
      <c r="C72" s="41" t="str">
        <f t="shared" si="8"/>
        <v xml:space="preserve"> </v>
      </c>
      <c r="D72" s="38" t="str">
        <f t="shared" si="9"/>
        <v xml:space="preserve"> </v>
      </c>
      <c r="E72" s="24" t="str">
        <f t="shared" si="10"/>
        <v xml:space="preserve"> </v>
      </c>
      <c r="F72" s="24" t="str">
        <f t="shared" si="11"/>
        <v xml:space="preserve"> </v>
      </c>
      <c r="G72" s="136" t="str">
        <f t="shared" si="12"/>
        <v xml:space="preserve"> </v>
      </c>
      <c r="I72" s="27">
        <v>18586</v>
      </c>
      <c r="J72" s="55" t="s">
        <v>27</v>
      </c>
      <c r="K72" s="97">
        <f t="shared" si="128"/>
        <v>0</v>
      </c>
      <c r="L72" s="97">
        <f t="shared" si="129"/>
        <v>0</v>
      </c>
      <c r="M72" s="97">
        <f t="shared" si="130"/>
        <v>0</v>
      </c>
      <c r="N72" s="97">
        <f t="shared" si="131"/>
        <v>0</v>
      </c>
      <c r="O72" s="97" t="e">
        <f t="shared" si="132"/>
        <v>#N/A</v>
      </c>
      <c r="P72" s="97" t="e">
        <f t="shared" si="133"/>
        <v>#N/A</v>
      </c>
      <c r="Q72" s="97" t="e">
        <f t="shared" si="134"/>
        <v>#N/A</v>
      </c>
      <c r="R72" s="97" t="e">
        <f t="shared" si="135"/>
        <v>#REF!</v>
      </c>
      <c r="S72" s="97" t="e">
        <f t="shared" si="135"/>
        <v>#REF!</v>
      </c>
      <c r="T72" s="97" t="e">
        <f t="shared" si="135"/>
        <v>#REF!</v>
      </c>
      <c r="U72" s="97" t="e">
        <f t="shared" si="135"/>
        <v>#REF!</v>
      </c>
      <c r="V72" s="97"/>
      <c r="W72" s="97"/>
      <c r="X72" s="97"/>
      <c r="Y72" s="97"/>
      <c r="Z72" s="105" t="str">
        <f t="shared" ref="Z72:Z81" si="180">IF(COUNTIF(K72:Y72,"x")=0," ",COUNTIF(K72:Y72,"x"))</f>
        <v xml:space="preserve"> </v>
      </c>
      <c r="AA72" s="114"/>
      <c r="AB72" s="97" t="str">
        <f t="shared" si="136"/>
        <v xml:space="preserve"> </v>
      </c>
      <c r="AC72" s="97" t="str">
        <f t="shared" si="137"/>
        <v xml:space="preserve"> </v>
      </c>
      <c r="AD72" s="97" t="str">
        <f t="shared" si="138"/>
        <v xml:space="preserve"> </v>
      </c>
      <c r="AE72" s="97" t="str">
        <f t="shared" si="139"/>
        <v xml:space="preserve"> </v>
      </c>
      <c r="AF72" s="97" t="e">
        <f t="shared" si="140"/>
        <v>#N/A</v>
      </c>
      <c r="AG72" s="97" t="e">
        <f t="shared" si="141"/>
        <v>#N/A</v>
      </c>
      <c r="AH72" s="97" t="e">
        <f t="shared" si="142"/>
        <v>#N/A</v>
      </c>
      <c r="AI72" s="97" t="e">
        <f t="shared" si="143"/>
        <v>#REF!</v>
      </c>
      <c r="AJ72" s="97" t="e">
        <f t="shared" si="143"/>
        <v>#REF!</v>
      </c>
      <c r="AK72" s="97" t="e">
        <f t="shared" si="143"/>
        <v>#REF!</v>
      </c>
      <c r="AL72" s="97" t="e">
        <f t="shared" si="143"/>
        <v>#REF!</v>
      </c>
      <c r="AM72" s="97"/>
      <c r="AN72" s="97"/>
      <c r="AO72" s="97"/>
      <c r="AP72" s="97"/>
      <c r="AQ72" s="105" t="str">
        <f t="shared" ref="AQ72:AQ81" si="181">IF(COUNTIF(AB72:AP72,"x")=0," ",COUNTIF(AB72:AP72,"x"))</f>
        <v xml:space="preserve"> </v>
      </c>
      <c r="AR72" s="114"/>
      <c r="AS72" s="95">
        <f t="shared" si="2"/>
        <v>18586</v>
      </c>
      <c r="AT72" s="124" t="str">
        <f t="shared" si="3"/>
        <v>NGSA</v>
      </c>
      <c r="AU72" s="97" t="str">
        <f t="shared" si="144"/>
        <v xml:space="preserve"> </v>
      </c>
      <c r="AV72" s="97" t="str">
        <f t="shared" si="145"/>
        <v xml:space="preserve"> </v>
      </c>
      <c r="AW72" s="97" t="str">
        <f t="shared" si="146"/>
        <v xml:space="preserve"> </v>
      </c>
      <c r="AX72" s="97" t="str">
        <f t="shared" si="147"/>
        <v xml:space="preserve"> </v>
      </c>
      <c r="AY72" s="97" t="e">
        <f t="shared" si="148"/>
        <v>#N/A</v>
      </c>
      <c r="AZ72" s="97" t="e">
        <f t="shared" si="149"/>
        <v>#N/A</v>
      </c>
      <c r="BA72" s="97" t="e">
        <f t="shared" si="150"/>
        <v>#N/A</v>
      </c>
      <c r="BB72" s="97" t="e">
        <f t="shared" si="151"/>
        <v>#REF!</v>
      </c>
      <c r="BC72" s="97" t="e">
        <f t="shared" si="151"/>
        <v>#REF!</v>
      </c>
      <c r="BD72" s="97" t="e">
        <f t="shared" si="151"/>
        <v>#REF!</v>
      </c>
      <c r="BE72" s="97" t="e">
        <f t="shared" si="151"/>
        <v>#REF!</v>
      </c>
      <c r="BF72" s="97"/>
      <c r="BG72" s="97"/>
      <c r="BH72" s="97"/>
      <c r="BI72" s="97"/>
      <c r="BJ72" s="105" t="str">
        <f t="shared" si="177"/>
        <v xml:space="preserve"> </v>
      </c>
      <c r="BK72" s="114"/>
      <c r="BL72" s="97" t="str">
        <f t="shared" si="152"/>
        <v xml:space="preserve"> </v>
      </c>
      <c r="BM72" s="97">
        <f t="shared" si="153"/>
        <v>0</v>
      </c>
      <c r="BN72" s="97" t="str">
        <f t="shared" si="154"/>
        <v xml:space="preserve"> </v>
      </c>
      <c r="BO72" s="97" t="str">
        <f t="shared" si="155"/>
        <v xml:space="preserve"> </v>
      </c>
      <c r="BP72" s="97" t="e">
        <f t="shared" si="156"/>
        <v>#N/A</v>
      </c>
      <c r="BQ72" s="97" t="e">
        <f t="shared" si="157"/>
        <v>#N/A</v>
      </c>
      <c r="BR72" s="97" t="e">
        <f t="shared" si="158"/>
        <v>#N/A</v>
      </c>
      <c r="BS72" s="97" t="e">
        <f t="shared" si="159"/>
        <v>#REF!</v>
      </c>
      <c r="BT72" s="97" t="e">
        <f t="shared" si="159"/>
        <v>#REF!</v>
      </c>
      <c r="BU72" s="97" t="e">
        <f t="shared" si="159"/>
        <v>#REF!</v>
      </c>
      <c r="BV72" s="97" t="e">
        <f t="shared" si="159"/>
        <v>#REF!</v>
      </c>
      <c r="BW72" s="97"/>
      <c r="BX72" s="97"/>
      <c r="BY72" s="97"/>
      <c r="BZ72" s="97"/>
      <c r="CA72" s="105" t="str">
        <f t="shared" si="178"/>
        <v xml:space="preserve"> </v>
      </c>
      <c r="CB72" s="114"/>
      <c r="CC72" s="95">
        <f t="shared" si="31"/>
        <v>18586</v>
      </c>
      <c r="CD72" s="124" t="str">
        <f t="shared" si="32"/>
        <v>NGSA</v>
      </c>
      <c r="CE72" s="97" t="str">
        <f t="shared" si="160"/>
        <v xml:space="preserve"> </v>
      </c>
      <c r="CF72" s="97">
        <f t="shared" si="161"/>
        <v>0</v>
      </c>
      <c r="CG72" s="97" t="str">
        <f t="shared" si="162"/>
        <v xml:space="preserve"> </v>
      </c>
      <c r="CH72" s="97" t="str">
        <f t="shared" si="163"/>
        <v xml:space="preserve"> </v>
      </c>
      <c r="CI72" s="97" t="e">
        <f t="shared" si="164"/>
        <v>#N/A</v>
      </c>
      <c r="CJ72" s="97" t="e">
        <f t="shared" si="165"/>
        <v>#N/A</v>
      </c>
      <c r="CK72" s="97" t="e">
        <f t="shared" si="166"/>
        <v>#N/A</v>
      </c>
      <c r="CL72" s="97" t="e">
        <f t="shared" si="167"/>
        <v>#REF!</v>
      </c>
      <c r="CM72" s="97" t="e">
        <f t="shared" si="167"/>
        <v>#REF!</v>
      </c>
      <c r="CN72" s="97" t="e">
        <f t="shared" si="167"/>
        <v>#REF!</v>
      </c>
      <c r="CO72" s="97" t="e">
        <f t="shared" si="167"/>
        <v>#REF!</v>
      </c>
      <c r="CP72" s="97"/>
      <c r="CQ72" s="97"/>
      <c r="CR72" s="97"/>
      <c r="CS72" s="97"/>
      <c r="CT72" s="105" t="str">
        <f t="shared" si="179"/>
        <v xml:space="preserve"> </v>
      </c>
      <c r="CU72" s="118"/>
      <c r="CV72" s="95">
        <f t="shared" si="42"/>
        <v>18586</v>
      </c>
      <c r="CW72" s="124" t="str">
        <f t="shared" si="43"/>
        <v>NGSA</v>
      </c>
      <c r="CX72" s="97">
        <f t="shared" si="168"/>
        <v>0</v>
      </c>
      <c r="CY72" s="97">
        <f t="shared" si="169"/>
        <v>0</v>
      </c>
      <c r="CZ72" s="97">
        <f t="shared" si="170"/>
        <v>0</v>
      </c>
      <c r="DA72" s="97">
        <f t="shared" si="171"/>
        <v>0</v>
      </c>
      <c r="DB72" s="97" t="e">
        <f t="shared" si="172"/>
        <v>#N/A</v>
      </c>
      <c r="DC72" s="97" t="e">
        <f t="shared" si="173"/>
        <v>#N/A</v>
      </c>
      <c r="DD72" s="97" t="e">
        <f t="shared" si="174"/>
        <v>#N/A</v>
      </c>
      <c r="DE72" s="186"/>
      <c r="DF72" s="186"/>
      <c r="DG72" s="186"/>
      <c r="DH72" s="186"/>
      <c r="DI72" s="186"/>
      <c r="DM72" s="206">
        <f>AVERAGE(CX72:DA72)</f>
        <v>0</v>
      </c>
    </row>
    <row r="73" spans="1:118" ht="15.75" x14ac:dyDescent="0.25">
      <c r="A73" s="196">
        <f t="shared" si="6"/>
        <v>20566</v>
      </c>
      <c r="B73" s="197" t="str">
        <f t="shared" si="7"/>
        <v>NGSA</v>
      </c>
      <c r="C73" s="41" t="str">
        <f xml:space="preserve"> Z73</f>
        <v xml:space="preserve"> </v>
      </c>
      <c r="D73" s="38" t="str">
        <f>AQ73</f>
        <v xml:space="preserve"> </v>
      </c>
      <c r="E73" s="24" t="str">
        <f>CA73</f>
        <v xml:space="preserve"> </v>
      </c>
      <c r="F73" s="24">
        <f>CT73</f>
        <v>1</v>
      </c>
      <c r="G73" s="136">
        <f>BJ73</f>
        <v>1</v>
      </c>
      <c r="I73" s="27">
        <v>20566</v>
      </c>
      <c r="J73" s="55" t="s">
        <v>27</v>
      </c>
      <c r="K73" s="97" t="e">
        <f t="shared" si="128"/>
        <v>#N/A</v>
      </c>
      <c r="L73" s="97" t="e">
        <f t="shared" si="129"/>
        <v>#N/A</v>
      </c>
      <c r="M73" s="97" t="e">
        <f t="shared" si="130"/>
        <v>#N/A</v>
      </c>
      <c r="N73" s="97" t="e">
        <f t="shared" si="131"/>
        <v>#N/A</v>
      </c>
      <c r="O73" s="97">
        <f t="shared" si="132"/>
        <v>0</v>
      </c>
      <c r="P73" s="97">
        <f t="shared" si="133"/>
        <v>0</v>
      </c>
      <c r="Q73" s="97">
        <f t="shared" si="134"/>
        <v>0</v>
      </c>
      <c r="R73" s="97" t="e">
        <f t="shared" si="135"/>
        <v>#REF!</v>
      </c>
      <c r="S73" s="97" t="e">
        <f t="shared" si="135"/>
        <v>#REF!</v>
      </c>
      <c r="T73" s="97" t="e">
        <f t="shared" si="135"/>
        <v>#REF!</v>
      </c>
      <c r="U73" s="97" t="e">
        <f t="shared" si="135"/>
        <v>#REF!</v>
      </c>
      <c r="V73" s="97"/>
      <c r="W73" s="97"/>
      <c r="X73" s="97"/>
      <c r="Y73" s="97"/>
      <c r="Z73" s="105" t="str">
        <f>IF(COUNTIF(K73:Y73,"x")=0," ",COUNTIF(K73:Y73,"x"))</f>
        <v xml:space="preserve"> </v>
      </c>
      <c r="AA73" s="114"/>
      <c r="AB73" s="97" t="e">
        <f t="shared" si="136"/>
        <v>#N/A</v>
      </c>
      <c r="AC73" s="97" t="e">
        <f t="shared" si="137"/>
        <v>#N/A</v>
      </c>
      <c r="AD73" s="97" t="e">
        <f t="shared" si="138"/>
        <v>#N/A</v>
      </c>
      <c r="AE73" s="97" t="e">
        <f t="shared" si="139"/>
        <v>#N/A</v>
      </c>
      <c r="AF73" s="97" t="str">
        <f t="shared" si="140"/>
        <v xml:space="preserve"> </v>
      </c>
      <c r="AG73" s="97" t="str">
        <f t="shared" si="141"/>
        <v xml:space="preserve"> </v>
      </c>
      <c r="AH73" s="97" t="str">
        <f t="shared" si="142"/>
        <v xml:space="preserve"> </v>
      </c>
      <c r="AI73" s="97" t="e">
        <f t="shared" si="143"/>
        <v>#REF!</v>
      </c>
      <c r="AJ73" s="97" t="e">
        <f t="shared" si="143"/>
        <v>#REF!</v>
      </c>
      <c r="AK73" s="97" t="e">
        <f t="shared" si="143"/>
        <v>#REF!</v>
      </c>
      <c r="AL73" s="97" t="e">
        <f t="shared" si="143"/>
        <v>#REF!</v>
      </c>
      <c r="AM73" s="97"/>
      <c r="AN73" s="97"/>
      <c r="AO73" s="97"/>
      <c r="AP73" s="97"/>
      <c r="AQ73" s="105" t="str">
        <f>IF(COUNTIF(AB73:AP73,"x")=0," ",COUNTIF(AB73:AP73,"x"))</f>
        <v xml:space="preserve"> </v>
      </c>
      <c r="AR73" s="114"/>
      <c r="AS73" s="95">
        <f t="shared" si="2"/>
        <v>20566</v>
      </c>
      <c r="AT73" s="124" t="str">
        <f t="shared" si="3"/>
        <v>NGSA</v>
      </c>
      <c r="AU73" s="97" t="e">
        <f t="shared" si="144"/>
        <v>#N/A</v>
      </c>
      <c r="AV73" s="97" t="e">
        <f t="shared" si="145"/>
        <v>#N/A</v>
      </c>
      <c r="AW73" s="97" t="e">
        <f t="shared" si="146"/>
        <v>#N/A</v>
      </c>
      <c r="AX73" s="97" t="e">
        <f t="shared" si="147"/>
        <v>#N/A</v>
      </c>
      <c r="AY73" s="97" t="str">
        <f t="shared" si="148"/>
        <v>X</v>
      </c>
      <c r="AZ73" s="97" t="str">
        <f t="shared" si="149"/>
        <v xml:space="preserve"> </v>
      </c>
      <c r="BA73" s="97" t="str">
        <f t="shared" si="150"/>
        <v xml:space="preserve"> </v>
      </c>
      <c r="BB73" s="97" t="e">
        <f t="shared" si="151"/>
        <v>#REF!</v>
      </c>
      <c r="BC73" s="97" t="e">
        <f t="shared" si="151"/>
        <v>#REF!</v>
      </c>
      <c r="BD73" s="97" t="e">
        <f t="shared" si="151"/>
        <v>#REF!</v>
      </c>
      <c r="BE73" s="97" t="e">
        <f t="shared" si="151"/>
        <v>#REF!</v>
      </c>
      <c r="BF73" s="97"/>
      <c r="BG73" s="97"/>
      <c r="BH73" s="97"/>
      <c r="BI73" s="97"/>
      <c r="BJ73" s="105">
        <f>IF(COUNTIF(AU73:BI73,"x")=0," ",COUNTIF(AU73:BI73,"x"))</f>
        <v>1</v>
      </c>
      <c r="BK73" s="114"/>
      <c r="BL73" s="97" t="e">
        <f t="shared" si="152"/>
        <v>#N/A</v>
      </c>
      <c r="BM73" s="97" t="e">
        <f t="shared" si="153"/>
        <v>#N/A</v>
      </c>
      <c r="BN73" s="97" t="e">
        <f t="shared" si="154"/>
        <v>#N/A</v>
      </c>
      <c r="BO73" s="97" t="e">
        <f t="shared" si="155"/>
        <v>#N/A</v>
      </c>
      <c r="BP73" s="97" t="str">
        <f t="shared" si="156"/>
        <v xml:space="preserve"> </v>
      </c>
      <c r="BQ73" s="97" t="str">
        <f t="shared" si="157"/>
        <v xml:space="preserve"> </v>
      </c>
      <c r="BR73" s="97" t="str">
        <f t="shared" si="158"/>
        <v xml:space="preserve"> </v>
      </c>
      <c r="BS73" s="97" t="e">
        <f t="shared" si="159"/>
        <v>#REF!</v>
      </c>
      <c r="BT73" s="97" t="e">
        <f t="shared" si="159"/>
        <v>#REF!</v>
      </c>
      <c r="BU73" s="97" t="e">
        <f t="shared" si="159"/>
        <v>#REF!</v>
      </c>
      <c r="BV73" s="97" t="e">
        <f t="shared" si="159"/>
        <v>#REF!</v>
      </c>
      <c r="BW73" s="97"/>
      <c r="BX73" s="97"/>
      <c r="BY73" s="97"/>
      <c r="BZ73" s="97"/>
      <c r="CA73" s="105" t="str">
        <f>IF(COUNTIF(BL73:BZ73,"x")=0," ",COUNTIF(BL73:BZ73,"x"))</f>
        <v xml:space="preserve"> </v>
      </c>
      <c r="CB73" s="114"/>
      <c r="CC73" s="95">
        <f t="shared" si="31"/>
        <v>20566</v>
      </c>
      <c r="CD73" s="124" t="str">
        <f t="shared" si="32"/>
        <v>NGSA</v>
      </c>
      <c r="CE73" s="97" t="e">
        <f t="shared" si="160"/>
        <v>#N/A</v>
      </c>
      <c r="CF73" s="97" t="e">
        <f t="shared" si="161"/>
        <v>#N/A</v>
      </c>
      <c r="CG73" s="97" t="e">
        <f t="shared" si="162"/>
        <v>#N/A</v>
      </c>
      <c r="CH73" s="97" t="e">
        <f t="shared" si="163"/>
        <v>#N/A</v>
      </c>
      <c r="CI73" s="97" t="str">
        <f t="shared" si="164"/>
        <v>X</v>
      </c>
      <c r="CJ73" s="97" t="str">
        <f t="shared" si="165"/>
        <v xml:space="preserve"> </v>
      </c>
      <c r="CK73" s="97" t="str">
        <f t="shared" si="166"/>
        <v xml:space="preserve"> </v>
      </c>
      <c r="CL73" s="97" t="e">
        <f t="shared" si="167"/>
        <v>#REF!</v>
      </c>
      <c r="CM73" s="97" t="e">
        <f t="shared" si="167"/>
        <v>#REF!</v>
      </c>
      <c r="CN73" s="97" t="e">
        <f t="shared" si="167"/>
        <v>#REF!</v>
      </c>
      <c r="CO73" s="97" t="e">
        <f t="shared" si="167"/>
        <v>#REF!</v>
      </c>
      <c r="CP73" s="97"/>
      <c r="CQ73" s="97"/>
      <c r="CR73" s="97"/>
      <c r="CS73" s="97"/>
      <c r="CT73" s="105">
        <f>IF(COUNTIF(CE73:CS73,"x")=0," ",COUNTIF(CE73:CS73,"x"))</f>
        <v>1</v>
      </c>
      <c r="CU73" s="118"/>
      <c r="CV73" s="95">
        <f t="shared" si="42"/>
        <v>20566</v>
      </c>
      <c r="CW73" s="124" t="str">
        <f t="shared" si="43"/>
        <v>NGSA</v>
      </c>
      <c r="CX73" s="97" t="e">
        <f t="shared" si="168"/>
        <v>#N/A</v>
      </c>
      <c r="CY73" s="97" t="e">
        <f t="shared" si="169"/>
        <v>#N/A</v>
      </c>
      <c r="CZ73" s="97" t="e">
        <f t="shared" si="170"/>
        <v>#N/A</v>
      </c>
      <c r="DA73" s="97" t="e">
        <f t="shared" si="171"/>
        <v>#N/A</v>
      </c>
      <c r="DB73" s="97">
        <f t="shared" si="172"/>
        <v>5478</v>
      </c>
      <c r="DC73" s="97">
        <f t="shared" si="173"/>
        <v>0</v>
      </c>
      <c r="DD73" s="97">
        <f t="shared" si="174"/>
        <v>0</v>
      </c>
      <c r="DE73" s="186"/>
      <c r="DF73" s="186"/>
      <c r="DG73" s="186"/>
      <c r="DH73" s="186"/>
      <c r="DI73" s="186"/>
      <c r="DM73" s="206">
        <f>SUM(DB73:DD73)</f>
        <v>5478</v>
      </c>
    </row>
    <row r="74" spans="1:118" ht="15.75" x14ac:dyDescent="0.25">
      <c r="A74" s="196">
        <f t="shared" ref="A74:A93" si="182">$I74</f>
        <v>30149</v>
      </c>
      <c r="B74" s="197" t="str">
        <f t="shared" ref="B74:B93" si="183">$J74</f>
        <v>NGSA</v>
      </c>
      <c r="C74" s="41" t="str">
        <f t="shared" si="8"/>
        <v xml:space="preserve"> </v>
      </c>
      <c r="D74" s="38" t="str">
        <f t="shared" si="9"/>
        <v xml:space="preserve"> </v>
      </c>
      <c r="E74" s="24" t="str">
        <f t="shared" si="10"/>
        <v xml:space="preserve"> </v>
      </c>
      <c r="F74" s="24" t="str">
        <f t="shared" si="11"/>
        <v xml:space="preserve"> </v>
      </c>
      <c r="G74" s="136" t="str">
        <f t="shared" si="12"/>
        <v xml:space="preserve"> </v>
      </c>
      <c r="I74" s="27">
        <v>30149</v>
      </c>
      <c r="J74" s="55" t="s">
        <v>27</v>
      </c>
      <c r="K74" s="97">
        <f t="shared" si="128"/>
        <v>0</v>
      </c>
      <c r="L74" s="97" t="e">
        <f t="shared" si="129"/>
        <v>#N/A</v>
      </c>
      <c r="M74" s="97" t="e">
        <f t="shared" si="130"/>
        <v>#N/A</v>
      </c>
      <c r="N74" s="97" t="e">
        <f t="shared" si="131"/>
        <v>#N/A</v>
      </c>
      <c r="O74" s="97" t="e">
        <f t="shared" si="132"/>
        <v>#N/A</v>
      </c>
      <c r="P74" s="97" t="e">
        <f t="shared" si="133"/>
        <v>#N/A</v>
      </c>
      <c r="Q74" s="97" t="e">
        <f t="shared" si="134"/>
        <v>#N/A</v>
      </c>
      <c r="R74" s="97" t="e">
        <f t="shared" si="135"/>
        <v>#REF!</v>
      </c>
      <c r="S74" s="97" t="e">
        <f t="shared" si="135"/>
        <v>#REF!</v>
      </c>
      <c r="T74" s="97" t="e">
        <f t="shared" si="135"/>
        <v>#REF!</v>
      </c>
      <c r="U74" s="97" t="e">
        <f t="shared" si="135"/>
        <v>#REF!</v>
      </c>
      <c r="V74" s="97"/>
      <c r="W74" s="97"/>
      <c r="X74" s="97"/>
      <c r="Y74" s="97"/>
      <c r="Z74" s="105" t="str">
        <f t="shared" si="180"/>
        <v xml:space="preserve"> </v>
      </c>
      <c r="AA74" s="114"/>
      <c r="AB74" s="97" t="str">
        <f t="shared" si="136"/>
        <v xml:space="preserve"> </v>
      </c>
      <c r="AC74" s="97" t="e">
        <f t="shared" si="137"/>
        <v>#N/A</v>
      </c>
      <c r="AD74" s="97" t="e">
        <f t="shared" si="138"/>
        <v>#N/A</v>
      </c>
      <c r="AE74" s="97" t="e">
        <f t="shared" si="139"/>
        <v>#N/A</v>
      </c>
      <c r="AF74" s="97" t="e">
        <f t="shared" si="140"/>
        <v>#N/A</v>
      </c>
      <c r="AG74" s="97" t="e">
        <f t="shared" si="141"/>
        <v>#N/A</v>
      </c>
      <c r="AH74" s="97" t="e">
        <f t="shared" si="142"/>
        <v>#N/A</v>
      </c>
      <c r="AI74" s="97" t="e">
        <f t="shared" si="143"/>
        <v>#REF!</v>
      </c>
      <c r="AJ74" s="97" t="e">
        <f t="shared" si="143"/>
        <v>#REF!</v>
      </c>
      <c r="AK74" s="97" t="e">
        <f t="shared" si="143"/>
        <v>#REF!</v>
      </c>
      <c r="AL74" s="97" t="e">
        <f t="shared" si="143"/>
        <v>#REF!</v>
      </c>
      <c r="AM74" s="97"/>
      <c r="AN74" s="97"/>
      <c r="AO74" s="97"/>
      <c r="AP74" s="97"/>
      <c r="AQ74" s="105" t="str">
        <f t="shared" si="181"/>
        <v xml:space="preserve"> </v>
      </c>
      <c r="AR74" s="114"/>
      <c r="AS74" s="95">
        <f t="shared" si="2"/>
        <v>30149</v>
      </c>
      <c r="AT74" s="124" t="str">
        <f t="shared" si="3"/>
        <v>NGSA</v>
      </c>
      <c r="AU74" s="97" t="str">
        <f t="shared" si="144"/>
        <v xml:space="preserve"> </v>
      </c>
      <c r="AV74" s="97" t="e">
        <f t="shared" si="145"/>
        <v>#N/A</v>
      </c>
      <c r="AW74" s="97" t="e">
        <f t="shared" si="146"/>
        <v>#N/A</v>
      </c>
      <c r="AX74" s="97" t="e">
        <f t="shared" si="147"/>
        <v>#N/A</v>
      </c>
      <c r="AY74" s="97" t="e">
        <f t="shared" si="148"/>
        <v>#N/A</v>
      </c>
      <c r="AZ74" s="97" t="e">
        <f t="shared" si="149"/>
        <v>#N/A</v>
      </c>
      <c r="BA74" s="97" t="e">
        <f t="shared" si="150"/>
        <v>#N/A</v>
      </c>
      <c r="BB74" s="97" t="e">
        <f t="shared" si="151"/>
        <v>#REF!</v>
      </c>
      <c r="BC74" s="97" t="e">
        <f t="shared" si="151"/>
        <v>#REF!</v>
      </c>
      <c r="BD74" s="97" t="e">
        <f t="shared" si="151"/>
        <v>#REF!</v>
      </c>
      <c r="BE74" s="97" t="e">
        <f t="shared" si="151"/>
        <v>#REF!</v>
      </c>
      <c r="BF74" s="97"/>
      <c r="BG74" s="97"/>
      <c r="BH74" s="97"/>
      <c r="BI74" s="97"/>
      <c r="BJ74" s="105" t="str">
        <f t="shared" si="177"/>
        <v xml:space="preserve"> </v>
      </c>
      <c r="BK74" s="114"/>
      <c r="BL74" s="97" t="str">
        <f t="shared" si="152"/>
        <v xml:space="preserve"> </v>
      </c>
      <c r="BM74" s="97" t="e">
        <f t="shared" si="153"/>
        <v>#N/A</v>
      </c>
      <c r="BN74" s="97" t="e">
        <f t="shared" si="154"/>
        <v>#N/A</v>
      </c>
      <c r="BO74" s="97" t="e">
        <f t="shared" si="155"/>
        <v>#N/A</v>
      </c>
      <c r="BP74" s="97" t="e">
        <f t="shared" si="156"/>
        <v>#N/A</v>
      </c>
      <c r="BQ74" s="97" t="e">
        <f t="shared" si="157"/>
        <v>#N/A</v>
      </c>
      <c r="BR74" s="97" t="e">
        <f t="shared" si="158"/>
        <v>#N/A</v>
      </c>
      <c r="BS74" s="97" t="e">
        <f t="shared" si="159"/>
        <v>#REF!</v>
      </c>
      <c r="BT74" s="97" t="e">
        <f t="shared" si="159"/>
        <v>#REF!</v>
      </c>
      <c r="BU74" s="97" t="e">
        <f t="shared" si="159"/>
        <v>#REF!</v>
      </c>
      <c r="BV74" s="97" t="e">
        <f t="shared" si="159"/>
        <v>#REF!</v>
      </c>
      <c r="BW74" s="97"/>
      <c r="BX74" s="97"/>
      <c r="BY74" s="97"/>
      <c r="BZ74" s="97"/>
      <c r="CA74" s="105" t="str">
        <f t="shared" si="178"/>
        <v xml:space="preserve"> </v>
      </c>
      <c r="CB74" s="114"/>
      <c r="CC74" s="95">
        <f t="shared" si="31"/>
        <v>30149</v>
      </c>
      <c r="CD74" s="124" t="str">
        <f t="shared" si="32"/>
        <v>NGSA</v>
      </c>
      <c r="CE74" s="97" t="str">
        <f t="shared" si="160"/>
        <v xml:space="preserve"> </v>
      </c>
      <c r="CF74" s="97" t="e">
        <f t="shared" si="161"/>
        <v>#N/A</v>
      </c>
      <c r="CG74" s="97" t="e">
        <f t="shared" si="162"/>
        <v>#N/A</v>
      </c>
      <c r="CH74" s="97" t="e">
        <f t="shared" si="163"/>
        <v>#N/A</v>
      </c>
      <c r="CI74" s="97" t="e">
        <f t="shared" si="164"/>
        <v>#N/A</v>
      </c>
      <c r="CJ74" s="97" t="e">
        <f t="shared" si="165"/>
        <v>#N/A</v>
      </c>
      <c r="CK74" s="97" t="e">
        <f t="shared" si="166"/>
        <v>#N/A</v>
      </c>
      <c r="CL74" s="97" t="e">
        <f t="shared" si="167"/>
        <v>#REF!</v>
      </c>
      <c r="CM74" s="97" t="e">
        <f t="shared" si="167"/>
        <v>#REF!</v>
      </c>
      <c r="CN74" s="97" t="e">
        <f t="shared" si="167"/>
        <v>#REF!</v>
      </c>
      <c r="CO74" s="97" t="e">
        <f t="shared" si="167"/>
        <v>#REF!</v>
      </c>
      <c r="CP74" s="97"/>
      <c r="CQ74" s="97"/>
      <c r="CR74" s="97"/>
      <c r="CS74" s="97"/>
      <c r="CT74" s="105" t="str">
        <f t="shared" si="179"/>
        <v xml:space="preserve"> </v>
      </c>
      <c r="CU74" s="118"/>
      <c r="CV74" s="95">
        <f t="shared" si="42"/>
        <v>30149</v>
      </c>
      <c r="CW74" s="124" t="str">
        <f t="shared" si="43"/>
        <v>NGSA</v>
      </c>
      <c r="CX74" s="97">
        <f t="shared" si="168"/>
        <v>0</v>
      </c>
      <c r="CY74" s="97" t="e">
        <f t="shared" si="169"/>
        <v>#N/A</v>
      </c>
      <c r="CZ74" s="97" t="e">
        <f t="shared" si="170"/>
        <v>#N/A</v>
      </c>
      <c r="DA74" s="97" t="e">
        <f t="shared" si="171"/>
        <v>#N/A</v>
      </c>
      <c r="DB74" s="97" t="e">
        <f t="shared" si="172"/>
        <v>#N/A</v>
      </c>
      <c r="DC74" s="97" t="e">
        <f t="shared" si="173"/>
        <v>#N/A</v>
      </c>
      <c r="DD74" s="97" t="e">
        <f t="shared" si="174"/>
        <v>#N/A</v>
      </c>
      <c r="DE74" s="186"/>
      <c r="DF74" s="186"/>
      <c r="DG74" s="186"/>
      <c r="DH74" s="186"/>
      <c r="DI74" s="186"/>
      <c r="DM74" s="187"/>
    </row>
    <row r="75" spans="1:118" ht="15.75" x14ac:dyDescent="0.25">
      <c r="A75" s="196">
        <f t="shared" si="182"/>
        <v>30511</v>
      </c>
      <c r="B75" s="197" t="str">
        <f t="shared" si="183"/>
        <v>NGSA</v>
      </c>
      <c r="C75" s="41" t="str">
        <f t="shared" si="8"/>
        <v xml:space="preserve"> </v>
      </c>
      <c r="D75" s="38" t="str">
        <f t="shared" si="9"/>
        <v xml:space="preserve"> </v>
      </c>
      <c r="E75" s="24" t="str">
        <f t="shared" si="10"/>
        <v xml:space="preserve"> </v>
      </c>
      <c r="F75" s="24" t="str">
        <f t="shared" si="11"/>
        <v xml:space="preserve"> </v>
      </c>
      <c r="G75" s="136" t="str">
        <f t="shared" si="12"/>
        <v xml:space="preserve"> </v>
      </c>
      <c r="I75" s="27">
        <v>30511</v>
      </c>
      <c r="J75" s="55" t="s">
        <v>27</v>
      </c>
      <c r="K75" s="97">
        <f t="shared" si="128"/>
        <v>0</v>
      </c>
      <c r="L75" s="97">
        <f t="shared" si="129"/>
        <v>0</v>
      </c>
      <c r="M75" s="97">
        <f t="shared" si="130"/>
        <v>0</v>
      </c>
      <c r="N75" s="97">
        <f t="shared" si="131"/>
        <v>0</v>
      </c>
      <c r="O75" s="97">
        <f t="shared" si="132"/>
        <v>0</v>
      </c>
      <c r="P75" s="97">
        <f t="shared" si="133"/>
        <v>0</v>
      </c>
      <c r="Q75" s="97">
        <f t="shared" si="134"/>
        <v>0</v>
      </c>
      <c r="R75" s="97" t="e">
        <f t="shared" si="135"/>
        <v>#REF!</v>
      </c>
      <c r="S75" s="97" t="e">
        <f t="shared" si="135"/>
        <v>#REF!</v>
      </c>
      <c r="T75" s="97" t="e">
        <f t="shared" si="135"/>
        <v>#REF!</v>
      </c>
      <c r="U75" s="97" t="e">
        <f t="shared" si="135"/>
        <v>#REF!</v>
      </c>
      <c r="V75" s="97"/>
      <c r="W75" s="97"/>
      <c r="X75" s="97"/>
      <c r="Y75" s="97"/>
      <c r="Z75" s="105" t="str">
        <f t="shared" si="180"/>
        <v xml:space="preserve"> </v>
      </c>
      <c r="AA75" s="114"/>
      <c r="AB75" s="97" t="str">
        <f t="shared" si="136"/>
        <v xml:space="preserve"> </v>
      </c>
      <c r="AC75" s="97" t="str">
        <f t="shared" si="137"/>
        <v xml:space="preserve"> </v>
      </c>
      <c r="AD75" s="97" t="str">
        <f t="shared" si="138"/>
        <v xml:space="preserve"> </v>
      </c>
      <c r="AE75" s="97" t="str">
        <f t="shared" si="139"/>
        <v xml:space="preserve"> </v>
      </c>
      <c r="AF75" s="97" t="str">
        <f t="shared" si="140"/>
        <v xml:space="preserve"> </v>
      </c>
      <c r="AG75" s="97" t="str">
        <f t="shared" si="141"/>
        <v xml:space="preserve"> </v>
      </c>
      <c r="AH75" s="97" t="str">
        <f t="shared" si="142"/>
        <v xml:space="preserve"> </v>
      </c>
      <c r="AI75" s="97" t="e">
        <f t="shared" si="143"/>
        <v>#REF!</v>
      </c>
      <c r="AJ75" s="97" t="e">
        <f t="shared" si="143"/>
        <v>#REF!</v>
      </c>
      <c r="AK75" s="97" t="e">
        <f t="shared" si="143"/>
        <v>#REF!</v>
      </c>
      <c r="AL75" s="97" t="e">
        <f t="shared" si="143"/>
        <v>#REF!</v>
      </c>
      <c r="AM75" s="97"/>
      <c r="AN75" s="97"/>
      <c r="AO75" s="97"/>
      <c r="AP75" s="97"/>
      <c r="AQ75" s="105" t="str">
        <f t="shared" si="181"/>
        <v xml:space="preserve"> </v>
      </c>
      <c r="AR75" s="114"/>
      <c r="AS75" s="95">
        <f t="shared" ref="AS75:AS107" si="184">$I75</f>
        <v>30511</v>
      </c>
      <c r="AT75" s="124" t="str">
        <f t="shared" ref="AT75:AT107" si="185">$J75</f>
        <v>NGSA</v>
      </c>
      <c r="AU75" s="97" t="str">
        <f t="shared" si="144"/>
        <v xml:space="preserve"> </v>
      </c>
      <c r="AV75" s="97" t="str">
        <f t="shared" si="145"/>
        <v xml:space="preserve"> </v>
      </c>
      <c r="AW75" s="97" t="str">
        <f t="shared" si="146"/>
        <v xml:space="preserve"> </v>
      </c>
      <c r="AX75" s="97" t="str">
        <f t="shared" si="147"/>
        <v xml:space="preserve"> </v>
      </c>
      <c r="AY75" s="97" t="str">
        <f t="shared" si="148"/>
        <v xml:space="preserve"> </v>
      </c>
      <c r="AZ75" s="97" t="str">
        <f t="shared" si="149"/>
        <v xml:space="preserve"> </v>
      </c>
      <c r="BA75" s="97" t="str">
        <f t="shared" si="150"/>
        <v xml:space="preserve"> </v>
      </c>
      <c r="BB75" s="97" t="e">
        <f t="shared" si="151"/>
        <v>#REF!</v>
      </c>
      <c r="BC75" s="97" t="e">
        <f t="shared" si="151"/>
        <v>#REF!</v>
      </c>
      <c r="BD75" s="97" t="e">
        <f t="shared" si="151"/>
        <v>#REF!</v>
      </c>
      <c r="BE75" s="97" t="e">
        <f t="shared" si="151"/>
        <v>#REF!</v>
      </c>
      <c r="BF75" s="97"/>
      <c r="BG75" s="97"/>
      <c r="BH75" s="97"/>
      <c r="BI75" s="97"/>
      <c r="BJ75" s="105" t="str">
        <f t="shared" si="177"/>
        <v xml:space="preserve"> </v>
      </c>
      <c r="BK75" s="114"/>
      <c r="BL75" s="97" t="str">
        <f t="shared" si="152"/>
        <v xml:space="preserve"> </v>
      </c>
      <c r="BM75" s="97">
        <f t="shared" si="153"/>
        <v>0</v>
      </c>
      <c r="BN75" s="97" t="str">
        <f t="shared" si="154"/>
        <v xml:space="preserve"> </v>
      </c>
      <c r="BO75" s="97" t="str">
        <f t="shared" si="155"/>
        <v xml:space="preserve"> </v>
      </c>
      <c r="BP75" s="97" t="str">
        <f t="shared" si="156"/>
        <v xml:space="preserve"> </v>
      </c>
      <c r="BQ75" s="97" t="str">
        <f t="shared" si="157"/>
        <v xml:space="preserve"> </v>
      </c>
      <c r="BR75" s="97" t="str">
        <f t="shared" si="158"/>
        <v xml:space="preserve"> </v>
      </c>
      <c r="BS75" s="97" t="e">
        <f t="shared" si="159"/>
        <v>#REF!</v>
      </c>
      <c r="BT75" s="97" t="e">
        <f t="shared" si="159"/>
        <v>#REF!</v>
      </c>
      <c r="BU75" s="97" t="e">
        <f t="shared" si="159"/>
        <v>#REF!</v>
      </c>
      <c r="BV75" s="97" t="e">
        <f t="shared" si="159"/>
        <v>#REF!</v>
      </c>
      <c r="BW75" s="97"/>
      <c r="BX75" s="97"/>
      <c r="BY75" s="97"/>
      <c r="BZ75" s="97"/>
      <c r="CA75" s="105" t="str">
        <f t="shared" si="178"/>
        <v xml:space="preserve"> </v>
      </c>
      <c r="CB75" s="114"/>
      <c r="CC75" s="95">
        <f t="shared" si="31"/>
        <v>30511</v>
      </c>
      <c r="CD75" s="124" t="str">
        <f t="shared" si="32"/>
        <v>NGSA</v>
      </c>
      <c r="CE75" s="97" t="str">
        <f t="shared" si="160"/>
        <v xml:space="preserve"> </v>
      </c>
      <c r="CF75" s="97">
        <f t="shared" si="161"/>
        <v>0</v>
      </c>
      <c r="CG75" s="97" t="str">
        <f t="shared" si="162"/>
        <v xml:space="preserve"> </v>
      </c>
      <c r="CH75" s="97" t="str">
        <f t="shared" si="163"/>
        <v xml:space="preserve"> </v>
      </c>
      <c r="CI75" s="97" t="str">
        <f t="shared" si="164"/>
        <v xml:space="preserve"> </v>
      </c>
      <c r="CJ75" s="97" t="str">
        <f t="shared" si="165"/>
        <v xml:space="preserve"> </v>
      </c>
      <c r="CK75" s="97" t="str">
        <f t="shared" si="166"/>
        <v xml:space="preserve"> </v>
      </c>
      <c r="CL75" s="97" t="e">
        <f t="shared" si="167"/>
        <v>#REF!</v>
      </c>
      <c r="CM75" s="97" t="e">
        <f t="shared" si="167"/>
        <v>#REF!</v>
      </c>
      <c r="CN75" s="97" t="e">
        <f t="shared" si="167"/>
        <v>#REF!</v>
      </c>
      <c r="CO75" s="97" t="e">
        <f t="shared" si="167"/>
        <v>#REF!</v>
      </c>
      <c r="CP75" s="97"/>
      <c r="CQ75" s="97"/>
      <c r="CR75" s="97"/>
      <c r="CS75" s="97"/>
      <c r="CT75" s="105" t="str">
        <f t="shared" si="179"/>
        <v xml:space="preserve"> </v>
      </c>
      <c r="CU75" s="118"/>
      <c r="CV75" s="95">
        <f t="shared" si="42"/>
        <v>30511</v>
      </c>
      <c r="CW75" s="124" t="str">
        <f t="shared" si="43"/>
        <v>NGSA</v>
      </c>
      <c r="CX75" s="97">
        <f t="shared" si="168"/>
        <v>501</v>
      </c>
      <c r="CY75" s="97">
        <f t="shared" si="169"/>
        <v>421</v>
      </c>
      <c r="CZ75" s="97">
        <f t="shared" si="170"/>
        <v>0</v>
      </c>
      <c r="DA75" s="97">
        <f t="shared" si="171"/>
        <v>458</v>
      </c>
      <c r="DB75" s="97">
        <f t="shared" si="172"/>
        <v>486</v>
      </c>
      <c r="DC75" s="97">
        <f t="shared" si="173"/>
        <v>477</v>
      </c>
      <c r="DD75" s="97">
        <f t="shared" si="174"/>
        <v>348</v>
      </c>
      <c r="DE75" s="186"/>
      <c r="DF75" s="186"/>
      <c r="DG75" s="186"/>
      <c r="DH75" s="186"/>
      <c r="DI75" s="186"/>
      <c r="DM75" s="187">
        <f t="shared" si="69"/>
        <v>384.42857142857144</v>
      </c>
    </row>
    <row r="76" spans="1:118" ht="15.75" x14ac:dyDescent="0.25">
      <c r="A76" s="196">
        <f t="shared" si="182"/>
        <v>35475</v>
      </c>
      <c r="B76" s="197" t="str">
        <f t="shared" si="183"/>
        <v>NGSA</v>
      </c>
      <c r="C76" s="41" t="str">
        <f t="shared" ref="C76:C92" si="186" xml:space="preserve"> Z76</f>
        <v xml:space="preserve"> </v>
      </c>
      <c r="D76" s="38">
        <f t="shared" ref="D76:D92" si="187">AQ76</f>
        <v>2</v>
      </c>
      <c r="E76" s="24">
        <f t="shared" ref="E76:E92" si="188">CA76</f>
        <v>1</v>
      </c>
      <c r="F76" s="24">
        <f t="shared" ref="F76:F92" si="189">CT76</f>
        <v>1</v>
      </c>
      <c r="G76" s="136" t="str">
        <f t="shared" ref="G76:G92" si="190">BJ76</f>
        <v xml:space="preserve"> </v>
      </c>
      <c r="I76" s="27">
        <v>35475</v>
      </c>
      <c r="J76" s="151" t="s">
        <v>27</v>
      </c>
      <c r="K76" s="97">
        <f t="shared" si="128"/>
        <v>0</v>
      </c>
      <c r="L76" s="97">
        <f t="shared" si="129"/>
        <v>0</v>
      </c>
      <c r="M76" s="97">
        <f t="shared" si="130"/>
        <v>0</v>
      </c>
      <c r="N76" s="97">
        <f t="shared" si="131"/>
        <v>0</v>
      </c>
      <c r="O76" s="97">
        <f t="shared" si="132"/>
        <v>0</v>
      </c>
      <c r="P76" s="97">
        <f t="shared" si="133"/>
        <v>0</v>
      </c>
      <c r="Q76" s="97">
        <f t="shared" si="134"/>
        <v>0</v>
      </c>
      <c r="R76" s="97" t="e">
        <f t="shared" si="135"/>
        <v>#REF!</v>
      </c>
      <c r="S76" s="97" t="e">
        <f t="shared" si="135"/>
        <v>#REF!</v>
      </c>
      <c r="T76" s="97" t="e">
        <f t="shared" si="135"/>
        <v>#REF!</v>
      </c>
      <c r="U76" s="97" t="e">
        <f t="shared" si="135"/>
        <v>#REF!</v>
      </c>
      <c r="V76" s="97"/>
      <c r="W76" s="97"/>
      <c r="X76" s="97"/>
      <c r="Y76" s="97"/>
      <c r="Z76" s="105" t="str">
        <f t="shared" si="180"/>
        <v xml:space="preserve"> </v>
      </c>
      <c r="AA76" s="114"/>
      <c r="AB76" s="97" t="str">
        <f t="shared" si="136"/>
        <v xml:space="preserve"> </v>
      </c>
      <c r="AC76" s="97" t="str">
        <f t="shared" si="137"/>
        <v>X</v>
      </c>
      <c r="AD76" s="97" t="str">
        <f t="shared" si="138"/>
        <v xml:space="preserve"> </v>
      </c>
      <c r="AE76" s="97" t="str">
        <f t="shared" si="139"/>
        <v>X</v>
      </c>
      <c r="AF76" s="97" t="str">
        <f t="shared" si="140"/>
        <v xml:space="preserve"> </v>
      </c>
      <c r="AG76" s="97" t="str">
        <f t="shared" si="141"/>
        <v xml:space="preserve"> </v>
      </c>
      <c r="AH76" s="97" t="str">
        <f t="shared" si="142"/>
        <v xml:space="preserve"> </v>
      </c>
      <c r="AI76" s="97" t="e">
        <f t="shared" si="143"/>
        <v>#REF!</v>
      </c>
      <c r="AJ76" s="97" t="e">
        <f t="shared" si="143"/>
        <v>#REF!</v>
      </c>
      <c r="AK76" s="97" t="e">
        <f t="shared" si="143"/>
        <v>#REF!</v>
      </c>
      <c r="AL76" s="97" t="e">
        <f t="shared" si="143"/>
        <v>#REF!</v>
      </c>
      <c r="AM76" s="97"/>
      <c r="AN76" s="97"/>
      <c r="AO76" s="97"/>
      <c r="AP76" s="97"/>
      <c r="AQ76" s="105">
        <f t="shared" si="181"/>
        <v>2</v>
      </c>
      <c r="AR76" s="114"/>
      <c r="AS76" s="95">
        <f t="shared" si="184"/>
        <v>35475</v>
      </c>
      <c r="AT76" s="124" t="str">
        <f t="shared" si="185"/>
        <v>NGSA</v>
      </c>
      <c r="AU76" s="97" t="str">
        <f t="shared" si="144"/>
        <v xml:space="preserve"> </v>
      </c>
      <c r="AV76" s="97" t="str">
        <f t="shared" si="145"/>
        <v xml:space="preserve"> </v>
      </c>
      <c r="AW76" s="97" t="str">
        <f t="shared" si="146"/>
        <v xml:space="preserve"> </v>
      </c>
      <c r="AX76" s="97" t="str">
        <f t="shared" si="147"/>
        <v xml:space="preserve"> </v>
      </c>
      <c r="AY76" s="97" t="str">
        <f t="shared" si="148"/>
        <v xml:space="preserve"> </v>
      </c>
      <c r="AZ76" s="97" t="str">
        <f t="shared" si="149"/>
        <v xml:space="preserve"> </v>
      </c>
      <c r="BA76" s="97" t="str">
        <f t="shared" si="150"/>
        <v xml:space="preserve"> </v>
      </c>
      <c r="BB76" s="97" t="e">
        <f t="shared" si="151"/>
        <v>#REF!</v>
      </c>
      <c r="BC76" s="97" t="e">
        <f t="shared" si="151"/>
        <v>#REF!</v>
      </c>
      <c r="BD76" s="97" t="e">
        <f t="shared" si="151"/>
        <v>#REF!</v>
      </c>
      <c r="BE76" s="97" t="e">
        <f t="shared" si="151"/>
        <v>#REF!</v>
      </c>
      <c r="BF76" s="97"/>
      <c r="BG76" s="97"/>
      <c r="BH76" s="97"/>
      <c r="BI76" s="97"/>
      <c r="BJ76" s="105" t="str">
        <f t="shared" si="177"/>
        <v xml:space="preserve"> </v>
      </c>
      <c r="BK76" s="114"/>
      <c r="BL76" s="97" t="str">
        <f t="shared" si="152"/>
        <v xml:space="preserve"> </v>
      </c>
      <c r="BM76" s="97">
        <f t="shared" si="153"/>
        <v>0</v>
      </c>
      <c r="BN76" s="97" t="str">
        <f t="shared" si="154"/>
        <v xml:space="preserve"> </v>
      </c>
      <c r="BO76" s="97" t="str">
        <f t="shared" si="155"/>
        <v>X</v>
      </c>
      <c r="BP76" s="97" t="str">
        <f t="shared" si="156"/>
        <v xml:space="preserve"> </v>
      </c>
      <c r="BQ76" s="97" t="str">
        <f t="shared" si="157"/>
        <v xml:space="preserve"> </v>
      </c>
      <c r="BR76" s="97" t="str">
        <f t="shared" si="158"/>
        <v xml:space="preserve"> </v>
      </c>
      <c r="BS76" s="97" t="e">
        <f t="shared" si="159"/>
        <v>#REF!</v>
      </c>
      <c r="BT76" s="97" t="e">
        <f t="shared" si="159"/>
        <v>#REF!</v>
      </c>
      <c r="BU76" s="97" t="e">
        <f t="shared" si="159"/>
        <v>#REF!</v>
      </c>
      <c r="BV76" s="97" t="e">
        <f t="shared" si="159"/>
        <v>#REF!</v>
      </c>
      <c r="BW76" s="97"/>
      <c r="BX76" s="97"/>
      <c r="BY76" s="97"/>
      <c r="BZ76" s="97"/>
      <c r="CA76" s="105">
        <f t="shared" si="178"/>
        <v>1</v>
      </c>
      <c r="CB76" s="114"/>
      <c r="CC76" s="95">
        <f t="shared" ref="CC76:CC107" si="191">$I76</f>
        <v>35475</v>
      </c>
      <c r="CD76" s="124" t="str">
        <f t="shared" ref="CD76:CD107" si="192">$J76</f>
        <v>NGSA</v>
      </c>
      <c r="CE76" s="97" t="str">
        <f t="shared" si="160"/>
        <v xml:space="preserve"> </v>
      </c>
      <c r="CF76" s="97">
        <f t="shared" si="161"/>
        <v>0</v>
      </c>
      <c r="CG76" s="97" t="str">
        <f t="shared" si="162"/>
        <v xml:space="preserve"> </v>
      </c>
      <c r="CH76" s="97" t="str">
        <f t="shared" si="163"/>
        <v>X</v>
      </c>
      <c r="CI76" s="97" t="str">
        <f t="shared" si="164"/>
        <v xml:space="preserve"> </v>
      </c>
      <c r="CJ76" s="97" t="str">
        <f t="shared" si="165"/>
        <v xml:space="preserve"> </v>
      </c>
      <c r="CK76" s="97" t="str">
        <f t="shared" si="166"/>
        <v xml:space="preserve"> </v>
      </c>
      <c r="CL76" s="97" t="e">
        <f t="shared" si="167"/>
        <v>#REF!</v>
      </c>
      <c r="CM76" s="97" t="e">
        <f t="shared" si="167"/>
        <v>#REF!</v>
      </c>
      <c r="CN76" s="97" t="e">
        <f t="shared" si="167"/>
        <v>#REF!</v>
      </c>
      <c r="CO76" s="97" t="e">
        <f t="shared" si="167"/>
        <v>#REF!</v>
      </c>
      <c r="CP76" s="97"/>
      <c r="CQ76" s="97"/>
      <c r="CR76" s="97"/>
      <c r="CS76" s="97"/>
      <c r="CT76" s="105">
        <f t="shared" si="179"/>
        <v>1</v>
      </c>
      <c r="CU76" s="118"/>
      <c r="CV76" s="95">
        <f t="shared" ref="CV76:CV107" si="193">$I76</f>
        <v>35475</v>
      </c>
      <c r="CW76" s="124" t="str">
        <f t="shared" ref="CW76:CW107" si="194">$J76</f>
        <v>NGSA</v>
      </c>
      <c r="CX76" s="97">
        <f t="shared" si="168"/>
        <v>5094</v>
      </c>
      <c r="CY76" s="97">
        <f t="shared" si="169"/>
        <v>17000</v>
      </c>
      <c r="CZ76" s="97">
        <f t="shared" si="170"/>
        <v>9784</v>
      </c>
      <c r="DA76" s="97">
        <f t="shared" si="171"/>
        <v>10693</v>
      </c>
      <c r="DB76" s="97">
        <f t="shared" si="172"/>
        <v>13563</v>
      </c>
      <c r="DC76" s="97">
        <f t="shared" si="173"/>
        <v>14327</v>
      </c>
      <c r="DD76" s="97">
        <f t="shared" si="174"/>
        <v>13769</v>
      </c>
      <c r="DE76" s="186"/>
      <c r="DF76" s="186"/>
      <c r="DG76" s="186"/>
      <c r="DH76" s="186"/>
      <c r="DI76" s="186"/>
      <c r="DM76" s="206">
        <f>AVERAGE(CX76:DA76)</f>
        <v>10642.75</v>
      </c>
    </row>
    <row r="77" spans="1:118" ht="15.75" x14ac:dyDescent="0.25">
      <c r="A77" s="196">
        <f t="shared" si="182"/>
        <v>36570</v>
      </c>
      <c r="B77" s="197" t="str">
        <f t="shared" si="183"/>
        <v>NGSA</v>
      </c>
      <c r="C77" s="41" t="str">
        <f t="shared" si="186"/>
        <v xml:space="preserve"> </v>
      </c>
      <c r="D77" s="38" t="str">
        <f t="shared" si="187"/>
        <v xml:space="preserve"> </v>
      </c>
      <c r="E77" s="24" t="str">
        <f t="shared" si="188"/>
        <v xml:space="preserve"> </v>
      </c>
      <c r="F77" s="24">
        <f t="shared" si="189"/>
        <v>1</v>
      </c>
      <c r="G77" s="136" t="str">
        <f t="shared" si="190"/>
        <v xml:space="preserve"> </v>
      </c>
      <c r="I77" s="27">
        <v>36570</v>
      </c>
      <c r="J77" s="151" t="s">
        <v>27</v>
      </c>
      <c r="K77" s="97">
        <f t="shared" si="128"/>
        <v>0</v>
      </c>
      <c r="L77" s="97">
        <f t="shared" si="129"/>
        <v>0</v>
      </c>
      <c r="M77" s="97">
        <f t="shared" si="130"/>
        <v>0</v>
      </c>
      <c r="N77" s="97">
        <f t="shared" si="131"/>
        <v>0</v>
      </c>
      <c r="O77" s="97" t="e">
        <f t="shared" si="132"/>
        <v>#N/A</v>
      </c>
      <c r="P77" s="97" t="e">
        <f t="shared" si="133"/>
        <v>#N/A</v>
      </c>
      <c r="Q77" s="97" t="e">
        <f t="shared" si="134"/>
        <v>#N/A</v>
      </c>
      <c r="R77" s="97" t="e">
        <f t="shared" si="135"/>
        <v>#REF!</v>
      </c>
      <c r="S77" s="97" t="e">
        <f t="shared" si="135"/>
        <v>#REF!</v>
      </c>
      <c r="T77" s="97" t="e">
        <f t="shared" si="135"/>
        <v>#REF!</v>
      </c>
      <c r="U77" s="97" t="e">
        <f t="shared" si="135"/>
        <v>#REF!</v>
      </c>
      <c r="V77" s="97"/>
      <c r="W77" s="97"/>
      <c r="X77" s="97"/>
      <c r="Y77" s="97"/>
      <c r="Z77" s="105" t="str">
        <f t="shared" si="180"/>
        <v xml:space="preserve"> </v>
      </c>
      <c r="AA77" s="114"/>
      <c r="AB77" s="97">
        <f t="shared" si="136"/>
        <v>0</v>
      </c>
      <c r="AC77" s="97" t="str">
        <f t="shared" si="137"/>
        <v xml:space="preserve"> </v>
      </c>
      <c r="AD77" s="97" t="str">
        <f t="shared" si="138"/>
        <v xml:space="preserve"> </v>
      </c>
      <c r="AE77" s="97" t="str">
        <f t="shared" si="139"/>
        <v xml:space="preserve"> </v>
      </c>
      <c r="AF77" s="97" t="e">
        <f t="shared" si="140"/>
        <v>#N/A</v>
      </c>
      <c r="AG77" s="97" t="e">
        <f t="shared" si="141"/>
        <v>#N/A</v>
      </c>
      <c r="AH77" s="97" t="e">
        <f t="shared" si="142"/>
        <v>#N/A</v>
      </c>
      <c r="AI77" s="97" t="e">
        <f t="shared" si="143"/>
        <v>#REF!</v>
      </c>
      <c r="AJ77" s="97" t="e">
        <f t="shared" si="143"/>
        <v>#REF!</v>
      </c>
      <c r="AK77" s="97" t="e">
        <f t="shared" si="143"/>
        <v>#REF!</v>
      </c>
      <c r="AL77" s="97" t="e">
        <f t="shared" si="143"/>
        <v>#REF!</v>
      </c>
      <c r="AM77" s="97"/>
      <c r="AN77" s="97"/>
      <c r="AO77" s="97"/>
      <c r="AP77" s="97"/>
      <c r="AQ77" s="105" t="str">
        <f t="shared" si="181"/>
        <v xml:space="preserve"> </v>
      </c>
      <c r="AR77" s="114"/>
      <c r="AS77" s="95">
        <f t="shared" si="184"/>
        <v>36570</v>
      </c>
      <c r="AT77" s="124" t="str">
        <f t="shared" si="185"/>
        <v>NGSA</v>
      </c>
      <c r="AU77" s="97" t="str">
        <f t="shared" si="144"/>
        <v xml:space="preserve"> </v>
      </c>
      <c r="AV77" s="97" t="str">
        <f t="shared" si="145"/>
        <v xml:space="preserve"> </v>
      </c>
      <c r="AW77" s="97" t="str">
        <f t="shared" si="146"/>
        <v xml:space="preserve"> </v>
      </c>
      <c r="AX77" s="97" t="str">
        <f t="shared" si="147"/>
        <v xml:space="preserve"> </v>
      </c>
      <c r="AY77" s="97" t="e">
        <f t="shared" si="148"/>
        <v>#N/A</v>
      </c>
      <c r="AZ77" s="97" t="e">
        <f t="shared" si="149"/>
        <v>#N/A</v>
      </c>
      <c r="BA77" s="97" t="e">
        <f t="shared" si="150"/>
        <v>#N/A</v>
      </c>
      <c r="BB77" s="97" t="e">
        <f t="shared" si="151"/>
        <v>#REF!</v>
      </c>
      <c r="BC77" s="97" t="e">
        <f t="shared" si="151"/>
        <v>#REF!</v>
      </c>
      <c r="BD77" s="97" t="e">
        <f t="shared" si="151"/>
        <v>#REF!</v>
      </c>
      <c r="BE77" s="97" t="e">
        <f t="shared" si="151"/>
        <v>#REF!</v>
      </c>
      <c r="BF77" s="97"/>
      <c r="BG77" s="97"/>
      <c r="BH77" s="97"/>
      <c r="BI77" s="97"/>
      <c r="BJ77" s="105" t="str">
        <f t="shared" si="177"/>
        <v xml:space="preserve"> </v>
      </c>
      <c r="BK77" s="114"/>
      <c r="BL77" s="97">
        <f t="shared" si="152"/>
        <v>0</v>
      </c>
      <c r="BM77" s="97" t="str">
        <f t="shared" si="153"/>
        <v xml:space="preserve"> </v>
      </c>
      <c r="BN77" s="97" t="str">
        <f t="shared" si="154"/>
        <v xml:space="preserve"> </v>
      </c>
      <c r="BO77" s="97" t="str">
        <f t="shared" si="155"/>
        <v xml:space="preserve"> </v>
      </c>
      <c r="BP77" s="97" t="e">
        <f t="shared" si="156"/>
        <v>#N/A</v>
      </c>
      <c r="BQ77" s="97" t="e">
        <f t="shared" si="157"/>
        <v>#N/A</v>
      </c>
      <c r="BR77" s="97" t="e">
        <f t="shared" si="158"/>
        <v>#N/A</v>
      </c>
      <c r="BS77" s="97" t="e">
        <f t="shared" si="159"/>
        <v>#REF!</v>
      </c>
      <c r="BT77" s="97" t="e">
        <f t="shared" si="159"/>
        <v>#REF!</v>
      </c>
      <c r="BU77" s="97" t="e">
        <f t="shared" si="159"/>
        <v>#REF!</v>
      </c>
      <c r="BV77" s="97" t="e">
        <f t="shared" si="159"/>
        <v>#REF!</v>
      </c>
      <c r="BW77" s="97"/>
      <c r="BX77" s="97"/>
      <c r="BY77" s="97"/>
      <c r="BZ77" s="97"/>
      <c r="CA77" s="105" t="str">
        <f t="shared" si="178"/>
        <v xml:space="preserve"> </v>
      </c>
      <c r="CB77" s="114"/>
      <c r="CC77" s="95">
        <f t="shared" si="191"/>
        <v>36570</v>
      </c>
      <c r="CD77" s="124" t="str">
        <f t="shared" si="192"/>
        <v>NGSA</v>
      </c>
      <c r="CE77" s="97">
        <f t="shared" si="160"/>
        <v>0</v>
      </c>
      <c r="CF77" s="97" t="str">
        <f t="shared" si="161"/>
        <v>X</v>
      </c>
      <c r="CG77" s="97" t="str">
        <f t="shared" si="162"/>
        <v xml:space="preserve"> </v>
      </c>
      <c r="CH77" s="97" t="str">
        <f t="shared" si="163"/>
        <v xml:space="preserve"> </v>
      </c>
      <c r="CI77" s="97" t="e">
        <f t="shared" si="164"/>
        <v>#N/A</v>
      </c>
      <c r="CJ77" s="97" t="e">
        <f t="shared" si="165"/>
        <v>#N/A</v>
      </c>
      <c r="CK77" s="97" t="e">
        <f t="shared" si="166"/>
        <v>#N/A</v>
      </c>
      <c r="CL77" s="97" t="e">
        <f t="shared" si="167"/>
        <v>#REF!</v>
      </c>
      <c r="CM77" s="97" t="e">
        <f t="shared" si="167"/>
        <v>#REF!</v>
      </c>
      <c r="CN77" s="97" t="e">
        <f t="shared" si="167"/>
        <v>#REF!</v>
      </c>
      <c r="CO77" s="97" t="e">
        <f t="shared" si="167"/>
        <v>#REF!</v>
      </c>
      <c r="CP77" s="97"/>
      <c r="CQ77" s="97"/>
      <c r="CR77" s="97"/>
      <c r="CS77" s="97"/>
      <c r="CT77" s="105">
        <f t="shared" si="179"/>
        <v>1</v>
      </c>
      <c r="CU77" s="118"/>
      <c r="CV77" s="95">
        <f t="shared" si="193"/>
        <v>36570</v>
      </c>
      <c r="CW77" s="124" t="str">
        <f t="shared" si="194"/>
        <v>NGSA</v>
      </c>
      <c r="CX77" s="97">
        <f t="shared" si="168"/>
        <v>306</v>
      </c>
      <c r="CY77" s="97">
        <f t="shared" si="169"/>
        <v>137</v>
      </c>
      <c r="CZ77" s="97">
        <f t="shared" si="170"/>
        <v>146</v>
      </c>
      <c r="DA77" s="97">
        <f t="shared" si="171"/>
        <v>130</v>
      </c>
      <c r="DB77" s="97" t="e">
        <f t="shared" si="172"/>
        <v>#N/A</v>
      </c>
      <c r="DC77" s="97" t="e">
        <f t="shared" si="173"/>
        <v>#N/A</v>
      </c>
      <c r="DD77" s="97" t="e">
        <f t="shared" si="174"/>
        <v>#N/A</v>
      </c>
      <c r="DE77" s="186"/>
      <c r="DF77" s="186"/>
      <c r="DG77" s="186"/>
      <c r="DH77" s="186"/>
      <c r="DI77" s="186"/>
      <c r="DM77" s="206">
        <f>AVERAGE(CX77:DA77)</f>
        <v>179.75</v>
      </c>
    </row>
    <row r="78" spans="1:118" ht="15.75" x14ac:dyDescent="0.25">
      <c r="A78" s="196">
        <f t="shared" si="182"/>
        <v>37459</v>
      </c>
      <c r="B78" s="197" t="str">
        <f t="shared" si="183"/>
        <v>NGSA</v>
      </c>
      <c r="C78" s="41" t="str">
        <f t="shared" si="186"/>
        <v xml:space="preserve"> </v>
      </c>
      <c r="D78" s="38" t="str">
        <f t="shared" si="187"/>
        <v xml:space="preserve"> </v>
      </c>
      <c r="E78" s="24" t="str">
        <f t="shared" si="188"/>
        <v xml:space="preserve"> </v>
      </c>
      <c r="F78" s="24" t="str">
        <f t="shared" si="189"/>
        <v xml:space="preserve"> </v>
      </c>
      <c r="G78" s="136" t="str">
        <f t="shared" si="190"/>
        <v xml:space="preserve"> </v>
      </c>
      <c r="I78" s="27">
        <v>37459</v>
      </c>
      <c r="J78" s="151" t="s">
        <v>27</v>
      </c>
      <c r="K78" s="97">
        <f t="shared" si="128"/>
        <v>0</v>
      </c>
      <c r="L78" s="97" t="e">
        <f t="shared" si="129"/>
        <v>#N/A</v>
      </c>
      <c r="M78" s="97" t="e">
        <f t="shared" si="130"/>
        <v>#N/A</v>
      </c>
      <c r="N78" s="97" t="e">
        <f t="shared" si="131"/>
        <v>#N/A</v>
      </c>
      <c r="O78" s="97" t="e">
        <f t="shared" si="132"/>
        <v>#N/A</v>
      </c>
      <c r="P78" s="97">
        <f t="shared" si="133"/>
        <v>0</v>
      </c>
      <c r="Q78" s="97">
        <f t="shared" si="134"/>
        <v>0</v>
      </c>
      <c r="R78" s="97" t="e">
        <f t="shared" si="135"/>
        <v>#REF!</v>
      </c>
      <c r="S78" s="97" t="e">
        <f t="shared" si="135"/>
        <v>#REF!</v>
      </c>
      <c r="T78" s="97" t="e">
        <f t="shared" si="135"/>
        <v>#REF!</v>
      </c>
      <c r="U78" s="97" t="e">
        <f t="shared" si="135"/>
        <v>#REF!</v>
      </c>
      <c r="V78" s="97"/>
      <c r="W78" s="97"/>
      <c r="X78" s="97"/>
      <c r="Y78" s="97"/>
      <c r="Z78" s="105" t="str">
        <f t="shared" si="180"/>
        <v xml:space="preserve"> </v>
      </c>
      <c r="AA78" s="114"/>
      <c r="AB78" s="97">
        <f t="shared" si="136"/>
        <v>0</v>
      </c>
      <c r="AC78" s="97" t="e">
        <f t="shared" si="137"/>
        <v>#N/A</v>
      </c>
      <c r="AD78" s="97" t="e">
        <f t="shared" si="138"/>
        <v>#N/A</v>
      </c>
      <c r="AE78" s="97" t="e">
        <f t="shared" si="139"/>
        <v>#N/A</v>
      </c>
      <c r="AF78" s="97" t="e">
        <f t="shared" si="140"/>
        <v>#N/A</v>
      </c>
      <c r="AG78" s="97" t="str">
        <f t="shared" si="141"/>
        <v xml:space="preserve"> </v>
      </c>
      <c r="AH78" s="97" t="str">
        <f t="shared" si="142"/>
        <v xml:space="preserve"> </v>
      </c>
      <c r="AI78" s="97" t="e">
        <f t="shared" si="143"/>
        <v>#REF!</v>
      </c>
      <c r="AJ78" s="97" t="e">
        <f t="shared" si="143"/>
        <v>#REF!</v>
      </c>
      <c r="AK78" s="97" t="e">
        <f t="shared" si="143"/>
        <v>#REF!</v>
      </c>
      <c r="AL78" s="97" t="e">
        <f t="shared" si="143"/>
        <v>#REF!</v>
      </c>
      <c r="AM78" s="97"/>
      <c r="AN78" s="97"/>
      <c r="AO78" s="97"/>
      <c r="AP78" s="97"/>
      <c r="AQ78" s="105" t="str">
        <f t="shared" si="181"/>
        <v xml:space="preserve"> </v>
      </c>
      <c r="AR78" s="114"/>
      <c r="AS78" s="95">
        <f t="shared" si="184"/>
        <v>37459</v>
      </c>
      <c r="AT78" s="124" t="str">
        <f t="shared" si="185"/>
        <v>NGSA</v>
      </c>
      <c r="AU78" s="97" t="str">
        <f t="shared" si="144"/>
        <v xml:space="preserve"> </v>
      </c>
      <c r="AV78" s="97" t="e">
        <f t="shared" si="145"/>
        <v>#N/A</v>
      </c>
      <c r="AW78" s="97" t="e">
        <f t="shared" si="146"/>
        <v>#N/A</v>
      </c>
      <c r="AX78" s="97" t="e">
        <f t="shared" si="147"/>
        <v>#N/A</v>
      </c>
      <c r="AY78" s="97" t="e">
        <f t="shared" si="148"/>
        <v>#N/A</v>
      </c>
      <c r="AZ78" s="97" t="str">
        <f t="shared" si="149"/>
        <v xml:space="preserve"> </v>
      </c>
      <c r="BA78" s="97" t="str">
        <f t="shared" si="150"/>
        <v xml:space="preserve"> </v>
      </c>
      <c r="BB78" s="97" t="e">
        <f t="shared" si="151"/>
        <v>#REF!</v>
      </c>
      <c r="BC78" s="97" t="e">
        <f t="shared" si="151"/>
        <v>#REF!</v>
      </c>
      <c r="BD78" s="97" t="e">
        <f t="shared" si="151"/>
        <v>#REF!</v>
      </c>
      <c r="BE78" s="97" t="e">
        <f t="shared" si="151"/>
        <v>#REF!</v>
      </c>
      <c r="BF78" s="97"/>
      <c r="BG78" s="97"/>
      <c r="BH78" s="97"/>
      <c r="BI78" s="97"/>
      <c r="BJ78" s="105" t="str">
        <f t="shared" si="177"/>
        <v xml:space="preserve"> </v>
      </c>
      <c r="BK78" s="114"/>
      <c r="BL78" s="97">
        <f t="shared" si="152"/>
        <v>0</v>
      </c>
      <c r="BM78" s="97" t="e">
        <f t="shared" si="153"/>
        <v>#N/A</v>
      </c>
      <c r="BN78" s="97" t="e">
        <f t="shared" si="154"/>
        <v>#N/A</v>
      </c>
      <c r="BO78" s="97" t="e">
        <f t="shared" si="155"/>
        <v>#N/A</v>
      </c>
      <c r="BP78" s="97" t="e">
        <f t="shared" si="156"/>
        <v>#N/A</v>
      </c>
      <c r="BQ78" s="97" t="str">
        <f t="shared" si="157"/>
        <v xml:space="preserve"> </v>
      </c>
      <c r="BR78" s="97" t="str">
        <f t="shared" si="158"/>
        <v xml:space="preserve"> </v>
      </c>
      <c r="BS78" s="97" t="e">
        <f t="shared" si="159"/>
        <v>#REF!</v>
      </c>
      <c r="BT78" s="97" t="e">
        <f t="shared" si="159"/>
        <v>#REF!</v>
      </c>
      <c r="BU78" s="97" t="e">
        <f t="shared" si="159"/>
        <v>#REF!</v>
      </c>
      <c r="BV78" s="97" t="e">
        <f t="shared" si="159"/>
        <v>#REF!</v>
      </c>
      <c r="BW78" s="97"/>
      <c r="BX78" s="97"/>
      <c r="BY78" s="97"/>
      <c r="BZ78" s="97"/>
      <c r="CA78" s="105" t="str">
        <f t="shared" si="178"/>
        <v xml:space="preserve"> </v>
      </c>
      <c r="CB78" s="114"/>
      <c r="CC78" s="95">
        <f t="shared" si="191"/>
        <v>37459</v>
      </c>
      <c r="CD78" s="124" t="str">
        <f t="shared" si="192"/>
        <v>NGSA</v>
      </c>
      <c r="CE78" s="97">
        <f t="shared" si="160"/>
        <v>0</v>
      </c>
      <c r="CF78" s="97" t="e">
        <f t="shared" si="161"/>
        <v>#N/A</v>
      </c>
      <c r="CG78" s="97" t="e">
        <f t="shared" si="162"/>
        <v>#N/A</v>
      </c>
      <c r="CH78" s="97" t="e">
        <f t="shared" si="163"/>
        <v>#N/A</v>
      </c>
      <c r="CI78" s="97" t="e">
        <f t="shared" si="164"/>
        <v>#N/A</v>
      </c>
      <c r="CJ78" s="97" t="str">
        <f t="shared" si="165"/>
        <v xml:space="preserve"> </v>
      </c>
      <c r="CK78" s="97" t="str">
        <f t="shared" si="166"/>
        <v xml:space="preserve"> </v>
      </c>
      <c r="CL78" s="97" t="e">
        <f t="shared" si="167"/>
        <v>#REF!</v>
      </c>
      <c r="CM78" s="97" t="e">
        <f t="shared" si="167"/>
        <v>#REF!</v>
      </c>
      <c r="CN78" s="97" t="e">
        <f t="shared" si="167"/>
        <v>#REF!</v>
      </c>
      <c r="CO78" s="97" t="e">
        <f t="shared" si="167"/>
        <v>#REF!</v>
      </c>
      <c r="CP78" s="97"/>
      <c r="CQ78" s="97"/>
      <c r="CR78" s="97"/>
      <c r="CS78" s="97"/>
      <c r="CT78" s="105" t="str">
        <f t="shared" si="179"/>
        <v xml:space="preserve"> </v>
      </c>
      <c r="CU78" s="118"/>
      <c r="CV78" s="95">
        <f t="shared" si="193"/>
        <v>37459</v>
      </c>
      <c r="CW78" s="124" t="str">
        <f t="shared" si="194"/>
        <v>NGSA</v>
      </c>
      <c r="CX78" s="97">
        <f t="shared" si="168"/>
        <v>2</v>
      </c>
      <c r="CY78" s="97" t="e">
        <f t="shared" si="169"/>
        <v>#N/A</v>
      </c>
      <c r="CZ78" s="97" t="e">
        <f t="shared" si="170"/>
        <v>#N/A</v>
      </c>
      <c r="DA78" s="97" t="e">
        <f t="shared" si="171"/>
        <v>#N/A</v>
      </c>
      <c r="DB78" s="97" t="e">
        <f t="shared" si="172"/>
        <v>#N/A</v>
      </c>
      <c r="DC78" s="97">
        <f t="shared" si="173"/>
        <v>19</v>
      </c>
      <c r="DD78" s="97">
        <f t="shared" si="174"/>
        <v>0</v>
      </c>
      <c r="DE78" s="186"/>
      <c r="DF78" s="186"/>
      <c r="DG78" s="186"/>
      <c r="DH78" s="186"/>
      <c r="DI78" s="186"/>
      <c r="DM78" s="206">
        <f>SUM(DC78:DD78)</f>
        <v>19</v>
      </c>
      <c r="DN78" s="206">
        <f>SUM(DM46:DM78)</f>
        <v>82015.404761904749</v>
      </c>
    </row>
    <row r="79" spans="1:118" ht="15.75" x14ac:dyDescent="0.25">
      <c r="A79" s="196">
        <f t="shared" si="182"/>
        <v>0</v>
      </c>
      <c r="B79" s="197">
        <f t="shared" si="183"/>
        <v>0</v>
      </c>
      <c r="C79" s="41" t="str">
        <f t="shared" si="186"/>
        <v xml:space="preserve"> </v>
      </c>
      <c r="D79" s="38" t="str">
        <f t="shared" si="187"/>
        <v xml:space="preserve"> </v>
      </c>
      <c r="E79" s="24" t="str">
        <f t="shared" si="188"/>
        <v xml:space="preserve"> </v>
      </c>
      <c r="F79" s="24" t="str">
        <f t="shared" si="189"/>
        <v xml:space="preserve"> </v>
      </c>
      <c r="G79" s="136" t="str">
        <f t="shared" si="190"/>
        <v xml:space="preserve"> </v>
      </c>
      <c r="I79" s="198"/>
      <c r="J79" s="199"/>
      <c r="K79" s="97" t="e">
        <f t="shared" si="128"/>
        <v>#N/A</v>
      </c>
      <c r="L79" s="97" t="e">
        <f t="shared" si="129"/>
        <v>#N/A</v>
      </c>
      <c r="M79" s="97" t="e">
        <f t="shared" si="130"/>
        <v>#N/A</v>
      </c>
      <c r="N79" s="97" t="e">
        <f t="shared" si="131"/>
        <v>#N/A</v>
      </c>
      <c r="O79" s="97" t="e">
        <f t="shared" si="132"/>
        <v>#N/A</v>
      </c>
      <c r="P79" s="97" t="e">
        <f t="shared" si="133"/>
        <v>#N/A</v>
      </c>
      <c r="Q79" s="97" t="e">
        <f t="shared" si="134"/>
        <v>#N/A</v>
      </c>
      <c r="R79" s="97" t="e">
        <f t="shared" si="135"/>
        <v>#REF!</v>
      </c>
      <c r="S79" s="97" t="e">
        <f t="shared" si="135"/>
        <v>#REF!</v>
      </c>
      <c r="T79" s="97" t="e">
        <f t="shared" si="135"/>
        <v>#REF!</v>
      </c>
      <c r="U79" s="97" t="e">
        <f t="shared" si="135"/>
        <v>#REF!</v>
      </c>
      <c r="V79" s="97"/>
      <c r="W79" s="97"/>
      <c r="X79" s="97"/>
      <c r="Y79" s="97"/>
      <c r="Z79" s="105" t="str">
        <f t="shared" si="180"/>
        <v xml:space="preserve"> </v>
      </c>
      <c r="AA79" s="114"/>
      <c r="AB79" s="97" t="e">
        <f t="shared" si="136"/>
        <v>#N/A</v>
      </c>
      <c r="AC79" s="97" t="e">
        <f t="shared" si="137"/>
        <v>#N/A</v>
      </c>
      <c r="AD79" s="97" t="e">
        <f t="shared" si="138"/>
        <v>#N/A</v>
      </c>
      <c r="AE79" s="97" t="e">
        <f t="shared" si="139"/>
        <v>#N/A</v>
      </c>
      <c r="AF79" s="97" t="e">
        <f t="shared" si="140"/>
        <v>#N/A</v>
      </c>
      <c r="AG79" s="97" t="e">
        <f t="shared" si="141"/>
        <v>#N/A</v>
      </c>
      <c r="AH79" s="97" t="e">
        <f t="shared" si="142"/>
        <v>#N/A</v>
      </c>
      <c r="AI79" s="97" t="e">
        <f t="shared" si="143"/>
        <v>#REF!</v>
      </c>
      <c r="AJ79" s="97" t="e">
        <f t="shared" si="143"/>
        <v>#REF!</v>
      </c>
      <c r="AK79" s="97" t="e">
        <f t="shared" si="143"/>
        <v>#REF!</v>
      </c>
      <c r="AL79" s="97" t="e">
        <f t="shared" si="143"/>
        <v>#REF!</v>
      </c>
      <c r="AM79" s="97"/>
      <c r="AN79" s="97"/>
      <c r="AO79" s="97"/>
      <c r="AP79" s="97"/>
      <c r="AQ79" s="105" t="str">
        <f t="shared" si="181"/>
        <v xml:space="preserve"> </v>
      </c>
      <c r="AR79" s="114"/>
      <c r="AS79" s="95">
        <f t="shared" si="184"/>
        <v>0</v>
      </c>
      <c r="AT79" s="124">
        <f t="shared" si="185"/>
        <v>0</v>
      </c>
      <c r="AU79" s="97" t="e">
        <f t="shared" si="144"/>
        <v>#N/A</v>
      </c>
      <c r="AV79" s="97" t="e">
        <f t="shared" si="145"/>
        <v>#N/A</v>
      </c>
      <c r="AW79" s="97" t="e">
        <f t="shared" si="146"/>
        <v>#N/A</v>
      </c>
      <c r="AX79" s="97" t="e">
        <f t="shared" si="147"/>
        <v>#N/A</v>
      </c>
      <c r="AY79" s="97" t="e">
        <f t="shared" si="148"/>
        <v>#N/A</v>
      </c>
      <c r="AZ79" s="97" t="e">
        <f t="shared" si="149"/>
        <v>#N/A</v>
      </c>
      <c r="BA79" s="97" t="e">
        <f t="shared" si="150"/>
        <v>#N/A</v>
      </c>
      <c r="BB79" s="97" t="e">
        <f t="shared" si="151"/>
        <v>#REF!</v>
      </c>
      <c r="BC79" s="97" t="e">
        <f t="shared" si="151"/>
        <v>#REF!</v>
      </c>
      <c r="BD79" s="97" t="e">
        <f t="shared" si="151"/>
        <v>#REF!</v>
      </c>
      <c r="BE79" s="97" t="e">
        <f t="shared" si="151"/>
        <v>#REF!</v>
      </c>
      <c r="BF79" s="97"/>
      <c r="BG79" s="97"/>
      <c r="BH79" s="97"/>
      <c r="BI79" s="97"/>
      <c r="BJ79" s="105" t="str">
        <f t="shared" si="177"/>
        <v xml:space="preserve"> </v>
      </c>
      <c r="BK79" s="114"/>
      <c r="BL79" s="97" t="e">
        <f t="shared" si="152"/>
        <v>#N/A</v>
      </c>
      <c r="BM79" s="97" t="e">
        <f t="shared" si="153"/>
        <v>#N/A</v>
      </c>
      <c r="BN79" s="97" t="e">
        <f t="shared" si="154"/>
        <v>#N/A</v>
      </c>
      <c r="BO79" s="97" t="e">
        <f t="shared" si="155"/>
        <v>#N/A</v>
      </c>
      <c r="BP79" s="97" t="e">
        <f t="shared" si="156"/>
        <v>#N/A</v>
      </c>
      <c r="BQ79" s="97" t="e">
        <f t="shared" si="157"/>
        <v>#N/A</v>
      </c>
      <c r="BR79" s="97" t="e">
        <f t="shared" si="158"/>
        <v>#N/A</v>
      </c>
      <c r="BS79" s="97" t="e">
        <f t="shared" si="159"/>
        <v>#REF!</v>
      </c>
      <c r="BT79" s="97" t="e">
        <f t="shared" si="159"/>
        <v>#REF!</v>
      </c>
      <c r="BU79" s="97" t="e">
        <f t="shared" si="159"/>
        <v>#REF!</v>
      </c>
      <c r="BV79" s="97" t="e">
        <f t="shared" si="159"/>
        <v>#REF!</v>
      </c>
      <c r="BW79" s="97"/>
      <c r="BX79" s="97"/>
      <c r="BY79" s="97"/>
      <c r="BZ79" s="97"/>
      <c r="CA79" s="105" t="str">
        <f t="shared" si="178"/>
        <v xml:space="preserve"> </v>
      </c>
      <c r="CB79" s="114"/>
      <c r="CC79" s="95">
        <f t="shared" si="191"/>
        <v>0</v>
      </c>
      <c r="CD79" s="124">
        <f t="shared" si="192"/>
        <v>0</v>
      </c>
      <c r="CE79" s="97" t="e">
        <f t="shared" si="160"/>
        <v>#N/A</v>
      </c>
      <c r="CF79" s="97" t="e">
        <f t="shared" si="161"/>
        <v>#N/A</v>
      </c>
      <c r="CG79" s="97" t="e">
        <f t="shared" si="162"/>
        <v>#N/A</v>
      </c>
      <c r="CH79" s="97" t="e">
        <f t="shared" si="163"/>
        <v>#N/A</v>
      </c>
      <c r="CI79" s="97" t="e">
        <f t="shared" si="164"/>
        <v>#N/A</v>
      </c>
      <c r="CJ79" s="97" t="e">
        <f t="shared" si="165"/>
        <v>#N/A</v>
      </c>
      <c r="CK79" s="97" t="e">
        <f t="shared" si="166"/>
        <v>#N/A</v>
      </c>
      <c r="CL79" s="97" t="e">
        <f t="shared" si="167"/>
        <v>#REF!</v>
      </c>
      <c r="CM79" s="97" t="e">
        <f t="shared" si="167"/>
        <v>#REF!</v>
      </c>
      <c r="CN79" s="97" t="e">
        <f t="shared" si="167"/>
        <v>#REF!</v>
      </c>
      <c r="CO79" s="97" t="e">
        <f t="shared" si="167"/>
        <v>#REF!</v>
      </c>
      <c r="CP79" s="97"/>
      <c r="CQ79" s="97"/>
      <c r="CR79" s="97"/>
      <c r="CS79" s="97"/>
      <c r="CT79" s="105" t="str">
        <f t="shared" si="179"/>
        <v xml:space="preserve"> </v>
      </c>
      <c r="CU79" s="118"/>
      <c r="CV79" s="95">
        <f t="shared" si="193"/>
        <v>0</v>
      </c>
      <c r="CW79" s="124">
        <f t="shared" si="194"/>
        <v>0</v>
      </c>
      <c r="CX79" s="97" t="e">
        <f t="shared" si="168"/>
        <v>#N/A</v>
      </c>
      <c r="CY79" s="97" t="e">
        <f t="shared" si="169"/>
        <v>#N/A</v>
      </c>
      <c r="CZ79" s="97" t="e">
        <f t="shared" si="170"/>
        <v>#N/A</v>
      </c>
      <c r="DA79" s="97" t="e">
        <f t="shared" si="171"/>
        <v>#N/A</v>
      </c>
      <c r="DB79" s="97" t="e">
        <f t="shared" si="172"/>
        <v>#N/A</v>
      </c>
      <c r="DC79" s="97" t="e">
        <f t="shared" si="173"/>
        <v>#N/A</v>
      </c>
      <c r="DD79" s="97" t="e">
        <f t="shared" si="174"/>
        <v>#N/A</v>
      </c>
      <c r="DE79" s="186"/>
      <c r="DF79" s="186"/>
      <c r="DG79" s="186"/>
      <c r="DH79" s="186"/>
      <c r="DI79" s="186"/>
      <c r="DM79" s="187" t="e">
        <f t="shared" ref="DM79:DM106" si="195">AVERAGE(CX79:DL79)</f>
        <v>#N/A</v>
      </c>
    </row>
    <row r="80" spans="1:118" ht="15.75" x14ac:dyDescent="0.25">
      <c r="A80" s="196">
        <f t="shared" si="182"/>
        <v>0</v>
      </c>
      <c r="B80" s="197">
        <f t="shared" si="183"/>
        <v>0</v>
      </c>
      <c r="C80" s="41" t="str">
        <f t="shared" si="186"/>
        <v xml:space="preserve"> </v>
      </c>
      <c r="D80" s="38" t="str">
        <f t="shared" si="187"/>
        <v xml:space="preserve"> </v>
      </c>
      <c r="E80" s="24" t="str">
        <f t="shared" si="188"/>
        <v xml:space="preserve"> </v>
      </c>
      <c r="F80" s="24" t="str">
        <f t="shared" si="189"/>
        <v xml:space="preserve"> </v>
      </c>
      <c r="G80" s="136" t="str">
        <f t="shared" si="190"/>
        <v xml:space="preserve"> </v>
      </c>
      <c r="I80" s="198"/>
      <c r="J80" s="199"/>
      <c r="K80" s="97" t="e">
        <f t="shared" si="128"/>
        <v>#N/A</v>
      </c>
      <c r="L80" s="97" t="e">
        <f t="shared" si="129"/>
        <v>#N/A</v>
      </c>
      <c r="M80" s="97" t="e">
        <f t="shared" si="130"/>
        <v>#N/A</v>
      </c>
      <c r="N80" s="97" t="e">
        <f t="shared" si="131"/>
        <v>#N/A</v>
      </c>
      <c r="O80" s="97" t="e">
        <f t="shared" si="132"/>
        <v>#N/A</v>
      </c>
      <c r="P80" s="97" t="e">
        <f t="shared" si="133"/>
        <v>#N/A</v>
      </c>
      <c r="Q80" s="97" t="e">
        <f t="shared" si="134"/>
        <v>#N/A</v>
      </c>
      <c r="R80" s="97" t="e">
        <f t="shared" si="135"/>
        <v>#REF!</v>
      </c>
      <c r="S80" s="97" t="e">
        <f t="shared" si="135"/>
        <v>#REF!</v>
      </c>
      <c r="T80" s="97" t="e">
        <f t="shared" si="135"/>
        <v>#REF!</v>
      </c>
      <c r="U80" s="97" t="e">
        <f t="shared" si="135"/>
        <v>#REF!</v>
      </c>
      <c r="V80" s="97"/>
      <c r="W80" s="97"/>
      <c r="X80" s="97"/>
      <c r="Y80" s="97"/>
      <c r="Z80" s="105" t="str">
        <f t="shared" si="180"/>
        <v xml:space="preserve"> </v>
      </c>
      <c r="AA80" s="114"/>
      <c r="AB80" s="97" t="e">
        <f t="shared" si="136"/>
        <v>#N/A</v>
      </c>
      <c r="AC80" s="97" t="e">
        <f t="shared" si="137"/>
        <v>#N/A</v>
      </c>
      <c r="AD80" s="97" t="e">
        <f t="shared" si="138"/>
        <v>#N/A</v>
      </c>
      <c r="AE80" s="97" t="e">
        <f t="shared" si="139"/>
        <v>#N/A</v>
      </c>
      <c r="AF80" s="97" t="e">
        <f t="shared" si="140"/>
        <v>#N/A</v>
      </c>
      <c r="AG80" s="97" t="e">
        <f t="shared" si="141"/>
        <v>#N/A</v>
      </c>
      <c r="AH80" s="97" t="e">
        <f t="shared" si="142"/>
        <v>#N/A</v>
      </c>
      <c r="AI80" s="97" t="e">
        <f t="shared" ref="AI80:AL93" si="196">VLOOKUP($I80,ngsaTEMP,18,FALSE)</f>
        <v>#REF!</v>
      </c>
      <c r="AJ80" s="97" t="e">
        <f t="shared" si="196"/>
        <v>#REF!</v>
      </c>
      <c r="AK80" s="97" t="e">
        <f t="shared" si="196"/>
        <v>#REF!</v>
      </c>
      <c r="AL80" s="97" t="e">
        <f t="shared" si="196"/>
        <v>#REF!</v>
      </c>
      <c r="AM80" s="97"/>
      <c r="AN80" s="97"/>
      <c r="AO80" s="97"/>
      <c r="AP80" s="97"/>
      <c r="AQ80" s="105" t="str">
        <f t="shared" si="181"/>
        <v xml:space="preserve"> </v>
      </c>
      <c r="AR80" s="114"/>
      <c r="AS80" s="95">
        <f t="shared" si="184"/>
        <v>0</v>
      </c>
      <c r="AT80" s="124">
        <f t="shared" si="185"/>
        <v>0</v>
      </c>
      <c r="AU80" s="97" t="e">
        <f t="shared" si="144"/>
        <v>#N/A</v>
      </c>
      <c r="AV80" s="97" t="e">
        <f t="shared" si="145"/>
        <v>#N/A</v>
      </c>
      <c r="AW80" s="97" t="e">
        <f t="shared" si="146"/>
        <v>#N/A</v>
      </c>
      <c r="AX80" s="97" t="e">
        <f t="shared" si="147"/>
        <v>#N/A</v>
      </c>
      <c r="AY80" s="97" t="e">
        <f t="shared" si="148"/>
        <v>#N/A</v>
      </c>
      <c r="AZ80" s="97" t="e">
        <f t="shared" si="149"/>
        <v>#N/A</v>
      </c>
      <c r="BA80" s="97" t="e">
        <f t="shared" si="150"/>
        <v>#N/A</v>
      </c>
      <c r="BB80" s="97" t="e">
        <f t="shared" ref="BB80:BE93" si="197">VLOOKUP($I80,ngsaTEMP,19,FALSE)</f>
        <v>#REF!</v>
      </c>
      <c r="BC80" s="97" t="e">
        <f t="shared" si="197"/>
        <v>#REF!</v>
      </c>
      <c r="BD80" s="97" t="e">
        <f t="shared" si="197"/>
        <v>#REF!</v>
      </c>
      <c r="BE80" s="97" t="e">
        <f t="shared" si="197"/>
        <v>#REF!</v>
      </c>
      <c r="BF80" s="97"/>
      <c r="BG80" s="97"/>
      <c r="BH80" s="97"/>
      <c r="BI80" s="97"/>
      <c r="BJ80" s="105" t="str">
        <f t="shared" si="177"/>
        <v xml:space="preserve"> </v>
      </c>
      <c r="BK80" s="114"/>
      <c r="BL80" s="97" t="e">
        <f t="shared" si="152"/>
        <v>#N/A</v>
      </c>
      <c r="BM80" s="97" t="e">
        <f t="shared" si="153"/>
        <v>#N/A</v>
      </c>
      <c r="BN80" s="97" t="e">
        <f t="shared" si="154"/>
        <v>#N/A</v>
      </c>
      <c r="BO80" s="97" t="e">
        <f t="shared" si="155"/>
        <v>#N/A</v>
      </c>
      <c r="BP80" s="97" t="e">
        <f t="shared" si="156"/>
        <v>#N/A</v>
      </c>
      <c r="BQ80" s="97" t="e">
        <f t="shared" si="157"/>
        <v>#N/A</v>
      </c>
      <c r="BR80" s="97" t="e">
        <f t="shared" si="158"/>
        <v>#N/A</v>
      </c>
      <c r="BS80" s="97" t="e">
        <f t="shared" ref="BS80:BV93" si="198">VLOOKUP($I80,ngsaTEMP,20,FALSE)</f>
        <v>#REF!</v>
      </c>
      <c r="BT80" s="97" t="e">
        <f t="shared" si="198"/>
        <v>#REF!</v>
      </c>
      <c r="BU80" s="97" t="e">
        <f t="shared" si="198"/>
        <v>#REF!</v>
      </c>
      <c r="BV80" s="97" t="e">
        <f t="shared" si="198"/>
        <v>#REF!</v>
      </c>
      <c r="BW80" s="97"/>
      <c r="BX80" s="97"/>
      <c r="BY80" s="97"/>
      <c r="BZ80" s="97"/>
      <c r="CA80" s="105" t="str">
        <f t="shared" si="178"/>
        <v xml:space="preserve"> </v>
      </c>
      <c r="CB80" s="114"/>
      <c r="CC80" s="95">
        <f t="shared" si="191"/>
        <v>0</v>
      </c>
      <c r="CD80" s="124">
        <f t="shared" si="192"/>
        <v>0</v>
      </c>
      <c r="CE80" s="97" t="e">
        <f t="shared" si="160"/>
        <v>#N/A</v>
      </c>
      <c r="CF80" s="97" t="e">
        <f t="shared" si="161"/>
        <v>#N/A</v>
      </c>
      <c r="CG80" s="97" t="e">
        <f t="shared" si="162"/>
        <v>#N/A</v>
      </c>
      <c r="CH80" s="97" t="e">
        <f t="shared" si="163"/>
        <v>#N/A</v>
      </c>
      <c r="CI80" s="97" t="e">
        <f t="shared" si="164"/>
        <v>#N/A</v>
      </c>
      <c r="CJ80" s="97" t="e">
        <f t="shared" si="165"/>
        <v>#N/A</v>
      </c>
      <c r="CK80" s="97" t="e">
        <f t="shared" si="166"/>
        <v>#N/A</v>
      </c>
      <c r="CL80" s="97" t="e">
        <f t="shared" ref="CL80:CO93" si="199">VLOOKUP($I80,ngsaTEMP,21,FALSE)</f>
        <v>#REF!</v>
      </c>
      <c r="CM80" s="97" t="e">
        <f t="shared" si="199"/>
        <v>#REF!</v>
      </c>
      <c r="CN80" s="97" t="e">
        <f t="shared" si="199"/>
        <v>#REF!</v>
      </c>
      <c r="CO80" s="97" t="e">
        <f t="shared" si="199"/>
        <v>#REF!</v>
      </c>
      <c r="CP80" s="97"/>
      <c r="CQ80" s="97"/>
      <c r="CR80" s="97"/>
      <c r="CS80" s="97"/>
      <c r="CT80" s="105" t="str">
        <f t="shared" si="179"/>
        <v xml:space="preserve"> </v>
      </c>
      <c r="CU80" s="118"/>
      <c r="CV80" s="95">
        <f t="shared" si="193"/>
        <v>0</v>
      </c>
      <c r="CW80" s="124">
        <f t="shared" si="194"/>
        <v>0</v>
      </c>
      <c r="CX80" s="97" t="e">
        <f t="shared" si="168"/>
        <v>#N/A</v>
      </c>
      <c r="CY80" s="97" t="e">
        <f t="shared" si="169"/>
        <v>#N/A</v>
      </c>
      <c r="CZ80" s="97" t="e">
        <f t="shared" si="170"/>
        <v>#N/A</v>
      </c>
      <c r="DA80" s="97" t="e">
        <f t="shared" si="171"/>
        <v>#N/A</v>
      </c>
      <c r="DB80" s="97" t="e">
        <f t="shared" si="172"/>
        <v>#N/A</v>
      </c>
      <c r="DC80" s="97" t="e">
        <f t="shared" si="173"/>
        <v>#N/A</v>
      </c>
      <c r="DD80" s="97" t="e">
        <f t="shared" si="174"/>
        <v>#N/A</v>
      </c>
      <c r="DE80" s="186"/>
      <c r="DF80" s="186"/>
      <c r="DG80" s="186"/>
      <c r="DH80" s="186"/>
      <c r="DI80" s="186"/>
      <c r="DM80" s="187"/>
    </row>
    <row r="81" spans="1:118" ht="15.75" x14ac:dyDescent="0.25">
      <c r="A81" s="196">
        <f t="shared" si="182"/>
        <v>0</v>
      </c>
      <c r="B81" s="197">
        <f t="shared" si="183"/>
        <v>0</v>
      </c>
      <c r="C81" s="41" t="str">
        <f t="shared" si="186"/>
        <v xml:space="preserve"> </v>
      </c>
      <c r="D81" s="38" t="str">
        <f t="shared" si="187"/>
        <v xml:space="preserve"> </v>
      </c>
      <c r="E81" s="24" t="str">
        <f t="shared" si="188"/>
        <v xml:space="preserve"> </v>
      </c>
      <c r="F81" s="24" t="str">
        <f t="shared" si="189"/>
        <v xml:space="preserve"> </v>
      </c>
      <c r="G81" s="136" t="str">
        <f t="shared" si="190"/>
        <v xml:space="preserve"> </v>
      </c>
      <c r="I81" s="198"/>
      <c r="J81" s="199"/>
      <c r="K81" s="97" t="e">
        <f t="shared" si="128"/>
        <v>#N/A</v>
      </c>
      <c r="L81" s="97" t="e">
        <f t="shared" si="129"/>
        <v>#N/A</v>
      </c>
      <c r="M81" s="97" t="e">
        <f t="shared" si="130"/>
        <v>#N/A</v>
      </c>
      <c r="N81" s="97" t="e">
        <f t="shared" si="131"/>
        <v>#N/A</v>
      </c>
      <c r="O81" s="97" t="e">
        <f t="shared" si="132"/>
        <v>#N/A</v>
      </c>
      <c r="P81" s="97" t="e">
        <f t="shared" si="133"/>
        <v>#N/A</v>
      </c>
      <c r="Q81" s="97" t="e">
        <f t="shared" si="134"/>
        <v>#N/A</v>
      </c>
      <c r="R81" s="97" t="e">
        <f t="shared" si="135"/>
        <v>#REF!</v>
      </c>
      <c r="S81" s="97" t="e">
        <f t="shared" si="135"/>
        <v>#REF!</v>
      </c>
      <c r="T81" s="97" t="e">
        <f t="shared" si="135"/>
        <v>#REF!</v>
      </c>
      <c r="U81" s="97" t="e">
        <f t="shared" si="135"/>
        <v>#REF!</v>
      </c>
      <c r="V81" s="97"/>
      <c r="W81" s="97"/>
      <c r="X81" s="97"/>
      <c r="Y81" s="97"/>
      <c r="Z81" s="105" t="str">
        <f t="shared" si="180"/>
        <v xml:space="preserve"> </v>
      </c>
      <c r="AA81" s="114"/>
      <c r="AB81" s="97" t="e">
        <f t="shared" si="136"/>
        <v>#N/A</v>
      </c>
      <c r="AC81" s="97" t="e">
        <f t="shared" si="137"/>
        <v>#N/A</v>
      </c>
      <c r="AD81" s="97" t="e">
        <f t="shared" si="138"/>
        <v>#N/A</v>
      </c>
      <c r="AE81" s="97" t="e">
        <f t="shared" si="139"/>
        <v>#N/A</v>
      </c>
      <c r="AF81" s="97" t="e">
        <f t="shared" si="140"/>
        <v>#N/A</v>
      </c>
      <c r="AG81" s="97" t="e">
        <f t="shared" si="141"/>
        <v>#N/A</v>
      </c>
      <c r="AH81" s="97" t="e">
        <f t="shared" si="142"/>
        <v>#N/A</v>
      </c>
      <c r="AI81" s="97" t="e">
        <f t="shared" si="196"/>
        <v>#REF!</v>
      </c>
      <c r="AJ81" s="97" t="e">
        <f t="shared" si="196"/>
        <v>#REF!</v>
      </c>
      <c r="AK81" s="97" t="e">
        <f t="shared" si="196"/>
        <v>#REF!</v>
      </c>
      <c r="AL81" s="97" t="e">
        <f t="shared" si="196"/>
        <v>#REF!</v>
      </c>
      <c r="AM81" s="97"/>
      <c r="AN81" s="97"/>
      <c r="AO81" s="97"/>
      <c r="AP81" s="97"/>
      <c r="AQ81" s="105" t="str">
        <f t="shared" si="181"/>
        <v xml:space="preserve"> </v>
      </c>
      <c r="AR81" s="114"/>
      <c r="AS81" s="95">
        <f t="shared" si="184"/>
        <v>0</v>
      </c>
      <c r="AT81" s="124">
        <f t="shared" si="185"/>
        <v>0</v>
      </c>
      <c r="AU81" s="97" t="e">
        <f t="shared" si="144"/>
        <v>#N/A</v>
      </c>
      <c r="AV81" s="97" t="e">
        <f t="shared" si="145"/>
        <v>#N/A</v>
      </c>
      <c r="AW81" s="97" t="e">
        <f t="shared" si="146"/>
        <v>#N/A</v>
      </c>
      <c r="AX81" s="97" t="e">
        <f t="shared" si="147"/>
        <v>#N/A</v>
      </c>
      <c r="AY81" s="97" t="e">
        <f t="shared" si="148"/>
        <v>#N/A</v>
      </c>
      <c r="AZ81" s="97" t="e">
        <f t="shared" si="149"/>
        <v>#N/A</v>
      </c>
      <c r="BA81" s="97" t="e">
        <f t="shared" si="150"/>
        <v>#N/A</v>
      </c>
      <c r="BB81" s="97" t="e">
        <f t="shared" si="197"/>
        <v>#REF!</v>
      </c>
      <c r="BC81" s="97" t="e">
        <f t="shared" si="197"/>
        <v>#REF!</v>
      </c>
      <c r="BD81" s="97" t="e">
        <f t="shared" si="197"/>
        <v>#REF!</v>
      </c>
      <c r="BE81" s="97" t="e">
        <f t="shared" si="197"/>
        <v>#REF!</v>
      </c>
      <c r="BF81" s="97"/>
      <c r="BG81" s="97"/>
      <c r="BH81" s="97"/>
      <c r="BI81" s="97"/>
      <c r="BJ81" s="105" t="str">
        <f t="shared" si="177"/>
        <v xml:space="preserve"> </v>
      </c>
      <c r="BK81" s="114"/>
      <c r="BL81" s="97" t="e">
        <f t="shared" si="152"/>
        <v>#N/A</v>
      </c>
      <c r="BM81" s="97" t="e">
        <f t="shared" si="153"/>
        <v>#N/A</v>
      </c>
      <c r="BN81" s="97" t="e">
        <f t="shared" si="154"/>
        <v>#N/A</v>
      </c>
      <c r="BO81" s="97" t="e">
        <f t="shared" si="155"/>
        <v>#N/A</v>
      </c>
      <c r="BP81" s="97" t="e">
        <f t="shared" si="156"/>
        <v>#N/A</v>
      </c>
      <c r="BQ81" s="97" t="e">
        <f t="shared" si="157"/>
        <v>#N/A</v>
      </c>
      <c r="BR81" s="97" t="e">
        <f t="shared" si="158"/>
        <v>#N/A</v>
      </c>
      <c r="BS81" s="97" t="e">
        <f t="shared" si="198"/>
        <v>#REF!</v>
      </c>
      <c r="BT81" s="97" t="e">
        <f t="shared" si="198"/>
        <v>#REF!</v>
      </c>
      <c r="BU81" s="97" t="e">
        <f t="shared" si="198"/>
        <v>#REF!</v>
      </c>
      <c r="BV81" s="97" t="e">
        <f t="shared" si="198"/>
        <v>#REF!</v>
      </c>
      <c r="BW81" s="97"/>
      <c r="BX81" s="97"/>
      <c r="BY81" s="97"/>
      <c r="BZ81" s="97"/>
      <c r="CA81" s="105" t="str">
        <f t="shared" si="178"/>
        <v xml:space="preserve"> </v>
      </c>
      <c r="CB81" s="114"/>
      <c r="CC81" s="95">
        <f t="shared" si="191"/>
        <v>0</v>
      </c>
      <c r="CD81" s="124">
        <f t="shared" si="192"/>
        <v>0</v>
      </c>
      <c r="CE81" s="97" t="e">
        <f t="shared" si="160"/>
        <v>#N/A</v>
      </c>
      <c r="CF81" s="97" t="e">
        <f t="shared" si="161"/>
        <v>#N/A</v>
      </c>
      <c r="CG81" s="97" t="e">
        <f t="shared" si="162"/>
        <v>#N/A</v>
      </c>
      <c r="CH81" s="97" t="e">
        <f t="shared" si="163"/>
        <v>#N/A</v>
      </c>
      <c r="CI81" s="97" t="e">
        <f t="shared" si="164"/>
        <v>#N/A</v>
      </c>
      <c r="CJ81" s="97" t="e">
        <f t="shared" si="165"/>
        <v>#N/A</v>
      </c>
      <c r="CK81" s="97" t="e">
        <f t="shared" si="166"/>
        <v>#N/A</v>
      </c>
      <c r="CL81" s="97" t="e">
        <f t="shared" si="199"/>
        <v>#REF!</v>
      </c>
      <c r="CM81" s="97" t="e">
        <f t="shared" si="199"/>
        <v>#REF!</v>
      </c>
      <c r="CN81" s="97" t="e">
        <f t="shared" si="199"/>
        <v>#REF!</v>
      </c>
      <c r="CO81" s="97" t="e">
        <f t="shared" si="199"/>
        <v>#REF!</v>
      </c>
      <c r="CP81" s="97"/>
      <c r="CQ81" s="97"/>
      <c r="CR81" s="97"/>
      <c r="CS81" s="97"/>
      <c r="CT81" s="105" t="str">
        <f t="shared" si="179"/>
        <v xml:space="preserve"> </v>
      </c>
      <c r="CU81" s="118"/>
      <c r="CV81" s="95">
        <f t="shared" si="193"/>
        <v>0</v>
      </c>
      <c r="CW81" s="124">
        <f t="shared" si="194"/>
        <v>0</v>
      </c>
      <c r="CX81" s="97" t="e">
        <f t="shared" si="168"/>
        <v>#N/A</v>
      </c>
      <c r="CY81" s="97" t="e">
        <f t="shared" si="169"/>
        <v>#N/A</v>
      </c>
      <c r="CZ81" s="97" t="e">
        <f t="shared" si="170"/>
        <v>#N/A</v>
      </c>
      <c r="DA81" s="97" t="e">
        <f t="shared" si="171"/>
        <v>#N/A</v>
      </c>
      <c r="DB81" s="97" t="e">
        <f t="shared" si="172"/>
        <v>#N/A</v>
      </c>
      <c r="DC81" s="97" t="e">
        <f t="shared" si="173"/>
        <v>#N/A</v>
      </c>
      <c r="DD81" s="97" t="e">
        <f t="shared" si="174"/>
        <v>#N/A</v>
      </c>
      <c r="DE81" s="186"/>
      <c r="DF81" s="186"/>
      <c r="DG81" s="186"/>
      <c r="DH81" s="186"/>
      <c r="DI81" s="186"/>
      <c r="DM81" s="187"/>
    </row>
    <row r="82" spans="1:118" ht="15.75" x14ac:dyDescent="0.25">
      <c r="A82" s="196">
        <f t="shared" si="182"/>
        <v>0</v>
      </c>
      <c r="B82" s="197">
        <f t="shared" si="183"/>
        <v>0</v>
      </c>
      <c r="C82" s="41" t="str">
        <f t="shared" si="186"/>
        <v xml:space="preserve"> </v>
      </c>
      <c r="D82" s="38" t="str">
        <f t="shared" si="187"/>
        <v xml:space="preserve"> </v>
      </c>
      <c r="E82" s="24" t="str">
        <f t="shared" si="188"/>
        <v xml:space="preserve"> </v>
      </c>
      <c r="F82" s="24" t="str">
        <f t="shared" si="189"/>
        <v xml:space="preserve"> </v>
      </c>
      <c r="G82" s="136" t="str">
        <f t="shared" si="190"/>
        <v xml:space="preserve"> </v>
      </c>
      <c r="I82" s="198"/>
      <c r="J82" s="199"/>
      <c r="K82" s="97" t="e">
        <f t="shared" si="128"/>
        <v>#N/A</v>
      </c>
      <c r="L82" s="97" t="e">
        <f t="shared" si="129"/>
        <v>#N/A</v>
      </c>
      <c r="M82" s="97" t="e">
        <f t="shared" si="130"/>
        <v>#N/A</v>
      </c>
      <c r="N82" s="97" t="e">
        <f t="shared" si="131"/>
        <v>#N/A</v>
      </c>
      <c r="O82" s="97" t="e">
        <f t="shared" si="132"/>
        <v>#N/A</v>
      </c>
      <c r="P82" s="97" t="e">
        <f t="shared" si="133"/>
        <v>#N/A</v>
      </c>
      <c r="Q82" s="97" t="e">
        <f t="shared" si="134"/>
        <v>#N/A</v>
      </c>
      <c r="R82" s="97" t="e">
        <f t="shared" si="135"/>
        <v>#REF!</v>
      </c>
      <c r="S82" s="97" t="e">
        <f t="shared" si="135"/>
        <v>#REF!</v>
      </c>
      <c r="T82" s="97" t="e">
        <f t="shared" si="135"/>
        <v>#REF!</v>
      </c>
      <c r="U82" s="97" t="e">
        <f t="shared" si="135"/>
        <v>#REF!</v>
      </c>
      <c r="V82" s="97"/>
      <c r="W82" s="97"/>
      <c r="X82" s="97"/>
      <c r="Y82" s="97"/>
      <c r="Z82" s="105" t="str">
        <f t="shared" ref="Z82:Z92" si="200">IF(COUNTIF(K82:Y82,"x")=0," ",COUNTIF(K82:Y82,"x"))</f>
        <v xml:space="preserve"> </v>
      </c>
      <c r="AA82" s="114"/>
      <c r="AB82" s="97" t="e">
        <f t="shared" si="136"/>
        <v>#N/A</v>
      </c>
      <c r="AC82" s="97" t="e">
        <f t="shared" si="137"/>
        <v>#N/A</v>
      </c>
      <c r="AD82" s="97" t="e">
        <f t="shared" si="138"/>
        <v>#N/A</v>
      </c>
      <c r="AE82" s="97" t="e">
        <f t="shared" si="139"/>
        <v>#N/A</v>
      </c>
      <c r="AF82" s="97" t="e">
        <f t="shared" si="140"/>
        <v>#N/A</v>
      </c>
      <c r="AG82" s="97" t="e">
        <f t="shared" si="141"/>
        <v>#N/A</v>
      </c>
      <c r="AH82" s="97" t="e">
        <f t="shared" si="142"/>
        <v>#N/A</v>
      </c>
      <c r="AI82" s="97" t="e">
        <f t="shared" si="196"/>
        <v>#REF!</v>
      </c>
      <c r="AJ82" s="97" t="e">
        <f t="shared" si="196"/>
        <v>#REF!</v>
      </c>
      <c r="AK82" s="97" t="e">
        <f t="shared" si="196"/>
        <v>#REF!</v>
      </c>
      <c r="AL82" s="97" t="e">
        <f t="shared" si="196"/>
        <v>#REF!</v>
      </c>
      <c r="AM82" s="97"/>
      <c r="AN82" s="97"/>
      <c r="AO82" s="97"/>
      <c r="AP82" s="97"/>
      <c r="AQ82" s="105" t="str">
        <f t="shared" ref="AQ82:AQ107" si="201">IF(COUNTIF(AB82:AP82,"x")=0," ",COUNTIF(AB82:AP82,"x"))</f>
        <v xml:space="preserve"> </v>
      </c>
      <c r="AR82" s="114"/>
      <c r="AS82" s="95">
        <f t="shared" si="184"/>
        <v>0</v>
      </c>
      <c r="AT82" s="124">
        <f t="shared" si="185"/>
        <v>0</v>
      </c>
      <c r="AU82" s="97" t="e">
        <f t="shared" si="144"/>
        <v>#N/A</v>
      </c>
      <c r="AV82" s="97" t="e">
        <f t="shared" si="145"/>
        <v>#N/A</v>
      </c>
      <c r="AW82" s="97" t="e">
        <f t="shared" si="146"/>
        <v>#N/A</v>
      </c>
      <c r="AX82" s="97" t="e">
        <f t="shared" si="147"/>
        <v>#N/A</v>
      </c>
      <c r="AY82" s="97" t="e">
        <f t="shared" si="148"/>
        <v>#N/A</v>
      </c>
      <c r="AZ82" s="97" t="e">
        <f t="shared" si="149"/>
        <v>#N/A</v>
      </c>
      <c r="BA82" s="97" t="e">
        <f t="shared" si="150"/>
        <v>#N/A</v>
      </c>
      <c r="BB82" s="97" t="e">
        <f t="shared" si="197"/>
        <v>#REF!</v>
      </c>
      <c r="BC82" s="97" t="e">
        <f t="shared" si="197"/>
        <v>#REF!</v>
      </c>
      <c r="BD82" s="97" t="e">
        <f t="shared" si="197"/>
        <v>#REF!</v>
      </c>
      <c r="BE82" s="97" t="e">
        <f t="shared" si="197"/>
        <v>#REF!</v>
      </c>
      <c r="BF82" s="97"/>
      <c r="BG82" s="97"/>
      <c r="BH82" s="97"/>
      <c r="BI82" s="97"/>
      <c r="BJ82" s="105" t="str">
        <f t="shared" si="177"/>
        <v xml:space="preserve"> </v>
      </c>
      <c r="BK82" s="114"/>
      <c r="BL82" s="97" t="e">
        <f t="shared" si="152"/>
        <v>#N/A</v>
      </c>
      <c r="BM82" s="97" t="e">
        <f t="shared" si="153"/>
        <v>#N/A</v>
      </c>
      <c r="BN82" s="97" t="e">
        <f t="shared" si="154"/>
        <v>#N/A</v>
      </c>
      <c r="BO82" s="97" t="e">
        <f t="shared" si="155"/>
        <v>#N/A</v>
      </c>
      <c r="BP82" s="97" t="e">
        <f t="shared" si="156"/>
        <v>#N/A</v>
      </c>
      <c r="BQ82" s="97" t="e">
        <f t="shared" si="157"/>
        <v>#N/A</v>
      </c>
      <c r="BR82" s="97" t="e">
        <f t="shared" si="158"/>
        <v>#N/A</v>
      </c>
      <c r="BS82" s="97" t="e">
        <f t="shared" si="198"/>
        <v>#REF!</v>
      </c>
      <c r="BT82" s="97" t="e">
        <f t="shared" si="198"/>
        <v>#REF!</v>
      </c>
      <c r="BU82" s="97" t="e">
        <f t="shared" si="198"/>
        <v>#REF!</v>
      </c>
      <c r="BV82" s="97" t="e">
        <f t="shared" si="198"/>
        <v>#REF!</v>
      </c>
      <c r="BW82" s="97"/>
      <c r="BX82" s="97"/>
      <c r="BY82" s="97"/>
      <c r="BZ82" s="97"/>
      <c r="CA82" s="105" t="str">
        <f t="shared" si="178"/>
        <v xml:space="preserve"> </v>
      </c>
      <c r="CB82" s="114"/>
      <c r="CC82" s="95">
        <f t="shared" si="191"/>
        <v>0</v>
      </c>
      <c r="CD82" s="124">
        <f t="shared" si="192"/>
        <v>0</v>
      </c>
      <c r="CE82" s="97" t="e">
        <f t="shared" si="160"/>
        <v>#N/A</v>
      </c>
      <c r="CF82" s="97" t="e">
        <f t="shared" si="161"/>
        <v>#N/A</v>
      </c>
      <c r="CG82" s="97" t="e">
        <f t="shared" si="162"/>
        <v>#N/A</v>
      </c>
      <c r="CH82" s="97" t="e">
        <f t="shared" si="163"/>
        <v>#N/A</v>
      </c>
      <c r="CI82" s="97" t="e">
        <f t="shared" si="164"/>
        <v>#N/A</v>
      </c>
      <c r="CJ82" s="97" t="e">
        <f t="shared" si="165"/>
        <v>#N/A</v>
      </c>
      <c r="CK82" s="97" t="e">
        <f t="shared" si="166"/>
        <v>#N/A</v>
      </c>
      <c r="CL82" s="97" t="e">
        <f t="shared" si="199"/>
        <v>#REF!</v>
      </c>
      <c r="CM82" s="97" t="e">
        <f t="shared" si="199"/>
        <v>#REF!</v>
      </c>
      <c r="CN82" s="97" t="e">
        <f t="shared" si="199"/>
        <v>#REF!</v>
      </c>
      <c r="CO82" s="97" t="e">
        <f t="shared" si="199"/>
        <v>#REF!</v>
      </c>
      <c r="CP82" s="97"/>
      <c r="CQ82" s="97"/>
      <c r="CR82" s="97"/>
      <c r="CS82" s="97"/>
      <c r="CT82" s="105" t="str">
        <f t="shared" si="179"/>
        <v xml:space="preserve"> </v>
      </c>
      <c r="CU82" s="118"/>
      <c r="CV82" s="95">
        <f t="shared" si="193"/>
        <v>0</v>
      </c>
      <c r="CW82" s="124">
        <f t="shared" si="194"/>
        <v>0</v>
      </c>
      <c r="CX82" s="97" t="e">
        <f t="shared" si="168"/>
        <v>#N/A</v>
      </c>
      <c r="CY82" s="97" t="e">
        <f t="shared" si="169"/>
        <v>#N/A</v>
      </c>
      <c r="CZ82" s="97" t="e">
        <f t="shared" si="170"/>
        <v>#N/A</v>
      </c>
      <c r="DA82" s="97" t="e">
        <f t="shared" si="171"/>
        <v>#N/A</v>
      </c>
      <c r="DB82" s="97" t="e">
        <f t="shared" si="172"/>
        <v>#N/A</v>
      </c>
      <c r="DC82" s="97" t="e">
        <f t="shared" si="173"/>
        <v>#N/A</v>
      </c>
      <c r="DD82" s="97" t="e">
        <f t="shared" si="174"/>
        <v>#N/A</v>
      </c>
      <c r="DE82" s="186"/>
      <c r="DF82" s="186"/>
      <c r="DG82" s="186"/>
      <c r="DH82" s="186"/>
      <c r="DI82" s="186"/>
      <c r="DM82" s="187" t="e">
        <f t="shared" si="195"/>
        <v>#N/A</v>
      </c>
    </row>
    <row r="83" spans="1:118" ht="15.75" x14ac:dyDescent="0.25">
      <c r="A83" s="196">
        <f t="shared" si="182"/>
        <v>0</v>
      </c>
      <c r="B83" s="197">
        <f t="shared" si="183"/>
        <v>0</v>
      </c>
      <c r="C83" s="41" t="str">
        <f t="shared" si="186"/>
        <v xml:space="preserve"> </v>
      </c>
      <c r="D83" s="38" t="str">
        <f t="shared" si="187"/>
        <v xml:space="preserve"> </v>
      </c>
      <c r="E83" s="24" t="str">
        <f t="shared" si="188"/>
        <v xml:space="preserve"> </v>
      </c>
      <c r="F83" s="24" t="str">
        <f t="shared" si="189"/>
        <v xml:space="preserve"> </v>
      </c>
      <c r="G83" s="136" t="str">
        <f t="shared" si="190"/>
        <v xml:space="preserve"> </v>
      </c>
      <c r="I83" s="198"/>
      <c r="J83" s="199"/>
      <c r="K83" s="97" t="e">
        <f t="shared" si="128"/>
        <v>#N/A</v>
      </c>
      <c r="L83" s="97" t="e">
        <f t="shared" si="129"/>
        <v>#N/A</v>
      </c>
      <c r="M83" s="97" t="e">
        <f t="shared" si="130"/>
        <v>#N/A</v>
      </c>
      <c r="N83" s="97" t="e">
        <f t="shared" si="131"/>
        <v>#N/A</v>
      </c>
      <c r="O83" s="97" t="e">
        <f t="shared" si="132"/>
        <v>#N/A</v>
      </c>
      <c r="P83" s="97" t="e">
        <f t="shared" si="133"/>
        <v>#N/A</v>
      </c>
      <c r="Q83" s="97" t="e">
        <f t="shared" si="134"/>
        <v>#N/A</v>
      </c>
      <c r="R83" s="97" t="e">
        <f t="shared" si="135"/>
        <v>#REF!</v>
      </c>
      <c r="S83" s="97" t="e">
        <f t="shared" si="135"/>
        <v>#REF!</v>
      </c>
      <c r="T83" s="97" t="e">
        <f t="shared" si="135"/>
        <v>#REF!</v>
      </c>
      <c r="U83" s="97" t="e">
        <f t="shared" si="135"/>
        <v>#REF!</v>
      </c>
      <c r="V83" s="97"/>
      <c r="W83" s="97"/>
      <c r="X83" s="97"/>
      <c r="Y83" s="97"/>
      <c r="Z83" s="105" t="str">
        <f t="shared" si="200"/>
        <v xml:space="preserve"> </v>
      </c>
      <c r="AA83" s="114"/>
      <c r="AB83" s="97" t="e">
        <f t="shared" si="136"/>
        <v>#N/A</v>
      </c>
      <c r="AC83" s="97" t="e">
        <f t="shared" si="137"/>
        <v>#N/A</v>
      </c>
      <c r="AD83" s="97" t="e">
        <f t="shared" si="138"/>
        <v>#N/A</v>
      </c>
      <c r="AE83" s="97" t="e">
        <f t="shared" si="139"/>
        <v>#N/A</v>
      </c>
      <c r="AF83" s="97" t="e">
        <f t="shared" si="140"/>
        <v>#N/A</v>
      </c>
      <c r="AG83" s="97" t="e">
        <f t="shared" si="141"/>
        <v>#N/A</v>
      </c>
      <c r="AH83" s="97" t="e">
        <f t="shared" si="142"/>
        <v>#N/A</v>
      </c>
      <c r="AI83" s="97" t="e">
        <f t="shared" si="196"/>
        <v>#REF!</v>
      </c>
      <c r="AJ83" s="97" t="e">
        <f t="shared" si="196"/>
        <v>#REF!</v>
      </c>
      <c r="AK83" s="97" t="e">
        <f t="shared" si="196"/>
        <v>#REF!</v>
      </c>
      <c r="AL83" s="97" t="e">
        <f t="shared" si="196"/>
        <v>#REF!</v>
      </c>
      <c r="AM83" s="97"/>
      <c r="AN83" s="97"/>
      <c r="AO83" s="97"/>
      <c r="AP83" s="97"/>
      <c r="AQ83" s="105" t="str">
        <f t="shared" si="201"/>
        <v xml:space="preserve"> </v>
      </c>
      <c r="AR83" s="114"/>
      <c r="AS83" s="95">
        <f t="shared" si="184"/>
        <v>0</v>
      </c>
      <c r="AT83" s="124">
        <f t="shared" si="185"/>
        <v>0</v>
      </c>
      <c r="AU83" s="97" t="e">
        <f t="shared" si="144"/>
        <v>#N/A</v>
      </c>
      <c r="AV83" s="97" t="e">
        <f t="shared" si="145"/>
        <v>#N/A</v>
      </c>
      <c r="AW83" s="97" t="e">
        <f t="shared" si="146"/>
        <v>#N/A</v>
      </c>
      <c r="AX83" s="97" t="e">
        <f t="shared" si="147"/>
        <v>#N/A</v>
      </c>
      <c r="AY83" s="97" t="e">
        <f t="shared" si="148"/>
        <v>#N/A</v>
      </c>
      <c r="AZ83" s="97" t="e">
        <f t="shared" si="149"/>
        <v>#N/A</v>
      </c>
      <c r="BA83" s="97" t="e">
        <f t="shared" si="150"/>
        <v>#N/A</v>
      </c>
      <c r="BB83" s="97" t="e">
        <f t="shared" si="197"/>
        <v>#REF!</v>
      </c>
      <c r="BC83" s="97" t="e">
        <f t="shared" si="197"/>
        <v>#REF!</v>
      </c>
      <c r="BD83" s="97" t="e">
        <f t="shared" si="197"/>
        <v>#REF!</v>
      </c>
      <c r="BE83" s="97" t="e">
        <f t="shared" si="197"/>
        <v>#REF!</v>
      </c>
      <c r="BF83" s="97"/>
      <c r="BG83" s="97"/>
      <c r="BH83" s="97"/>
      <c r="BI83" s="97"/>
      <c r="BJ83" s="105" t="str">
        <f t="shared" si="177"/>
        <v xml:space="preserve"> </v>
      </c>
      <c r="BK83" s="114"/>
      <c r="BL83" s="97" t="e">
        <f t="shared" si="152"/>
        <v>#N/A</v>
      </c>
      <c r="BM83" s="97" t="e">
        <f t="shared" si="153"/>
        <v>#N/A</v>
      </c>
      <c r="BN83" s="97" t="e">
        <f t="shared" si="154"/>
        <v>#N/A</v>
      </c>
      <c r="BO83" s="97" t="e">
        <f t="shared" si="155"/>
        <v>#N/A</v>
      </c>
      <c r="BP83" s="97" t="e">
        <f t="shared" si="156"/>
        <v>#N/A</v>
      </c>
      <c r="BQ83" s="97" t="e">
        <f t="shared" si="157"/>
        <v>#N/A</v>
      </c>
      <c r="BR83" s="97" t="e">
        <f t="shared" si="158"/>
        <v>#N/A</v>
      </c>
      <c r="BS83" s="97" t="e">
        <f t="shared" si="198"/>
        <v>#REF!</v>
      </c>
      <c r="BT83" s="97" t="e">
        <f t="shared" si="198"/>
        <v>#REF!</v>
      </c>
      <c r="BU83" s="97" t="e">
        <f t="shared" si="198"/>
        <v>#REF!</v>
      </c>
      <c r="BV83" s="97" t="e">
        <f t="shared" si="198"/>
        <v>#REF!</v>
      </c>
      <c r="BW83" s="97"/>
      <c r="BX83" s="97"/>
      <c r="BY83" s="97"/>
      <c r="BZ83" s="97"/>
      <c r="CA83" s="105" t="str">
        <f t="shared" si="178"/>
        <v xml:space="preserve"> </v>
      </c>
      <c r="CB83" s="114"/>
      <c r="CC83" s="95">
        <f t="shared" si="191"/>
        <v>0</v>
      </c>
      <c r="CD83" s="124">
        <f t="shared" si="192"/>
        <v>0</v>
      </c>
      <c r="CE83" s="97" t="e">
        <f t="shared" si="160"/>
        <v>#N/A</v>
      </c>
      <c r="CF83" s="97" t="e">
        <f t="shared" si="161"/>
        <v>#N/A</v>
      </c>
      <c r="CG83" s="97" t="e">
        <f t="shared" si="162"/>
        <v>#N/A</v>
      </c>
      <c r="CH83" s="97" t="e">
        <f t="shared" si="163"/>
        <v>#N/A</v>
      </c>
      <c r="CI83" s="97" t="e">
        <f t="shared" si="164"/>
        <v>#N/A</v>
      </c>
      <c r="CJ83" s="97" t="e">
        <f t="shared" si="165"/>
        <v>#N/A</v>
      </c>
      <c r="CK83" s="97" t="e">
        <f t="shared" si="166"/>
        <v>#N/A</v>
      </c>
      <c r="CL83" s="97" t="e">
        <f t="shared" si="199"/>
        <v>#REF!</v>
      </c>
      <c r="CM83" s="97" t="e">
        <f t="shared" si="199"/>
        <v>#REF!</v>
      </c>
      <c r="CN83" s="97" t="e">
        <f t="shared" si="199"/>
        <v>#REF!</v>
      </c>
      <c r="CO83" s="97" t="e">
        <f t="shared" si="199"/>
        <v>#REF!</v>
      </c>
      <c r="CP83" s="97"/>
      <c r="CQ83" s="97"/>
      <c r="CR83" s="97"/>
      <c r="CS83" s="97"/>
      <c r="CT83" s="105" t="str">
        <f t="shared" si="179"/>
        <v xml:space="preserve"> </v>
      </c>
      <c r="CU83" s="118"/>
      <c r="CV83" s="95">
        <f t="shared" si="193"/>
        <v>0</v>
      </c>
      <c r="CW83" s="124">
        <f t="shared" si="194"/>
        <v>0</v>
      </c>
      <c r="CX83" s="97" t="e">
        <f t="shared" si="168"/>
        <v>#N/A</v>
      </c>
      <c r="CY83" s="97" t="e">
        <f t="shared" si="169"/>
        <v>#N/A</v>
      </c>
      <c r="CZ83" s="97" t="e">
        <f t="shared" si="170"/>
        <v>#N/A</v>
      </c>
      <c r="DA83" s="97" t="e">
        <f t="shared" si="171"/>
        <v>#N/A</v>
      </c>
      <c r="DB83" s="97" t="e">
        <f t="shared" si="172"/>
        <v>#N/A</v>
      </c>
      <c r="DC83" s="97" t="e">
        <f t="shared" si="173"/>
        <v>#N/A</v>
      </c>
      <c r="DD83" s="97" t="e">
        <f t="shared" si="174"/>
        <v>#N/A</v>
      </c>
      <c r="DE83" s="186"/>
      <c r="DF83" s="186"/>
      <c r="DG83" s="186"/>
      <c r="DH83" s="186"/>
      <c r="DI83" s="186"/>
      <c r="DM83" s="187" t="e">
        <f t="shared" si="195"/>
        <v>#N/A</v>
      </c>
    </row>
    <row r="84" spans="1:118" ht="15.75" x14ac:dyDescent="0.25">
      <c r="A84" s="196">
        <f t="shared" si="182"/>
        <v>0</v>
      </c>
      <c r="B84" s="197">
        <f t="shared" si="183"/>
        <v>0</v>
      </c>
      <c r="C84" s="41" t="str">
        <f t="shared" si="186"/>
        <v xml:space="preserve"> </v>
      </c>
      <c r="D84" s="38" t="str">
        <f t="shared" si="187"/>
        <v xml:space="preserve"> </v>
      </c>
      <c r="E84" s="24" t="str">
        <f t="shared" si="188"/>
        <v xml:space="preserve"> </v>
      </c>
      <c r="F84" s="24" t="str">
        <f t="shared" si="189"/>
        <v xml:space="preserve"> </v>
      </c>
      <c r="G84" s="136" t="str">
        <f t="shared" si="190"/>
        <v xml:space="preserve"> </v>
      </c>
      <c r="I84" s="198"/>
      <c r="J84" s="199"/>
      <c r="K84" s="97" t="e">
        <f t="shared" si="128"/>
        <v>#N/A</v>
      </c>
      <c r="L84" s="97" t="e">
        <f t="shared" si="129"/>
        <v>#N/A</v>
      </c>
      <c r="M84" s="97" t="e">
        <f t="shared" si="130"/>
        <v>#N/A</v>
      </c>
      <c r="N84" s="97" t="e">
        <f t="shared" si="131"/>
        <v>#N/A</v>
      </c>
      <c r="O84" s="97" t="e">
        <f t="shared" si="132"/>
        <v>#N/A</v>
      </c>
      <c r="P84" s="97" t="e">
        <f t="shared" si="133"/>
        <v>#N/A</v>
      </c>
      <c r="Q84" s="97" t="e">
        <f t="shared" si="134"/>
        <v>#N/A</v>
      </c>
      <c r="R84" s="97" t="e">
        <f t="shared" si="135"/>
        <v>#REF!</v>
      </c>
      <c r="S84" s="97" t="e">
        <f t="shared" si="135"/>
        <v>#REF!</v>
      </c>
      <c r="T84" s="97" t="e">
        <f t="shared" si="135"/>
        <v>#REF!</v>
      </c>
      <c r="U84" s="97" t="e">
        <f t="shared" si="135"/>
        <v>#REF!</v>
      </c>
      <c r="V84" s="97"/>
      <c r="W84" s="97"/>
      <c r="X84" s="97"/>
      <c r="Y84" s="97"/>
      <c r="Z84" s="105" t="str">
        <f t="shared" si="200"/>
        <v xml:space="preserve"> </v>
      </c>
      <c r="AA84" s="114"/>
      <c r="AB84" s="97" t="e">
        <f t="shared" si="136"/>
        <v>#N/A</v>
      </c>
      <c r="AC84" s="97" t="e">
        <f t="shared" si="137"/>
        <v>#N/A</v>
      </c>
      <c r="AD84" s="97" t="e">
        <f t="shared" si="138"/>
        <v>#N/A</v>
      </c>
      <c r="AE84" s="97" t="e">
        <f t="shared" si="139"/>
        <v>#N/A</v>
      </c>
      <c r="AF84" s="97" t="e">
        <f t="shared" si="140"/>
        <v>#N/A</v>
      </c>
      <c r="AG84" s="97" t="e">
        <f t="shared" si="141"/>
        <v>#N/A</v>
      </c>
      <c r="AH84" s="97" t="e">
        <f t="shared" si="142"/>
        <v>#N/A</v>
      </c>
      <c r="AI84" s="97" t="e">
        <f t="shared" si="196"/>
        <v>#REF!</v>
      </c>
      <c r="AJ84" s="97" t="e">
        <f t="shared" si="196"/>
        <v>#REF!</v>
      </c>
      <c r="AK84" s="97" t="e">
        <f t="shared" si="196"/>
        <v>#REF!</v>
      </c>
      <c r="AL84" s="97" t="e">
        <f t="shared" si="196"/>
        <v>#REF!</v>
      </c>
      <c r="AM84" s="97"/>
      <c r="AN84" s="97"/>
      <c r="AO84" s="97"/>
      <c r="AP84" s="97"/>
      <c r="AQ84" s="105" t="str">
        <f t="shared" si="201"/>
        <v xml:space="preserve"> </v>
      </c>
      <c r="AR84" s="114"/>
      <c r="AS84" s="95">
        <f t="shared" si="184"/>
        <v>0</v>
      </c>
      <c r="AT84" s="124">
        <f t="shared" si="185"/>
        <v>0</v>
      </c>
      <c r="AU84" s="97" t="e">
        <f t="shared" si="144"/>
        <v>#N/A</v>
      </c>
      <c r="AV84" s="97" t="e">
        <f t="shared" si="145"/>
        <v>#N/A</v>
      </c>
      <c r="AW84" s="97" t="e">
        <f t="shared" si="146"/>
        <v>#N/A</v>
      </c>
      <c r="AX84" s="97" t="e">
        <f t="shared" si="147"/>
        <v>#N/A</v>
      </c>
      <c r="AY84" s="97" t="e">
        <f t="shared" si="148"/>
        <v>#N/A</v>
      </c>
      <c r="AZ84" s="97" t="e">
        <f t="shared" si="149"/>
        <v>#N/A</v>
      </c>
      <c r="BA84" s="97" t="e">
        <f t="shared" si="150"/>
        <v>#N/A</v>
      </c>
      <c r="BB84" s="97" t="e">
        <f t="shared" si="197"/>
        <v>#REF!</v>
      </c>
      <c r="BC84" s="97" t="e">
        <f t="shared" si="197"/>
        <v>#REF!</v>
      </c>
      <c r="BD84" s="97" t="e">
        <f t="shared" si="197"/>
        <v>#REF!</v>
      </c>
      <c r="BE84" s="97" t="e">
        <f t="shared" si="197"/>
        <v>#REF!</v>
      </c>
      <c r="BF84" s="97"/>
      <c r="BG84" s="97"/>
      <c r="BH84" s="97"/>
      <c r="BI84" s="97"/>
      <c r="BJ84" s="105" t="str">
        <f t="shared" si="177"/>
        <v xml:space="preserve"> </v>
      </c>
      <c r="BK84" s="114"/>
      <c r="BL84" s="97" t="e">
        <f t="shared" si="152"/>
        <v>#N/A</v>
      </c>
      <c r="BM84" s="97" t="e">
        <f t="shared" si="153"/>
        <v>#N/A</v>
      </c>
      <c r="BN84" s="97" t="e">
        <f t="shared" si="154"/>
        <v>#N/A</v>
      </c>
      <c r="BO84" s="97" t="e">
        <f t="shared" si="155"/>
        <v>#N/A</v>
      </c>
      <c r="BP84" s="97" t="e">
        <f t="shared" si="156"/>
        <v>#N/A</v>
      </c>
      <c r="BQ84" s="97" t="e">
        <f t="shared" si="157"/>
        <v>#N/A</v>
      </c>
      <c r="BR84" s="97" t="e">
        <f t="shared" si="158"/>
        <v>#N/A</v>
      </c>
      <c r="BS84" s="97" t="e">
        <f t="shared" si="198"/>
        <v>#REF!</v>
      </c>
      <c r="BT84" s="97" t="e">
        <f t="shared" si="198"/>
        <v>#REF!</v>
      </c>
      <c r="BU84" s="97" t="e">
        <f t="shared" si="198"/>
        <v>#REF!</v>
      </c>
      <c r="BV84" s="97" t="e">
        <f t="shared" si="198"/>
        <v>#REF!</v>
      </c>
      <c r="BW84" s="97"/>
      <c r="BX84" s="97"/>
      <c r="BY84" s="97"/>
      <c r="BZ84" s="97"/>
      <c r="CA84" s="105" t="str">
        <f t="shared" si="178"/>
        <v xml:space="preserve"> </v>
      </c>
      <c r="CB84" s="114"/>
      <c r="CC84" s="95">
        <f t="shared" si="191"/>
        <v>0</v>
      </c>
      <c r="CD84" s="124">
        <f t="shared" si="192"/>
        <v>0</v>
      </c>
      <c r="CE84" s="97" t="e">
        <f t="shared" si="160"/>
        <v>#N/A</v>
      </c>
      <c r="CF84" s="97" t="e">
        <f t="shared" si="161"/>
        <v>#N/A</v>
      </c>
      <c r="CG84" s="97" t="e">
        <f t="shared" si="162"/>
        <v>#N/A</v>
      </c>
      <c r="CH84" s="97" t="e">
        <f t="shared" si="163"/>
        <v>#N/A</v>
      </c>
      <c r="CI84" s="97" t="e">
        <f t="shared" si="164"/>
        <v>#N/A</v>
      </c>
      <c r="CJ84" s="97" t="e">
        <f t="shared" si="165"/>
        <v>#N/A</v>
      </c>
      <c r="CK84" s="97" t="e">
        <f t="shared" si="166"/>
        <v>#N/A</v>
      </c>
      <c r="CL84" s="97" t="e">
        <f t="shared" si="199"/>
        <v>#REF!</v>
      </c>
      <c r="CM84" s="97" t="e">
        <f t="shared" si="199"/>
        <v>#REF!</v>
      </c>
      <c r="CN84" s="97" t="e">
        <f t="shared" si="199"/>
        <v>#REF!</v>
      </c>
      <c r="CO84" s="97" t="e">
        <f t="shared" si="199"/>
        <v>#REF!</v>
      </c>
      <c r="CP84" s="97"/>
      <c r="CQ84" s="97"/>
      <c r="CR84" s="97"/>
      <c r="CS84" s="97"/>
      <c r="CT84" s="105" t="str">
        <f t="shared" si="179"/>
        <v xml:space="preserve"> </v>
      </c>
      <c r="CU84" s="118"/>
      <c r="CV84" s="95">
        <f t="shared" si="193"/>
        <v>0</v>
      </c>
      <c r="CW84" s="124">
        <f t="shared" si="194"/>
        <v>0</v>
      </c>
      <c r="CX84" s="97" t="e">
        <f t="shared" si="168"/>
        <v>#N/A</v>
      </c>
      <c r="CY84" s="97" t="e">
        <f t="shared" si="169"/>
        <v>#N/A</v>
      </c>
      <c r="CZ84" s="97" t="e">
        <f t="shared" si="170"/>
        <v>#N/A</v>
      </c>
      <c r="DA84" s="97" t="e">
        <f t="shared" si="171"/>
        <v>#N/A</v>
      </c>
      <c r="DB84" s="97" t="e">
        <f t="shared" si="172"/>
        <v>#N/A</v>
      </c>
      <c r="DC84" s="97" t="e">
        <f t="shared" si="173"/>
        <v>#N/A</v>
      </c>
      <c r="DD84" s="97" t="e">
        <f t="shared" si="174"/>
        <v>#N/A</v>
      </c>
      <c r="DE84" s="186"/>
      <c r="DF84" s="186"/>
      <c r="DG84" s="186"/>
      <c r="DH84" s="186"/>
      <c r="DI84" s="186"/>
      <c r="DM84" s="187" t="e">
        <f>AVERAGE(CX84:DF84)</f>
        <v>#N/A</v>
      </c>
    </row>
    <row r="85" spans="1:118" ht="15.75" x14ac:dyDescent="0.25">
      <c r="A85" s="196">
        <f t="shared" si="182"/>
        <v>0</v>
      </c>
      <c r="B85" s="197">
        <f t="shared" si="183"/>
        <v>0</v>
      </c>
      <c r="C85" s="41" t="str">
        <f t="shared" si="186"/>
        <v xml:space="preserve"> </v>
      </c>
      <c r="D85" s="38" t="str">
        <f t="shared" si="187"/>
        <v xml:space="preserve"> </v>
      </c>
      <c r="E85" s="24" t="str">
        <f t="shared" si="188"/>
        <v xml:space="preserve"> </v>
      </c>
      <c r="F85" s="24" t="str">
        <f t="shared" si="189"/>
        <v xml:space="preserve"> </v>
      </c>
      <c r="G85" s="136" t="str">
        <f t="shared" si="190"/>
        <v xml:space="preserve"> </v>
      </c>
      <c r="I85" s="198"/>
      <c r="J85" s="199"/>
      <c r="K85" s="97" t="e">
        <f t="shared" si="128"/>
        <v>#N/A</v>
      </c>
      <c r="L85" s="97" t="e">
        <f t="shared" si="129"/>
        <v>#N/A</v>
      </c>
      <c r="M85" s="97" t="e">
        <f t="shared" si="130"/>
        <v>#N/A</v>
      </c>
      <c r="N85" s="97" t="e">
        <f t="shared" si="131"/>
        <v>#N/A</v>
      </c>
      <c r="O85" s="97" t="e">
        <f t="shared" si="132"/>
        <v>#N/A</v>
      </c>
      <c r="P85" s="97" t="e">
        <f t="shared" si="133"/>
        <v>#N/A</v>
      </c>
      <c r="Q85" s="97" t="e">
        <f t="shared" si="134"/>
        <v>#N/A</v>
      </c>
      <c r="R85" s="97" t="e">
        <f t="shared" si="135"/>
        <v>#REF!</v>
      </c>
      <c r="S85" s="97" t="e">
        <f t="shared" si="135"/>
        <v>#REF!</v>
      </c>
      <c r="T85" s="97" t="e">
        <f t="shared" si="135"/>
        <v>#REF!</v>
      </c>
      <c r="U85" s="97" t="e">
        <f t="shared" si="135"/>
        <v>#REF!</v>
      </c>
      <c r="V85" s="97"/>
      <c r="W85" s="97"/>
      <c r="X85" s="97"/>
      <c r="Y85" s="97"/>
      <c r="Z85" s="105" t="str">
        <f t="shared" si="200"/>
        <v xml:space="preserve"> </v>
      </c>
      <c r="AA85" s="114"/>
      <c r="AB85" s="97" t="e">
        <f t="shared" si="136"/>
        <v>#N/A</v>
      </c>
      <c r="AC85" s="97" t="e">
        <f t="shared" si="137"/>
        <v>#N/A</v>
      </c>
      <c r="AD85" s="97" t="e">
        <f t="shared" si="138"/>
        <v>#N/A</v>
      </c>
      <c r="AE85" s="97" t="e">
        <f t="shared" si="139"/>
        <v>#N/A</v>
      </c>
      <c r="AF85" s="97" t="e">
        <f t="shared" si="140"/>
        <v>#N/A</v>
      </c>
      <c r="AG85" s="97" t="e">
        <f t="shared" si="141"/>
        <v>#N/A</v>
      </c>
      <c r="AH85" s="97" t="e">
        <f t="shared" si="142"/>
        <v>#N/A</v>
      </c>
      <c r="AI85" s="97" t="e">
        <f t="shared" si="196"/>
        <v>#REF!</v>
      </c>
      <c r="AJ85" s="97" t="e">
        <f t="shared" si="196"/>
        <v>#REF!</v>
      </c>
      <c r="AK85" s="97" t="e">
        <f t="shared" si="196"/>
        <v>#REF!</v>
      </c>
      <c r="AL85" s="97" t="e">
        <f t="shared" si="196"/>
        <v>#REF!</v>
      </c>
      <c r="AM85" s="97"/>
      <c r="AN85" s="97"/>
      <c r="AO85" s="97"/>
      <c r="AP85" s="97"/>
      <c r="AQ85" s="105" t="str">
        <f t="shared" si="201"/>
        <v xml:space="preserve"> </v>
      </c>
      <c r="AR85" s="114"/>
      <c r="AS85" s="95">
        <f t="shared" si="184"/>
        <v>0</v>
      </c>
      <c r="AT85" s="124">
        <f t="shared" si="185"/>
        <v>0</v>
      </c>
      <c r="AU85" s="97" t="e">
        <f t="shared" si="144"/>
        <v>#N/A</v>
      </c>
      <c r="AV85" s="97" t="e">
        <f t="shared" si="145"/>
        <v>#N/A</v>
      </c>
      <c r="AW85" s="97" t="e">
        <f t="shared" si="146"/>
        <v>#N/A</v>
      </c>
      <c r="AX85" s="97" t="e">
        <f t="shared" si="147"/>
        <v>#N/A</v>
      </c>
      <c r="AY85" s="97" t="e">
        <f t="shared" si="148"/>
        <v>#N/A</v>
      </c>
      <c r="AZ85" s="97" t="e">
        <f t="shared" si="149"/>
        <v>#N/A</v>
      </c>
      <c r="BA85" s="97" t="e">
        <f t="shared" si="150"/>
        <v>#N/A</v>
      </c>
      <c r="BB85" s="97" t="e">
        <f t="shared" si="197"/>
        <v>#REF!</v>
      </c>
      <c r="BC85" s="97" t="e">
        <f t="shared" si="197"/>
        <v>#REF!</v>
      </c>
      <c r="BD85" s="97" t="e">
        <f t="shared" si="197"/>
        <v>#REF!</v>
      </c>
      <c r="BE85" s="97" t="e">
        <f t="shared" si="197"/>
        <v>#REF!</v>
      </c>
      <c r="BF85" s="97"/>
      <c r="BG85" s="97"/>
      <c r="BH85" s="97"/>
      <c r="BI85" s="97"/>
      <c r="BJ85" s="105" t="str">
        <f t="shared" si="177"/>
        <v xml:space="preserve"> </v>
      </c>
      <c r="BK85" s="114"/>
      <c r="BL85" s="97" t="e">
        <f t="shared" si="152"/>
        <v>#N/A</v>
      </c>
      <c r="BM85" s="97" t="e">
        <f t="shared" si="153"/>
        <v>#N/A</v>
      </c>
      <c r="BN85" s="97" t="e">
        <f t="shared" si="154"/>
        <v>#N/A</v>
      </c>
      <c r="BO85" s="97" t="e">
        <f t="shared" si="155"/>
        <v>#N/A</v>
      </c>
      <c r="BP85" s="97" t="e">
        <f t="shared" si="156"/>
        <v>#N/A</v>
      </c>
      <c r="BQ85" s="97" t="e">
        <f t="shared" si="157"/>
        <v>#N/A</v>
      </c>
      <c r="BR85" s="97" t="e">
        <f t="shared" si="158"/>
        <v>#N/A</v>
      </c>
      <c r="BS85" s="97" t="e">
        <f t="shared" si="198"/>
        <v>#REF!</v>
      </c>
      <c r="BT85" s="97" t="e">
        <f t="shared" si="198"/>
        <v>#REF!</v>
      </c>
      <c r="BU85" s="97" t="e">
        <f t="shared" si="198"/>
        <v>#REF!</v>
      </c>
      <c r="BV85" s="97" t="e">
        <f t="shared" si="198"/>
        <v>#REF!</v>
      </c>
      <c r="BW85" s="97"/>
      <c r="BX85" s="97"/>
      <c r="BY85" s="97"/>
      <c r="BZ85" s="97"/>
      <c r="CA85" s="105" t="str">
        <f t="shared" si="178"/>
        <v xml:space="preserve"> </v>
      </c>
      <c r="CB85" s="114"/>
      <c r="CC85" s="95">
        <f t="shared" si="191"/>
        <v>0</v>
      </c>
      <c r="CD85" s="124">
        <f t="shared" si="192"/>
        <v>0</v>
      </c>
      <c r="CE85" s="97" t="e">
        <f t="shared" si="160"/>
        <v>#N/A</v>
      </c>
      <c r="CF85" s="97" t="e">
        <f t="shared" si="161"/>
        <v>#N/A</v>
      </c>
      <c r="CG85" s="97" t="e">
        <f t="shared" si="162"/>
        <v>#N/A</v>
      </c>
      <c r="CH85" s="97" t="e">
        <f t="shared" si="163"/>
        <v>#N/A</v>
      </c>
      <c r="CI85" s="97" t="e">
        <f t="shared" si="164"/>
        <v>#N/A</v>
      </c>
      <c r="CJ85" s="97" t="e">
        <f t="shared" si="165"/>
        <v>#N/A</v>
      </c>
      <c r="CK85" s="97" t="e">
        <f t="shared" si="166"/>
        <v>#N/A</v>
      </c>
      <c r="CL85" s="97" t="e">
        <f t="shared" si="199"/>
        <v>#REF!</v>
      </c>
      <c r="CM85" s="97" t="e">
        <f t="shared" si="199"/>
        <v>#REF!</v>
      </c>
      <c r="CN85" s="97" t="e">
        <f t="shared" si="199"/>
        <v>#REF!</v>
      </c>
      <c r="CO85" s="97" t="e">
        <f t="shared" si="199"/>
        <v>#REF!</v>
      </c>
      <c r="CP85" s="97"/>
      <c r="CQ85" s="97"/>
      <c r="CR85" s="97"/>
      <c r="CS85" s="97"/>
      <c r="CT85" s="105" t="str">
        <f t="shared" si="179"/>
        <v xml:space="preserve"> </v>
      </c>
      <c r="CU85" s="118"/>
      <c r="CV85" s="95">
        <f t="shared" si="193"/>
        <v>0</v>
      </c>
      <c r="CW85" s="124">
        <f t="shared" si="194"/>
        <v>0</v>
      </c>
      <c r="CX85" s="97" t="e">
        <f t="shared" si="168"/>
        <v>#N/A</v>
      </c>
      <c r="CY85" s="97" t="e">
        <f t="shared" si="169"/>
        <v>#N/A</v>
      </c>
      <c r="CZ85" s="97" t="e">
        <f t="shared" si="170"/>
        <v>#N/A</v>
      </c>
      <c r="DA85" s="97" t="e">
        <f t="shared" si="171"/>
        <v>#N/A</v>
      </c>
      <c r="DB85" s="97" t="e">
        <f t="shared" si="172"/>
        <v>#N/A</v>
      </c>
      <c r="DC85" s="97" t="e">
        <f t="shared" si="173"/>
        <v>#N/A</v>
      </c>
      <c r="DD85" s="97" t="e">
        <f t="shared" si="174"/>
        <v>#N/A</v>
      </c>
      <c r="DE85" s="186"/>
      <c r="DF85" s="186"/>
      <c r="DG85" s="186"/>
      <c r="DH85" s="186"/>
      <c r="DI85" s="186"/>
      <c r="DM85" s="187" t="e">
        <f t="shared" si="195"/>
        <v>#N/A</v>
      </c>
    </row>
    <row r="86" spans="1:118" ht="15.75" x14ac:dyDescent="0.25">
      <c r="A86" s="196">
        <f t="shared" si="182"/>
        <v>0</v>
      </c>
      <c r="B86" s="197">
        <f t="shared" si="183"/>
        <v>0</v>
      </c>
      <c r="C86" s="41" t="str">
        <f t="shared" si="186"/>
        <v xml:space="preserve"> </v>
      </c>
      <c r="D86" s="38" t="str">
        <f t="shared" si="187"/>
        <v xml:space="preserve"> </v>
      </c>
      <c r="E86" s="24" t="str">
        <f t="shared" si="188"/>
        <v xml:space="preserve"> </v>
      </c>
      <c r="F86" s="24" t="str">
        <f t="shared" si="189"/>
        <v xml:space="preserve"> </v>
      </c>
      <c r="G86" s="136" t="str">
        <f t="shared" si="190"/>
        <v xml:space="preserve"> </v>
      </c>
      <c r="I86" s="198"/>
      <c r="J86" s="199"/>
      <c r="K86" s="97" t="e">
        <f t="shared" si="128"/>
        <v>#N/A</v>
      </c>
      <c r="L86" s="97" t="e">
        <f t="shared" si="129"/>
        <v>#N/A</v>
      </c>
      <c r="M86" s="97" t="e">
        <f t="shared" si="130"/>
        <v>#N/A</v>
      </c>
      <c r="N86" s="97" t="e">
        <f t="shared" si="131"/>
        <v>#N/A</v>
      </c>
      <c r="O86" s="97" t="e">
        <f t="shared" si="132"/>
        <v>#N/A</v>
      </c>
      <c r="P86" s="97" t="e">
        <f t="shared" si="133"/>
        <v>#N/A</v>
      </c>
      <c r="Q86" s="97" t="e">
        <f t="shared" si="134"/>
        <v>#N/A</v>
      </c>
      <c r="R86" s="97" t="e">
        <f t="shared" si="135"/>
        <v>#REF!</v>
      </c>
      <c r="S86" s="97" t="e">
        <f t="shared" si="135"/>
        <v>#REF!</v>
      </c>
      <c r="T86" s="97" t="e">
        <f t="shared" si="135"/>
        <v>#REF!</v>
      </c>
      <c r="U86" s="97" t="e">
        <f t="shared" si="135"/>
        <v>#REF!</v>
      </c>
      <c r="V86" s="97"/>
      <c r="W86" s="97"/>
      <c r="X86" s="97"/>
      <c r="Y86" s="97"/>
      <c r="Z86" s="105" t="str">
        <f t="shared" si="200"/>
        <v xml:space="preserve"> </v>
      </c>
      <c r="AA86" s="114"/>
      <c r="AB86" s="97" t="e">
        <f t="shared" si="136"/>
        <v>#N/A</v>
      </c>
      <c r="AC86" s="97" t="e">
        <f t="shared" si="137"/>
        <v>#N/A</v>
      </c>
      <c r="AD86" s="97" t="e">
        <f t="shared" si="138"/>
        <v>#N/A</v>
      </c>
      <c r="AE86" s="97" t="e">
        <f t="shared" si="139"/>
        <v>#N/A</v>
      </c>
      <c r="AF86" s="97" t="e">
        <f t="shared" si="140"/>
        <v>#N/A</v>
      </c>
      <c r="AG86" s="97" t="e">
        <f t="shared" si="141"/>
        <v>#N/A</v>
      </c>
      <c r="AH86" s="97" t="e">
        <f t="shared" si="142"/>
        <v>#N/A</v>
      </c>
      <c r="AI86" s="97" t="e">
        <f t="shared" si="196"/>
        <v>#REF!</v>
      </c>
      <c r="AJ86" s="97" t="e">
        <f t="shared" si="196"/>
        <v>#REF!</v>
      </c>
      <c r="AK86" s="97" t="e">
        <f t="shared" si="196"/>
        <v>#REF!</v>
      </c>
      <c r="AL86" s="97" t="e">
        <f t="shared" si="196"/>
        <v>#REF!</v>
      </c>
      <c r="AM86" s="97"/>
      <c r="AN86" s="97"/>
      <c r="AO86" s="97"/>
      <c r="AP86" s="97"/>
      <c r="AQ86" s="105" t="str">
        <f t="shared" si="201"/>
        <v xml:space="preserve"> </v>
      </c>
      <c r="AR86" s="114"/>
      <c r="AS86" s="95">
        <f t="shared" si="184"/>
        <v>0</v>
      </c>
      <c r="AT86" s="124">
        <f t="shared" si="185"/>
        <v>0</v>
      </c>
      <c r="AU86" s="97" t="e">
        <f t="shared" si="144"/>
        <v>#N/A</v>
      </c>
      <c r="AV86" s="97" t="e">
        <f t="shared" si="145"/>
        <v>#N/A</v>
      </c>
      <c r="AW86" s="97" t="e">
        <f t="shared" si="146"/>
        <v>#N/A</v>
      </c>
      <c r="AX86" s="97" t="e">
        <f t="shared" si="147"/>
        <v>#N/A</v>
      </c>
      <c r="AY86" s="97" t="e">
        <f t="shared" si="148"/>
        <v>#N/A</v>
      </c>
      <c r="AZ86" s="97" t="e">
        <f t="shared" si="149"/>
        <v>#N/A</v>
      </c>
      <c r="BA86" s="97" t="e">
        <f t="shared" si="150"/>
        <v>#N/A</v>
      </c>
      <c r="BB86" s="97" t="e">
        <f t="shared" si="197"/>
        <v>#REF!</v>
      </c>
      <c r="BC86" s="97" t="e">
        <f t="shared" si="197"/>
        <v>#REF!</v>
      </c>
      <c r="BD86" s="97" t="e">
        <f t="shared" si="197"/>
        <v>#REF!</v>
      </c>
      <c r="BE86" s="97" t="e">
        <f t="shared" si="197"/>
        <v>#REF!</v>
      </c>
      <c r="BF86" s="97"/>
      <c r="BG86" s="97"/>
      <c r="BH86" s="97"/>
      <c r="BI86" s="97"/>
      <c r="BJ86" s="105" t="str">
        <f t="shared" si="177"/>
        <v xml:space="preserve"> </v>
      </c>
      <c r="BK86" s="114"/>
      <c r="BL86" s="97" t="e">
        <f t="shared" si="152"/>
        <v>#N/A</v>
      </c>
      <c r="BM86" s="97" t="e">
        <f t="shared" si="153"/>
        <v>#N/A</v>
      </c>
      <c r="BN86" s="97" t="e">
        <f t="shared" si="154"/>
        <v>#N/A</v>
      </c>
      <c r="BO86" s="97" t="e">
        <f t="shared" si="155"/>
        <v>#N/A</v>
      </c>
      <c r="BP86" s="97" t="e">
        <f t="shared" si="156"/>
        <v>#N/A</v>
      </c>
      <c r="BQ86" s="97" t="e">
        <f t="shared" si="157"/>
        <v>#N/A</v>
      </c>
      <c r="BR86" s="97" t="e">
        <f t="shared" si="158"/>
        <v>#N/A</v>
      </c>
      <c r="BS86" s="97" t="e">
        <f t="shared" si="198"/>
        <v>#REF!</v>
      </c>
      <c r="BT86" s="97" t="e">
        <f t="shared" si="198"/>
        <v>#REF!</v>
      </c>
      <c r="BU86" s="97" t="e">
        <f t="shared" si="198"/>
        <v>#REF!</v>
      </c>
      <c r="BV86" s="97" t="e">
        <f t="shared" si="198"/>
        <v>#REF!</v>
      </c>
      <c r="BW86" s="97"/>
      <c r="BX86" s="97"/>
      <c r="BY86" s="97"/>
      <c r="BZ86" s="97"/>
      <c r="CA86" s="105" t="str">
        <f t="shared" si="178"/>
        <v xml:space="preserve"> </v>
      </c>
      <c r="CB86" s="114"/>
      <c r="CC86" s="95">
        <f t="shared" si="191"/>
        <v>0</v>
      </c>
      <c r="CD86" s="124">
        <f t="shared" si="192"/>
        <v>0</v>
      </c>
      <c r="CE86" s="97" t="e">
        <f t="shared" si="160"/>
        <v>#N/A</v>
      </c>
      <c r="CF86" s="97" t="e">
        <f t="shared" si="161"/>
        <v>#N/A</v>
      </c>
      <c r="CG86" s="97" t="e">
        <f t="shared" si="162"/>
        <v>#N/A</v>
      </c>
      <c r="CH86" s="97" t="e">
        <f t="shared" si="163"/>
        <v>#N/A</v>
      </c>
      <c r="CI86" s="97" t="e">
        <f t="shared" si="164"/>
        <v>#N/A</v>
      </c>
      <c r="CJ86" s="97" t="e">
        <f t="shared" si="165"/>
        <v>#N/A</v>
      </c>
      <c r="CK86" s="97" t="e">
        <f t="shared" si="166"/>
        <v>#N/A</v>
      </c>
      <c r="CL86" s="97" t="e">
        <f t="shared" si="199"/>
        <v>#REF!</v>
      </c>
      <c r="CM86" s="97" t="e">
        <f t="shared" si="199"/>
        <v>#REF!</v>
      </c>
      <c r="CN86" s="97" t="e">
        <f t="shared" si="199"/>
        <v>#REF!</v>
      </c>
      <c r="CO86" s="97" t="e">
        <f t="shared" si="199"/>
        <v>#REF!</v>
      </c>
      <c r="CP86" s="97"/>
      <c r="CQ86" s="97"/>
      <c r="CR86" s="97"/>
      <c r="CS86" s="97"/>
      <c r="CT86" s="105" t="str">
        <f t="shared" si="179"/>
        <v xml:space="preserve"> </v>
      </c>
      <c r="CU86" s="118"/>
      <c r="CV86" s="95">
        <f t="shared" si="193"/>
        <v>0</v>
      </c>
      <c r="CW86" s="124">
        <f t="shared" si="194"/>
        <v>0</v>
      </c>
      <c r="CX86" s="97" t="e">
        <f t="shared" si="168"/>
        <v>#N/A</v>
      </c>
      <c r="CY86" s="97" t="e">
        <f t="shared" si="169"/>
        <v>#N/A</v>
      </c>
      <c r="CZ86" s="97" t="e">
        <f t="shared" si="170"/>
        <v>#N/A</v>
      </c>
      <c r="DA86" s="97" t="e">
        <f t="shared" si="171"/>
        <v>#N/A</v>
      </c>
      <c r="DB86" s="97" t="e">
        <f t="shared" si="172"/>
        <v>#N/A</v>
      </c>
      <c r="DC86" s="97" t="e">
        <f t="shared" si="173"/>
        <v>#N/A</v>
      </c>
      <c r="DD86" s="97" t="e">
        <f t="shared" si="174"/>
        <v>#N/A</v>
      </c>
      <c r="DE86" s="186"/>
      <c r="DF86" s="186"/>
      <c r="DG86" s="186"/>
      <c r="DH86" s="186"/>
      <c r="DI86" s="186"/>
      <c r="DM86" s="187" t="e">
        <f t="shared" si="195"/>
        <v>#N/A</v>
      </c>
    </row>
    <row r="87" spans="1:118" ht="15.75" x14ac:dyDescent="0.25">
      <c r="A87" s="196">
        <f t="shared" si="182"/>
        <v>0</v>
      </c>
      <c r="B87" s="197">
        <f t="shared" si="183"/>
        <v>0</v>
      </c>
      <c r="C87" s="41" t="str">
        <f t="shared" si="186"/>
        <v xml:space="preserve"> </v>
      </c>
      <c r="D87" s="38" t="str">
        <f t="shared" si="187"/>
        <v xml:space="preserve"> </v>
      </c>
      <c r="E87" s="24" t="str">
        <f t="shared" si="188"/>
        <v xml:space="preserve"> </v>
      </c>
      <c r="F87" s="24" t="str">
        <f t="shared" si="189"/>
        <v xml:space="preserve"> </v>
      </c>
      <c r="G87" s="136" t="str">
        <f t="shared" si="190"/>
        <v xml:space="preserve"> </v>
      </c>
      <c r="I87" s="198"/>
      <c r="J87" s="199"/>
      <c r="K87" s="97" t="e">
        <f t="shared" si="128"/>
        <v>#N/A</v>
      </c>
      <c r="L87" s="97" t="e">
        <f t="shared" si="129"/>
        <v>#N/A</v>
      </c>
      <c r="M87" s="97" t="e">
        <f t="shared" si="130"/>
        <v>#N/A</v>
      </c>
      <c r="N87" s="97" t="e">
        <f t="shared" si="131"/>
        <v>#N/A</v>
      </c>
      <c r="O87" s="97" t="e">
        <f t="shared" si="132"/>
        <v>#N/A</v>
      </c>
      <c r="P87" s="97" t="e">
        <f t="shared" si="133"/>
        <v>#N/A</v>
      </c>
      <c r="Q87" s="97" t="e">
        <f t="shared" si="134"/>
        <v>#N/A</v>
      </c>
      <c r="R87" s="97" t="e">
        <f t="shared" si="135"/>
        <v>#REF!</v>
      </c>
      <c r="S87" s="97" t="e">
        <f t="shared" si="135"/>
        <v>#REF!</v>
      </c>
      <c r="T87" s="97" t="e">
        <f t="shared" si="135"/>
        <v>#REF!</v>
      </c>
      <c r="U87" s="97" t="e">
        <f t="shared" si="135"/>
        <v>#REF!</v>
      </c>
      <c r="V87" s="97"/>
      <c r="W87" s="97"/>
      <c r="X87" s="97"/>
      <c r="Y87" s="97"/>
      <c r="Z87" s="105" t="str">
        <f t="shared" si="200"/>
        <v xml:space="preserve"> </v>
      </c>
      <c r="AA87" s="114"/>
      <c r="AB87" s="97" t="e">
        <f t="shared" si="136"/>
        <v>#N/A</v>
      </c>
      <c r="AC87" s="97" t="e">
        <f t="shared" si="137"/>
        <v>#N/A</v>
      </c>
      <c r="AD87" s="97" t="e">
        <f t="shared" si="138"/>
        <v>#N/A</v>
      </c>
      <c r="AE87" s="97" t="e">
        <f t="shared" si="139"/>
        <v>#N/A</v>
      </c>
      <c r="AF87" s="97" t="e">
        <f t="shared" si="140"/>
        <v>#N/A</v>
      </c>
      <c r="AG87" s="97" t="e">
        <f t="shared" si="141"/>
        <v>#N/A</v>
      </c>
      <c r="AH87" s="97" t="e">
        <f t="shared" si="142"/>
        <v>#N/A</v>
      </c>
      <c r="AI87" s="97" t="e">
        <f t="shared" si="196"/>
        <v>#REF!</v>
      </c>
      <c r="AJ87" s="97" t="e">
        <f t="shared" si="196"/>
        <v>#REF!</v>
      </c>
      <c r="AK87" s="97" t="e">
        <f t="shared" si="196"/>
        <v>#REF!</v>
      </c>
      <c r="AL87" s="97" t="e">
        <f t="shared" si="196"/>
        <v>#REF!</v>
      </c>
      <c r="AM87" s="97"/>
      <c r="AN87" s="97"/>
      <c r="AO87" s="97"/>
      <c r="AP87" s="97"/>
      <c r="AQ87" s="105" t="str">
        <f t="shared" si="201"/>
        <v xml:space="preserve"> </v>
      </c>
      <c r="AR87" s="114"/>
      <c r="AS87" s="95">
        <f t="shared" si="184"/>
        <v>0</v>
      </c>
      <c r="AT87" s="124">
        <f t="shared" si="185"/>
        <v>0</v>
      </c>
      <c r="AU87" s="97" t="e">
        <f t="shared" si="144"/>
        <v>#N/A</v>
      </c>
      <c r="AV87" s="97" t="e">
        <f t="shared" si="145"/>
        <v>#N/A</v>
      </c>
      <c r="AW87" s="97" t="e">
        <f t="shared" si="146"/>
        <v>#N/A</v>
      </c>
      <c r="AX87" s="97" t="e">
        <f t="shared" si="147"/>
        <v>#N/A</v>
      </c>
      <c r="AY87" s="97" t="e">
        <f t="shared" si="148"/>
        <v>#N/A</v>
      </c>
      <c r="AZ87" s="97" t="e">
        <f t="shared" si="149"/>
        <v>#N/A</v>
      </c>
      <c r="BA87" s="97" t="e">
        <f t="shared" si="150"/>
        <v>#N/A</v>
      </c>
      <c r="BB87" s="97" t="e">
        <f t="shared" si="197"/>
        <v>#REF!</v>
      </c>
      <c r="BC87" s="97" t="e">
        <f t="shared" si="197"/>
        <v>#REF!</v>
      </c>
      <c r="BD87" s="97" t="e">
        <f t="shared" si="197"/>
        <v>#REF!</v>
      </c>
      <c r="BE87" s="97" t="e">
        <f t="shared" si="197"/>
        <v>#REF!</v>
      </c>
      <c r="BF87" s="97"/>
      <c r="BG87" s="97"/>
      <c r="BH87" s="97"/>
      <c r="BI87" s="97"/>
      <c r="BJ87" s="105" t="str">
        <f t="shared" si="177"/>
        <v xml:space="preserve"> </v>
      </c>
      <c r="BK87" s="114"/>
      <c r="BL87" s="97" t="e">
        <f t="shared" si="152"/>
        <v>#N/A</v>
      </c>
      <c r="BM87" s="97" t="e">
        <f t="shared" si="153"/>
        <v>#N/A</v>
      </c>
      <c r="BN87" s="97" t="e">
        <f t="shared" si="154"/>
        <v>#N/A</v>
      </c>
      <c r="BO87" s="97" t="e">
        <f t="shared" si="155"/>
        <v>#N/A</v>
      </c>
      <c r="BP87" s="97" t="e">
        <f t="shared" si="156"/>
        <v>#N/A</v>
      </c>
      <c r="BQ87" s="97" t="e">
        <f t="shared" si="157"/>
        <v>#N/A</v>
      </c>
      <c r="BR87" s="97" t="e">
        <f t="shared" si="158"/>
        <v>#N/A</v>
      </c>
      <c r="BS87" s="97" t="e">
        <f t="shared" si="198"/>
        <v>#REF!</v>
      </c>
      <c r="BT87" s="97" t="e">
        <f t="shared" si="198"/>
        <v>#REF!</v>
      </c>
      <c r="BU87" s="97" t="e">
        <f t="shared" si="198"/>
        <v>#REF!</v>
      </c>
      <c r="BV87" s="97" t="e">
        <f t="shared" si="198"/>
        <v>#REF!</v>
      </c>
      <c r="BW87" s="97"/>
      <c r="BX87" s="97"/>
      <c r="BY87" s="97"/>
      <c r="BZ87" s="97"/>
      <c r="CA87" s="105" t="str">
        <f t="shared" si="178"/>
        <v xml:space="preserve"> </v>
      </c>
      <c r="CB87" s="114"/>
      <c r="CC87" s="95">
        <f t="shared" si="191"/>
        <v>0</v>
      </c>
      <c r="CD87" s="124">
        <f t="shared" si="192"/>
        <v>0</v>
      </c>
      <c r="CE87" s="97" t="e">
        <f t="shared" si="160"/>
        <v>#N/A</v>
      </c>
      <c r="CF87" s="97" t="e">
        <f t="shared" si="161"/>
        <v>#N/A</v>
      </c>
      <c r="CG87" s="97" t="e">
        <f t="shared" si="162"/>
        <v>#N/A</v>
      </c>
      <c r="CH87" s="97" t="e">
        <f t="shared" si="163"/>
        <v>#N/A</v>
      </c>
      <c r="CI87" s="97" t="e">
        <f t="shared" si="164"/>
        <v>#N/A</v>
      </c>
      <c r="CJ87" s="97" t="e">
        <f t="shared" si="165"/>
        <v>#N/A</v>
      </c>
      <c r="CK87" s="97" t="e">
        <f t="shared" si="166"/>
        <v>#N/A</v>
      </c>
      <c r="CL87" s="97" t="e">
        <f t="shared" si="199"/>
        <v>#REF!</v>
      </c>
      <c r="CM87" s="97" t="e">
        <f t="shared" si="199"/>
        <v>#REF!</v>
      </c>
      <c r="CN87" s="97" t="e">
        <f t="shared" si="199"/>
        <v>#REF!</v>
      </c>
      <c r="CO87" s="97" t="e">
        <f t="shared" si="199"/>
        <v>#REF!</v>
      </c>
      <c r="CP87" s="97"/>
      <c r="CQ87" s="97"/>
      <c r="CR87" s="97"/>
      <c r="CS87" s="97"/>
      <c r="CT87" s="105" t="str">
        <f t="shared" si="179"/>
        <v xml:space="preserve"> </v>
      </c>
      <c r="CU87" s="118"/>
      <c r="CV87" s="95">
        <f t="shared" si="193"/>
        <v>0</v>
      </c>
      <c r="CW87" s="124">
        <f t="shared" si="194"/>
        <v>0</v>
      </c>
      <c r="CX87" s="97" t="e">
        <f t="shared" si="168"/>
        <v>#N/A</v>
      </c>
      <c r="CY87" s="97" t="e">
        <f t="shared" si="169"/>
        <v>#N/A</v>
      </c>
      <c r="CZ87" s="97" t="e">
        <f t="shared" si="170"/>
        <v>#N/A</v>
      </c>
      <c r="DA87" s="97" t="e">
        <f t="shared" si="171"/>
        <v>#N/A</v>
      </c>
      <c r="DB87" s="97" t="e">
        <f t="shared" si="172"/>
        <v>#N/A</v>
      </c>
      <c r="DC87" s="97" t="e">
        <f t="shared" si="173"/>
        <v>#N/A</v>
      </c>
      <c r="DD87" s="97" t="e">
        <f t="shared" si="174"/>
        <v>#N/A</v>
      </c>
      <c r="DE87" s="186"/>
      <c r="DF87" s="186"/>
      <c r="DG87" s="186"/>
      <c r="DH87" s="186"/>
      <c r="DI87" s="186"/>
      <c r="DM87" s="187" t="e">
        <f t="shared" si="195"/>
        <v>#N/A</v>
      </c>
    </row>
    <row r="88" spans="1:118" ht="15.75" x14ac:dyDescent="0.25">
      <c r="A88" s="196">
        <f t="shared" si="182"/>
        <v>0</v>
      </c>
      <c r="B88" s="197">
        <f t="shared" si="183"/>
        <v>0</v>
      </c>
      <c r="C88" s="41" t="str">
        <f t="shared" si="186"/>
        <v xml:space="preserve"> </v>
      </c>
      <c r="D88" s="38" t="str">
        <f t="shared" si="187"/>
        <v xml:space="preserve"> </v>
      </c>
      <c r="E88" s="24" t="str">
        <f t="shared" si="188"/>
        <v xml:space="preserve"> </v>
      </c>
      <c r="F88" s="24" t="str">
        <f t="shared" si="189"/>
        <v xml:space="preserve"> </v>
      </c>
      <c r="G88" s="136" t="str">
        <f t="shared" si="190"/>
        <v xml:space="preserve"> </v>
      </c>
      <c r="I88" s="198"/>
      <c r="J88" s="199"/>
      <c r="K88" s="97" t="e">
        <f t="shared" si="128"/>
        <v>#N/A</v>
      </c>
      <c r="L88" s="97" t="e">
        <f t="shared" si="129"/>
        <v>#N/A</v>
      </c>
      <c r="M88" s="97" t="e">
        <f t="shared" si="130"/>
        <v>#N/A</v>
      </c>
      <c r="N88" s="97" t="e">
        <f t="shared" si="131"/>
        <v>#N/A</v>
      </c>
      <c r="O88" s="97" t="e">
        <f t="shared" si="132"/>
        <v>#N/A</v>
      </c>
      <c r="P88" s="97" t="e">
        <f t="shared" si="133"/>
        <v>#N/A</v>
      </c>
      <c r="Q88" s="97" t="e">
        <f t="shared" si="134"/>
        <v>#N/A</v>
      </c>
      <c r="R88" s="97" t="e">
        <f t="shared" si="135"/>
        <v>#REF!</v>
      </c>
      <c r="S88" s="97" t="e">
        <f t="shared" si="135"/>
        <v>#REF!</v>
      </c>
      <c r="T88" s="97" t="e">
        <f t="shared" si="135"/>
        <v>#REF!</v>
      </c>
      <c r="U88" s="97" t="e">
        <f t="shared" si="135"/>
        <v>#REF!</v>
      </c>
      <c r="V88" s="97"/>
      <c r="W88" s="97"/>
      <c r="X88" s="97"/>
      <c r="Y88" s="97"/>
      <c r="Z88" s="105" t="str">
        <f t="shared" si="200"/>
        <v xml:space="preserve"> </v>
      </c>
      <c r="AA88" s="114"/>
      <c r="AB88" s="97" t="e">
        <f t="shared" si="136"/>
        <v>#N/A</v>
      </c>
      <c r="AC88" s="97" t="e">
        <f t="shared" si="137"/>
        <v>#N/A</v>
      </c>
      <c r="AD88" s="97" t="e">
        <f t="shared" si="138"/>
        <v>#N/A</v>
      </c>
      <c r="AE88" s="97" t="e">
        <f t="shared" si="139"/>
        <v>#N/A</v>
      </c>
      <c r="AF88" s="97" t="e">
        <f t="shared" si="140"/>
        <v>#N/A</v>
      </c>
      <c r="AG88" s="97" t="e">
        <f t="shared" si="141"/>
        <v>#N/A</v>
      </c>
      <c r="AH88" s="97" t="e">
        <f t="shared" si="142"/>
        <v>#N/A</v>
      </c>
      <c r="AI88" s="97" t="e">
        <f t="shared" si="196"/>
        <v>#REF!</v>
      </c>
      <c r="AJ88" s="97" t="e">
        <f t="shared" si="196"/>
        <v>#REF!</v>
      </c>
      <c r="AK88" s="97" t="e">
        <f t="shared" si="196"/>
        <v>#REF!</v>
      </c>
      <c r="AL88" s="97" t="e">
        <f t="shared" si="196"/>
        <v>#REF!</v>
      </c>
      <c r="AM88" s="97"/>
      <c r="AN88" s="97"/>
      <c r="AO88" s="97"/>
      <c r="AP88" s="97"/>
      <c r="AQ88" s="105" t="str">
        <f t="shared" si="201"/>
        <v xml:space="preserve"> </v>
      </c>
      <c r="AR88" s="114"/>
      <c r="AS88" s="95">
        <f t="shared" si="184"/>
        <v>0</v>
      </c>
      <c r="AT88" s="124">
        <f t="shared" si="185"/>
        <v>0</v>
      </c>
      <c r="AU88" s="97" t="e">
        <f t="shared" si="144"/>
        <v>#N/A</v>
      </c>
      <c r="AV88" s="97" t="e">
        <f t="shared" si="145"/>
        <v>#N/A</v>
      </c>
      <c r="AW88" s="97" t="e">
        <f t="shared" si="146"/>
        <v>#N/A</v>
      </c>
      <c r="AX88" s="97" t="e">
        <f t="shared" si="147"/>
        <v>#N/A</v>
      </c>
      <c r="AY88" s="97" t="e">
        <f t="shared" si="148"/>
        <v>#N/A</v>
      </c>
      <c r="AZ88" s="97" t="e">
        <f t="shared" si="149"/>
        <v>#N/A</v>
      </c>
      <c r="BA88" s="97" t="e">
        <f t="shared" si="150"/>
        <v>#N/A</v>
      </c>
      <c r="BB88" s="97" t="e">
        <f t="shared" si="197"/>
        <v>#REF!</v>
      </c>
      <c r="BC88" s="97" t="e">
        <f t="shared" si="197"/>
        <v>#REF!</v>
      </c>
      <c r="BD88" s="97" t="e">
        <f t="shared" si="197"/>
        <v>#REF!</v>
      </c>
      <c r="BE88" s="97" t="e">
        <f t="shared" si="197"/>
        <v>#REF!</v>
      </c>
      <c r="BF88" s="97"/>
      <c r="BG88" s="97"/>
      <c r="BH88" s="97"/>
      <c r="BI88" s="97"/>
      <c r="BJ88" s="105" t="str">
        <f t="shared" si="177"/>
        <v xml:space="preserve"> </v>
      </c>
      <c r="BK88" s="114"/>
      <c r="BL88" s="97" t="e">
        <f t="shared" si="152"/>
        <v>#N/A</v>
      </c>
      <c r="BM88" s="97" t="e">
        <f t="shared" si="153"/>
        <v>#N/A</v>
      </c>
      <c r="BN88" s="97" t="e">
        <f t="shared" si="154"/>
        <v>#N/A</v>
      </c>
      <c r="BO88" s="97" t="e">
        <f t="shared" si="155"/>
        <v>#N/A</v>
      </c>
      <c r="BP88" s="97" t="e">
        <f t="shared" si="156"/>
        <v>#N/A</v>
      </c>
      <c r="BQ88" s="97" t="e">
        <f t="shared" si="157"/>
        <v>#N/A</v>
      </c>
      <c r="BR88" s="97" t="e">
        <f t="shared" si="158"/>
        <v>#N/A</v>
      </c>
      <c r="BS88" s="97" t="e">
        <f t="shared" si="198"/>
        <v>#REF!</v>
      </c>
      <c r="BT88" s="97" t="e">
        <f t="shared" si="198"/>
        <v>#REF!</v>
      </c>
      <c r="BU88" s="97" t="e">
        <f t="shared" si="198"/>
        <v>#REF!</v>
      </c>
      <c r="BV88" s="97" t="e">
        <f t="shared" si="198"/>
        <v>#REF!</v>
      </c>
      <c r="BW88" s="97"/>
      <c r="BX88" s="97"/>
      <c r="BY88" s="97"/>
      <c r="BZ88" s="97"/>
      <c r="CA88" s="105" t="str">
        <f t="shared" si="178"/>
        <v xml:space="preserve"> </v>
      </c>
      <c r="CB88" s="114"/>
      <c r="CC88" s="95">
        <f t="shared" si="191"/>
        <v>0</v>
      </c>
      <c r="CD88" s="124">
        <f t="shared" si="192"/>
        <v>0</v>
      </c>
      <c r="CE88" s="97" t="e">
        <f t="shared" si="160"/>
        <v>#N/A</v>
      </c>
      <c r="CF88" s="97" t="e">
        <f t="shared" si="161"/>
        <v>#N/A</v>
      </c>
      <c r="CG88" s="97" t="e">
        <f t="shared" si="162"/>
        <v>#N/A</v>
      </c>
      <c r="CH88" s="97" t="e">
        <f t="shared" si="163"/>
        <v>#N/A</v>
      </c>
      <c r="CI88" s="97" t="e">
        <f t="shared" si="164"/>
        <v>#N/A</v>
      </c>
      <c r="CJ88" s="97" t="e">
        <f t="shared" si="165"/>
        <v>#N/A</v>
      </c>
      <c r="CK88" s="97" t="e">
        <f t="shared" si="166"/>
        <v>#N/A</v>
      </c>
      <c r="CL88" s="97" t="e">
        <f t="shared" si="199"/>
        <v>#REF!</v>
      </c>
      <c r="CM88" s="97" t="e">
        <f t="shared" si="199"/>
        <v>#REF!</v>
      </c>
      <c r="CN88" s="97" t="e">
        <f t="shared" si="199"/>
        <v>#REF!</v>
      </c>
      <c r="CO88" s="97" t="e">
        <f t="shared" si="199"/>
        <v>#REF!</v>
      </c>
      <c r="CP88" s="97"/>
      <c r="CQ88" s="97"/>
      <c r="CR88" s="97"/>
      <c r="CS88" s="97"/>
      <c r="CT88" s="105" t="str">
        <f t="shared" si="179"/>
        <v xml:space="preserve"> </v>
      </c>
      <c r="CU88" s="118"/>
      <c r="CV88" s="95">
        <f t="shared" si="193"/>
        <v>0</v>
      </c>
      <c r="CW88" s="124">
        <f t="shared" si="194"/>
        <v>0</v>
      </c>
      <c r="CX88" s="97" t="e">
        <f t="shared" si="168"/>
        <v>#N/A</v>
      </c>
      <c r="CY88" s="97" t="e">
        <f t="shared" si="169"/>
        <v>#N/A</v>
      </c>
      <c r="CZ88" s="97" t="e">
        <f t="shared" si="170"/>
        <v>#N/A</v>
      </c>
      <c r="DA88" s="97" t="e">
        <f t="shared" si="171"/>
        <v>#N/A</v>
      </c>
      <c r="DB88" s="97" t="e">
        <f t="shared" si="172"/>
        <v>#N/A</v>
      </c>
      <c r="DC88" s="97" t="e">
        <f t="shared" si="173"/>
        <v>#N/A</v>
      </c>
      <c r="DD88" s="97" t="e">
        <f t="shared" si="174"/>
        <v>#N/A</v>
      </c>
      <c r="DE88" s="186"/>
      <c r="DF88" s="186"/>
      <c r="DG88" s="186"/>
      <c r="DH88" s="186"/>
      <c r="DI88" s="186"/>
      <c r="DM88" s="187" t="e">
        <f t="shared" si="195"/>
        <v>#N/A</v>
      </c>
    </row>
    <row r="89" spans="1:118" ht="15.75" x14ac:dyDescent="0.25">
      <c r="A89" s="196">
        <f t="shared" si="182"/>
        <v>0</v>
      </c>
      <c r="B89" s="197">
        <f t="shared" si="183"/>
        <v>0</v>
      </c>
      <c r="C89" s="41" t="str">
        <f t="shared" si="186"/>
        <v xml:space="preserve"> </v>
      </c>
      <c r="D89" s="38" t="str">
        <f t="shared" si="187"/>
        <v xml:space="preserve"> </v>
      </c>
      <c r="E89" s="24" t="str">
        <f t="shared" si="188"/>
        <v xml:space="preserve"> </v>
      </c>
      <c r="F89" s="24" t="str">
        <f t="shared" si="189"/>
        <v xml:space="preserve"> </v>
      </c>
      <c r="G89" s="136" t="str">
        <f t="shared" si="190"/>
        <v xml:space="preserve"> </v>
      </c>
      <c r="I89" s="198"/>
      <c r="J89" s="199"/>
      <c r="K89" s="97" t="e">
        <f t="shared" si="128"/>
        <v>#N/A</v>
      </c>
      <c r="L89" s="97" t="e">
        <f t="shared" si="129"/>
        <v>#N/A</v>
      </c>
      <c r="M89" s="97" t="e">
        <f t="shared" si="130"/>
        <v>#N/A</v>
      </c>
      <c r="N89" s="97" t="e">
        <f t="shared" si="131"/>
        <v>#N/A</v>
      </c>
      <c r="O89" s="97" t="e">
        <f t="shared" si="132"/>
        <v>#N/A</v>
      </c>
      <c r="P89" s="97" t="e">
        <f t="shared" si="133"/>
        <v>#N/A</v>
      </c>
      <c r="Q89" s="97" t="e">
        <f t="shared" si="134"/>
        <v>#N/A</v>
      </c>
      <c r="R89" s="97" t="e">
        <f t="shared" si="135"/>
        <v>#REF!</v>
      </c>
      <c r="S89" s="97" t="e">
        <f t="shared" si="135"/>
        <v>#REF!</v>
      </c>
      <c r="T89" s="97" t="e">
        <f t="shared" si="135"/>
        <v>#REF!</v>
      </c>
      <c r="U89" s="97" t="e">
        <f t="shared" si="135"/>
        <v>#REF!</v>
      </c>
      <c r="V89" s="97"/>
      <c r="W89" s="97"/>
      <c r="X89" s="97"/>
      <c r="Y89" s="97"/>
      <c r="Z89" s="105" t="str">
        <f t="shared" si="200"/>
        <v xml:space="preserve"> </v>
      </c>
      <c r="AA89" s="114"/>
      <c r="AB89" s="97" t="e">
        <f t="shared" si="136"/>
        <v>#N/A</v>
      </c>
      <c r="AC89" s="97" t="e">
        <f t="shared" si="137"/>
        <v>#N/A</v>
      </c>
      <c r="AD89" s="97" t="e">
        <f t="shared" si="138"/>
        <v>#N/A</v>
      </c>
      <c r="AE89" s="97" t="e">
        <f t="shared" si="139"/>
        <v>#N/A</v>
      </c>
      <c r="AF89" s="97" t="e">
        <f t="shared" si="140"/>
        <v>#N/A</v>
      </c>
      <c r="AG89" s="97" t="e">
        <f t="shared" si="141"/>
        <v>#N/A</v>
      </c>
      <c r="AH89" s="97" t="e">
        <f t="shared" si="142"/>
        <v>#N/A</v>
      </c>
      <c r="AI89" s="97" t="e">
        <f t="shared" si="196"/>
        <v>#REF!</v>
      </c>
      <c r="AJ89" s="97" t="e">
        <f t="shared" si="196"/>
        <v>#REF!</v>
      </c>
      <c r="AK89" s="97" t="e">
        <f t="shared" si="196"/>
        <v>#REF!</v>
      </c>
      <c r="AL89" s="97" t="e">
        <f t="shared" si="196"/>
        <v>#REF!</v>
      </c>
      <c r="AM89" s="97"/>
      <c r="AN89" s="97"/>
      <c r="AO89" s="97"/>
      <c r="AP89" s="97"/>
      <c r="AQ89" s="105" t="str">
        <f t="shared" si="201"/>
        <v xml:space="preserve"> </v>
      </c>
      <c r="AR89" s="114"/>
      <c r="AS89" s="95">
        <f t="shared" si="184"/>
        <v>0</v>
      </c>
      <c r="AT89" s="124">
        <f t="shared" si="185"/>
        <v>0</v>
      </c>
      <c r="AU89" s="97" t="e">
        <f t="shared" si="144"/>
        <v>#N/A</v>
      </c>
      <c r="AV89" s="97" t="e">
        <f t="shared" si="145"/>
        <v>#N/A</v>
      </c>
      <c r="AW89" s="97" t="e">
        <f t="shared" si="146"/>
        <v>#N/A</v>
      </c>
      <c r="AX89" s="97" t="e">
        <f t="shared" si="147"/>
        <v>#N/A</v>
      </c>
      <c r="AY89" s="97" t="e">
        <f t="shared" si="148"/>
        <v>#N/A</v>
      </c>
      <c r="AZ89" s="97" t="e">
        <f t="shared" si="149"/>
        <v>#N/A</v>
      </c>
      <c r="BA89" s="97" t="e">
        <f t="shared" si="150"/>
        <v>#N/A</v>
      </c>
      <c r="BB89" s="97" t="e">
        <f t="shared" si="197"/>
        <v>#REF!</v>
      </c>
      <c r="BC89" s="97" t="e">
        <f t="shared" si="197"/>
        <v>#REF!</v>
      </c>
      <c r="BD89" s="97" t="e">
        <f t="shared" si="197"/>
        <v>#REF!</v>
      </c>
      <c r="BE89" s="97" t="e">
        <f t="shared" si="197"/>
        <v>#REF!</v>
      </c>
      <c r="BF89" s="97"/>
      <c r="BG89" s="97"/>
      <c r="BH89" s="97"/>
      <c r="BI89" s="97"/>
      <c r="BJ89" s="105" t="str">
        <f t="shared" si="177"/>
        <v xml:space="preserve"> </v>
      </c>
      <c r="BK89" s="114"/>
      <c r="BL89" s="97" t="e">
        <f t="shared" si="152"/>
        <v>#N/A</v>
      </c>
      <c r="BM89" s="97" t="e">
        <f t="shared" si="153"/>
        <v>#N/A</v>
      </c>
      <c r="BN89" s="97" t="e">
        <f t="shared" si="154"/>
        <v>#N/A</v>
      </c>
      <c r="BO89" s="97" t="e">
        <f t="shared" si="155"/>
        <v>#N/A</v>
      </c>
      <c r="BP89" s="97" t="e">
        <f t="shared" si="156"/>
        <v>#N/A</v>
      </c>
      <c r="BQ89" s="97" t="e">
        <f t="shared" si="157"/>
        <v>#N/A</v>
      </c>
      <c r="BR89" s="97" t="e">
        <f t="shared" si="158"/>
        <v>#N/A</v>
      </c>
      <c r="BS89" s="97" t="e">
        <f t="shared" si="198"/>
        <v>#REF!</v>
      </c>
      <c r="BT89" s="97" t="e">
        <f t="shared" si="198"/>
        <v>#REF!</v>
      </c>
      <c r="BU89" s="97" t="e">
        <f t="shared" si="198"/>
        <v>#REF!</v>
      </c>
      <c r="BV89" s="97" t="e">
        <f t="shared" si="198"/>
        <v>#REF!</v>
      </c>
      <c r="BW89" s="97"/>
      <c r="BX89" s="97"/>
      <c r="BY89" s="97"/>
      <c r="BZ89" s="97"/>
      <c r="CA89" s="105" t="str">
        <f t="shared" si="178"/>
        <v xml:space="preserve"> </v>
      </c>
      <c r="CB89" s="114"/>
      <c r="CC89" s="95">
        <f t="shared" si="191"/>
        <v>0</v>
      </c>
      <c r="CD89" s="124">
        <f t="shared" si="192"/>
        <v>0</v>
      </c>
      <c r="CE89" s="97" t="e">
        <f t="shared" si="160"/>
        <v>#N/A</v>
      </c>
      <c r="CF89" s="97" t="e">
        <f t="shared" si="161"/>
        <v>#N/A</v>
      </c>
      <c r="CG89" s="97" t="e">
        <f t="shared" si="162"/>
        <v>#N/A</v>
      </c>
      <c r="CH89" s="97" t="e">
        <f t="shared" si="163"/>
        <v>#N/A</v>
      </c>
      <c r="CI89" s="97" t="e">
        <f t="shared" si="164"/>
        <v>#N/A</v>
      </c>
      <c r="CJ89" s="97" t="e">
        <f t="shared" si="165"/>
        <v>#N/A</v>
      </c>
      <c r="CK89" s="97" t="e">
        <f t="shared" si="166"/>
        <v>#N/A</v>
      </c>
      <c r="CL89" s="97" t="e">
        <f t="shared" si="199"/>
        <v>#REF!</v>
      </c>
      <c r="CM89" s="97" t="e">
        <f t="shared" si="199"/>
        <v>#REF!</v>
      </c>
      <c r="CN89" s="97" t="e">
        <f t="shared" si="199"/>
        <v>#REF!</v>
      </c>
      <c r="CO89" s="97" t="e">
        <f t="shared" si="199"/>
        <v>#REF!</v>
      </c>
      <c r="CP89" s="97"/>
      <c r="CQ89" s="97"/>
      <c r="CR89" s="97"/>
      <c r="CS89" s="97"/>
      <c r="CT89" s="105" t="str">
        <f t="shared" si="179"/>
        <v xml:space="preserve"> </v>
      </c>
      <c r="CU89" s="118"/>
      <c r="CV89" s="95">
        <f t="shared" si="193"/>
        <v>0</v>
      </c>
      <c r="CW89" s="124">
        <f t="shared" si="194"/>
        <v>0</v>
      </c>
      <c r="CX89" s="97" t="e">
        <f t="shared" si="168"/>
        <v>#N/A</v>
      </c>
      <c r="CY89" s="97" t="e">
        <f t="shared" si="169"/>
        <v>#N/A</v>
      </c>
      <c r="CZ89" s="97" t="e">
        <f t="shared" si="170"/>
        <v>#N/A</v>
      </c>
      <c r="DA89" s="97" t="e">
        <f t="shared" si="171"/>
        <v>#N/A</v>
      </c>
      <c r="DB89" s="97" t="e">
        <f t="shared" si="172"/>
        <v>#N/A</v>
      </c>
      <c r="DC89" s="97" t="e">
        <f t="shared" si="173"/>
        <v>#N/A</v>
      </c>
      <c r="DD89" s="97" t="e">
        <f t="shared" si="174"/>
        <v>#N/A</v>
      </c>
      <c r="DE89" s="186"/>
      <c r="DF89" s="186"/>
      <c r="DG89" s="186"/>
      <c r="DH89" s="186"/>
      <c r="DI89" s="186"/>
      <c r="DM89" s="187"/>
    </row>
    <row r="90" spans="1:118" ht="15.75" x14ac:dyDescent="0.25">
      <c r="A90" s="196">
        <f t="shared" si="182"/>
        <v>0</v>
      </c>
      <c r="B90" s="197">
        <f t="shared" si="183"/>
        <v>0</v>
      </c>
      <c r="C90" s="41" t="str">
        <f t="shared" si="186"/>
        <v xml:space="preserve"> </v>
      </c>
      <c r="D90" s="38" t="str">
        <f t="shared" si="187"/>
        <v xml:space="preserve"> </v>
      </c>
      <c r="E90" s="24" t="str">
        <f t="shared" si="188"/>
        <v xml:space="preserve"> </v>
      </c>
      <c r="F90" s="24" t="str">
        <f t="shared" si="189"/>
        <v xml:space="preserve"> </v>
      </c>
      <c r="G90" s="136" t="str">
        <f t="shared" si="190"/>
        <v xml:space="preserve"> </v>
      </c>
      <c r="I90" s="198"/>
      <c r="J90" s="199"/>
      <c r="K90" s="97" t="e">
        <f t="shared" si="128"/>
        <v>#N/A</v>
      </c>
      <c r="L90" s="97" t="e">
        <f t="shared" si="129"/>
        <v>#N/A</v>
      </c>
      <c r="M90" s="97" t="e">
        <f t="shared" si="130"/>
        <v>#N/A</v>
      </c>
      <c r="N90" s="97" t="e">
        <f t="shared" si="131"/>
        <v>#N/A</v>
      </c>
      <c r="O90" s="97" t="e">
        <f t="shared" si="132"/>
        <v>#N/A</v>
      </c>
      <c r="P90" s="97" t="e">
        <f t="shared" si="133"/>
        <v>#N/A</v>
      </c>
      <c r="Q90" s="97" t="e">
        <f t="shared" si="134"/>
        <v>#N/A</v>
      </c>
      <c r="R90" s="97" t="e">
        <f t="shared" si="135"/>
        <v>#REF!</v>
      </c>
      <c r="S90" s="97" t="e">
        <f t="shared" si="135"/>
        <v>#REF!</v>
      </c>
      <c r="T90" s="97" t="e">
        <f t="shared" si="135"/>
        <v>#REF!</v>
      </c>
      <c r="U90" s="97" t="e">
        <f t="shared" si="135"/>
        <v>#REF!</v>
      </c>
      <c r="V90" s="97"/>
      <c r="W90" s="97"/>
      <c r="X90" s="97"/>
      <c r="Y90" s="97"/>
      <c r="Z90" s="105" t="str">
        <f t="shared" si="200"/>
        <v xml:space="preserve"> </v>
      </c>
      <c r="AA90" s="114"/>
      <c r="AB90" s="97" t="e">
        <f t="shared" si="136"/>
        <v>#N/A</v>
      </c>
      <c r="AC90" s="97" t="e">
        <f t="shared" si="137"/>
        <v>#N/A</v>
      </c>
      <c r="AD90" s="97" t="e">
        <f t="shared" si="138"/>
        <v>#N/A</v>
      </c>
      <c r="AE90" s="97" t="e">
        <f t="shared" si="139"/>
        <v>#N/A</v>
      </c>
      <c r="AF90" s="97" t="e">
        <f t="shared" si="140"/>
        <v>#N/A</v>
      </c>
      <c r="AG90" s="97" t="e">
        <f t="shared" si="141"/>
        <v>#N/A</v>
      </c>
      <c r="AH90" s="97" t="e">
        <f t="shared" si="142"/>
        <v>#N/A</v>
      </c>
      <c r="AI90" s="97" t="e">
        <f t="shared" si="196"/>
        <v>#REF!</v>
      </c>
      <c r="AJ90" s="97" t="e">
        <f t="shared" si="196"/>
        <v>#REF!</v>
      </c>
      <c r="AK90" s="97" t="e">
        <f t="shared" si="196"/>
        <v>#REF!</v>
      </c>
      <c r="AL90" s="97" t="e">
        <f t="shared" si="196"/>
        <v>#REF!</v>
      </c>
      <c r="AM90" s="97"/>
      <c r="AN90" s="97"/>
      <c r="AO90" s="97"/>
      <c r="AP90" s="97"/>
      <c r="AQ90" s="105" t="str">
        <f t="shared" si="201"/>
        <v xml:space="preserve"> </v>
      </c>
      <c r="AR90" s="114"/>
      <c r="AS90" s="95">
        <f t="shared" si="184"/>
        <v>0</v>
      </c>
      <c r="AT90" s="124">
        <f t="shared" si="185"/>
        <v>0</v>
      </c>
      <c r="AU90" s="97" t="e">
        <f t="shared" si="144"/>
        <v>#N/A</v>
      </c>
      <c r="AV90" s="97" t="e">
        <f t="shared" si="145"/>
        <v>#N/A</v>
      </c>
      <c r="AW90" s="97" t="e">
        <f t="shared" si="146"/>
        <v>#N/A</v>
      </c>
      <c r="AX90" s="97" t="e">
        <f t="shared" si="147"/>
        <v>#N/A</v>
      </c>
      <c r="AY90" s="97" t="e">
        <f t="shared" si="148"/>
        <v>#N/A</v>
      </c>
      <c r="AZ90" s="97" t="e">
        <f t="shared" si="149"/>
        <v>#N/A</v>
      </c>
      <c r="BA90" s="97" t="e">
        <f t="shared" si="150"/>
        <v>#N/A</v>
      </c>
      <c r="BB90" s="97" t="e">
        <f t="shared" si="197"/>
        <v>#REF!</v>
      </c>
      <c r="BC90" s="97" t="e">
        <f t="shared" si="197"/>
        <v>#REF!</v>
      </c>
      <c r="BD90" s="97" t="e">
        <f t="shared" si="197"/>
        <v>#REF!</v>
      </c>
      <c r="BE90" s="97" t="e">
        <f t="shared" si="197"/>
        <v>#REF!</v>
      </c>
      <c r="BF90" s="97"/>
      <c r="BG90" s="97"/>
      <c r="BH90" s="97"/>
      <c r="BI90" s="97"/>
      <c r="BJ90" s="105" t="str">
        <f t="shared" si="177"/>
        <v xml:space="preserve"> </v>
      </c>
      <c r="BK90" s="114"/>
      <c r="BL90" s="97" t="e">
        <f t="shared" si="152"/>
        <v>#N/A</v>
      </c>
      <c r="BM90" s="97" t="e">
        <f t="shared" si="153"/>
        <v>#N/A</v>
      </c>
      <c r="BN90" s="97" t="e">
        <f t="shared" si="154"/>
        <v>#N/A</v>
      </c>
      <c r="BO90" s="97" t="e">
        <f t="shared" si="155"/>
        <v>#N/A</v>
      </c>
      <c r="BP90" s="97" t="e">
        <f t="shared" si="156"/>
        <v>#N/A</v>
      </c>
      <c r="BQ90" s="97" t="e">
        <f t="shared" si="157"/>
        <v>#N/A</v>
      </c>
      <c r="BR90" s="97" t="e">
        <f t="shared" si="158"/>
        <v>#N/A</v>
      </c>
      <c r="BS90" s="97" t="e">
        <f t="shared" si="198"/>
        <v>#REF!</v>
      </c>
      <c r="BT90" s="97" t="e">
        <f t="shared" si="198"/>
        <v>#REF!</v>
      </c>
      <c r="BU90" s="97" t="e">
        <f t="shared" si="198"/>
        <v>#REF!</v>
      </c>
      <c r="BV90" s="97" t="e">
        <f t="shared" si="198"/>
        <v>#REF!</v>
      </c>
      <c r="BW90" s="97"/>
      <c r="BX90" s="97"/>
      <c r="BY90" s="97"/>
      <c r="BZ90" s="97"/>
      <c r="CA90" s="105" t="str">
        <f t="shared" si="178"/>
        <v xml:space="preserve"> </v>
      </c>
      <c r="CB90" s="114"/>
      <c r="CC90" s="95">
        <f t="shared" si="191"/>
        <v>0</v>
      </c>
      <c r="CD90" s="124">
        <f t="shared" si="192"/>
        <v>0</v>
      </c>
      <c r="CE90" s="97" t="e">
        <f t="shared" si="160"/>
        <v>#N/A</v>
      </c>
      <c r="CF90" s="97" t="e">
        <f t="shared" si="161"/>
        <v>#N/A</v>
      </c>
      <c r="CG90" s="97" t="e">
        <f t="shared" si="162"/>
        <v>#N/A</v>
      </c>
      <c r="CH90" s="97" t="e">
        <f t="shared" si="163"/>
        <v>#N/A</v>
      </c>
      <c r="CI90" s="97" t="e">
        <f t="shared" si="164"/>
        <v>#N/A</v>
      </c>
      <c r="CJ90" s="97" t="e">
        <f t="shared" si="165"/>
        <v>#N/A</v>
      </c>
      <c r="CK90" s="97" t="e">
        <f t="shared" si="166"/>
        <v>#N/A</v>
      </c>
      <c r="CL90" s="97" t="e">
        <f t="shared" si="199"/>
        <v>#REF!</v>
      </c>
      <c r="CM90" s="97" t="e">
        <f t="shared" si="199"/>
        <v>#REF!</v>
      </c>
      <c r="CN90" s="97" t="e">
        <f t="shared" si="199"/>
        <v>#REF!</v>
      </c>
      <c r="CO90" s="97" t="e">
        <f t="shared" si="199"/>
        <v>#REF!</v>
      </c>
      <c r="CP90" s="97"/>
      <c r="CQ90" s="97"/>
      <c r="CR90" s="97"/>
      <c r="CS90" s="97"/>
      <c r="CT90" s="105" t="str">
        <f t="shared" si="179"/>
        <v xml:space="preserve"> </v>
      </c>
      <c r="CU90" s="118"/>
      <c r="CV90" s="95">
        <f t="shared" si="193"/>
        <v>0</v>
      </c>
      <c r="CW90" s="124">
        <f t="shared" si="194"/>
        <v>0</v>
      </c>
      <c r="CX90" s="97" t="e">
        <f t="shared" si="168"/>
        <v>#N/A</v>
      </c>
      <c r="CY90" s="97" t="e">
        <f t="shared" si="169"/>
        <v>#N/A</v>
      </c>
      <c r="CZ90" s="97" t="e">
        <f t="shared" si="170"/>
        <v>#N/A</v>
      </c>
      <c r="DA90" s="97" t="e">
        <f t="shared" si="171"/>
        <v>#N/A</v>
      </c>
      <c r="DB90" s="97" t="e">
        <f t="shared" si="172"/>
        <v>#N/A</v>
      </c>
      <c r="DC90" s="97" t="e">
        <f t="shared" si="173"/>
        <v>#N/A</v>
      </c>
      <c r="DD90" s="97" t="e">
        <f t="shared" si="174"/>
        <v>#N/A</v>
      </c>
      <c r="DE90" s="186"/>
      <c r="DF90" s="186"/>
      <c r="DG90" s="186"/>
      <c r="DH90" s="186"/>
      <c r="DI90" s="186"/>
      <c r="DM90" s="187" t="e">
        <f>AVERAGE(CX90:DC90)</f>
        <v>#N/A</v>
      </c>
    </row>
    <row r="91" spans="1:118" ht="15.75" x14ac:dyDescent="0.25">
      <c r="A91" s="196">
        <f t="shared" si="182"/>
        <v>0</v>
      </c>
      <c r="B91" s="197">
        <f t="shared" si="183"/>
        <v>0</v>
      </c>
      <c r="C91" s="41" t="str">
        <f t="shared" si="186"/>
        <v xml:space="preserve"> </v>
      </c>
      <c r="D91" s="38" t="str">
        <f t="shared" si="187"/>
        <v xml:space="preserve"> </v>
      </c>
      <c r="E91" s="24" t="str">
        <f t="shared" si="188"/>
        <v xml:space="preserve"> </v>
      </c>
      <c r="F91" s="24" t="str">
        <f t="shared" si="189"/>
        <v xml:space="preserve"> </v>
      </c>
      <c r="G91" s="136" t="str">
        <f t="shared" si="190"/>
        <v xml:space="preserve"> </v>
      </c>
      <c r="I91" s="198"/>
      <c r="J91" s="199"/>
      <c r="K91" s="97" t="e">
        <f t="shared" si="128"/>
        <v>#N/A</v>
      </c>
      <c r="L91" s="97" t="e">
        <f t="shared" si="129"/>
        <v>#N/A</v>
      </c>
      <c r="M91" s="97" t="e">
        <f t="shared" si="130"/>
        <v>#N/A</v>
      </c>
      <c r="N91" s="97" t="e">
        <f t="shared" si="131"/>
        <v>#N/A</v>
      </c>
      <c r="O91" s="97" t="e">
        <f t="shared" si="132"/>
        <v>#N/A</v>
      </c>
      <c r="P91" s="97" t="e">
        <f t="shared" si="133"/>
        <v>#N/A</v>
      </c>
      <c r="Q91" s="97" t="e">
        <f t="shared" si="134"/>
        <v>#N/A</v>
      </c>
      <c r="R91" s="97" t="e">
        <f t="shared" si="135"/>
        <v>#REF!</v>
      </c>
      <c r="S91" s="97" t="e">
        <f t="shared" si="135"/>
        <v>#REF!</v>
      </c>
      <c r="T91" s="97" t="e">
        <f t="shared" si="135"/>
        <v>#REF!</v>
      </c>
      <c r="U91" s="97" t="e">
        <f t="shared" si="135"/>
        <v>#REF!</v>
      </c>
      <c r="V91" s="97"/>
      <c r="W91" s="97"/>
      <c r="X91" s="97"/>
      <c r="Y91" s="97"/>
      <c r="Z91" s="105" t="str">
        <f t="shared" si="200"/>
        <v xml:space="preserve"> </v>
      </c>
      <c r="AA91" s="114"/>
      <c r="AB91" s="97" t="e">
        <f t="shared" si="136"/>
        <v>#N/A</v>
      </c>
      <c r="AC91" s="97" t="e">
        <f t="shared" si="137"/>
        <v>#N/A</v>
      </c>
      <c r="AD91" s="97" t="e">
        <f t="shared" si="138"/>
        <v>#N/A</v>
      </c>
      <c r="AE91" s="97" t="e">
        <f t="shared" si="139"/>
        <v>#N/A</v>
      </c>
      <c r="AF91" s="97" t="e">
        <f t="shared" si="140"/>
        <v>#N/A</v>
      </c>
      <c r="AG91" s="97" t="e">
        <f t="shared" si="141"/>
        <v>#N/A</v>
      </c>
      <c r="AH91" s="97" t="e">
        <f t="shared" si="142"/>
        <v>#N/A</v>
      </c>
      <c r="AI91" s="97" t="e">
        <f t="shared" si="196"/>
        <v>#REF!</v>
      </c>
      <c r="AJ91" s="97" t="e">
        <f t="shared" si="196"/>
        <v>#REF!</v>
      </c>
      <c r="AK91" s="97" t="e">
        <f t="shared" si="196"/>
        <v>#REF!</v>
      </c>
      <c r="AL91" s="97" t="e">
        <f t="shared" si="196"/>
        <v>#REF!</v>
      </c>
      <c r="AM91" s="97"/>
      <c r="AN91" s="97"/>
      <c r="AO91" s="97"/>
      <c r="AP91" s="97"/>
      <c r="AQ91" s="105" t="str">
        <f t="shared" si="201"/>
        <v xml:space="preserve"> </v>
      </c>
      <c r="AR91" s="114"/>
      <c r="AS91" s="95">
        <f t="shared" si="184"/>
        <v>0</v>
      </c>
      <c r="AT91" s="124">
        <f t="shared" si="185"/>
        <v>0</v>
      </c>
      <c r="AU91" s="97" t="e">
        <f t="shared" si="144"/>
        <v>#N/A</v>
      </c>
      <c r="AV91" s="97" t="e">
        <f t="shared" si="145"/>
        <v>#N/A</v>
      </c>
      <c r="AW91" s="97" t="e">
        <f t="shared" si="146"/>
        <v>#N/A</v>
      </c>
      <c r="AX91" s="97" t="e">
        <f t="shared" si="147"/>
        <v>#N/A</v>
      </c>
      <c r="AY91" s="97" t="e">
        <f t="shared" si="148"/>
        <v>#N/A</v>
      </c>
      <c r="AZ91" s="97" t="e">
        <f t="shared" si="149"/>
        <v>#N/A</v>
      </c>
      <c r="BA91" s="97" t="e">
        <f t="shared" si="150"/>
        <v>#N/A</v>
      </c>
      <c r="BB91" s="97" t="e">
        <f t="shared" si="197"/>
        <v>#REF!</v>
      </c>
      <c r="BC91" s="97" t="e">
        <f t="shared" si="197"/>
        <v>#REF!</v>
      </c>
      <c r="BD91" s="97" t="e">
        <f t="shared" si="197"/>
        <v>#REF!</v>
      </c>
      <c r="BE91" s="97" t="e">
        <f t="shared" si="197"/>
        <v>#REF!</v>
      </c>
      <c r="BF91" s="97"/>
      <c r="BG91" s="97"/>
      <c r="BH91" s="97"/>
      <c r="BI91" s="97"/>
      <c r="BJ91" s="105" t="str">
        <f t="shared" si="177"/>
        <v xml:space="preserve"> </v>
      </c>
      <c r="BK91" s="114"/>
      <c r="BL91" s="97" t="e">
        <f t="shared" si="152"/>
        <v>#N/A</v>
      </c>
      <c r="BM91" s="97" t="e">
        <f t="shared" si="153"/>
        <v>#N/A</v>
      </c>
      <c r="BN91" s="97" t="e">
        <f t="shared" si="154"/>
        <v>#N/A</v>
      </c>
      <c r="BO91" s="97" t="e">
        <f t="shared" si="155"/>
        <v>#N/A</v>
      </c>
      <c r="BP91" s="97" t="e">
        <f t="shared" si="156"/>
        <v>#N/A</v>
      </c>
      <c r="BQ91" s="97" t="e">
        <f t="shared" si="157"/>
        <v>#N/A</v>
      </c>
      <c r="BR91" s="97" t="e">
        <f t="shared" si="158"/>
        <v>#N/A</v>
      </c>
      <c r="BS91" s="97" t="e">
        <f t="shared" si="198"/>
        <v>#REF!</v>
      </c>
      <c r="BT91" s="97" t="e">
        <f t="shared" si="198"/>
        <v>#REF!</v>
      </c>
      <c r="BU91" s="97" t="e">
        <f t="shared" si="198"/>
        <v>#REF!</v>
      </c>
      <c r="BV91" s="97" t="e">
        <f t="shared" si="198"/>
        <v>#REF!</v>
      </c>
      <c r="BW91" s="97"/>
      <c r="BX91" s="97"/>
      <c r="BY91" s="97"/>
      <c r="BZ91" s="97"/>
      <c r="CA91" s="105" t="str">
        <f t="shared" si="178"/>
        <v xml:space="preserve"> </v>
      </c>
      <c r="CB91" s="114"/>
      <c r="CC91" s="95">
        <f t="shared" si="191"/>
        <v>0</v>
      </c>
      <c r="CD91" s="124">
        <f t="shared" si="192"/>
        <v>0</v>
      </c>
      <c r="CE91" s="97" t="e">
        <f t="shared" si="160"/>
        <v>#N/A</v>
      </c>
      <c r="CF91" s="97" t="e">
        <f t="shared" si="161"/>
        <v>#N/A</v>
      </c>
      <c r="CG91" s="97" t="e">
        <f t="shared" si="162"/>
        <v>#N/A</v>
      </c>
      <c r="CH91" s="97" t="e">
        <f t="shared" si="163"/>
        <v>#N/A</v>
      </c>
      <c r="CI91" s="97" t="e">
        <f t="shared" si="164"/>
        <v>#N/A</v>
      </c>
      <c r="CJ91" s="97" t="e">
        <f t="shared" si="165"/>
        <v>#N/A</v>
      </c>
      <c r="CK91" s="97" t="e">
        <f t="shared" si="166"/>
        <v>#N/A</v>
      </c>
      <c r="CL91" s="97" t="e">
        <f t="shared" si="199"/>
        <v>#REF!</v>
      </c>
      <c r="CM91" s="97" t="e">
        <f t="shared" si="199"/>
        <v>#REF!</v>
      </c>
      <c r="CN91" s="97" t="e">
        <f t="shared" si="199"/>
        <v>#REF!</v>
      </c>
      <c r="CO91" s="97" t="e">
        <f t="shared" si="199"/>
        <v>#REF!</v>
      </c>
      <c r="CP91" s="97"/>
      <c r="CQ91" s="97"/>
      <c r="CR91" s="97"/>
      <c r="CS91" s="97"/>
      <c r="CT91" s="105" t="str">
        <f t="shared" si="179"/>
        <v xml:space="preserve"> </v>
      </c>
      <c r="CU91" s="118"/>
      <c r="CV91" s="95">
        <f t="shared" si="193"/>
        <v>0</v>
      </c>
      <c r="CW91" s="124">
        <f t="shared" si="194"/>
        <v>0</v>
      </c>
      <c r="CX91" s="97" t="e">
        <f t="shared" si="168"/>
        <v>#N/A</v>
      </c>
      <c r="CY91" s="97" t="e">
        <f t="shared" si="169"/>
        <v>#N/A</v>
      </c>
      <c r="CZ91" s="97" t="e">
        <f t="shared" si="170"/>
        <v>#N/A</v>
      </c>
      <c r="DA91" s="97" t="e">
        <f t="shared" si="171"/>
        <v>#N/A</v>
      </c>
      <c r="DB91" s="97" t="e">
        <f t="shared" si="172"/>
        <v>#N/A</v>
      </c>
      <c r="DC91" s="97" t="e">
        <f t="shared" si="173"/>
        <v>#N/A</v>
      </c>
      <c r="DD91" s="97" t="e">
        <f t="shared" si="174"/>
        <v>#N/A</v>
      </c>
      <c r="DE91" s="186"/>
      <c r="DF91" s="186"/>
      <c r="DG91" s="186"/>
      <c r="DH91" s="186"/>
      <c r="DI91" s="186"/>
      <c r="DM91" s="187" t="e">
        <f t="shared" si="195"/>
        <v>#N/A</v>
      </c>
    </row>
    <row r="92" spans="1:118" ht="15.75" x14ac:dyDescent="0.25">
      <c r="A92" s="196">
        <f t="shared" si="182"/>
        <v>0</v>
      </c>
      <c r="B92" s="197">
        <f t="shared" si="183"/>
        <v>0</v>
      </c>
      <c r="C92" s="41" t="str">
        <f t="shared" si="186"/>
        <v xml:space="preserve"> </v>
      </c>
      <c r="D92" s="38" t="str">
        <f t="shared" si="187"/>
        <v xml:space="preserve"> </v>
      </c>
      <c r="E92" s="24" t="str">
        <f t="shared" si="188"/>
        <v xml:space="preserve"> </v>
      </c>
      <c r="F92" s="24" t="str">
        <f t="shared" si="189"/>
        <v xml:space="preserve"> </v>
      </c>
      <c r="G92" s="136" t="str">
        <f t="shared" si="190"/>
        <v xml:space="preserve"> </v>
      </c>
      <c r="I92" s="198"/>
      <c r="J92" s="199"/>
      <c r="K92" s="97" t="e">
        <f t="shared" si="128"/>
        <v>#N/A</v>
      </c>
      <c r="L92" s="97" t="e">
        <f t="shared" si="129"/>
        <v>#N/A</v>
      </c>
      <c r="M92" s="97" t="e">
        <f t="shared" si="130"/>
        <v>#N/A</v>
      </c>
      <c r="N92" s="97" t="e">
        <f t="shared" si="131"/>
        <v>#N/A</v>
      </c>
      <c r="O92" s="97" t="e">
        <f t="shared" si="132"/>
        <v>#N/A</v>
      </c>
      <c r="P92" s="97" t="e">
        <f t="shared" si="133"/>
        <v>#N/A</v>
      </c>
      <c r="Q92" s="97" t="e">
        <f t="shared" si="134"/>
        <v>#N/A</v>
      </c>
      <c r="R92" s="97" t="e">
        <f t="shared" si="135"/>
        <v>#REF!</v>
      </c>
      <c r="S92" s="97" t="e">
        <f t="shared" si="135"/>
        <v>#REF!</v>
      </c>
      <c r="T92" s="97" t="e">
        <f t="shared" si="135"/>
        <v>#REF!</v>
      </c>
      <c r="U92" s="97" t="e">
        <f t="shared" si="135"/>
        <v>#REF!</v>
      </c>
      <c r="V92" s="97"/>
      <c r="W92" s="97"/>
      <c r="X92" s="97"/>
      <c r="Y92" s="97"/>
      <c r="Z92" s="105" t="str">
        <f t="shared" si="200"/>
        <v xml:space="preserve"> </v>
      </c>
      <c r="AA92" s="114"/>
      <c r="AB92" s="97" t="e">
        <f t="shared" si="136"/>
        <v>#N/A</v>
      </c>
      <c r="AC92" s="97" t="e">
        <f t="shared" si="137"/>
        <v>#N/A</v>
      </c>
      <c r="AD92" s="97" t="e">
        <f t="shared" si="138"/>
        <v>#N/A</v>
      </c>
      <c r="AE92" s="97" t="e">
        <f t="shared" si="139"/>
        <v>#N/A</v>
      </c>
      <c r="AF92" s="97" t="e">
        <f t="shared" si="140"/>
        <v>#N/A</v>
      </c>
      <c r="AG92" s="97" t="e">
        <f t="shared" si="141"/>
        <v>#N/A</v>
      </c>
      <c r="AH92" s="97" t="e">
        <f t="shared" si="142"/>
        <v>#N/A</v>
      </c>
      <c r="AI92" s="97" t="e">
        <f t="shared" si="196"/>
        <v>#REF!</v>
      </c>
      <c r="AJ92" s="97" t="e">
        <f t="shared" si="196"/>
        <v>#REF!</v>
      </c>
      <c r="AK92" s="97" t="e">
        <f t="shared" si="196"/>
        <v>#REF!</v>
      </c>
      <c r="AL92" s="97" t="e">
        <f t="shared" si="196"/>
        <v>#REF!</v>
      </c>
      <c r="AM92" s="97"/>
      <c r="AN92" s="97"/>
      <c r="AO92" s="97"/>
      <c r="AP92" s="97"/>
      <c r="AQ92" s="105" t="str">
        <f t="shared" si="201"/>
        <v xml:space="preserve"> </v>
      </c>
      <c r="AR92" s="114"/>
      <c r="AS92" s="95">
        <f t="shared" si="184"/>
        <v>0</v>
      </c>
      <c r="AT92" s="124">
        <f t="shared" si="185"/>
        <v>0</v>
      </c>
      <c r="AU92" s="97" t="e">
        <f t="shared" si="144"/>
        <v>#N/A</v>
      </c>
      <c r="AV92" s="97" t="e">
        <f t="shared" si="145"/>
        <v>#N/A</v>
      </c>
      <c r="AW92" s="97" t="e">
        <f t="shared" si="146"/>
        <v>#N/A</v>
      </c>
      <c r="AX92" s="97" t="e">
        <f t="shared" si="147"/>
        <v>#N/A</v>
      </c>
      <c r="AY92" s="97" t="e">
        <f t="shared" si="148"/>
        <v>#N/A</v>
      </c>
      <c r="AZ92" s="97" t="e">
        <f t="shared" si="149"/>
        <v>#N/A</v>
      </c>
      <c r="BA92" s="97" t="e">
        <f t="shared" si="150"/>
        <v>#N/A</v>
      </c>
      <c r="BB92" s="97" t="e">
        <f t="shared" si="197"/>
        <v>#REF!</v>
      </c>
      <c r="BC92" s="97" t="e">
        <f t="shared" si="197"/>
        <v>#REF!</v>
      </c>
      <c r="BD92" s="97" t="e">
        <f t="shared" si="197"/>
        <v>#REF!</v>
      </c>
      <c r="BE92" s="97" t="e">
        <f t="shared" si="197"/>
        <v>#REF!</v>
      </c>
      <c r="BF92" s="97"/>
      <c r="BG92" s="97"/>
      <c r="BH92" s="97"/>
      <c r="BI92" s="97"/>
      <c r="BJ92" s="105" t="str">
        <f t="shared" si="177"/>
        <v xml:space="preserve"> </v>
      </c>
      <c r="BK92" s="114"/>
      <c r="BL92" s="97" t="e">
        <f t="shared" si="152"/>
        <v>#N/A</v>
      </c>
      <c r="BM92" s="97" t="e">
        <f t="shared" si="153"/>
        <v>#N/A</v>
      </c>
      <c r="BN92" s="97" t="e">
        <f t="shared" si="154"/>
        <v>#N/A</v>
      </c>
      <c r="BO92" s="97" t="e">
        <f t="shared" si="155"/>
        <v>#N/A</v>
      </c>
      <c r="BP92" s="97" t="e">
        <f t="shared" si="156"/>
        <v>#N/A</v>
      </c>
      <c r="BQ92" s="97" t="e">
        <f t="shared" si="157"/>
        <v>#N/A</v>
      </c>
      <c r="BR92" s="97" t="e">
        <f t="shared" si="158"/>
        <v>#N/A</v>
      </c>
      <c r="BS92" s="97" t="e">
        <f t="shared" si="198"/>
        <v>#REF!</v>
      </c>
      <c r="BT92" s="97" t="e">
        <f t="shared" si="198"/>
        <v>#REF!</v>
      </c>
      <c r="BU92" s="97" t="e">
        <f t="shared" si="198"/>
        <v>#REF!</v>
      </c>
      <c r="BV92" s="97" t="e">
        <f t="shared" si="198"/>
        <v>#REF!</v>
      </c>
      <c r="BW92" s="97"/>
      <c r="BX92" s="97"/>
      <c r="BY92" s="97"/>
      <c r="BZ92" s="97"/>
      <c r="CA92" s="105" t="str">
        <f t="shared" si="178"/>
        <v xml:space="preserve"> </v>
      </c>
      <c r="CB92" s="114"/>
      <c r="CC92" s="95">
        <f t="shared" si="191"/>
        <v>0</v>
      </c>
      <c r="CD92" s="124">
        <f t="shared" si="192"/>
        <v>0</v>
      </c>
      <c r="CE92" s="97" t="e">
        <f t="shared" si="160"/>
        <v>#N/A</v>
      </c>
      <c r="CF92" s="97" t="e">
        <f t="shared" si="161"/>
        <v>#N/A</v>
      </c>
      <c r="CG92" s="97" t="e">
        <f t="shared" si="162"/>
        <v>#N/A</v>
      </c>
      <c r="CH92" s="97" t="e">
        <f t="shared" si="163"/>
        <v>#N/A</v>
      </c>
      <c r="CI92" s="97" t="e">
        <f t="shared" si="164"/>
        <v>#N/A</v>
      </c>
      <c r="CJ92" s="97" t="e">
        <f t="shared" si="165"/>
        <v>#N/A</v>
      </c>
      <c r="CK92" s="97" t="e">
        <f t="shared" si="166"/>
        <v>#N/A</v>
      </c>
      <c r="CL92" s="97" t="e">
        <f t="shared" si="199"/>
        <v>#REF!</v>
      </c>
      <c r="CM92" s="97" t="e">
        <f t="shared" si="199"/>
        <v>#REF!</v>
      </c>
      <c r="CN92" s="97" t="e">
        <f t="shared" si="199"/>
        <v>#REF!</v>
      </c>
      <c r="CO92" s="97" t="e">
        <f t="shared" si="199"/>
        <v>#REF!</v>
      </c>
      <c r="CP92" s="97"/>
      <c r="CQ92" s="97"/>
      <c r="CR92" s="97"/>
      <c r="CS92" s="97"/>
      <c r="CT92" s="105" t="str">
        <f t="shared" si="179"/>
        <v xml:space="preserve"> </v>
      </c>
      <c r="CU92" s="118"/>
      <c r="CV92" s="95">
        <f t="shared" si="193"/>
        <v>0</v>
      </c>
      <c r="CW92" s="124">
        <f t="shared" si="194"/>
        <v>0</v>
      </c>
      <c r="CX92" s="97" t="e">
        <f t="shared" si="168"/>
        <v>#N/A</v>
      </c>
      <c r="CY92" s="97" t="e">
        <f t="shared" si="169"/>
        <v>#N/A</v>
      </c>
      <c r="CZ92" s="97" t="e">
        <f t="shared" si="170"/>
        <v>#N/A</v>
      </c>
      <c r="DA92" s="97" t="e">
        <f t="shared" si="171"/>
        <v>#N/A</v>
      </c>
      <c r="DB92" s="97" t="e">
        <f t="shared" si="172"/>
        <v>#N/A</v>
      </c>
      <c r="DC92" s="97" t="e">
        <f t="shared" si="173"/>
        <v>#N/A</v>
      </c>
      <c r="DD92" s="97" t="e">
        <f t="shared" si="174"/>
        <v>#N/A</v>
      </c>
      <c r="DE92" s="186"/>
      <c r="DF92" s="186"/>
      <c r="DG92" s="186"/>
      <c r="DH92" s="186"/>
      <c r="DI92" s="186"/>
      <c r="DM92" s="187" t="e">
        <f>AVERAGE(DD92:DL92)</f>
        <v>#N/A</v>
      </c>
    </row>
    <row r="93" spans="1:118" ht="16.5" thickBot="1" x14ac:dyDescent="0.3">
      <c r="A93" s="196">
        <f t="shared" si="182"/>
        <v>0</v>
      </c>
      <c r="B93" s="197">
        <f t="shared" si="183"/>
        <v>0</v>
      </c>
      <c r="C93" s="41"/>
      <c r="D93" s="38"/>
      <c r="E93" s="24"/>
      <c r="F93" s="24"/>
      <c r="G93" s="136"/>
      <c r="I93" s="153"/>
      <c r="J93" s="179"/>
      <c r="K93" s="97" t="e">
        <f>VLOOKUP($I93,ngsa0201,17,FALSE)</f>
        <v>#N/A</v>
      </c>
      <c r="L93" s="97" t="e">
        <f>VLOOKUP($I93,ngsa0205,17,FALSE)</f>
        <v>#N/A</v>
      </c>
      <c r="M93" s="97" t="e">
        <f>VLOOKUP($I93,ngsa0221,17,FALSE)</f>
        <v>#N/A</v>
      </c>
      <c r="N93" s="97" t="e">
        <f>VLOOKUP($I93,ngsa0226,17,FALSE)</f>
        <v>#N/A</v>
      </c>
      <c r="O93" s="97" t="e">
        <f>VLOOKUP($I93,ngsa0320,17,FALSE)</f>
        <v>#N/A</v>
      </c>
      <c r="P93" s="97" t="e">
        <f>VLOOKUP($I93,ngsa0321,17,FALSE)</f>
        <v>#N/A</v>
      </c>
      <c r="Q93" s="97" t="e">
        <f>VLOOKUP($I93,ngsa0322,17,FALSE)</f>
        <v>#N/A</v>
      </c>
      <c r="R93" s="97" t="e">
        <f>VLOOKUP($I93,ngsaTEMP,17,FALSE)</f>
        <v>#REF!</v>
      </c>
      <c r="S93" s="97" t="e">
        <f>VLOOKUP($I93,ngsaTEMP,17,FALSE)</f>
        <v>#REF!</v>
      </c>
      <c r="T93" s="97" t="e">
        <f>VLOOKUP($I93,ngsaTEMP,17,FALSE)</f>
        <v>#REF!</v>
      </c>
      <c r="U93" s="97" t="e">
        <f>VLOOKUP($I93,ngsaTEMP,17,FALSE)</f>
        <v>#REF!</v>
      </c>
      <c r="V93" s="97"/>
      <c r="W93" s="97"/>
      <c r="X93" s="97"/>
      <c r="Y93" s="97"/>
      <c r="Z93" s="105"/>
      <c r="AA93" s="114"/>
      <c r="AB93" s="97" t="e">
        <f t="shared" si="136"/>
        <v>#N/A</v>
      </c>
      <c r="AC93" s="97" t="e">
        <f t="shared" si="137"/>
        <v>#N/A</v>
      </c>
      <c r="AD93" s="97" t="e">
        <f t="shared" si="138"/>
        <v>#N/A</v>
      </c>
      <c r="AE93" s="97" t="e">
        <f t="shared" si="139"/>
        <v>#N/A</v>
      </c>
      <c r="AF93" s="97" t="e">
        <f t="shared" si="140"/>
        <v>#N/A</v>
      </c>
      <c r="AG93" s="97" t="e">
        <f t="shared" si="141"/>
        <v>#N/A</v>
      </c>
      <c r="AH93" s="97" t="e">
        <f t="shared" si="142"/>
        <v>#N/A</v>
      </c>
      <c r="AI93" s="97" t="e">
        <f t="shared" si="196"/>
        <v>#REF!</v>
      </c>
      <c r="AJ93" s="97" t="e">
        <f t="shared" si="196"/>
        <v>#REF!</v>
      </c>
      <c r="AK93" s="97" t="e">
        <f t="shared" si="196"/>
        <v>#REF!</v>
      </c>
      <c r="AL93" s="97" t="e">
        <f t="shared" si="196"/>
        <v>#REF!</v>
      </c>
      <c r="AM93" s="97"/>
      <c r="AN93" s="97"/>
      <c r="AO93" s="97"/>
      <c r="AP93" s="97"/>
      <c r="AQ93" s="105" t="str">
        <f t="shared" si="201"/>
        <v xml:space="preserve"> </v>
      </c>
      <c r="AR93" s="114"/>
      <c r="AS93" s="95">
        <f t="shared" si="184"/>
        <v>0</v>
      </c>
      <c r="AT93" s="124">
        <f t="shared" si="185"/>
        <v>0</v>
      </c>
      <c r="AU93" s="97" t="e">
        <f t="shared" si="144"/>
        <v>#N/A</v>
      </c>
      <c r="AV93" s="97" t="e">
        <f t="shared" si="145"/>
        <v>#N/A</v>
      </c>
      <c r="AW93" s="97" t="e">
        <f t="shared" si="146"/>
        <v>#N/A</v>
      </c>
      <c r="AX93" s="97" t="e">
        <f t="shared" si="147"/>
        <v>#N/A</v>
      </c>
      <c r="AY93" s="97" t="e">
        <f t="shared" si="148"/>
        <v>#N/A</v>
      </c>
      <c r="AZ93" s="97" t="e">
        <f t="shared" si="149"/>
        <v>#N/A</v>
      </c>
      <c r="BA93" s="97" t="e">
        <f t="shared" si="150"/>
        <v>#N/A</v>
      </c>
      <c r="BB93" s="97" t="e">
        <f t="shared" si="197"/>
        <v>#REF!</v>
      </c>
      <c r="BC93" s="97" t="e">
        <f t="shared" si="197"/>
        <v>#REF!</v>
      </c>
      <c r="BD93" s="97" t="e">
        <f t="shared" si="197"/>
        <v>#REF!</v>
      </c>
      <c r="BE93" s="97" t="e">
        <f t="shared" si="197"/>
        <v>#REF!</v>
      </c>
      <c r="BF93" s="97"/>
      <c r="BG93" s="97"/>
      <c r="BH93" s="97"/>
      <c r="BI93" s="97"/>
      <c r="BJ93" s="105" t="str">
        <f t="shared" si="177"/>
        <v xml:space="preserve"> </v>
      </c>
      <c r="BK93" s="114"/>
      <c r="BL93" s="97" t="e">
        <f t="shared" si="152"/>
        <v>#N/A</v>
      </c>
      <c r="BM93" s="97" t="e">
        <f t="shared" si="153"/>
        <v>#N/A</v>
      </c>
      <c r="BN93" s="97" t="e">
        <f t="shared" si="154"/>
        <v>#N/A</v>
      </c>
      <c r="BO93" s="97" t="e">
        <f t="shared" si="155"/>
        <v>#N/A</v>
      </c>
      <c r="BP93" s="97" t="e">
        <f t="shared" si="156"/>
        <v>#N/A</v>
      </c>
      <c r="BQ93" s="97" t="e">
        <f t="shared" si="157"/>
        <v>#N/A</v>
      </c>
      <c r="BR93" s="97" t="e">
        <f t="shared" si="158"/>
        <v>#N/A</v>
      </c>
      <c r="BS93" s="97" t="e">
        <f t="shared" si="198"/>
        <v>#REF!</v>
      </c>
      <c r="BT93" s="97" t="e">
        <f t="shared" si="198"/>
        <v>#REF!</v>
      </c>
      <c r="BU93" s="97" t="e">
        <f t="shared" si="198"/>
        <v>#REF!</v>
      </c>
      <c r="BV93" s="97" t="e">
        <f t="shared" si="198"/>
        <v>#REF!</v>
      </c>
      <c r="BW93" s="97"/>
      <c r="BX93" s="97"/>
      <c r="BY93" s="97"/>
      <c r="BZ93" s="97"/>
      <c r="CA93" s="105" t="str">
        <f t="shared" si="178"/>
        <v xml:space="preserve"> </v>
      </c>
      <c r="CB93" s="114"/>
      <c r="CC93" s="95">
        <f t="shared" si="191"/>
        <v>0</v>
      </c>
      <c r="CD93" s="124">
        <f t="shared" si="192"/>
        <v>0</v>
      </c>
      <c r="CE93" s="97" t="e">
        <f t="shared" si="160"/>
        <v>#N/A</v>
      </c>
      <c r="CF93" s="97" t="e">
        <f t="shared" si="161"/>
        <v>#N/A</v>
      </c>
      <c r="CG93" s="97" t="e">
        <f t="shared" si="162"/>
        <v>#N/A</v>
      </c>
      <c r="CH93" s="97" t="e">
        <f t="shared" si="163"/>
        <v>#N/A</v>
      </c>
      <c r="CI93" s="97" t="e">
        <f t="shared" si="164"/>
        <v>#N/A</v>
      </c>
      <c r="CJ93" s="97" t="e">
        <f t="shared" si="165"/>
        <v>#N/A</v>
      </c>
      <c r="CK93" s="97" t="e">
        <f t="shared" si="166"/>
        <v>#N/A</v>
      </c>
      <c r="CL93" s="97" t="e">
        <f t="shared" si="199"/>
        <v>#REF!</v>
      </c>
      <c r="CM93" s="97" t="e">
        <f t="shared" si="199"/>
        <v>#REF!</v>
      </c>
      <c r="CN93" s="97" t="e">
        <f t="shared" si="199"/>
        <v>#REF!</v>
      </c>
      <c r="CO93" s="97" t="e">
        <f t="shared" si="199"/>
        <v>#REF!</v>
      </c>
      <c r="CP93" s="97"/>
      <c r="CQ93" s="97"/>
      <c r="CR93" s="97"/>
      <c r="CS93" s="97"/>
      <c r="CT93" s="105" t="str">
        <f t="shared" si="179"/>
        <v xml:space="preserve"> </v>
      </c>
      <c r="CU93" s="118"/>
      <c r="CV93" s="95">
        <f t="shared" si="193"/>
        <v>0</v>
      </c>
      <c r="CW93" s="124">
        <f t="shared" si="194"/>
        <v>0</v>
      </c>
      <c r="CX93" s="97" t="e">
        <f t="shared" si="168"/>
        <v>#N/A</v>
      </c>
      <c r="CY93" s="97" t="e">
        <f t="shared" si="169"/>
        <v>#N/A</v>
      </c>
      <c r="CZ93" s="97" t="e">
        <f t="shared" si="170"/>
        <v>#N/A</v>
      </c>
      <c r="DA93" s="97" t="e">
        <f t="shared" si="171"/>
        <v>#N/A</v>
      </c>
      <c r="DB93" s="97" t="e">
        <f t="shared" si="172"/>
        <v>#N/A</v>
      </c>
      <c r="DC93" s="97" t="e">
        <f t="shared" si="173"/>
        <v>#N/A</v>
      </c>
      <c r="DD93" s="97" t="e">
        <f t="shared" si="174"/>
        <v>#N/A</v>
      </c>
      <c r="DE93" s="186"/>
      <c r="DF93" s="186"/>
      <c r="DG93" s="186"/>
      <c r="DH93" s="186"/>
      <c r="DI93" s="186"/>
      <c r="DM93" s="187"/>
      <c r="DN93" s="187" t="e">
        <f>SUM(DM48:DM93)</f>
        <v>#N/A</v>
      </c>
    </row>
    <row r="94" spans="1:118" ht="15.75" hidden="1" x14ac:dyDescent="0.25">
      <c r="A94" s="127"/>
      <c r="B94" s="127"/>
      <c r="C94" s="41"/>
      <c r="D94" s="38"/>
      <c r="E94" s="24"/>
      <c r="F94" s="24"/>
      <c r="G94" s="136"/>
      <c r="I94" s="32"/>
      <c r="J94" s="121"/>
      <c r="K94" s="97" t="e">
        <f t="shared" ref="K94:K107" si="202">VLOOKUP($I94,ngsa1005,17,FALSE)</f>
        <v>#N/A</v>
      </c>
      <c r="L94" s="97" t="e">
        <f t="shared" ref="L94:L107" si="203">VLOOKUP($I94,ngsa1007,17,FALSE)</f>
        <v>#N/A</v>
      </c>
      <c r="M94" s="97" t="e">
        <f t="shared" ref="M94:M107" si="204">VLOOKUP($I94,ngsa1015,17,FALSE)</f>
        <v>#N/A</v>
      </c>
      <c r="N94" s="97" t="e">
        <f t="shared" ref="N94:N107" si="205">VLOOKUP($I94,ngsa1020,17,FALSE)</f>
        <v>#N/A</v>
      </c>
      <c r="O94" s="97" t="e">
        <f t="shared" ref="O94:O107" si="206">VLOOKUP($I94,ngsa1021,17,FALSE)</f>
        <v>#N/A</v>
      </c>
      <c r="P94" s="97" t="e">
        <f t="shared" ref="P94:P107" si="207">VLOOKUP($I94,ngsa1030,17,FALSE)</f>
        <v>#N/A</v>
      </c>
      <c r="Q94" s="97" t="e">
        <f t="shared" ref="Q94:Q107" si="208">VLOOKUP($I94,ngsa1115,17,FALSE)</f>
        <v>#N/A</v>
      </c>
      <c r="R94" s="97" t="e">
        <f t="shared" ref="R94:R107" si="209">VLOOKUP($I94,ngsa1121,17,FALSE)</f>
        <v>#REF!</v>
      </c>
      <c r="S94" s="97" t="e">
        <f t="shared" ref="S94:S107" si="210">VLOOKUP($I94,ngsa1129,17,FALSE)</f>
        <v>#REF!</v>
      </c>
      <c r="T94" s="97" t="e">
        <f t="shared" ref="T94:T107" si="211">VLOOKUP($I94,ngsa1205,17,FALSE)</f>
        <v>#REF!</v>
      </c>
      <c r="U94" s="97" t="e">
        <f t="shared" ref="U94:U107" si="212">VLOOKUP($I94,ngsa1213,17,FALSE)</f>
        <v>#REF!</v>
      </c>
      <c r="V94" s="97"/>
      <c r="W94" s="97"/>
      <c r="X94" s="97"/>
      <c r="Y94" s="97"/>
      <c r="Z94" s="105"/>
      <c r="AA94" s="114"/>
      <c r="AB94" s="97" t="e">
        <f t="shared" ref="AB94:AB107" si="213">VLOOKUP($I94,ngsa1005,18,FALSE)</f>
        <v>#N/A</v>
      </c>
      <c r="AC94" s="97" t="e">
        <f t="shared" ref="AC94:AC107" si="214">VLOOKUP($I94,ngsa1007,18,FALSE)</f>
        <v>#N/A</v>
      </c>
      <c r="AD94" s="97" t="e">
        <f t="shared" ref="AD94:AD107" si="215">VLOOKUP($I94,ngsa1015,18,FALSE)</f>
        <v>#N/A</v>
      </c>
      <c r="AE94" s="97" t="e">
        <f t="shared" ref="AE94:AE107" si="216">VLOOKUP($I94,ngsa1020,18,FALSE)</f>
        <v>#N/A</v>
      </c>
      <c r="AF94" s="97" t="e">
        <f t="shared" ref="AF94:AF107" si="217">VLOOKUP($I94,ngsa1021,18,FALSE)</f>
        <v>#N/A</v>
      </c>
      <c r="AG94" s="97" t="e">
        <f t="shared" ref="AG94:AG107" si="218">VLOOKUP($I94,ngsa1030,18,FALSE)</f>
        <v>#N/A</v>
      </c>
      <c r="AH94" s="97" t="e">
        <f t="shared" ref="AH94:AH107" si="219">VLOOKUP($I94,ngsa1115,18,FALSE)</f>
        <v>#N/A</v>
      </c>
      <c r="AI94" s="97" t="e">
        <f t="shared" ref="AI94:AI107" si="220">VLOOKUP($I94,ngsa1121,18,FALSE)</f>
        <v>#REF!</v>
      </c>
      <c r="AJ94" s="97" t="e">
        <f t="shared" ref="AJ94:AJ107" si="221">VLOOKUP($I94,ngsa1129,18,FALSE)</f>
        <v>#REF!</v>
      </c>
      <c r="AK94" s="97" t="e">
        <f t="shared" ref="AK94:AK107" si="222">VLOOKUP($I94,ngsa1205,18,FALSE)</f>
        <v>#REF!</v>
      </c>
      <c r="AL94" s="97" t="e">
        <f t="shared" ref="AL94:AL107" si="223">VLOOKUP($I94,ngsa1213,18,FALSE)</f>
        <v>#REF!</v>
      </c>
      <c r="AM94" s="97"/>
      <c r="AN94" s="97"/>
      <c r="AO94" s="97"/>
      <c r="AP94" s="97"/>
      <c r="AQ94" s="105" t="str">
        <f t="shared" si="201"/>
        <v xml:space="preserve"> </v>
      </c>
      <c r="AR94" s="114"/>
      <c r="AS94" s="95">
        <f t="shared" si="184"/>
        <v>0</v>
      </c>
      <c r="AT94" s="124">
        <f t="shared" si="185"/>
        <v>0</v>
      </c>
      <c r="AU94" s="97" t="e">
        <f t="shared" ref="AU94:AU107" si="224">VLOOKUP($I94,ngsa1005,19,FALSE)</f>
        <v>#N/A</v>
      </c>
      <c r="AV94" s="97" t="e">
        <f t="shared" ref="AV94:AV107" si="225">VLOOKUP($I94,ngsa1007,19,FALSE)</f>
        <v>#N/A</v>
      </c>
      <c r="AW94" s="97" t="e">
        <f t="shared" ref="AW94:AW107" si="226">VLOOKUP($I94,ngsa1015,19,FALSE)</f>
        <v>#N/A</v>
      </c>
      <c r="AX94" s="97" t="e">
        <f t="shared" ref="AX94:AX107" si="227">VLOOKUP($I94,ngsa1020,19,FALSE)</f>
        <v>#N/A</v>
      </c>
      <c r="AY94" s="97" t="e">
        <f t="shared" ref="AY94:AY107" si="228">VLOOKUP($I94,ngsa1021,19,FALSE)</f>
        <v>#N/A</v>
      </c>
      <c r="AZ94" s="97" t="e">
        <f t="shared" ref="AZ94:AZ107" si="229">VLOOKUP($I94,ngsa1030,19,FALSE)</f>
        <v>#N/A</v>
      </c>
      <c r="BA94" s="97" t="e">
        <f t="shared" ref="BA94:BA107" si="230">VLOOKUP($I94,ngsa1115,19,FALSE)</f>
        <v>#N/A</v>
      </c>
      <c r="BB94" s="97" t="e">
        <f t="shared" ref="BB94:BB107" si="231">VLOOKUP($I94,ngsa1121,19,FALSE)</f>
        <v>#REF!</v>
      </c>
      <c r="BC94" s="97" t="e">
        <f t="shared" ref="BC94:BC107" si="232">VLOOKUP($I94,ngsa1129,19,FALSE)</f>
        <v>#REF!</v>
      </c>
      <c r="BD94" s="97" t="e">
        <f t="shared" ref="BD94:BD107" si="233">VLOOKUP($I94,ngsa1205,19,FALSE)</f>
        <v>#REF!</v>
      </c>
      <c r="BE94" s="97" t="e">
        <f t="shared" ref="BE94:BE107" si="234">VLOOKUP($I94,ngsa1213,19,FALSE)</f>
        <v>#REF!</v>
      </c>
      <c r="BF94" s="97"/>
      <c r="BG94" s="97"/>
      <c r="BH94" s="97"/>
      <c r="BI94" s="97"/>
      <c r="BJ94" s="105" t="str">
        <f t="shared" si="177"/>
        <v xml:space="preserve"> </v>
      </c>
      <c r="BK94" s="114"/>
      <c r="BL94" s="97" t="e">
        <f t="shared" ref="BL94:BL107" si="235">VLOOKUP($I94,ngsa1005,20,FALSE)</f>
        <v>#N/A</v>
      </c>
      <c r="BM94" s="97" t="e">
        <f t="shared" ref="BM94:BM107" si="236">VLOOKUP($I94,ngsa1007,20,FALSE)</f>
        <v>#N/A</v>
      </c>
      <c r="BN94" s="97" t="e">
        <f t="shared" ref="BN94:BN107" si="237">VLOOKUP($I94,ngsa1015,20,FALSE)</f>
        <v>#N/A</v>
      </c>
      <c r="BO94" s="97" t="e">
        <f t="shared" ref="BO94:BO107" si="238">VLOOKUP($I94,ngsa1020,20,FALSE)</f>
        <v>#N/A</v>
      </c>
      <c r="BP94" s="97" t="e">
        <f t="shared" ref="BP94:BP107" si="239">VLOOKUP($I94,ngsa1021,20,FALSE)</f>
        <v>#N/A</v>
      </c>
      <c r="BQ94" s="97" t="e">
        <f t="shared" ref="BQ94:BQ107" si="240">VLOOKUP($I94,ngsa1030,20,FALSE)</f>
        <v>#N/A</v>
      </c>
      <c r="BR94" s="97" t="e">
        <f t="shared" ref="BR94:BR107" si="241">VLOOKUP($I94,ngsa1115,20,FALSE)</f>
        <v>#N/A</v>
      </c>
      <c r="BS94" s="97" t="e">
        <f t="shared" ref="BS94:BS107" si="242">VLOOKUP($I94,ngsa1121,20,FALSE)</f>
        <v>#REF!</v>
      </c>
      <c r="BT94" s="97" t="e">
        <f t="shared" ref="BT94:BT107" si="243">VLOOKUP($I94,ngsa1129,20,FALSE)</f>
        <v>#REF!</v>
      </c>
      <c r="BU94" s="97" t="e">
        <f t="shared" ref="BU94:BU107" si="244">VLOOKUP($I94,ngsa1205,20,FALSE)</f>
        <v>#REF!</v>
      </c>
      <c r="BV94" s="97" t="e">
        <f t="shared" ref="BV94:BV107" si="245">VLOOKUP($I94,ngsa1213,20,FALSE)</f>
        <v>#REF!</v>
      </c>
      <c r="BW94" s="97"/>
      <c r="BX94" s="97"/>
      <c r="BY94" s="97"/>
      <c r="BZ94" s="97"/>
      <c r="CA94" s="105" t="str">
        <f t="shared" si="178"/>
        <v xml:space="preserve"> </v>
      </c>
      <c r="CB94" s="114"/>
      <c r="CC94" s="95">
        <f t="shared" si="191"/>
        <v>0</v>
      </c>
      <c r="CD94" s="124">
        <f t="shared" si="192"/>
        <v>0</v>
      </c>
      <c r="CE94" s="97" t="e">
        <f t="shared" ref="CE94:CE107" si="246">VLOOKUP($I94,ngsa1005,21,FALSE)</f>
        <v>#N/A</v>
      </c>
      <c r="CF94" s="97" t="e">
        <f t="shared" ref="CF94:CF107" si="247">VLOOKUP($I94,ngsa1007,21,FALSE)</f>
        <v>#N/A</v>
      </c>
      <c r="CG94" s="97" t="e">
        <f t="shared" ref="CG94:CG107" si="248">VLOOKUP($I94,ngsa1015,21,FALSE)</f>
        <v>#N/A</v>
      </c>
      <c r="CH94" s="97" t="e">
        <f t="shared" ref="CH94:CH107" si="249">VLOOKUP($I94,ngsa1020,21,FALSE)</f>
        <v>#N/A</v>
      </c>
      <c r="CI94" s="97" t="e">
        <f t="shared" ref="CI94:CI107" si="250">VLOOKUP($I94,ngsa1021,21,FALSE)</f>
        <v>#N/A</v>
      </c>
      <c r="CJ94" s="97" t="e">
        <f t="shared" ref="CJ94:CJ107" si="251">VLOOKUP($I94,ngsa1030,21,FALSE)</f>
        <v>#N/A</v>
      </c>
      <c r="CK94" s="97" t="e">
        <f t="shared" ref="CK94:CK107" si="252">VLOOKUP($I94,ngsa1115,21,FALSE)</f>
        <v>#N/A</v>
      </c>
      <c r="CL94" s="97" t="e">
        <f t="shared" ref="CL94:CL107" si="253">VLOOKUP($I94,ngsa1121,21,FALSE)</f>
        <v>#REF!</v>
      </c>
      <c r="CM94" s="97" t="e">
        <f t="shared" ref="CM94:CM107" si="254">VLOOKUP($I94,ngsa1129,21,FALSE)</f>
        <v>#REF!</v>
      </c>
      <c r="CN94" s="97" t="e">
        <f t="shared" ref="CN94:CN107" si="255">VLOOKUP($I94,ngsa1205,21,FALSE)</f>
        <v>#REF!</v>
      </c>
      <c r="CO94" s="97" t="e">
        <f t="shared" ref="CO94:CO107" si="256">VLOOKUP($I94,ngsa1213,21,FALSE)</f>
        <v>#REF!</v>
      </c>
      <c r="CP94" s="97"/>
      <c r="CQ94" s="97"/>
      <c r="CR94" s="97"/>
      <c r="CS94" s="97"/>
      <c r="CT94" s="105" t="str">
        <f t="shared" si="179"/>
        <v xml:space="preserve"> </v>
      </c>
      <c r="CU94" s="118"/>
      <c r="CV94" s="95">
        <f t="shared" si="193"/>
        <v>0</v>
      </c>
      <c r="CW94" s="124">
        <f t="shared" si="194"/>
        <v>0</v>
      </c>
      <c r="CX94" s="186" t="e">
        <f t="shared" ref="CX94:CX107" si="257">VLOOKUP($I94,ngsa1005,13,FALSE)</f>
        <v>#N/A</v>
      </c>
      <c r="CY94" s="186" t="e">
        <f t="shared" ref="CY94:CY107" si="258">VLOOKUP($I94,ngsa1007,13,FALSE)</f>
        <v>#N/A</v>
      </c>
      <c r="CZ94" s="186" t="e">
        <f t="shared" ref="CZ94:CZ107" si="259">VLOOKUP($I94,ngsa1015,13,FALSE)</f>
        <v>#N/A</v>
      </c>
      <c r="DA94" s="186" t="e">
        <f t="shared" ref="DA94:DA107" si="260">VLOOKUP($I94,ngsa1020,13,FALSE)</f>
        <v>#N/A</v>
      </c>
      <c r="DB94" s="186" t="e">
        <f t="shared" ref="DB94:DB107" si="261">VLOOKUP($I94,ngsa1021,13,FALSE)</f>
        <v>#N/A</v>
      </c>
      <c r="DC94" s="186" t="e">
        <f t="shared" ref="DC94:DC107" si="262">VLOOKUP($I94,ngsa1030,13,FALSE)</f>
        <v>#N/A</v>
      </c>
      <c r="DD94" s="186" t="e">
        <f t="shared" ref="DD94:DD107" si="263">VLOOKUP($I94,ngsa1115,13,FALSE)</f>
        <v>#N/A</v>
      </c>
      <c r="DE94" s="186" t="e">
        <f t="shared" ref="DE94:DE107" si="264">VLOOKUP($I94,ngsa1121,13,FALSE)</f>
        <v>#REF!</v>
      </c>
      <c r="DF94" s="186" t="e">
        <f t="shared" ref="DF94:DF107" si="265">VLOOKUP($I94,ngsa1129,13,FALSE)</f>
        <v>#REF!</v>
      </c>
      <c r="DG94" s="186" t="e">
        <f t="shared" ref="DG94:DG107" si="266">VLOOKUP($I94,ngsa1205,13,FALSE)</f>
        <v>#REF!</v>
      </c>
      <c r="DH94" s="186" t="e">
        <f t="shared" ref="DH94:DH107" si="267">VLOOKUP($I94,ngsa1213,13,FALSE)</f>
        <v>#REF!</v>
      </c>
      <c r="DI94" s="186"/>
      <c r="DM94" s="187" t="e">
        <f t="shared" si="195"/>
        <v>#N/A</v>
      </c>
    </row>
    <row r="95" spans="1:118" ht="15.75" hidden="1" x14ac:dyDescent="0.25">
      <c r="A95" s="127"/>
      <c r="B95" s="127"/>
      <c r="C95" s="41"/>
      <c r="D95" s="38"/>
      <c r="E95" s="24"/>
      <c r="F95" s="24"/>
      <c r="G95" s="136"/>
      <c r="I95" s="32"/>
      <c r="J95" s="121"/>
      <c r="K95" s="97" t="e">
        <f t="shared" si="202"/>
        <v>#N/A</v>
      </c>
      <c r="L95" s="97" t="e">
        <f t="shared" si="203"/>
        <v>#N/A</v>
      </c>
      <c r="M95" s="97" t="e">
        <f t="shared" si="204"/>
        <v>#N/A</v>
      </c>
      <c r="N95" s="97" t="e">
        <f t="shared" si="205"/>
        <v>#N/A</v>
      </c>
      <c r="O95" s="97" t="e">
        <f t="shared" si="206"/>
        <v>#N/A</v>
      </c>
      <c r="P95" s="97" t="e">
        <f t="shared" si="207"/>
        <v>#N/A</v>
      </c>
      <c r="Q95" s="97" t="e">
        <f t="shared" si="208"/>
        <v>#N/A</v>
      </c>
      <c r="R95" s="97" t="e">
        <f t="shared" si="209"/>
        <v>#REF!</v>
      </c>
      <c r="S95" s="97" t="e">
        <f t="shared" si="210"/>
        <v>#REF!</v>
      </c>
      <c r="T95" s="97" t="e">
        <f t="shared" si="211"/>
        <v>#REF!</v>
      </c>
      <c r="U95" s="97" t="e">
        <f t="shared" si="212"/>
        <v>#REF!</v>
      </c>
      <c r="V95" s="97"/>
      <c r="W95" s="97"/>
      <c r="X95" s="97"/>
      <c r="Y95" s="97"/>
      <c r="Z95" s="105"/>
      <c r="AA95" s="114"/>
      <c r="AB95" s="97" t="e">
        <f t="shared" si="213"/>
        <v>#N/A</v>
      </c>
      <c r="AC95" s="97" t="e">
        <f t="shared" si="214"/>
        <v>#N/A</v>
      </c>
      <c r="AD95" s="97" t="e">
        <f t="shared" si="215"/>
        <v>#N/A</v>
      </c>
      <c r="AE95" s="97" t="e">
        <f t="shared" si="216"/>
        <v>#N/A</v>
      </c>
      <c r="AF95" s="97" t="e">
        <f t="shared" si="217"/>
        <v>#N/A</v>
      </c>
      <c r="AG95" s="97" t="e">
        <f t="shared" si="218"/>
        <v>#N/A</v>
      </c>
      <c r="AH95" s="97" t="e">
        <f t="shared" si="219"/>
        <v>#N/A</v>
      </c>
      <c r="AI95" s="97" t="e">
        <f t="shared" si="220"/>
        <v>#REF!</v>
      </c>
      <c r="AJ95" s="97" t="e">
        <f t="shared" si="221"/>
        <v>#REF!</v>
      </c>
      <c r="AK95" s="97" t="e">
        <f t="shared" si="222"/>
        <v>#REF!</v>
      </c>
      <c r="AL95" s="97" t="e">
        <f t="shared" si="223"/>
        <v>#REF!</v>
      </c>
      <c r="AM95" s="97"/>
      <c r="AN95" s="97"/>
      <c r="AO95" s="97"/>
      <c r="AP95" s="97"/>
      <c r="AQ95" s="105" t="str">
        <f t="shared" si="201"/>
        <v xml:space="preserve"> </v>
      </c>
      <c r="AR95" s="114"/>
      <c r="AS95" s="95">
        <f t="shared" si="184"/>
        <v>0</v>
      </c>
      <c r="AT95" s="124">
        <f t="shared" si="185"/>
        <v>0</v>
      </c>
      <c r="AU95" s="97" t="e">
        <f t="shared" si="224"/>
        <v>#N/A</v>
      </c>
      <c r="AV95" s="97" t="e">
        <f t="shared" si="225"/>
        <v>#N/A</v>
      </c>
      <c r="AW95" s="97" t="e">
        <f t="shared" si="226"/>
        <v>#N/A</v>
      </c>
      <c r="AX95" s="97" t="e">
        <f t="shared" si="227"/>
        <v>#N/A</v>
      </c>
      <c r="AY95" s="97" t="e">
        <f t="shared" si="228"/>
        <v>#N/A</v>
      </c>
      <c r="AZ95" s="97" t="e">
        <f t="shared" si="229"/>
        <v>#N/A</v>
      </c>
      <c r="BA95" s="97" t="e">
        <f t="shared" si="230"/>
        <v>#N/A</v>
      </c>
      <c r="BB95" s="97" t="e">
        <f t="shared" si="231"/>
        <v>#REF!</v>
      </c>
      <c r="BC95" s="97" t="e">
        <f t="shared" si="232"/>
        <v>#REF!</v>
      </c>
      <c r="BD95" s="97" t="e">
        <f t="shared" si="233"/>
        <v>#REF!</v>
      </c>
      <c r="BE95" s="97" t="e">
        <f t="shared" si="234"/>
        <v>#REF!</v>
      </c>
      <c r="BF95" s="97"/>
      <c r="BG95" s="97"/>
      <c r="BH95" s="97"/>
      <c r="BI95" s="97"/>
      <c r="BJ95" s="105" t="str">
        <f t="shared" si="177"/>
        <v xml:space="preserve"> </v>
      </c>
      <c r="BK95" s="114"/>
      <c r="BL95" s="97" t="e">
        <f t="shared" si="235"/>
        <v>#N/A</v>
      </c>
      <c r="BM95" s="97" t="e">
        <f t="shared" si="236"/>
        <v>#N/A</v>
      </c>
      <c r="BN95" s="97" t="e">
        <f t="shared" si="237"/>
        <v>#N/A</v>
      </c>
      <c r="BO95" s="97" t="e">
        <f t="shared" si="238"/>
        <v>#N/A</v>
      </c>
      <c r="BP95" s="97" t="e">
        <f t="shared" si="239"/>
        <v>#N/A</v>
      </c>
      <c r="BQ95" s="97" t="e">
        <f t="shared" si="240"/>
        <v>#N/A</v>
      </c>
      <c r="BR95" s="97" t="e">
        <f t="shared" si="241"/>
        <v>#N/A</v>
      </c>
      <c r="BS95" s="97" t="e">
        <f t="shared" si="242"/>
        <v>#REF!</v>
      </c>
      <c r="BT95" s="97" t="e">
        <f t="shared" si="243"/>
        <v>#REF!</v>
      </c>
      <c r="BU95" s="97" t="e">
        <f t="shared" si="244"/>
        <v>#REF!</v>
      </c>
      <c r="BV95" s="97" t="e">
        <f t="shared" si="245"/>
        <v>#REF!</v>
      </c>
      <c r="BW95" s="97"/>
      <c r="BX95" s="97"/>
      <c r="BY95" s="97"/>
      <c r="BZ95" s="97"/>
      <c r="CA95" s="105" t="str">
        <f t="shared" si="178"/>
        <v xml:space="preserve"> </v>
      </c>
      <c r="CB95" s="114"/>
      <c r="CC95" s="95">
        <f t="shared" si="191"/>
        <v>0</v>
      </c>
      <c r="CD95" s="124">
        <f t="shared" si="192"/>
        <v>0</v>
      </c>
      <c r="CE95" s="97" t="e">
        <f t="shared" si="246"/>
        <v>#N/A</v>
      </c>
      <c r="CF95" s="97" t="e">
        <f t="shared" si="247"/>
        <v>#N/A</v>
      </c>
      <c r="CG95" s="97" t="e">
        <f t="shared" si="248"/>
        <v>#N/A</v>
      </c>
      <c r="CH95" s="97" t="e">
        <f t="shared" si="249"/>
        <v>#N/A</v>
      </c>
      <c r="CI95" s="97" t="e">
        <f t="shared" si="250"/>
        <v>#N/A</v>
      </c>
      <c r="CJ95" s="97" t="e">
        <f t="shared" si="251"/>
        <v>#N/A</v>
      </c>
      <c r="CK95" s="97" t="e">
        <f t="shared" si="252"/>
        <v>#N/A</v>
      </c>
      <c r="CL95" s="97" t="e">
        <f t="shared" si="253"/>
        <v>#REF!</v>
      </c>
      <c r="CM95" s="97" t="e">
        <f t="shared" si="254"/>
        <v>#REF!</v>
      </c>
      <c r="CN95" s="97" t="e">
        <f t="shared" si="255"/>
        <v>#REF!</v>
      </c>
      <c r="CO95" s="97" t="e">
        <f t="shared" si="256"/>
        <v>#REF!</v>
      </c>
      <c r="CP95" s="97"/>
      <c r="CQ95" s="97"/>
      <c r="CR95" s="97"/>
      <c r="CS95" s="97"/>
      <c r="CT95" s="105" t="str">
        <f t="shared" si="179"/>
        <v xml:space="preserve"> </v>
      </c>
      <c r="CU95" s="118"/>
      <c r="CV95" s="95">
        <f t="shared" si="193"/>
        <v>0</v>
      </c>
      <c r="CW95" s="124">
        <f t="shared" si="194"/>
        <v>0</v>
      </c>
      <c r="CX95" s="186" t="e">
        <f t="shared" si="257"/>
        <v>#N/A</v>
      </c>
      <c r="CY95" s="186" t="e">
        <f t="shared" si="258"/>
        <v>#N/A</v>
      </c>
      <c r="CZ95" s="186" t="e">
        <f t="shared" si="259"/>
        <v>#N/A</v>
      </c>
      <c r="DA95" s="186" t="e">
        <f t="shared" si="260"/>
        <v>#N/A</v>
      </c>
      <c r="DB95" s="186" t="e">
        <f t="shared" si="261"/>
        <v>#N/A</v>
      </c>
      <c r="DC95" s="186" t="e">
        <f t="shared" si="262"/>
        <v>#N/A</v>
      </c>
      <c r="DD95" s="186" t="e">
        <f t="shared" si="263"/>
        <v>#N/A</v>
      </c>
      <c r="DE95" s="186" t="e">
        <f t="shared" si="264"/>
        <v>#REF!</v>
      </c>
      <c r="DF95" s="186" t="e">
        <f t="shared" si="265"/>
        <v>#REF!</v>
      </c>
      <c r="DG95" s="186" t="e">
        <f t="shared" si="266"/>
        <v>#REF!</v>
      </c>
      <c r="DH95" s="186" t="e">
        <f t="shared" si="267"/>
        <v>#REF!</v>
      </c>
      <c r="DI95" s="186"/>
      <c r="DM95" s="187" t="e">
        <f t="shared" si="195"/>
        <v>#N/A</v>
      </c>
    </row>
    <row r="96" spans="1:118" ht="15.75" hidden="1" x14ac:dyDescent="0.25">
      <c r="A96" s="127"/>
      <c r="B96" s="127"/>
      <c r="C96" s="41"/>
      <c r="D96" s="38"/>
      <c r="E96" s="24"/>
      <c r="F96" s="24"/>
      <c r="G96" s="136"/>
      <c r="I96" s="32"/>
      <c r="J96" s="121"/>
      <c r="K96" s="97" t="e">
        <f t="shared" si="202"/>
        <v>#N/A</v>
      </c>
      <c r="L96" s="97" t="e">
        <f t="shared" si="203"/>
        <v>#N/A</v>
      </c>
      <c r="M96" s="97" t="e">
        <f t="shared" si="204"/>
        <v>#N/A</v>
      </c>
      <c r="N96" s="97" t="e">
        <f t="shared" si="205"/>
        <v>#N/A</v>
      </c>
      <c r="O96" s="97" t="e">
        <f t="shared" si="206"/>
        <v>#N/A</v>
      </c>
      <c r="P96" s="97" t="e">
        <f t="shared" si="207"/>
        <v>#N/A</v>
      </c>
      <c r="Q96" s="97" t="e">
        <f t="shared" si="208"/>
        <v>#N/A</v>
      </c>
      <c r="R96" s="97" t="e">
        <f t="shared" si="209"/>
        <v>#REF!</v>
      </c>
      <c r="S96" s="97" t="e">
        <f t="shared" si="210"/>
        <v>#REF!</v>
      </c>
      <c r="T96" s="97" t="e">
        <f t="shared" si="211"/>
        <v>#REF!</v>
      </c>
      <c r="U96" s="97" t="e">
        <f t="shared" si="212"/>
        <v>#REF!</v>
      </c>
      <c r="V96" s="97"/>
      <c r="W96" s="97"/>
      <c r="X96" s="97"/>
      <c r="Y96" s="97"/>
      <c r="Z96" s="105"/>
      <c r="AA96" s="114"/>
      <c r="AB96" s="97" t="e">
        <f t="shared" si="213"/>
        <v>#N/A</v>
      </c>
      <c r="AC96" s="97" t="e">
        <f t="shared" si="214"/>
        <v>#N/A</v>
      </c>
      <c r="AD96" s="97" t="e">
        <f t="shared" si="215"/>
        <v>#N/A</v>
      </c>
      <c r="AE96" s="97" t="e">
        <f t="shared" si="216"/>
        <v>#N/A</v>
      </c>
      <c r="AF96" s="97" t="e">
        <f t="shared" si="217"/>
        <v>#N/A</v>
      </c>
      <c r="AG96" s="97" t="e">
        <f t="shared" si="218"/>
        <v>#N/A</v>
      </c>
      <c r="AH96" s="97" t="e">
        <f t="shared" si="219"/>
        <v>#N/A</v>
      </c>
      <c r="AI96" s="97" t="e">
        <f t="shared" si="220"/>
        <v>#REF!</v>
      </c>
      <c r="AJ96" s="97" t="e">
        <f t="shared" si="221"/>
        <v>#REF!</v>
      </c>
      <c r="AK96" s="97" t="e">
        <f t="shared" si="222"/>
        <v>#REF!</v>
      </c>
      <c r="AL96" s="97" t="e">
        <f t="shared" si="223"/>
        <v>#REF!</v>
      </c>
      <c r="AM96" s="97"/>
      <c r="AN96" s="97"/>
      <c r="AO96" s="97"/>
      <c r="AP96" s="97"/>
      <c r="AQ96" s="105" t="str">
        <f t="shared" si="201"/>
        <v xml:space="preserve"> </v>
      </c>
      <c r="AR96" s="114"/>
      <c r="AS96" s="95">
        <f t="shared" si="184"/>
        <v>0</v>
      </c>
      <c r="AT96" s="124">
        <f t="shared" si="185"/>
        <v>0</v>
      </c>
      <c r="AU96" s="97" t="e">
        <f t="shared" si="224"/>
        <v>#N/A</v>
      </c>
      <c r="AV96" s="97" t="e">
        <f t="shared" si="225"/>
        <v>#N/A</v>
      </c>
      <c r="AW96" s="97" t="e">
        <f t="shared" si="226"/>
        <v>#N/A</v>
      </c>
      <c r="AX96" s="97" t="e">
        <f t="shared" si="227"/>
        <v>#N/A</v>
      </c>
      <c r="AY96" s="97" t="e">
        <f t="shared" si="228"/>
        <v>#N/A</v>
      </c>
      <c r="AZ96" s="97" t="e">
        <f t="shared" si="229"/>
        <v>#N/A</v>
      </c>
      <c r="BA96" s="97" t="e">
        <f t="shared" si="230"/>
        <v>#N/A</v>
      </c>
      <c r="BB96" s="97" t="e">
        <f t="shared" si="231"/>
        <v>#REF!</v>
      </c>
      <c r="BC96" s="97" t="e">
        <f t="shared" si="232"/>
        <v>#REF!</v>
      </c>
      <c r="BD96" s="97" t="e">
        <f t="shared" si="233"/>
        <v>#REF!</v>
      </c>
      <c r="BE96" s="97" t="e">
        <f t="shared" si="234"/>
        <v>#REF!</v>
      </c>
      <c r="BF96" s="97"/>
      <c r="BG96" s="97"/>
      <c r="BH96" s="97"/>
      <c r="BI96" s="97"/>
      <c r="BJ96" s="105" t="str">
        <f t="shared" si="177"/>
        <v xml:space="preserve"> </v>
      </c>
      <c r="BK96" s="114"/>
      <c r="BL96" s="97" t="e">
        <f t="shared" si="235"/>
        <v>#N/A</v>
      </c>
      <c r="BM96" s="97" t="e">
        <f t="shared" si="236"/>
        <v>#N/A</v>
      </c>
      <c r="BN96" s="97" t="e">
        <f t="shared" si="237"/>
        <v>#N/A</v>
      </c>
      <c r="BO96" s="97" t="e">
        <f t="shared" si="238"/>
        <v>#N/A</v>
      </c>
      <c r="BP96" s="97" t="e">
        <f t="shared" si="239"/>
        <v>#N/A</v>
      </c>
      <c r="BQ96" s="97" t="e">
        <f t="shared" si="240"/>
        <v>#N/A</v>
      </c>
      <c r="BR96" s="97" t="e">
        <f t="shared" si="241"/>
        <v>#N/A</v>
      </c>
      <c r="BS96" s="97" t="e">
        <f t="shared" si="242"/>
        <v>#REF!</v>
      </c>
      <c r="BT96" s="97" t="e">
        <f t="shared" si="243"/>
        <v>#REF!</v>
      </c>
      <c r="BU96" s="97" t="e">
        <f t="shared" si="244"/>
        <v>#REF!</v>
      </c>
      <c r="BV96" s="97" t="e">
        <f t="shared" si="245"/>
        <v>#REF!</v>
      </c>
      <c r="BW96" s="97"/>
      <c r="BX96" s="97"/>
      <c r="BY96" s="97"/>
      <c r="BZ96" s="97"/>
      <c r="CA96" s="105" t="str">
        <f t="shared" si="178"/>
        <v xml:space="preserve"> </v>
      </c>
      <c r="CB96" s="114"/>
      <c r="CC96" s="95">
        <f t="shared" si="191"/>
        <v>0</v>
      </c>
      <c r="CD96" s="124">
        <f t="shared" si="192"/>
        <v>0</v>
      </c>
      <c r="CE96" s="97" t="e">
        <f t="shared" si="246"/>
        <v>#N/A</v>
      </c>
      <c r="CF96" s="97" t="e">
        <f t="shared" si="247"/>
        <v>#N/A</v>
      </c>
      <c r="CG96" s="97" t="e">
        <f t="shared" si="248"/>
        <v>#N/A</v>
      </c>
      <c r="CH96" s="97" t="e">
        <f t="shared" si="249"/>
        <v>#N/A</v>
      </c>
      <c r="CI96" s="97" t="e">
        <f t="shared" si="250"/>
        <v>#N/A</v>
      </c>
      <c r="CJ96" s="97" t="e">
        <f t="shared" si="251"/>
        <v>#N/A</v>
      </c>
      <c r="CK96" s="97" t="e">
        <f t="shared" si="252"/>
        <v>#N/A</v>
      </c>
      <c r="CL96" s="97" t="e">
        <f t="shared" si="253"/>
        <v>#REF!</v>
      </c>
      <c r="CM96" s="97" t="e">
        <f t="shared" si="254"/>
        <v>#REF!</v>
      </c>
      <c r="CN96" s="97" t="e">
        <f t="shared" si="255"/>
        <v>#REF!</v>
      </c>
      <c r="CO96" s="97" t="e">
        <f t="shared" si="256"/>
        <v>#REF!</v>
      </c>
      <c r="CP96" s="97"/>
      <c r="CQ96" s="97"/>
      <c r="CR96" s="97"/>
      <c r="CS96" s="97"/>
      <c r="CT96" s="105" t="str">
        <f t="shared" si="179"/>
        <v xml:space="preserve"> </v>
      </c>
      <c r="CU96" s="118"/>
      <c r="CV96" s="95">
        <f t="shared" si="193"/>
        <v>0</v>
      </c>
      <c r="CW96" s="124">
        <f t="shared" si="194"/>
        <v>0</v>
      </c>
      <c r="CX96" s="186" t="e">
        <f t="shared" si="257"/>
        <v>#N/A</v>
      </c>
      <c r="CY96" s="186" t="e">
        <f t="shared" si="258"/>
        <v>#N/A</v>
      </c>
      <c r="CZ96" s="186" t="e">
        <f t="shared" si="259"/>
        <v>#N/A</v>
      </c>
      <c r="DA96" s="186" t="e">
        <f t="shared" si="260"/>
        <v>#N/A</v>
      </c>
      <c r="DB96" s="186" t="e">
        <f t="shared" si="261"/>
        <v>#N/A</v>
      </c>
      <c r="DC96" s="186" t="e">
        <f t="shared" si="262"/>
        <v>#N/A</v>
      </c>
      <c r="DD96" s="186" t="e">
        <f t="shared" si="263"/>
        <v>#N/A</v>
      </c>
      <c r="DE96" s="186" t="e">
        <f t="shared" si="264"/>
        <v>#REF!</v>
      </c>
      <c r="DF96" s="186" t="e">
        <f t="shared" si="265"/>
        <v>#REF!</v>
      </c>
      <c r="DG96" s="186" t="e">
        <f t="shared" si="266"/>
        <v>#REF!</v>
      </c>
      <c r="DH96" s="186" t="e">
        <f t="shared" si="267"/>
        <v>#REF!</v>
      </c>
      <c r="DI96" s="186"/>
      <c r="DM96" s="187" t="e">
        <f t="shared" si="195"/>
        <v>#N/A</v>
      </c>
    </row>
    <row r="97" spans="1:118" ht="15.75" hidden="1" x14ac:dyDescent="0.25">
      <c r="A97" s="127"/>
      <c r="B97" s="127"/>
      <c r="C97" s="41"/>
      <c r="D97" s="38"/>
      <c r="E97" s="24"/>
      <c r="F97" s="24"/>
      <c r="G97" s="136"/>
      <c r="I97" s="32"/>
      <c r="J97" s="121"/>
      <c r="K97" s="97" t="e">
        <f t="shared" si="202"/>
        <v>#N/A</v>
      </c>
      <c r="L97" s="97" t="e">
        <f t="shared" si="203"/>
        <v>#N/A</v>
      </c>
      <c r="M97" s="97" t="e">
        <f t="shared" si="204"/>
        <v>#N/A</v>
      </c>
      <c r="N97" s="97" t="e">
        <f t="shared" si="205"/>
        <v>#N/A</v>
      </c>
      <c r="O97" s="97" t="e">
        <f t="shared" si="206"/>
        <v>#N/A</v>
      </c>
      <c r="P97" s="97" t="e">
        <f t="shared" si="207"/>
        <v>#N/A</v>
      </c>
      <c r="Q97" s="97" t="e">
        <f t="shared" si="208"/>
        <v>#N/A</v>
      </c>
      <c r="R97" s="97" t="e">
        <f t="shared" si="209"/>
        <v>#REF!</v>
      </c>
      <c r="S97" s="97" t="e">
        <f t="shared" si="210"/>
        <v>#REF!</v>
      </c>
      <c r="T97" s="97" t="e">
        <f t="shared" si="211"/>
        <v>#REF!</v>
      </c>
      <c r="U97" s="97" t="e">
        <f t="shared" si="212"/>
        <v>#REF!</v>
      </c>
      <c r="V97" s="97"/>
      <c r="W97" s="97"/>
      <c r="X97" s="97"/>
      <c r="Y97" s="97"/>
      <c r="Z97" s="105"/>
      <c r="AA97" s="114"/>
      <c r="AB97" s="97" t="e">
        <f t="shared" si="213"/>
        <v>#N/A</v>
      </c>
      <c r="AC97" s="97" t="e">
        <f t="shared" si="214"/>
        <v>#N/A</v>
      </c>
      <c r="AD97" s="97" t="e">
        <f t="shared" si="215"/>
        <v>#N/A</v>
      </c>
      <c r="AE97" s="97" t="e">
        <f t="shared" si="216"/>
        <v>#N/A</v>
      </c>
      <c r="AF97" s="97" t="e">
        <f t="shared" si="217"/>
        <v>#N/A</v>
      </c>
      <c r="AG97" s="97" t="e">
        <f t="shared" si="218"/>
        <v>#N/A</v>
      </c>
      <c r="AH97" s="97" t="e">
        <f t="shared" si="219"/>
        <v>#N/A</v>
      </c>
      <c r="AI97" s="97" t="e">
        <f t="shared" si="220"/>
        <v>#REF!</v>
      </c>
      <c r="AJ97" s="97" t="e">
        <f t="shared" si="221"/>
        <v>#REF!</v>
      </c>
      <c r="AK97" s="97" t="e">
        <f t="shared" si="222"/>
        <v>#REF!</v>
      </c>
      <c r="AL97" s="97" t="e">
        <f t="shared" si="223"/>
        <v>#REF!</v>
      </c>
      <c r="AM97" s="97"/>
      <c r="AN97" s="97"/>
      <c r="AO97" s="97"/>
      <c r="AP97" s="97"/>
      <c r="AQ97" s="105" t="str">
        <f t="shared" si="201"/>
        <v xml:space="preserve"> </v>
      </c>
      <c r="AR97" s="114"/>
      <c r="AS97" s="95">
        <f t="shared" si="184"/>
        <v>0</v>
      </c>
      <c r="AT97" s="124">
        <f t="shared" si="185"/>
        <v>0</v>
      </c>
      <c r="AU97" s="97" t="e">
        <f t="shared" si="224"/>
        <v>#N/A</v>
      </c>
      <c r="AV97" s="97" t="e">
        <f t="shared" si="225"/>
        <v>#N/A</v>
      </c>
      <c r="AW97" s="97" t="e">
        <f t="shared" si="226"/>
        <v>#N/A</v>
      </c>
      <c r="AX97" s="97" t="e">
        <f t="shared" si="227"/>
        <v>#N/A</v>
      </c>
      <c r="AY97" s="97" t="e">
        <f t="shared" si="228"/>
        <v>#N/A</v>
      </c>
      <c r="AZ97" s="97" t="e">
        <f t="shared" si="229"/>
        <v>#N/A</v>
      </c>
      <c r="BA97" s="97" t="e">
        <f t="shared" si="230"/>
        <v>#N/A</v>
      </c>
      <c r="BB97" s="97" t="e">
        <f t="shared" si="231"/>
        <v>#REF!</v>
      </c>
      <c r="BC97" s="97" t="e">
        <f t="shared" si="232"/>
        <v>#REF!</v>
      </c>
      <c r="BD97" s="97" t="e">
        <f t="shared" si="233"/>
        <v>#REF!</v>
      </c>
      <c r="BE97" s="97" t="e">
        <f t="shared" si="234"/>
        <v>#REF!</v>
      </c>
      <c r="BF97" s="97"/>
      <c r="BG97" s="97"/>
      <c r="BH97" s="97"/>
      <c r="BI97" s="97"/>
      <c r="BJ97" s="105" t="str">
        <f t="shared" si="177"/>
        <v xml:space="preserve"> </v>
      </c>
      <c r="BK97" s="114"/>
      <c r="BL97" s="97" t="e">
        <f t="shared" si="235"/>
        <v>#N/A</v>
      </c>
      <c r="BM97" s="97" t="e">
        <f t="shared" si="236"/>
        <v>#N/A</v>
      </c>
      <c r="BN97" s="97" t="e">
        <f t="shared" si="237"/>
        <v>#N/A</v>
      </c>
      <c r="BO97" s="97" t="e">
        <f t="shared" si="238"/>
        <v>#N/A</v>
      </c>
      <c r="BP97" s="97" t="e">
        <f t="shared" si="239"/>
        <v>#N/A</v>
      </c>
      <c r="BQ97" s="97" t="e">
        <f t="shared" si="240"/>
        <v>#N/A</v>
      </c>
      <c r="BR97" s="97" t="e">
        <f t="shared" si="241"/>
        <v>#N/A</v>
      </c>
      <c r="BS97" s="97" t="e">
        <f t="shared" si="242"/>
        <v>#REF!</v>
      </c>
      <c r="BT97" s="97" t="e">
        <f t="shared" si="243"/>
        <v>#REF!</v>
      </c>
      <c r="BU97" s="97" t="e">
        <f t="shared" si="244"/>
        <v>#REF!</v>
      </c>
      <c r="BV97" s="97" t="e">
        <f t="shared" si="245"/>
        <v>#REF!</v>
      </c>
      <c r="BW97" s="97"/>
      <c r="BX97" s="97"/>
      <c r="BY97" s="97"/>
      <c r="BZ97" s="97"/>
      <c r="CA97" s="105" t="str">
        <f t="shared" si="178"/>
        <v xml:space="preserve"> </v>
      </c>
      <c r="CB97" s="114"/>
      <c r="CC97" s="95">
        <f t="shared" si="191"/>
        <v>0</v>
      </c>
      <c r="CD97" s="124">
        <f t="shared" si="192"/>
        <v>0</v>
      </c>
      <c r="CE97" s="97" t="e">
        <f t="shared" si="246"/>
        <v>#N/A</v>
      </c>
      <c r="CF97" s="97" t="e">
        <f t="shared" si="247"/>
        <v>#N/A</v>
      </c>
      <c r="CG97" s="97" t="e">
        <f t="shared" si="248"/>
        <v>#N/A</v>
      </c>
      <c r="CH97" s="97" t="e">
        <f t="shared" si="249"/>
        <v>#N/A</v>
      </c>
      <c r="CI97" s="97" t="e">
        <f t="shared" si="250"/>
        <v>#N/A</v>
      </c>
      <c r="CJ97" s="97" t="e">
        <f t="shared" si="251"/>
        <v>#N/A</v>
      </c>
      <c r="CK97" s="97" t="e">
        <f t="shared" si="252"/>
        <v>#N/A</v>
      </c>
      <c r="CL97" s="97" t="e">
        <f t="shared" si="253"/>
        <v>#REF!</v>
      </c>
      <c r="CM97" s="97" t="e">
        <f t="shared" si="254"/>
        <v>#REF!</v>
      </c>
      <c r="CN97" s="97" t="e">
        <f t="shared" si="255"/>
        <v>#REF!</v>
      </c>
      <c r="CO97" s="97" t="e">
        <f t="shared" si="256"/>
        <v>#REF!</v>
      </c>
      <c r="CP97" s="97"/>
      <c r="CQ97" s="97"/>
      <c r="CR97" s="97"/>
      <c r="CS97" s="97"/>
      <c r="CT97" s="105" t="str">
        <f t="shared" si="179"/>
        <v xml:space="preserve"> </v>
      </c>
      <c r="CU97" s="118"/>
      <c r="CV97" s="95">
        <f t="shared" si="193"/>
        <v>0</v>
      </c>
      <c r="CW97" s="124">
        <f t="shared" si="194"/>
        <v>0</v>
      </c>
      <c r="CX97" s="186" t="e">
        <f t="shared" si="257"/>
        <v>#N/A</v>
      </c>
      <c r="CY97" s="186" t="e">
        <f t="shared" si="258"/>
        <v>#N/A</v>
      </c>
      <c r="CZ97" s="186" t="e">
        <f t="shared" si="259"/>
        <v>#N/A</v>
      </c>
      <c r="DA97" s="186" t="e">
        <f t="shared" si="260"/>
        <v>#N/A</v>
      </c>
      <c r="DB97" s="186" t="e">
        <f t="shared" si="261"/>
        <v>#N/A</v>
      </c>
      <c r="DC97" s="186" t="e">
        <f t="shared" si="262"/>
        <v>#N/A</v>
      </c>
      <c r="DD97" s="186" t="e">
        <f t="shared" si="263"/>
        <v>#N/A</v>
      </c>
      <c r="DE97" s="186" t="e">
        <f t="shared" si="264"/>
        <v>#REF!</v>
      </c>
      <c r="DF97" s="186" t="e">
        <f t="shared" si="265"/>
        <v>#REF!</v>
      </c>
      <c r="DG97" s="186" t="e">
        <f t="shared" si="266"/>
        <v>#REF!</v>
      </c>
      <c r="DH97" s="186" t="e">
        <f t="shared" si="267"/>
        <v>#REF!</v>
      </c>
      <c r="DI97" s="186"/>
      <c r="DM97" s="187"/>
    </row>
    <row r="98" spans="1:118" ht="15.75" hidden="1" x14ac:dyDescent="0.25">
      <c r="A98" s="127"/>
      <c r="B98" s="127"/>
      <c r="C98" s="41"/>
      <c r="D98" s="38"/>
      <c r="E98" s="24"/>
      <c r="F98" s="24"/>
      <c r="G98" s="136"/>
      <c r="I98" s="32"/>
      <c r="J98" s="121"/>
      <c r="K98" s="97" t="e">
        <f t="shared" si="202"/>
        <v>#N/A</v>
      </c>
      <c r="L98" s="97" t="e">
        <f t="shared" si="203"/>
        <v>#N/A</v>
      </c>
      <c r="M98" s="97" t="e">
        <f t="shared" si="204"/>
        <v>#N/A</v>
      </c>
      <c r="N98" s="97" t="e">
        <f t="shared" si="205"/>
        <v>#N/A</v>
      </c>
      <c r="O98" s="97" t="e">
        <f t="shared" si="206"/>
        <v>#N/A</v>
      </c>
      <c r="P98" s="97" t="e">
        <f t="shared" si="207"/>
        <v>#N/A</v>
      </c>
      <c r="Q98" s="97" t="e">
        <f t="shared" si="208"/>
        <v>#N/A</v>
      </c>
      <c r="R98" s="97" t="e">
        <f t="shared" si="209"/>
        <v>#REF!</v>
      </c>
      <c r="S98" s="97" t="e">
        <f t="shared" si="210"/>
        <v>#REF!</v>
      </c>
      <c r="T98" s="97" t="e">
        <f t="shared" si="211"/>
        <v>#REF!</v>
      </c>
      <c r="U98" s="97" t="e">
        <f t="shared" si="212"/>
        <v>#REF!</v>
      </c>
      <c r="V98" s="97"/>
      <c r="W98" s="97"/>
      <c r="X98" s="97"/>
      <c r="Y98" s="97"/>
      <c r="Z98" s="105"/>
      <c r="AA98" s="114"/>
      <c r="AB98" s="97" t="e">
        <f t="shared" si="213"/>
        <v>#N/A</v>
      </c>
      <c r="AC98" s="97" t="e">
        <f t="shared" si="214"/>
        <v>#N/A</v>
      </c>
      <c r="AD98" s="97" t="e">
        <f t="shared" si="215"/>
        <v>#N/A</v>
      </c>
      <c r="AE98" s="97" t="e">
        <f t="shared" si="216"/>
        <v>#N/A</v>
      </c>
      <c r="AF98" s="97" t="e">
        <f t="shared" si="217"/>
        <v>#N/A</v>
      </c>
      <c r="AG98" s="97" t="e">
        <f t="shared" si="218"/>
        <v>#N/A</v>
      </c>
      <c r="AH98" s="97" t="e">
        <f t="shared" si="219"/>
        <v>#N/A</v>
      </c>
      <c r="AI98" s="97" t="e">
        <f t="shared" si="220"/>
        <v>#REF!</v>
      </c>
      <c r="AJ98" s="97" t="e">
        <f t="shared" si="221"/>
        <v>#REF!</v>
      </c>
      <c r="AK98" s="97" t="e">
        <f t="shared" si="222"/>
        <v>#REF!</v>
      </c>
      <c r="AL98" s="97" t="e">
        <f t="shared" si="223"/>
        <v>#REF!</v>
      </c>
      <c r="AM98" s="97"/>
      <c r="AN98" s="97"/>
      <c r="AO98" s="97"/>
      <c r="AP98" s="97"/>
      <c r="AQ98" s="105" t="str">
        <f t="shared" si="201"/>
        <v xml:space="preserve"> </v>
      </c>
      <c r="AR98" s="114"/>
      <c r="AS98" s="95">
        <f t="shared" si="184"/>
        <v>0</v>
      </c>
      <c r="AT98" s="124">
        <f t="shared" si="185"/>
        <v>0</v>
      </c>
      <c r="AU98" s="97" t="e">
        <f t="shared" si="224"/>
        <v>#N/A</v>
      </c>
      <c r="AV98" s="97" t="e">
        <f t="shared" si="225"/>
        <v>#N/A</v>
      </c>
      <c r="AW98" s="97" t="e">
        <f t="shared" si="226"/>
        <v>#N/A</v>
      </c>
      <c r="AX98" s="97" t="e">
        <f t="shared" si="227"/>
        <v>#N/A</v>
      </c>
      <c r="AY98" s="97" t="e">
        <f t="shared" si="228"/>
        <v>#N/A</v>
      </c>
      <c r="AZ98" s="97" t="e">
        <f t="shared" si="229"/>
        <v>#N/A</v>
      </c>
      <c r="BA98" s="97" t="e">
        <f t="shared" si="230"/>
        <v>#N/A</v>
      </c>
      <c r="BB98" s="97" t="e">
        <f t="shared" si="231"/>
        <v>#REF!</v>
      </c>
      <c r="BC98" s="97" t="e">
        <f t="shared" si="232"/>
        <v>#REF!</v>
      </c>
      <c r="BD98" s="97" t="e">
        <f t="shared" si="233"/>
        <v>#REF!</v>
      </c>
      <c r="BE98" s="97" t="e">
        <f t="shared" si="234"/>
        <v>#REF!</v>
      </c>
      <c r="BF98" s="97"/>
      <c r="BG98" s="97"/>
      <c r="BH98" s="97"/>
      <c r="BI98" s="97"/>
      <c r="BJ98" s="105" t="str">
        <f t="shared" si="177"/>
        <v xml:space="preserve"> </v>
      </c>
      <c r="BK98" s="114"/>
      <c r="BL98" s="97" t="e">
        <f t="shared" si="235"/>
        <v>#N/A</v>
      </c>
      <c r="BM98" s="97" t="e">
        <f t="shared" si="236"/>
        <v>#N/A</v>
      </c>
      <c r="BN98" s="97" t="e">
        <f t="shared" si="237"/>
        <v>#N/A</v>
      </c>
      <c r="BO98" s="97" t="e">
        <f t="shared" si="238"/>
        <v>#N/A</v>
      </c>
      <c r="BP98" s="97" t="e">
        <f t="shared" si="239"/>
        <v>#N/A</v>
      </c>
      <c r="BQ98" s="97" t="e">
        <f t="shared" si="240"/>
        <v>#N/A</v>
      </c>
      <c r="BR98" s="97" t="e">
        <f t="shared" si="241"/>
        <v>#N/A</v>
      </c>
      <c r="BS98" s="97" t="e">
        <f t="shared" si="242"/>
        <v>#REF!</v>
      </c>
      <c r="BT98" s="97" t="e">
        <f t="shared" si="243"/>
        <v>#REF!</v>
      </c>
      <c r="BU98" s="97" t="e">
        <f t="shared" si="244"/>
        <v>#REF!</v>
      </c>
      <c r="BV98" s="97" t="e">
        <f t="shared" si="245"/>
        <v>#REF!</v>
      </c>
      <c r="BW98" s="97"/>
      <c r="BX98" s="97"/>
      <c r="BY98" s="97"/>
      <c r="BZ98" s="97"/>
      <c r="CA98" s="105" t="str">
        <f t="shared" si="178"/>
        <v xml:space="preserve"> </v>
      </c>
      <c r="CB98" s="114"/>
      <c r="CC98" s="95">
        <f t="shared" si="191"/>
        <v>0</v>
      </c>
      <c r="CD98" s="124">
        <f t="shared" si="192"/>
        <v>0</v>
      </c>
      <c r="CE98" s="97" t="e">
        <f t="shared" si="246"/>
        <v>#N/A</v>
      </c>
      <c r="CF98" s="97" t="e">
        <f t="shared" si="247"/>
        <v>#N/A</v>
      </c>
      <c r="CG98" s="97" t="e">
        <f t="shared" si="248"/>
        <v>#N/A</v>
      </c>
      <c r="CH98" s="97" t="e">
        <f t="shared" si="249"/>
        <v>#N/A</v>
      </c>
      <c r="CI98" s="97" t="e">
        <f t="shared" si="250"/>
        <v>#N/A</v>
      </c>
      <c r="CJ98" s="97" t="e">
        <f t="shared" si="251"/>
        <v>#N/A</v>
      </c>
      <c r="CK98" s="97" t="e">
        <f t="shared" si="252"/>
        <v>#N/A</v>
      </c>
      <c r="CL98" s="97" t="e">
        <f t="shared" si="253"/>
        <v>#REF!</v>
      </c>
      <c r="CM98" s="97" t="e">
        <f t="shared" si="254"/>
        <v>#REF!</v>
      </c>
      <c r="CN98" s="97" t="e">
        <f t="shared" si="255"/>
        <v>#REF!</v>
      </c>
      <c r="CO98" s="97" t="e">
        <f t="shared" si="256"/>
        <v>#REF!</v>
      </c>
      <c r="CP98" s="97"/>
      <c r="CQ98" s="97"/>
      <c r="CR98" s="97"/>
      <c r="CS98" s="97"/>
      <c r="CT98" s="105" t="str">
        <f t="shared" si="179"/>
        <v xml:space="preserve"> </v>
      </c>
      <c r="CU98" s="118"/>
      <c r="CV98" s="95">
        <f t="shared" si="193"/>
        <v>0</v>
      </c>
      <c r="CW98" s="124">
        <f t="shared" si="194"/>
        <v>0</v>
      </c>
      <c r="CX98" s="186" t="e">
        <f t="shared" si="257"/>
        <v>#N/A</v>
      </c>
      <c r="CY98" s="186" t="e">
        <f t="shared" si="258"/>
        <v>#N/A</v>
      </c>
      <c r="CZ98" s="186" t="e">
        <f t="shared" si="259"/>
        <v>#N/A</v>
      </c>
      <c r="DA98" s="186" t="e">
        <f t="shared" si="260"/>
        <v>#N/A</v>
      </c>
      <c r="DB98" s="186" t="e">
        <f t="shared" si="261"/>
        <v>#N/A</v>
      </c>
      <c r="DC98" s="186" t="e">
        <f t="shared" si="262"/>
        <v>#N/A</v>
      </c>
      <c r="DD98" s="186" t="e">
        <f t="shared" si="263"/>
        <v>#N/A</v>
      </c>
      <c r="DE98" s="186" t="e">
        <f t="shared" si="264"/>
        <v>#REF!</v>
      </c>
      <c r="DF98" s="186" t="e">
        <f t="shared" si="265"/>
        <v>#REF!</v>
      </c>
      <c r="DG98" s="186" t="e">
        <f t="shared" si="266"/>
        <v>#REF!</v>
      </c>
      <c r="DH98" s="186" t="e">
        <f t="shared" si="267"/>
        <v>#REF!</v>
      </c>
      <c r="DI98" s="186"/>
      <c r="DM98" s="187"/>
    </row>
    <row r="99" spans="1:118" ht="15.75" hidden="1" x14ac:dyDescent="0.25">
      <c r="A99" s="127"/>
      <c r="B99" s="127"/>
      <c r="C99" s="41"/>
      <c r="D99" s="38"/>
      <c r="E99" s="24"/>
      <c r="F99" s="24"/>
      <c r="G99" s="136"/>
      <c r="I99" s="32"/>
      <c r="J99" s="121"/>
      <c r="K99" s="97" t="e">
        <f t="shared" si="202"/>
        <v>#N/A</v>
      </c>
      <c r="L99" s="97" t="e">
        <f t="shared" si="203"/>
        <v>#N/A</v>
      </c>
      <c r="M99" s="97" t="e">
        <f t="shared" si="204"/>
        <v>#N/A</v>
      </c>
      <c r="N99" s="97" t="e">
        <f t="shared" si="205"/>
        <v>#N/A</v>
      </c>
      <c r="O99" s="97" t="e">
        <f t="shared" si="206"/>
        <v>#N/A</v>
      </c>
      <c r="P99" s="97" t="e">
        <f t="shared" si="207"/>
        <v>#N/A</v>
      </c>
      <c r="Q99" s="97" t="e">
        <f t="shared" si="208"/>
        <v>#N/A</v>
      </c>
      <c r="R99" s="97" t="e">
        <f t="shared" si="209"/>
        <v>#REF!</v>
      </c>
      <c r="S99" s="97" t="e">
        <f t="shared" si="210"/>
        <v>#REF!</v>
      </c>
      <c r="T99" s="97" t="e">
        <f t="shared" si="211"/>
        <v>#REF!</v>
      </c>
      <c r="U99" s="97" t="e">
        <f t="shared" si="212"/>
        <v>#REF!</v>
      </c>
      <c r="V99" s="97"/>
      <c r="W99" s="97"/>
      <c r="X99" s="97"/>
      <c r="Y99" s="97"/>
      <c r="Z99" s="105"/>
      <c r="AA99" s="114"/>
      <c r="AB99" s="97" t="e">
        <f t="shared" si="213"/>
        <v>#N/A</v>
      </c>
      <c r="AC99" s="97" t="e">
        <f t="shared" si="214"/>
        <v>#N/A</v>
      </c>
      <c r="AD99" s="97" t="e">
        <f t="shared" si="215"/>
        <v>#N/A</v>
      </c>
      <c r="AE99" s="97" t="e">
        <f t="shared" si="216"/>
        <v>#N/A</v>
      </c>
      <c r="AF99" s="97" t="e">
        <f t="shared" si="217"/>
        <v>#N/A</v>
      </c>
      <c r="AG99" s="97" t="e">
        <f t="shared" si="218"/>
        <v>#N/A</v>
      </c>
      <c r="AH99" s="97" t="e">
        <f t="shared" si="219"/>
        <v>#N/A</v>
      </c>
      <c r="AI99" s="97" t="e">
        <f t="shared" si="220"/>
        <v>#REF!</v>
      </c>
      <c r="AJ99" s="97" t="e">
        <f t="shared" si="221"/>
        <v>#REF!</v>
      </c>
      <c r="AK99" s="97" t="e">
        <f t="shared" si="222"/>
        <v>#REF!</v>
      </c>
      <c r="AL99" s="97" t="e">
        <f t="shared" si="223"/>
        <v>#REF!</v>
      </c>
      <c r="AM99" s="97"/>
      <c r="AN99" s="97"/>
      <c r="AO99" s="97"/>
      <c r="AP99" s="97"/>
      <c r="AQ99" s="105" t="str">
        <f t="shared" si="201"/>
        <v xml:space="preserve"> </v>
      </c>
      <c r="AR99" s="114"/>
      <c r="AS99" s="95">
        <f t="shared" si="184"/>
        <v>0</v>
      </c>
      <c r="AT99" s="124">
        <f t="shared" si="185"/>
        <v>0</v>
      </c>
      <c r="AU99" s="97" t="e">
        <f t="shared" si="224"/>
        <v>#N/A</v>
      </c>
      <c r="AV99" s="97" t="e">
        <f t="shared" si="225"/>
        <v>#N/A</v>
      </c>
      <c r="AW99" s="97" t="e">
        <f t="shared" si="226"/>
        <v>#N/A</v>
      </c>
      <c r="AX99" s="97" t="e">
        <f t="shared" si="227"/>
        <v>#N/A</v>
      </c>
      <c r="AY99" s="97" t="e">
        <f t="shared" si="228"/>
        <v>#N/A</v>
      </c>
      <c r="AZ99" s="97" t="e">
        <f t="shared" si="229"/>
        <v>#N/A</v>
      </c>
      <c r="BA99" s="97" t="e">
        <f t="shared" si="230"/>
        <v>#N/A</v>
      </c>
      <c r="BB99" s="97" t="e">
        <f t="shared" si="231"/>
        <v>#REF!</v>
      </c>
      <c r="BC99" s="97" t="e">
        <f t="shared" si="232"/>
        <v>#REF!</v>
      </c>
      <c r="BD99" s="97" t="e">
        <f t="shared" si="233"/>
        <v>#REF!</v>
      </c>
      <c r="BE99" s="97" t="e">
        <f t="shared" si="234"/>
        <v>#REF!</v>
      </c>
      <c r="BF99" s="97"/>
      <c r="BG99" s="97"/>
      <c r="BH99" s="97"/>
      <c r="BI99" s="97"/>
      <c r="BJ99" s="105" t="str">
        <f t="shared" si="177"/>
        <v xml:space="preserve"> </v>
      </c>
      <c r="BK99" s="114"/>
      <c r="BL99" s="97" t="e">
        <f t="shared" si="235"/>
        <v>#N/A</v>
      </c>
      <c r="BM99" s="97" t="e">
        <f t="shared" si="236"/>
        <v>#N/A</v>
      </c>
      <c r="BN99" s="97" t="e">
        <f t="shared" si="237"/>
        <v>#N/A</v>
      </c>
      <c r="BO99" s="97" t="e">
        <f t="shared" si="238"/>
        <v>#N/A</v>
      </c>
      <c r="BP99" s="97" t="e">
        <f t="shared" si="239"/>
        <v>#N/A</v>
      </c>
      <c r="BQ99" s="97" t="e">
        <f t="shared" si="240"/>
        <v>#N/A</v>
      </c>
      <c r="BR99" s="97" t="e">
        <f t="shared" si="241"/>
        <v>#N/A</v>
      </c>
      <c r="BS99" s="97" t="e">
        <f t="shared" si="242"/>
        <v>#REF!</v>
      </c>
      <c r="BT99" s="97" t="e">
        <f t="shared" si="243"/>
        <v>#REF!</v>
      </c>
      <c r="BU99" s="97" t="e">
        <f t="shared" si="244"/>
        <v>#REF!</v>
      </c>
      <c r="BV99" s="97" t="e">
        <f t="shared" si="245"/>
        <v>#REF!</v>
      </c>
      <c r="BW99" s="97"/>
      <c r="BX99" s="97"/>
      <c r="BY99" s="97"/>
      <c r="BZ99" s="97"/>
      <c r="CA99" s="105" t="str">
        <f t="shared" si="178"/>
        <v xml:space="preserve"> </v>
      </c>
      <c r="CB99" s="114"/>
      <c r="CC99" s="95">
        <f t="shared" si="191"/>
        <v>0</v>
      </c>
      <c r="CD99" s="124">
        <f t="shared" si="192"/>
        <v>0</v>
      </c>
      <c r="CE99" s="97" t="e">
        <f t="shared" si="246"/>
        <v>#N/A</v>
      </c>
      <c r="CF99" s="97" t="e">
        <f t="shared" si="247"/>
        <v>#N/A</v>
      </c>
      <c r="CG99" s="97" t="e">
        <f t="shared" si="248"/>
        <v>#N/A</v>
      </c>
      <c r="CH99" s="97" t="e">
        <f t="shared" si="249"/>
        <v>#N/A</v>
      </c>
      <c r="CI99" s="97" t="e">
        <f t="shared" si="250"/>
        <v>#N/A</v>
      </c>
      <c r="CJ99" s="97" t="e">
        <f t="shared" si="251"/>
        <v>#N/A</v>
      </c>
      <c r="CK99" s="97" t="e">
        <f t="shared" si="252"/>
        <v>#N/A</v>
      </c>
      <c r="CL99" s="97" t="e">
        <f t="shared" si="253"/>
        <v>#REF!</v>
      </c>
      <c r="CM99" s="97" t="e">
        <f t="shared" si="254"/>
        <v>#REF!</v>
      </c>
      <c r="CN99" s="97" t="e">
        <f t="shared" si="255"/>
        <v>#REF!</v>
      </c>
      <c r="CO99" s="97" t="e">
        <f t="shared" si="256"/>
        <v>#REF!</v>
      </c>
      <c r="CP99" s="97"/>
      <c r="CQ99" s="97"/>
      <c r="CR99" s="97"/>
      <c r="CS99" s="97"/>
      <c r="CT99" s="105" t="str">
        <f t="shared" si="179"/>
        <v xml:space="preserve"> </v>
      </c>
      <c r="CU99" s="118"/>
      <c r="CV99" s="95">
        <f t="shared" si="193"/>
        <v>0</v>
      </c>
      <c r="CW99" s="124">
        <f t="shared" si="194"/>
        <v>0</v>
      </c>
      <c r="CX99" s="186" t="e">
        <f t="shared" si="257"/>
        <v>#N/A</v>
      </c>
      <c r="CY99" s="186" t="e">
        <f t="shared" si="258"/>
        <v>#N/A</v>
      </c>
      <c r="CZ99" s="186" t="e">
        <f t="shared" si="259"/>
        <v>#N/A</v>
      </c>
      <c r="DA99" s="186" t="e">
        <f t="shared" si="260"/>
        <v>#N/A</v>
      </c>
      <c r="DB99" s="186" t="e">
        <f t="shared" si="261"/>
        <v>#N/A</v>
      </c>
      <c r="DC99" s="186" t="e">
        <f t="shared" si="262"/>
        <v>#N/A</v>
      </c>
      <c r="DD99" s="186" t="e">
        <f t="shared" si="263"/>
        <v>#N/A</v>
      </c>
      <c r="DE99" s="186" t="e">
        <f t="shared" si="264"/>
        <v>#REF!</v>
      </c>
      <c r="DF99" s="186" t="e">
        <f t="shared" si="265"/>
        <v>#REF!</v>
      </c>
      <c r="DG99" s="186" t="e">
        <f t="shared" si="266"/>
        <v>#REF!</v>
      </c>
      <c r="DH99" s="186" t="e">
        <f t="shared" si="267"/>
        <v>#REF!</v>
      </c>
      <c r="DI99" s="186"/>
      <c r="DM99" s="187"/>
    </row>
    <row r="100" spans="1:118" ht="15.75" hidden="1" x14ac:dyDescent="0.25">
      <c r="A100" s="127"/>
      <c r="B100" s="127"/>
      <c r="C100" s="41"/>
      <c r="D100" s="38"/>
      <c r="E100" s="24"/>
      <c r="F100" s="24"/>
      <c r="G100" s="136"/>
      <c r="I100" s="32"/>
      <c r="J100" s="121"/>
      <c r="K100" s="97" t="e">
        <f t="shared" si="202"/>
        <v>#N/A</v>
      </c>
      <c r="L100" s="97" t="e">
        <f t="shared" si="203"/>
        <v>#N/A</v>
      </c>
      <c r="M100" s="97" t="e">
        <f t="shared" si="204"/>
        <v>#N/A</v>
      </c>
      <c r="N100" s="97" t="e">
        <f t="shared" si="205"/>
        <v>#N/A</v>
      </c>
      <c r="O100" s="97" t="e">
        <f t="shared" si="206"/>
        <v>#N/A</v>
      </c>
      <c r="P100" s="97" t="e">
        <f t="shared" si="207"/>
        <v>#N/A</v>
      </c>
      <c r="Q100" s="97" t="e">
        <f t="shared" si="208"/>
        <v>#N/A</v>
      </c>
      <c r="R100" s="97" t="e">
        <f t="shared" si="209"/>
        <v>#REF!</v>
      </c>
      <c r="S100" s="97" t="e">
        <f t="shared" si="210"/>
        <v>#REF!</v>
      </c>
      <c r="T100" s="97" t="e">
        <f t="shared" si="211"/>
        <v>#REF!</v>
      </c>
      <c r="U100" s="97" t="e">
        <f t="shared" si="212"/>
        <v>#REF!</v>
      </c>
      <c r="V100" s="97"/>
      <c r="W100" s="97"/>
      <c r="X100" s="97"/>
      <c r="Y100" s="97"/>
      <c r="Z100" s="105"/>
      <c r="AA100" s="114"/>
      <c r="AB100" s="97" t="e">
        <f t="shared" si="213"/>
        <v>#N/A</v>
      </c>
      <c r="AC100" s="97" t="e">
        <f t="shared" si="214"/>
        <v>#N/A</v>
      </c>
      <c r="AD100" s="97" t="e">
        <f t="shared" si="215"/>
        <v>#N/A</v>
      </c>
      <c r="AE100" s="97" t="e">
        <f t="shared" si="216"/>
        <v>#N/A</v>
      </c>
      <c r="AF100" s="97" t="e">
        <f t="shared" si="217"/>
        <v>#N/A</v>
      </c>
      <c r="AG100" s="97" t="e">
        <f t="shared" si="218"/>
        <v>#N/A</v>
      </c>
      <c r="AH100" s="97" t="e">
        <f t="shared" si="219"/>
        <v>#N/A</v>
      </c>
      <c r="AI100" s="97" t="e">
        <f t="shared" si="220"/>
        <v>#REF!</v>
      </c>
      <c r="AJ100" s="97" t="e">
        <f t="shared" si="221"/>
        <v>#REF!</v>
      </c>
      <c r="AK100" s="97" t="e">
        <f t="shared" si="222"/>
        <v>#REF!</v>
      </c>
      <c r="AL100" s="97" t="e">
        <f t="shared" si="223"/>
        <v>#REF!</v>
      </c>
      <c r="AM100" s="97"/>
      <c r="AN100" s="97"/>
      <c r="AO100" s="97"/>
      <c r="AP100" s="97"/>
      <c r="AQ100" s="105" t="str">
        <f t="shared" si="201"/>
        <v xml:space="preserve"> </v>
      </c>
      <c r="AR100" s="114"/>
      <c r="AS100" s="95">
        <f t="shared" si="184"/>
        <v>0</v>
      </c>
      <c r="AT100" s="124">
        <f t="shared" si="185"/>
        <v>0</v>
      </c>
      <c r="AU100" s="97" t="e">
        <f t="shared" si="224"/>
        <v>#N/A</v>
      </c>
      <c r="AV100" s="97" t="e">
        <f t="shared" si="225"/>
        <v>#N/A</v>
      </c>
      <c r="AW100" s="97" t="e">
        <f t="shared" si="226"/>
        <v>#N/A</v>
      </c>
      <c r="AX100" s="97" t="e">
        <f t="shared" si="227"/>
        <v>#N/A</v>
      </c>
      <c r="AY100" s="97" t="e">
        <f t="shared" si="228"/>
        <v>#N/A</v>
      </c>
      <c r="AZ100" s="97" t="e">
        <f t="shared" si="229"/>
        <v>#N/A</v>
      </c>
      <c r="BA100" s="97" t="e">
        <f t="shared" si="230"/>
        <v>#N/A</v>
      </c>
      <c r="BB100" s="97" t="e">
        <f t="shared" si="231"/>
        <v>#REF!</v>
      </c>
      <c r="BC100" s="97" t="e">
        <f t="shared" si="232"/>
        <v>#REF!</v>
      </c>
      <c r="BD100" s="97" t="e">
        <f t="shared" si="233"/>
        <v>#REF!</v>
      </c>
      <c r="BE100" s="97" t="e">
        <f t="shared" si="234"/>
        <v>#REF!</v>
      </c>
      <c r="BF100" s="97"/>
      <c r="BG100" s="97"/>
      <c r="BH100" s="97"/>
      <c r="BI100" s="97"/>
      <c r="BJ100" s="105" t="str">
        <f t="shared" si="177"/>
        <v xml:space="preserve"> </v>
      </c>
      <c r="BK100" s="114"/>
      <c r="BL100" s="97" t="e">
        <f t="shared" si="235"/>
        <v>#N/A</v>
      </c>
      <c r="BM100" s="97" t="e">
        <f t="shared" si="236"/>
        <v>#N/A</v>
      </c>
      <c r="BN100" s="97" t="e">
        <f t="shared" si="237"/>
        <v>#N/A</v>
      </c>
      <c r="BO100" s="97" t="e">
        <f t="shared" si="238"/>
        <v>#N/A</v>
      </c>
      <c r="BP100" s="97" t="e">
        <f t="shared" si="239"/>
        <v>#N/A</v>
      </c>
      <c r="BQ100" s="97" t="e">
        <f t="shared" si="240"/>
        <v>#N/A</v>
      </c>
      <c r="BR100" s="97" t="e">
        <f t="shared" si="241"/>
        <v>#N/A</v>
      </c>
      <c r="BS100" s="97" t="e">
        <f t="shared" si="242"/>
        <v>#REF!</v>
      </c>
      <c r="BT100" s="97" t="e">
        <f t="shared" si="243"/>
        <v>#REF!</v>
      </c>
      <c r="BU100" s="97" t="e">
        <f t="shared" si="244"/>
        <v>#REF!</v>
      </c>
      <c r="BV100" s="97" t="e">
        <f t="shared" si="245"/>
        <v>#REF!</v>
      </c>
      <c r="BW100" s="97"/>
      <c r="BX100" s="97"/>
      <c r="BY100" s="97"/>
      <c r="BZ100" s="97"/>
      <c r="CA100" s="105" t="str">
        <f t="shared" si="178"/>
        <v xml:space="preserve"> </v>
      </c>
      <c r="CB100" s="114"/>
      <c r="CC100" s="95">
        <f t="shared" si="191"/>
        <v>0</v>
      </c>
      <c r="CD100" s="124">
        <f t="shared" si="192"/>
        <v>0</v>
      </c>
      <c r="CE100" s="97" t="e">
        <f t="shared" si="246"/>
        <v>#N/A</v>
      </c>
      <c r="CF100" s="97" t="e">
        <f t="shared" si="247"/>
        <v>#N/A</v>
      </c>
      <c r="CG100" s="97" t="e">
        <f t="shared" si="248"/>
        <v>#N/A</v>
      </c>
      <c r="CH100" s="97" t="e">
        <f t="shared" si="249"/>
        <v>#N/A</v>
      </c>
      <c r="CI100" s="97" t="e">
        <f t="shared" si="250"/>
        <v>#N/A</v>
      </c>
      <c r="CJ100" s="97" t="e">
        <f t="shared" si="251"/>
        <v>#N/A</v>
      </c>
      <c r="CK100" s="97" t="e">
        <f t="shared" si="252"/>
        <v>#N/A</v>
      </c>
      <c r="CL100" s="97" t="e">
        <f t="shared" si="253"/>
        <v>#REF!</v>
      </c>
      <c r="CM100" s="97" t="e">
        <f t="shared" si="254"/>
        <v>#REF!</v>
      </c>
      <c r="CN100" s="97" t="e">
        <f t="shared" si="255"/>
        <v>#REF!</v>
      </c>
      <c r="CO100" s="97" t="e">
        <f t="shared" si="256"/>
        <v>#REF!</v>
      </c>
      <c r="CP100" s="97"/>
      <c r="CQ100" s="97"/>
      <c r="CR100" s="97"/>
      <c r="CS100" s="97"/>
      <c r="CT100" s="105" t="str">
        <f t="shared" si="179"/>
        <v xml:space="preserve"> </v>
      </c>
      <c r="CU100" s="118"/>
      <c r="CV100" s="95">
        <f t="shared" si="193"/>
        <v>0</v>
      </c>
      <c r="CW100" s="124">
        <f t="shared" si="194"/>
        <v>0</v>
      </c>
      <c r="CX100" s="186" t="e">
        <f t="shared" si="257"/>
        <v>#N/A</v>
      </c>
      <c r="CY100" s="186" t="e">
        <f t="shared" si="258"/>
        <v>#N/A</v>
      </c>
      <c r="CZ100" s="186" t="e">
        <f t="shared" si="259"/>
        <v>#N/A</v>
      </c>
      <c r="DA100" s="186" t="e">
        <f t="shared" si="260"/>
        <v>#N/A</v>
      </c>
      <c r="DB100" s="186" t="e">
        <f t="shared" si="261"/>
        <v>#N/A</v>
      </c>
      <c r="DC100" s="186" t="e">
        <f t="shared" si="262"/>
        <v>#N/A</v>
      </c>
      <c r="DD100" s="186" t="e">
        <f t="shared" si="263"/>
        <v>#N/A</v>
      </c>
      <c r="DE100" s="186" t="e">
        <f t="shared" si="264"/>
        <v>#REF!</v>
      </c>
      <c r="DF100" s="186" t="e">
        <f t="shared" si="265"/>
        <v>#REF!</v>
      </c>
      <c r="DG100" s="186" t="e">
        <f t="shared" si="266"/>
        <v>#REF!</v>
      </c>
      <c r="DH100" s="186" t="e">
        <f t="shared" si="267"/>
        <v>#REF!</v>
      </c>
      <c r="DI100" s="186"/>
      <c r="DM100" s="187"/>
    </row>
    <row r="101" spans="1:118" ht="15.75" hidden="1" x14ac:dyDescent="0.25">
      <c r="A101" s="127"/>
      <c r="B101" s="127"/>
      <c r="C101" s="41"/>
      <c r="D101" s="38"/>
      <c r="E101" s="24"/>
      <c r="F101" s="24"/>
      <c r="G101" s="136"/>
      <c r="I101" s="32"/>
      <c r="J101" s="121"/>
      <c r="K101" s="97" t="e">
        <f t="shared" si="202"/>
        <v>#N/A</v>
      </c>
      <c r="L101" s="97" t="e">
        <f t="shared" si="203"/>
        <v>#N/A</v>
      </c>
      <c r="M101" s="97" t="e">
        <f t="shared" si="204"/>
        <v>#N/A</v>
      </c>
      <c r="N101" s="97" t="e">
        <f t="shared" si="205"/>
        <v>#N/A</v>
      </c>
      <c r="O101" s="97" t="e">
        <f t="shared" si="206"/>
        <v>#N/A</v>
      </c>
      <c r="P101" s="97" t="e">
        <f t="shared" si="207"/>
        <v>#N/A</v>
      </c>
      <c r="Q101" s="97" t="e">
        <f t="shared" si="208"/>
        <v>#N/A</v>
      </c>
      <c r="R101" s="97" t="e">
        <f t="shared" si="209"/>
        <v>#REF!</v>
      </c>
      <c r="S101" s="97" t="e">
        <f t="shared" si="210"/>
        <v>#REF!</v>
      </c>
      <c r="T101" s="97" t="e">
        <f t="shared" si="211"/>
        <v>#REF!</v>
      </c>
      <c r="U101" s="97" t="e">
        <f t="shared" si="212"/>
        <v>#REF!</v>
      </c>
      <c r="V101" s="97"/>
      <c r="W101" s="97"/>
      <c r="X101" s="97"/>
      <c r="Y101" s="97"/>
      <c r="Z101" s="105"/>
      <c r="AA101" s="114"/>
      <c r="AB101" s="97" t="e">
        <f t="shared" si="213"/>
        <v>#N/A</v>
      </c>
      <c r="AC101" s="97" t="e">
        <f t="shared" si="214"/>
        <v>#N/A</v>
      </c>
      <c r="AD101" s="97" t="e">
        <f t="shared" si="215"/>
        <v>#N/A</v>
      </c>
      <c r="AE101" s="97" t="e">
        <f t="shared" si="216"/>
        <v>#N/A</v>
      </c>
      <c r="AF101" s="97" t="e">
        <f t="shared" si="217"/>
        <v>#N/A</v>
      </c>
      <c r="AG101" s="97" t="e">
        <f t="shared" si="218"/>
        <v>#N/A</v>
      </c>
      <c r="AH101" s="97" t="e">
        <f t="shared" si="219"/>
        <v>#N/A</v>
      </c>
      <c r="AI101" s="97" t="e">
        <f t="shared" si="220"/>
        <v>#REF!</v>
      </c>
      <c r="AJ101" s="97" t="e">
        <f t="shared" si="221"/>
        <v>#REF!</v>
      </c>
      <c r="AK101" s="97" t="e">
        <f t="shared" si="222"/>
        <v>#REF!</v>
      </c>
      <c r="AL101" s="97" t="e">
        <f t="shared" si="223"/>
        <v>#REF!</v>
      </c>
      <c r="AM101" s="97"/>
      <c r="AN101" s="97"/>
      <c r="AO101" s="97"/>
      <c r="AP101" s="97"/>
      <c r="AQ101" s="105" t="str">
        <f t="shared" si="201"/>
        <v xml:space="preserve"> </v>
      </c>
      <c r="AR101" s="114"/>
      <c r="AS101" s="95">
        <f t="shared" si="184"/>
        <v>0</v>
      </c>
      <c r="AT101" s="124">
        <f t="shared" si="185"/>
        <v>0</v>
      </c>
      <c r="AU101" s="97" t="e">
        <f t="shared" si="224"/>
        <v>#N/A</v>
      </c>
      <c r="AV101" s="97" t="e">
        <f t="shared" si="225"/>
        <v>#N/A</v>
      </c>
      <c r="AW101" s="97" t="e">
        <f t="shared" si="226"/>
        <v>#N/A</v>
      </c>
      <c r="AX101" s="97" t="e">
        <f t="shared" si="227"/>
        <v>#N/A</v>
      </c>
      <c r="AY101" s="97" t="e">
        <f t="shared" si="228"/>
        <v>#N/A</v>
      </c>
      <c r="AZ101" s="97" t="e">
        <f t="shared" si="229"/>
        <v>#N/A</v>
      </c>
      <c r="BA101" s="97" t="e">
        <f t="shared" si="230"/>
        <v>#N/A</v>
      </c>
      <c r="BB101" s="97" t="e">
        <f t="shared" si="231"/>
        <v>#REF!</v>
      </c>
      <c r="BC101" s="97" t="e">
        <f t="shared" si="232"/>
        <v>#REF!</v>
      </c>
      <c r="BD101" s="97" t="e">
        <f t="shared" si="233"/>
        <v>#REF!</v>
      </c>
      <c r="BE101" s="97" t="e">
        <f t="shared" si="234"/>
        <v>#REF!</v>
      </c>
      <c r="BF101" s="97"/>
      <c r="BG101" s="97"/>
      <c r="BH101" s="97"/>
      <c r="BI101" s="97"/>
      <c r="BJ101" s="105" t="str">
        <f t="shared" si="177"/>
        <v xml:space="preserve"> </v>
      </c>
      <c r="BK101" s="114"/>
      <c r="BL101" s="97" t="e">
        <f t="shared" si="235"/>
        <v>#N/A</v>
      </c>
      <c r="BM101" s="97" t="e">
        <f t="shared" si="236"/>
        <v>#N/A</v>
      </c>
      <c r="BN101" s="97" t="e">
        <f t="shared" si="237"/>
        <v>#N/A</v>
      </c>
      <c r="BO101" s="97" t="e">
        <f t="shared" si="238"/>
        <v>#N/A</v>
      </c>
      <c r="BP101" s="97" t="e">
        <f t="shared" si="239"/>
        <v>#N/A</v>
      </c>
      <c r="BQ101" s="97" t="e">
        <f t="shared" si="240"/>
        <v>#N/A</v>
      </c>
      <c r="BR101" s="97" t="e">
        <f t="shared" si="241"/>
        <v>#N/A</v>
      </c>
      <c r="BS101" s="97" t="e">
        <f t="shared" si="242"/>
        <v>#REF!</v>
      </c>
      <c r="BT101" s="97" t="e">
        <f t="shared" si="243"/>
        <v>#REF!</v>
      </c>
      <c r="BU101" s="97" t="e">
        <f t="shared" si="244"/>
        <v>#REF!</v>
      </c>
      <c r="BV101" s="97" t="e">
        <f t="shared" si="245"/>
        <v>#REF!</v>
      </c>
      <c r="BW101" s="97"/>
      <c r="BX101" s="97"/>
      <c r="BY101" s="97"/>
      <c r="BZ101" s="97"/>
      <c r="CA101" s="105" t="str">
        <f t="shared" si="178"/>
        <v xml:space="preserve"> </v>
      </c>
      <c r="CB101" s="114"/>
      <c r="CC101" s="95">
        <f t="shared" si="191"/>
        <v>0</v>
      </c>
      <c r="CD101" s="124">
        <f t="shared" si="192"/>
        <v>0</v>
      </c>
      <c r="CE101" s="97" t="e">
        <f t="shared" si="246"/>
        <v>#N/A</v>
      </c>
      <c r="CF101" s="97" t="e">
        <f t="shared" si="247"/>
        <v>#N/A</v>
      </c>
      <c r="CG101" s="97" t="e">
        <f t="shared" si="248"/>
        <v>#N/A</v>
      </c>
      <c r="CH101" s="97" t="e">
        <f t="shared" si="249"/>
        <v>#N/A</v>
      </c>
      <c r="CI101" s="97" t="e">
        <f t="shared" si="250"/>
        <v>#N/A</v>
      </c>
      <c r="CJ101" s="97" t="e">
        <f t="shared" si="251"/>
        <v>#N/A</v>
      </c>
      <c r="CK101" s="97" t="e">
        <f t="shared" si="252"/>
        <v>#N/A</v>
      </c>
      <c r="CL101" s="97" t="e">
        <f t="shared" si="253"/>
        <v>#REF!</v>
      </c>
      <c r="CM101" s="97" t="e">
        <f t="shared" si="254"/>
        <v>#REF!</v>
      </c>
      <c r="CN101" s="97" t="e">
        <f t="shared" si="255"/>
        <v>#REF!</v>
      </c>
      <c r="CO101" s="97" t="e">
        <f t="shared" si="256"/>
        <v>#REF!</v>
      </c>
      <c r="CP101" s="97"/>
      <c r="CQ101" s="97"/>
      <c r="CR101" s="97"/>
      <c r="CS101" s="97"/>
      <c r="CT101" s="105" t="str">
        <f t="shared" si="179"/>
        <v xml:space="preserve"> </v>
      </c>
      <c r="CU101" s="118"/>
      <c r="CV101" s="95">
        <f t="shared" si="193"/>
        <v>0</v>
      </c>
      <c r="CW101" s="124">
        <f t="shared" si="194"/>
        <v>0</v>
      </c>
      <c r="CX101" s="186" t="e">
        <f t="shared" si="257"/>
        <v>#N/A</v>
      </c>
      <c r="CY101" s="186" t="e">
        <f t="shared" si="258"/>
        <v>#N/A</v>
      </c>
      <c r="CZ101" s="186" t="e">
        <f t="shared" si="259"/>
        <v>#N/A</v>
      </c>
      <c r="DA101" s="186" t="e">
        <f t="shared" si="260"/>
        <v>#N/A</v>
      </c>
      <c r="DB101" s="186" t="e">
        <f t="shared" si="261"/>
        <v>#N/A</v>
      </c>
      <c r="DC101" s="186" t="e">
        <f t="shared" si="262"/>
        <v>#N/A</v>
      </c>
      <c r="DD101" s="186" t="e">
        <f t="shared" si="263"/>
        <v>#N/A</v>
      </c>
      <c r="DE101" s="186" t="e">
        <f t="shared" si="264"/>
        <v>#REF!</v>
      </c>
      <c r="DF101" s="186" t="e">
        <f t="shared" si="265"/>
        <v>#REF!</v>
      </c>
      <c r="DG101" s="186" t="e">
        <f t="shared" si="266"/>
        <v>#REF!</v>
      </c>
      <c r="DH101" s="186" t="e">
        <f t="shared" si="267"/>
        <v>#REF!</v>
      </c>
      <c r="DI101" s="186"/>
      <c r="DM101" s="187"/>
    </row>
    <row r="102" spans="1:118" ht="15.75" hidden="1" x14ac:dyDescent="0.25">
      <c r="A102" s="127"/>
      <c r="B102" s="127"/>
      <c r="C102" s="41"/>
      <c r="D102" s="38"/>
      <c r="E102" s="24"/>
      <c r="F102" s="24"/>
      <c r="G102" s="136"/>
      <c r="I102" s="32"/>
      <c r="J102" s="121"/>
      <c r="K102" s="97" t="e">
        <f t="shared" si="202"/>
        <v>#N/A</v>
      </c>
      <c r="L102" s="97" t="e">
        <f t="shared" si="203"/>
        <v>#N/A</v>
      </c>
      <c r="M102" s="97" t="e">
        <f t="shared" si="204"/>
        <v>#N/A</v>
      </c>
      <c r="N102" s="97" t="e">
        <f t="shared" si="205"/>
        <v>#N/A</v>
      </c>
      <c r="O102" s="97" t="e">
        <f t="shared" si="206"/>
        <v>#N/A</v>
      </c>
      <c r="P102" s="97" t="e">
        <f t="shared" si="207"/>
        <v>#N/A</v>
      </c>
      <c r="Q102" s="97" t="e">
        <f t="shared" si="208"/>
        <v>#N/A</v>
      </c>
      <c r="R102" s="97" t="e">
        <f t="shared" si="209"/>
        <v>#REF!</v>
      </c>
      <c r="S102" s="97" t="e">
        <f t="shared" si="210"/>
        <v>#REF!</v>
      </c>
      <c r="T102" s="97" t="e">
        <f t="shared" si="211"/>
        <v>#REF!</v>
      </c>
      <c r="U102" s="97" t="e">
        <f t="shared" si="212"/>
        <v>#REF!</v>
      </c>
      <c r="V102" s="97"/>
      <c r="W102" s="97"/>
      <c r="X102" s="97"/>
      <c r="Y102" s="97"/>
      <c r="Z102" s="105"/>
      <c r="AA102" s="114"/>
      <c r="AB102" s="97" t="e">
        <f t="shared" si="213"/>
        <v>#N/A</v>
      </c>
      <c r="AC102" s="97" t="e">
        <f t="shared" si="214"/>
        <v>#N/A</v>
      </c>
      <c r="AD102" s="97" t="e">
        <f t="shared" si="215"/>
        <v>#N/A</v>
      </c>
      <c r="AE102" s="97" t="e">
        <f t="shared" si="216"/>
        <v>#N/A</v>
      </c>
      <c r="AF102" s="97" t="e">
        <f t="shared" si="217"/>
        <v>#N/A</v>
      </c>
      <c r="AG102" s="97" t="e">
        <f t="shared" si="218"/>
        <v>#N/A</v>
      </c>
      <c r="AH102" s="97" t="e">
        <f t="shared" si="219"/>
        <v>#N/A</v>
      </c>
      <c r="AI102" s="97" t="e">
        <f t="shared" si="220"/>
        <v>#REF!</v>
      </c>
      <c r="AJ102" s="97" t="e">
        <f t="shared" si="221"/>
        <v>#REF!</v>
      </c>
      <c r="AK102" s="97" t="e">
        <f t="shared" si="222"/>
        <v>#REF!</v>
      </c>
      <c r="AL102" s="97" t="e">
        <f t="shared" si="223"/>
        <v>#REF!</v>
      </c>
      <c r="AM102" s="97"/>
      <c r="AN102" s="97"/>
      <c r="AO102" s="97"/>
      <c r="AP102" s="97"/>
      <c r="AQ102" s="105" t="str">
        <f t="shared" si="201"/>
        <v xml:space="preserve"> </v>
      </c>
      <c r="AR102" s="114"/>
      <c r="AS102" s="95">
        <f t="shared" si="184"/>
        <v>0</v>
      </c>
      <c r="AT102" s="124">
        <f t="shared" si="185"/>
        <v>0</v>
      </c>
      <c r="AU102" s="97" t="e">
        <f t="shared" si="224"/>
        <v>#N/A</v>
      </c>
      <c r="AV102" s="97" t="e">
        <f t="shared" si="225"/>
        <v>#N/A</v>
      </c>
      <c r="AW102" s="97" t="e">
        <f t="shared" si="226"/>
        <v>#N/A</v>
      </c>
      <c r="AX102" s="97" t="e">
        <f t="shared" si="227"/>
        <v>#N/A</v>
      </c>
      <c r="AY102" s="97" t="e">
        <f t="shared" si="228"/>
        <v>#N/A</v>
      </c>
      <c r="AZ102" s="97" t="e">
        <f t="shared" si="229"/>
        <v>#N/A</v>
      </c>
      <c r="BA102" s="97" t="e">
        <f t="shared" si="230"/>
        <v>#N/A</v>
      </c>
      <c r="BB102" s="97" t="e">
        <f t="shared" si="231"/>
        <v>#REF!</v>
      </c>
      <c r="BC102" s="97" t="e">
        <f t="shared" si="232"/>
        <v>#REF!</v>
      </c>
      <c r="BD102" s="97" t="e">
        <f t="shared" si="233"/>
        <v>#REF!</v>
      </c>
      <c r="BE102" s="97" t="e">
        <f t="shared" si="234"/>
        <v>#REF!</v>
      </c>
      <c r="BF102" s="97"/>
      <c r="BG102" s="97"/>
      <c r="BH102" s="97"/>
      <c r="BI102" s="97"/>
      <c r="BJ102" s="105" t="str">
        <f t="shared" si="177"/>
        <v xml:space="preserve"> </v>
      </c>
      <c r="BK102" s="114"/>
      <c r="BL102" s="97" t="e">
        <f t="shared" si="235"/>
        <v>#N/A</v>
      </c>
      <c r="BM102" s="97" t="e">
        <f t="shared" si="236"/>
        <v>#N/A</v>
      </c>
      <c r="BN102" s="97" t="e">
        <f t="shared" si="237"/>
        <v>#N/A</v>
      </c>
      <c r="BO102" s="97" t="e">
        <f t="shared" si="238"/>
        <v>#N/A</v>
      </c>
      <c r="BP102" s="97" t="e">
        <f t="shared" si="239"/>
        <v>#N/A</v>
      </c>
      <c r="BQ102" s="97" t="e">
        <f t="shared" si="240"/>
        <v>#N/A</v>
      </c>
      <c r="BR102" s="97" t="e">
        <f t="shared" si="241"/>
        <v>#N/A</v>
      </c>
      <c r="BS102" s="97" t="e">
        <f t="shared" si="242"/>
        <v>#REF!</v>
      </c>
      <c r="BT102" s="97" t="e">
        <f t="shared" si="243"/>
        <v>#REF!</v>
      </c>
      <c r="BU102" s="97" t="e">
        <f t="shared" si="244"/>
        <v>#REF!</v>
      </c>
      <c r="BV102" s="97" t="e">
        <f t="shared" si="245"/>
        <v>#REF!</v>
      </c>
      <c r="BW102" s="97"/>
      <c r="BX102" s="97"/>
      <c r="BY102" s="97"/>
      <c r="BZ102" s="97"/>
      <c r="CA102" s="105" t="str">
        <f t="shared" si="178"/>
        <v xml:space="preserve"> </v>
      </c>
      <c r="CB102" s="114"/>
      <c r="CC102" s="95">
        <f t="shared" si="191"/>
        <v>0</v>
      </c>
      <c r="CD102" s="124">
        <f t="shared" si="192"/>
        <v>0</v>
      </c>
      <c r="CE102" s="97" t="e">
        <f t="shared" si="246"/>
        <v>#N/A</v>
      </c>
      <c r="CF102" s="97" t="e">
        <f t="shared" si="247"/>
        <v>#N/A</v>
      </c>
      <c r="CG102" s="97" t="e">
        <f t="shared" si="248"/>
        <v>#N/A</v>
      </c>
      <c r="CH102" s="97" t="e">
        <f t="shared" si="249"/>
        <v>#N/A</v>
      </c>
      <c r="CI102" s="97" t="e">
        <f t="shared" si="250"/>
        <v>#N/A</v>
      </c>
      <c r="CJ102" s="97" t="e">
        <f t="shared" si="251"/>
        <v>#N/A</v>
      </c>
      <c r="CK102" s="97" t="e">
        <f t="shared" si="252"/>
        <v>#N/A</v>
      </c>
      <c r="CL102" s="97" t="e">
        <f t="shared" si="253"/>
        <v>#REF!</v>
      </c>
      <c r="CM102" s="97" t="e">
        <f t="shared" si="254"/>
        <v>#REF!</v>
      </c>
      <c r="CN102" s="97" t="e">
        <f t="shared" si="255"/>
        <v>#REF!</v>
      </c>
      <c r="CO102" s="97" t="e">
        <f t="shared" si="256"/>
        <v>#REF!</v>
      </c>
      <c r="CP102" s="97"/>
      <c r="CQ102" s="97"/>
      <c r="CR102" s="97"/>
      <c r="CS102" s="97"/>
      <c r="CT102" s="105" t="str">
        <f t="shared" si="179"/>
        <v xml:space="preserve"> </v>
      </c>
      <c r="CU102" s="118"/>
      <c r="CV102" s="95">
        <f t="shared" si="193"/>
        <v>0</v>
      </c>
      <c r="CW102" s="124">
        <f t="shared" si="194"/>
        <v>0</v>
      </c>
      <c r="CX102" s="186" t="e">
        <f t="shared" si="257"/>
        <v>#N/A</v>
      </c>
      <c r="CY102" s="186" t="e">
        <f t="shared" si="258"/>
        <v>#N/A</v>
      </c>
      <c r="CZ102" s="186" t="e">
        <f t="shared" si="259"/>
        <v>#N/A</v>
      </c>
      <c r="DA102" s="186" t="e">
        <f t="shared" si="260"/>
        <v>#N/A</v>
      </c>
      <c r="DB102" s="186" t="e">
        <f t="shared" si="261"/>
        <v>#N/A</v>
      </c>
      <c r="DC102" s="186" t="e">
        <f t="shared" si="262"/>
        <v>#N/A</v>
      </c>
      <c r="DD102" s="186" t="e">
        <f t="shared" si="263"/>
        <v>#N/A</v>
      </c>
      <c r="DE102" s="186" t="e">
        <f t="shared" si="264"/>
        <v>#REF!</v>
      </c>
      <c r="DF102" s="186" t="e">
        <f t="shared" si="265"/>
        <v>#REF!</v>
      </c>
      <c r="DG102" s="186" t="e">
        <f t="shared" si="266"/>
        <v>#REF!</v>
      </c>
      <c r="DH102" s="186" t="e">
        <f t="shared" si="267"/>
        <v>#REF!</v>
      </c>
      <c r="DI102" s="186"/>
      <c r="DM102" s="187"/>
    </row>
    <row r="103" spans="1:118" ht="15.75" hidden="1" x14ac:dyDescent="0.25">
      <c r="A103" s="127"/>
      <c r="B103" s="127"/>
      <c r="C103" s="41"/>
      <c r="D103" s="38"/>
      <c r="E103" s="24"/>
      <c r="F103" s="24"/>
      <c r="G103" s="136"/>
      <c r="I103" s="32"/>
      <c r="J103" s="121"/>
      <c r="K103" s="97" t="e">
        <f t="shared" si="202"/>
        <v>#N/A</v>
      </c>
      <c r="L103" s="97" t="e">
        <f t="shared" si="203"/>
        <v>#N/A</v>
      </c>
      <c r="M103" s="97" t="e">
        <f t="shared" si="204"/>
        <v>#N/A</v>
      </c>
      <c r="N103" s="97" t="e">
        <f t="shared" si="205"/>
        <v>#N/A</v>
      </c>
      <c r="O103" s="97" t="e">
        <f t="shared" si="206"/>
        <v>#N/A</v>
      </c>
      <c r="P103" s="97" t="e">
        <f t="shared" si="207"/>
        <v>#N/A</v>
      </c>
      <c r="Q103" s="97" t="e">
        <f t="shared" si="208"/>
        <v>#N/A</v>
      </c>
      <c r="R103" s="97" t="e">
        <f t="shared" si="209"/>
        <v>#REF!</v>
      </c>
      <c r="S103" s="97" t="e">
        <f t="shared" si="210"/>
        <v>#REF!</v>
      </c>
      <c r="T103" s="97" t="e">
        <f t="shared" si="211"/>
        <v>#REF!</v>
      </c>
      <c r="U103" s="97" t="e">
        <f t="shared" si="212"/>
        <v>#REF!</v>
      </c>
      <c r="V103" s="97"/>
      <c r="W103" s="97"/>
      <c r="X103" s="97"/>
      <c r="Y103" s="97"/>
      <c r="Z103" s="105"/>
      <c r="AA103" s="114"/>
      <c r="AB103" s="97" t="e">
        <f t="shared" si="213"/>
        <v>#N/A</v>
      </c>
      <c r="AC103" s="97" t="e">
        <f t="shared" si="214"/>
        <v>#N/A</v>
      </c>
      <c r="AD103" s="97" t="e">
        <f t="shared" si="215"/>
        <v>#N/A</v>
      </c>
      <c r="AE103" s="97" t="e">
        <f t="shared" si="216"/>
        <v>#N/A</v>
      </c>
      <c r="AF103" s="97" t="e">
        <f t="shared" si="217"/>
        <v>#N/A</v>
      </c>
      <c r="AG103" s="97" t="e">
        <f t="shared" si="218"/>
        <v>#N/A</v>
      </c>
      <c r="AH103" s="97" t="e">
        <f t="shared" si="219"/>
        <v>#N/A</v>
      </c>
      <c r="AI103" s="97" t="e">
        <f t="shared" si="220"/>
        <v>#REF!</v>
      </c>
      <c r="AJ103" s="97" t="e">
        <f t="shared" si="221"/>
        <v>#REF!</v>
      </c>
      <c r="AK103" s="97" t="e">
        <f t="shared" si="222"/>
        <v>#REF!</v>
      </c>
      <c r="AL103" s="97" t="e">
        <f t="shared" si="223"/>
        <v>#REF!</v>
      </c>
      <c r="AM103" s="97"/>
      <c r="AN103" s="97"/>
      <c r="AO103" s="97"/>
      <c r="AP103" s="97"/>
      <c r="AQ103" s="105" t="str">
        <f t="shared" si="201"/>
        <v xml:space="preserve"> </v>
      </c>
      <c r="AR103" s="114"/>
      <c r="AS103" s="95">
        <f t="shared" si="184"/>
        <v>0</v>
      </c>
      <c r="AT103" s="124">
        <f t="shared" si="185"/>
        <v>0</v>
      </c>
      <c r="AU103" s="97" t="e">
        <f t="shared" si="224"/>
        <v>#N/A</v>
      </c>
      <c r="AV103" s="97" t="e">
        <f t="shared" si="225"/>
        <v>#N/A</v>
      </c>
      <c r="AW103" s="97" t="e">
        <f t="shared" si="226"/>
        <v>#N/A</v>
      </c>
      <c r="AX103" s="97" t="e">
        <f t="shared" si="227"/>
        <v>#N/A</v>
      </c>
      <c r="AY103" s="97" t="e">
        <f t="shared" si="228"/>
        <v>#N/A</v>
      </c>
      <c r="AZ103" s="97" t="e">
        <f t="shared" si="229"/>
        <v>#N/A</v>
      </c>
      <c r="BA103" s="97" t="e">
        <f t="shared" si="230"/>
        <v>#N/A</v>
      </c>
      <c r="BB103" s="97" t="e">
        <f t="shared" si="231"/>
        <v>#REF!</v>
      </c>
      <c r="BC103" s="97" t="e">
        <f t="shared" si="232"/>
        <v>#REF!</v>
      </c>
      <c r="BD103" s="97" t="e">
        <f t="shared" si="233"/>
        <v>#REF!</v>
      </c>
      <c r="BE103" s="97" t="e">
        <f t="shared" si="234"/>
        <v>#REF!</v>
      </c>
      <c r="BF103" s="97"/>
      <c r="BG103" s="97"/>
      <c r="BH103" s="97"/>
      <c r="BI103" s="97"/>
      <c r="BJ103" s="105" t="str">
        <f t="shared" si="177"/>
        <v xml:space="preserve"> </v>
      </c>
      <c r="BK103" s="114"/>
      <c r="BL103" s="97" t="e">
        <f t="shared" si="235"/>
        <v>#N/A</v>
      </c>
      <c r="BM103" s="97" t="e">
        <f t="shared" si="236"/>
        <v>#N/A</v>
      </c>
      <c r="BN103" s="97" t="e">
        <f t="shared" si="237"/>
        <v>#N/A</v>
      </c>
      <c r="BO103" s="97" t="e">
        <f t="shared" si="238"/>
        <v>#N/A</v>
      </c>
      <c r="BP103" s="97" t="e">
        <f t="shared" si="239"/>
        <v>#N/A</v>
      </c>
      <c r="BQ103" s="97" t="e">
        <f t="shared" si="240"/>
        <v>#N/A</v>
      </c>
      <c r="BR103" s="97" t="e">
        <f t="shared" si="241"/>
        <v>#N/A</v>
      </c>
      <c r="BS103" s="97" t="e">
        <f t="shared" si="242"/>
        <v>#REF!</v>
      </c>
      <c r="BT103" s="97" t="e">
        <f t="shared" si="243"/>
        <v>#REF!</v>
      </c>
      <c r="BU103" s="97" t="e">
        <f t="shared" si="244"/>
        <v>#REF!</v>
      </c>
      <c r="BV103" s="97" t="e">
        <f t="shared" si="245"/>
        <v>#REF!</v>
      </c>
      <c r="BW103" s="97"/>
      <c r="BX103" s="97"/>
      <c r="BY103" s="97"/>
      <c r="BZ103" s="97"/>
      <c r="CA103" s="105" t="str">
        <f t="shared" si="178"/>
        <v xml:space="preserve"> </v>
      </c>
      <c r="CB103" s="114"/>
      <c r="CC103" s="95">
        <f t="shared" si="191"/>
        <v>0</v>
      </c>
      <c r="CD103" s="124">
        <f t="shared" si="192"/>
        <v>0</v>
      </c>
      <c r="CE103" s="97" t="e">
        <f t="shared" si="246"/>
        <v>#N/A</v>
      </c>
      <c r="CF103" s="97" t="e">
        <f t="shared" si="247"/>
        <v>#N/A</v>
      </c>
      <c r="CG103" s="97" t="e">
        <f t="shared" si="248"/>
        <v>#N/A</v>
      </c>
      <c r="CH103" s="97" t="e">
        <f t="shared" si="249"/>
        <v>#N/A</v>
      </c>
      <c r="CI103" s="97" t="e">
        <f t="shared" si="250"/>
        <v>#N/A</v>
      </c>
      <c r="CJ103" s="97" t="e">
        <f t="shared" si="251"/>
        <v>#N/A</v>
      </c>
      <c r="CK103" s="97" t="e">
        <f t="shared" si="252"/>
        <v>#N/A</v>
      </c>
      <c r="CL103" s="97" t="e">
        <f t="shared" si="253"/>
        <v>#REF!</v>
      </c>
      <c r="CM103" s="97" t="e">
        <f t="shared" si="254"/>
        <v>#REF!</v>
      </c>
      <c r="CN103" s="97" t="e">
        <f t="shared" si="255"/>
        <v>#REF!</v>
      </c>
      <c r="CO103" s="97" t="e">
        <f t="shared" si="256"/>
        <v>#REF!</v>
      </c>
      <c r="CP103" s="97"/>
      <c r="CQ103" s="97"/>
      <c r="CR103" s="97"/>
      <c r="CS103" s="97"/>
      <c r="CT103" s="105" t="str">
        <f t="shared" si="179"/>
        <v xml:space="preserve"> </v>
      </c>
      <c r="CU103" s="118"/>
      <c r="CV103" s="95">
        <f t="shared" si="193"/>
        <v>0</v>
      </c>
      <c r="CW103" s="124">
        <f t="shared" si="194"/>
        <v>0</v>
      </c>
      <c r="CX103" s="186" t="e">
        <f t="shared" si="257"/>
        <v>#N/A</v>
      </c>
      <c r="CY103" s="186" t="e">
        <f t="shared" si="258"/>
        <v>#N/A</v>
      </c>
      <c r="CZ103" s="186" t="e">
        <f t="shared" si="259"/>
        <v>#N/A</v>
      </c>
      <c r="DA103" s="186" t="e">
        <f t="shared" si="260"/>
        <v>#N/A</v>
      </c>
      <c r="DB103" s="186" t="e">
        <f t="shared" si="261"/>
        <v>#N/A</v>
      </c>
      <c r="DC103" s="186" t="e">
        <f t="shared" si="262"/>
        <v>#N/A</v>
      </c>
      <c r="DD103" s="186" t="e">
        <f t="shared" si="263"/>
        <v>#N/A</v>
      </c>
      <c r="DE103" s="186" t="e">
        <f t="shared" si="264"/>
        <v>#REF!</v>
      </c>
      <c r="DF103" s="186" t="e">
        <f t="shared" si="265"/>
        <v>#REF!</v>
      </c>
      <c r="DG103" s="186" t="e">
        <f t="shared" si="266"/>
        <v>#REF!</v>
      </c>
      <c r="DH103" s="186" t="e">
        <f t="shared" si="267"/>
        <v>#REF!</v>
      </c>
      <c r="DI103" s="186"/>
      <c r="DM103" s="187" t="e">
        <f t="shared" si="195"/>
        <v>#N/A</v>
      </c>
    </row>
    <row r="104" spans="1:118" ht="15.75" hidden="1" x14ac:dyDescent="0.25">
      <c r="A104" s="127"/>
      <c r="B104" s="127"/>
      <c r="C104" s="41"/>
      <c r="D104" s="38"/>
      <c r="E104" s="24"/>
      <c r="F104" s="24"/>
      <c r="G104" s="136"/>
      <c r="I104" s="32"/>
      <c r="J104" s="121"/>
      <c r="K104" s="97" t="e">
        <f t="shared" si="202"/>
        <v>#N/A</v>
      </c>
      <c r="L104" s="97" t="e">
        <f t="shared" si="203"/>
        <v>#N/A</v>
      </c>
      <c r="M104" s="97" t="e">
        <f t="shared" si="204"/>
        <v>#N/A</v>
      </c>
      <c r="N104" s="97" t="e">
        <f t="shared" si="205"/>
        <v>#N/A</v>
      </c>
      <c r="O104" s="97" t="e">
        <f t="shared" si="206"/>
        <v>#N/A</v>
      </c>
      <c r="P104" s="97" t="e">
        <f t="shared" si="207"/>
        <v>#N/A</v>
      </c>
      <c r="Q104" s="97" t="e">
        <f t="shared" si="208"/>
        <v>#N/A</v>
      </c>
      <c r="R104" s="97" t="e">
        <f t="shared" si="209"/>
        <v>#REF!</v>
      </c>
      <c r="S104" s="97" t="e">
        <f t="shared" si="210"/>
        <v>#REF!</v>
      </c>
      <c r="T104" s="97" t="e">
        <f t="shared" si="211"/>
        <v>#REF!</v>
      </c>
      <c r="U104" s="97" t="e">
        <f t="shared" si="212"/>
        <v>#REF!</v>
      </c>
      <c r="V104" s="97"/>
      <c r="W104" s="97"/>
      <c r="X104" s="97"/>
      <c r="Y104" s="97"/>
      <c r="Z104" s="105"/>
      <c r="AA104" s="114"/>
      <c r="AB104" s="97" t="e">
        <f t="shared" si="213"/>
        <v>#N/A</v>
      </c>
      <c r="AC104" s="97" t="e">
        <f t="shared" si="214"/>
        <v>#N/A</v>
      </c>
      <c r="AD104" s="97" t="e">
        <f t="shared" si="215"/>
        <v>#N/A</v>
      </c>
      <c r="AE104" s="97" t="e">
        <f t="shared" si="216"/>
        <v>#N/A</v>
      </c>
      <c r="AF104" s="97" t="e">
        <f t="shared" si="217"/>
        <v>#N/A</v>
      </c>
      <c r="AG104" s="97" t="e">
        <f t="shared" si="218"/>
        <v>#N/A</v>
      </c>
      <c r="AH104" s="97" t="e">
        <f t="shared" si="219"/>
        <v>#N/A</v>
      </c>
      <c r="AI104" s="97" t="e">
        <f t="shared" si="220"/>
        <v>#REF!</v>
      </c>
      <c r="AJ104" s="97" t="e">
        <f t="shared" si="221"/>
        <v>#REF!</v>
      </c>
      <c r="AK104" s="97" t="e">
        <f t="shared" si="222"/>
        <v>#REF!</v>
      </c>
      <c r="AL104" s="97" t="e">
        <f t="shared" si="223"/>
        <v>#REF!</v>
      </c>
      <c r="AM104" s="97"/>
      <c r="AN104" s="97"/>
      <c r="AO104" s="97"/>
      <c r="AP104" s="97"/>
      <c r="AQ104" s="105" t="str">
        <f t="shared" si="201"/>
        <v xml:space="preserve"> </v>
      </c>
      <c r="AR104" s="114"/>
      <c r="AS104" s="95">
        <f t="shared" si="184"/>
        <v>0</v>
      </c>
      <c r="AT104" s="124">
        <f t="shared" si="185"/>
        <v>0</v>
      </c>
      <c r="AU104" s="97" t="e">
        <f t="shared" si="224"/>
        <v>#N/A</v>
      </c>
      <c r="AV104" s="97" t="e">
        <f t="shared" si="225"/>
        <v>#N/A</v>
      </c>
      <c r="AW104" s="97" t="e">
        <f t="shared" si="226"/>
        <v>#N/A</v>
      </c>
      <c r="AX104" s="97" t="e">
        <f t="shared" si="227"/>
        <v>#N/A</v>
      </c>
      <c r="AY104" s="97" t="e">
        <f t="shared" si="228"/>
        <v>#N/A</v>
      </c>
      <c r="AZ104" s="97" t="e">
        <f t="shared" si="229"/>
        <v>#N/A</v>
      </c>
      <c r="BA104" s="97" t="e">
        <f t="shared" si="230"/>
        <v>#N/A</v>
      </c>
      <c r="BB104" s="97" t="e">
        <f t="shared" si="231"/>
        <v>#REF!</v>
      </c>
      <c r="BC104" s="97" t="e">
        <f t="shared" si="232"/>
        <v>#REF!</v>
      </c>
      <c r="BD104" s="97" t="e">
        <f t="shared" si="233"/>
        <v>#REF!</v>
      </c>
      <c r="BE104" s="97" t="e">
        <f t="shared" si="234"/>
        <v>#REF!</v>
      </c>
      <c r="BF104" s="97"/>
      <c r="BG104" s="97"/>
      <c r="BH104" s="97"/>
      <c r="BI104" s="97"/>
      <c r="BJ104" s="105" t="str">
        <f t="shared" si="177"/>
        <v xml:space="preserve"> </v>
      </c>
      <c r="BK104" s="114"/>
      <c r="BL104" s="97" t="e">
        <f t="shared" si="235"/>
        <v>#N/A</v>
      </c>
      <c r="BM104" s="97" t="e">
        <f t="shared" si="236"/>
        <v>#N/A</v>
      </c>
      <c r="BN104" s="97" t="e">
        <f t="shared" si="237"/>
        <v>#N/A</v>
      </c>
      <c r="BO104" s="97" t="e">
        <f t="shared" si="238"/>
        <v>#N/A</v>
      </c>
      <c r="BP104" s="97" t="e">
        <f t="shared" si="239"/>
        <v>#N/A</v>
      </c>
      <c r="BQ104" s="97" t="e">
        <f t="shared" si="240"/>
        <v>#N/A</v>
      </c>
      <c r="BR104" s="97" t="e">
        <f t="shared" si="241"/>
        <v>#N/A</v>
      </c>
      <c r="BS104" s="97" t="e">
        <f t="shared" si="242"/>
        <v>#REF!</v>
      </c>
      <c r="BT104" s="97" t="e">
        <f t="shared" si="243"/>
        <v>#REF!</v>
      </c>
      <c r="BU104" s="97" t="e">
        <f t="shared" si="244"/>
        <v>#REF!</v>
      </c>
      <c r="BV104" s="97" t="e">
        <f t="shared" si="245"/>
        <v>#REF!</v>
      </c>
      <c r="BW104" s="97"/>
      <c r="BX104" s="97"/>
      <c r="BY104" s="97"/>
      <c r="BZ104" s="97"/>
      <c r="CA104" s="105" t="str">
        <f t="shared" si="178"/>
        <v xml:space="preserve"> </v>
      </c>
      <c r="CB104" s="114"/>
      <c r="CC104" s="95">
        <f t="shared" si="191"/>
        <v>0</v>
      </c>
      <c r="CD104" s="124">
        <f t="shared" si="192"/>
        <v>0</v>
      </c>
      <c r="CE104" s="97" t="e">
        <f t="shared" si="246"/>
        <v>#N/A</v>
      </c>
      <c r="CF104" s="97" t="e">
        <f t="shared" si="247"/>
        <v>#N/A</v>
      </c>
      <c r="CG104" s="97" t="e">
        <f t="shared" si="248"/>
        <v>#N/A</v>
      </c>
      <c r="CH104" s="97" t="e">
        <f t="shared" si="249"/>
        <v>#N/A</v>
      </c>
      <c r="CI104" s="97" t="e">
        <f t="shared" si="250"/>
        <v>#N/A</v>
      </c>
      <c r="CJ104" s="97" t="e">
        <f t="shared" si="251"/>
        <v>#N/A</v>
      </c>
      <c r="CK104" s="97" t="e">
        <f t="shared" si="252"/>
        <v>#N/A</v>
      </c>
      <c r="CL104" s="97" t="e">
        <f t="shared" si="253"/>
        <v>#REF!</v>
      </c>
      <c r="CM104" s="97" t="e">
        <f t="shared" si="254"/>
        <v>#REF!</v>
      </c>
      <c r="CN104" s="97" t="e">
        <f t="shared" si="255"/>
        <v>#REF!</v>
      </c>
      <c r="CO104" s="97" t="e">
        <f t="shared" si="256"/>
        <v>#REF!</v>
      </c>
      <c r="CP104" s="97"/>
      <c r="CQ104" s="97"/>
      <c r="CR104" s="97"/>
      <c r="CS104" s="97"/>
      <c r="CT104" s="105" t="str">
        <f t="shared" si="179"/>
        <v xml:space="preserve"> </v>
      </c>
      <c r="CU104" s="118"/>
      <c r="CV104" s="95">
        <f t="shared" si="193"/>
        <v>0</v>
      </c>
      <c r="CW104" s="124">
        <f t="shared" si="194"/>
        <v>0</v>
      </c>
      <c r="CX104" s="186" t="e">
        <f t="shared" si="257"/>
        <v>#N/A</v>
      </c>
      <c r="CY104" s="186" t="e">
        <f t="shared" si="258"/>
        <v>#N/A</v>
      </c>
      <c r="CZ104" s="186" t="e">
        <f t="shared" si="259"/>
        <v>#N/A</v>
      </c>
      <c r="DA104" s="186" t="e">
        <f t="shared" si="260"/>
        <v>#N/A</v>
      </c>
      <c r="DB104" s="186" t="e">
        <f t="shared" si="261"/>
        <v>#N/A</v>
      </c>
      <c r="DC104" s="186" t="e">
        <f t="shared" si="262"/>
        <v>#N/A</v>
      </c>
      <c r="DD104" s="186" t="e">
        <f t="shared" si="263"/>
        <v>#N/A</v>
      </c>
      <c r="DE104" s="186" t="e">
        <f t="shared" si="264"/>
        <v>#REF!</v>
      </c>
      <c r="DF104" s="186" t="e">
        <f t="shared" si="265"/>
        <v>#REF!</v>
      </c>
      <c r="DG104" s="186" t="e">
        <f t="shared" si="266"/>
        <v>#REF!</v>
      </c>
      <c r="DH104" s="186" t="e">
        <f t="shared" si="267"/>
        <v>#REF!</v>
      </c>
      <c r="DI104" s="186"/>
      <c r="DM104" s="187" t="e">
        <f t="shared" si="195"/>
        <v>#N/A</v>
      </c>
    </row>
    <row r="105" spans="1:118" ht="15.75" hidden="1" x14ac:dyDescent="0.25">
      <c r="A105" s="127"/>
      <c r="B105" s="127"/>
      <c r="C105" s="41"/>
      <c r="D105" s="38"/>
      <c r="E105" s="24"/>
      <c r="F105" s="24"/>
      <c r="G105" s="136"/>
      <c r="I105" s="32"/>
      <c r="J105" s="121"/>
      <c r="K105" s="97" t="e">
        <f t="shared" si="202"/>
        <v>#N/A</v>
      </c>
      <c r="L105" s="97" t="e">
        <f t="shared" si="203"/>
        <v>#N/A</v>
      </c>
      <c r="M105" s="97" t="e">
        <f t="shared" si="204"/>
        <v>#N/A</v>
      </c>
      <c r="N105" s="97" t="e">
        <f t="shared" si="205"/>
        <v>#N/A</v>
      </c>
      <c r="O105" s="97" t="e">
        <f t="shared" si="206"/>
        <v>#N/A</v>
      </c>
      <c r="P105" s="97" t="e">
        <f t="shared" si="207"/>
        <v>#N/A</v>
      </c>
      <c r="Q105" s="97" t="e">
        <f t="shared" si="208"/>
        <v>#N/A</v>
      </c>
      <c r="R105" s="97" t="e">
        <f t="shared" si="209"/>
        <v>#REF!</v>
      </c>
      <c r="S105" s="97" t="e">
        <f t="shared" si="210"/>
        <v>#REF!</v>
      </c>
      <c r="T105" s="97" t="e">
        <f t="shared" si="211"/>
        <v>#REF!</v>
      </c>
      <c r="U105" s="97" t="e">
        <f t="shared" si="212"/>
        <v>#REF!</v>
      </c>
      <c r="V105" s="97"/>
      <c r="W105" s="97"/>
      <c r="X105" s="97"/>
      <c r="Y105" s="97"/>
      <c r="Z105" s="105"/>
      <c r="AA105" s="114"/>
      <c r="AB105" s="97" t="e">
        <f t="shared" si="213"/>
        <v>#N/A</v>
      </c>
      <c r="AC105" s="97" t="e">
        <f t="shared" si="214"/>
        <v>#N/A</v>
      </c>
      <c r="AD105" s="97" t="e">
        <f t="shared" si="215"/>
        <v>#N/A</v>
      </c>
      <c r="AE105" s="97" t="e">
        <f t="shared" si="216"/>
        <v>#N/A</v>
      </c>
      <c r="AF105" s="97" t="e">
        <f t="shared" si="217"/>
        <v>#N/A</v>
      </c>
      <c r="AG105" s="97" t="e">
        <f t="shared" si="218"/>
        <v>#N/A</v>
      </c>
      <c r="AH105" s="97" t="e">
        <f t="shared" si="219"/>
        <v>#N/A</v>
      </c>
      <c r="AI105" s="97" t="e">
        <f t="shared" si="220"/>
        <v>#REF!</v>
      </c>
      <c r="AJ105" s="97" t="e">
        <f t="shared" si="221"/>
        <v>#REF!</v>
      </c>
      <c r="AK105" s="97" t="e">
        <f t="shared" si="222"/>
        <v>#REF!</v>
      </c>
      <c r="AL105" s="97" t="e">
        <f t="shared" si="223"/>
        <v>#REF!</v>
      </c>
      <c r="AM105" s="97"/>
      <c r="AN105" s="97"/>
      <c r="AO105" s="97"/>
      <c r="AP105" s="97"/>
      <c r="AQ105" s="105" t="str">
        <f t="shared" si="201"/>
        <v xml:space="preserve"> </v>
      </c>
      <c r="AR105" s="114"/>
      <c r="AS105" s="95">
        <f t="shared" si="184"/>
        <v>0</v>
      </c>
      <c r="AT105" s="124">
        <f t="shared" si="185"/>
        <v>0</v>
      </c>
      <c r="AU105" s="97" t="e">
        <f t="shared" si="224"/>
        <v>#N/A</v>
      </c>
      <c r="AV105" s="97" t="e">
        <f t="shared" si="225"/>
        <v>#N/A</v>
      </c>
      <c r="AW105" s="97" t="e">
        <f t="shared" si="226"/>
        <v>#N/A</v>
      </c>
      <c r="AX105" s="97" t="e">
        <f t="shared" si="227"/>
        <v>#N/A</v>
      </c>
      <c r="AY105" s="97" t="e">
        <f t="shared" si="228"/>
        <v>#N/A</v>
      </c>
      <c r="AZ105" s="97" t="e">
        <f t="shared" si="229"/>
        <v>#N/A</v>
      </c>
      <c r="BA105" s="97" t="e">
        <f t="shared" si="230"/>
        <v>#N/A</v>
      </c>
      <c r="BB105" s="97" t="e">
        <f t="shared" si="231"/>
        <v>#REF!</v>
      </c>
      <c r="BC105" s="97" t="e">
        <f t="shared" si="232"/>
        <v>#REF!</v>
      </c>
      <c r="BD105" s="97" t="e">
        <f t="shared" si="233"/>
        <v>#REF!</v>
      </c>
      <c r="BE105" s="97" t="e">
        <f t="shared" si="234"/>
        <v>#REF!</v>
      </c>
      <c r="BF105" s="97"/>
      <c r="BG105" s="97"/>
      <c r="BH105" s="97"/>
      <c r="BI105" s="97"/>
      <c r="BJ105" s="105" t="str">
        <f t="shared" si="177"/>
        <v xml:space="preserve"> </v>
      </c>
      <c r="BK105" s="114"/>
      <c r="BL105" s="97" t="e">
        <f t="shared" si="235"/>
        <v>#N/A</v>
      </c>
      <c r="BM105" s="97" t="e">
        <f t="shared" si="236"/>
        <v>#N/A</v>
      </c>
      <c r="BN105" s="97" t="e">
        <f t="shared" si="237"/>
        <v>#N/A</v>
      </c>
      <c r="BO105" s="97" t="e">
        <f t="shared" si="238"/>
        <v>#N/A</v>
      </c>
      <c r="BP105" s="97" t="e">
        <f t="shared" si="239"/>
        <v>#N/A</v>
      </c>
      <c r="BQ105" s="97" t="e">
        <f t="shared" si="240"/>
        <v>#N/A</v>
      </c>
      <c r="BR105" s="97" t="e">
        <f t="shared" si="241"/>
        <v>#N/A</v>
      </c>
      <c r="BS105" s="97" t="e">
        <f t="shared" si="242"/>
        <v>#REF!</v>
      </c>
      <c r="BT105" s="97" t="e">
        <f t="shared" si="243"/>
        <v>#REF!</v>
      </c>
      <c r="BU105" s="97" t="e">
        <f t="shared" si="244"/>
        <v>#REF!</v>
      </c>
      <c r="BV105" s="97" t="e">
        <f t="shared" si="245"/>
        <v>#REF!</v>
      </c>
      <c r="BW105" s="97"/>
      <c r="BX105" s="97"/>
      <c r="BY105" s="97"/>
      <c r="BZ105" s="97"/>
      <c r="CA105" s="105" t="str">
        <f t="shared" si="178"/>
        <v xml:space="preserve"> </v>
      </c>
      <c r="CB105" s="114"/>
      <c r="CC105" s="95">
        <f t="shared" si="191"/>
        <v>0</v>
      </c>
      <c r="CD105" s="124">
        <f t="shared" si="192"/>
        <v>0</v>
      </c>
      <c r="CE105" s="97" t="e">
        <f t="shared" si="246"/>
        <v>#N/A</v>
      </c>
      <c r="CF105" s="97" t="e">
        <f t="shared" si="247"/>
        <v>#N/A</v>
      </c>
      <c r="CG105" s="97" t="e">
        <f t="shared" si="248"/>
        <v>#N/A</v>
      </c>
      <c r="CH105" s="97" t="e">
        <f t="shared" si="249"/>
        <v>#N/A</v>
      </c>
      <c r="CI105" s="97" t="e">
        <f t="shared" si="250"/>
        <v>#N/A</v>
      </c>
      <c r="CJ105" s="97" t="e">
        <f t="shared" si="251"/>
        <v>#N/A</v>
      </c>
      <c r="CK105" s="97" t="e">
        <f t="shared" si="252"/>
        <v>#N/A</v>
      </c>
      <c r="CL105" s="97" t="e">
        <f t="shared" si="253"/>
        <v>#REF!</v>
      </c>
      <c r="CM105" s="97" t="e">
        <f t="shared" si="254"/>
        <v>#REF!</v>
      </c>
      <c r="CN105" s="97" t="e">
        <f t="shared" si="255"/>
        <v>#REF!</v>
      </c>
      <c r="CO105" s="97" t="e">
        <f t="shared" si="256"/>
        <v>#REF!</v>
      </c>
      <c r="CP105" s="97"/>
      <c r="CQ105" s="97"/>
      <c r="CR105" s="97"/>
      <c r="CS105" s="97"/>
      <c r="CT105" s="105" t="str">
        <f t="shared" si="179"/>
        <v xml:space="preserve"> </v>
      </c>
      <c r="CU105" s="118"/>
      <c r="CV105" s="95">
        <f t="shared" si="193"/>
        <v>0</v>
      </c>
      <c r="CW105" s="124">
        <f t="shared" si="194"/>
        <v>0</v>
      </c>
      <c r="CX105" s="186" t="e">
        <f t="shared" si="257"/>
        <v>#N/A</v>
      </c>
      <c r="CY105" s="186" t="e">
        <f t="shared" si="258"/>
        <v>#N/A</v>
      </c>
      <c r="CZ105" s="186" t="e">
        <f t="shared" si="259"/>
        <v>#N/A</v>
      </c>
      <c r="DA105" s="186" t="e">
        <f t="shared" si="260"/>
        <v>#N/A</v>
      </c>
      <c r="DB105" s="186" t="e">
        <f t="shared" si="261"/>
        <v>#N/A</v>
      </c>
      <c r="DC105" s="186" t="e">
        <f t="shared" si="262"/>
        <v>#N/A</v>
      </c>
      <c r="DD105" s="186" t="e">
        <f t="shared" si="263"/>
        <v>#N/A</v>
      </c>
      <c r="DE105" s="186" t="e">
        <f t="shared" si="264"/>
        <v>#REF!</v>
      </c>
      <c r="DF105" s="186" t="e">
        <f t="shared" si="265"/>
        <v>#REF!</v>
      </c>
      <c r="DG105" s="186" t="e">
        <f t="shared" si="266"/>
        <v>#REF!</v>
      </c>
      <c r="DH105" s="186" t="e">
        <f t="shared" si="267"/>
        <v>#REF!</v>
      </c>
      <c r="DI105" s="186"/>
      <c r="DM105" s="187" t="e">
        <f t="shared" si="195"/>
        <v>#N/A</v>
      </c>
    </row>
    <row r="106" spans="1:118" ht="15.75" hidden="1" x14ac:dyDescent="0.25">
      <c r="A106" s="127"/>
      <c r="B106" s="127"/>
      <c r="C106" s="41"/>
      <c r="D106" s="38"/>
      <c r="E106" s="24"/>
      <c r="F106" s="24"/>
      <c r="G106" s="136"/>
      <c r="I106" s="32"/>
      <c r="J106" s="121"/>
      <c r="K106" s="97" t="e">
        <f t="shared" si="202"/>
        <v>#N/A</v>
      </c>
      <c r="L106" s="97" t="e">
        <f t="shared" si="203"/>
        <v>#N/A</v>
      </c>
      <c r="M106" s="97" t="e">
        <f t="shared" si="204"/>
        <v>#N/A</v>
      </c>
      <c r="N106" s="97" t="e">
        <f t="shared" si="205"/>
        <v>#N/A</v>
      </c>
      <c r="O106" s="97" t="e">
        <f t="shared" si="206"/>
        <v>#N/A</v>
      </c>
      <c r="P106" s="97" t="e">
        <f t="shared" si="207"/>
        <v>#N/A</v>
      </c>
      <c r="Q106" s="97" t="e">
        <f t="shared" si="208"/>
        <v>#N/A</v>
      </c>
      <c r="R106" s="97" t="e">
        <f t="shared" si="209"/>
        <v>#REF!</v>
      </c>
      <c r="S106" s="97" t="e">
        <f t="shared" si="210"/>
        <v>#REF!</v>
      </c>
      <c r="T106" s="97" t="e">
        <f t="shared" si="211"/>
        <v>#REF!</v>
      </c>
      <c r="U106" s="97" t="e">
        <f t="shared" si="212"/>
        <v>#REF!</v>
      </c>
      <c r="V106" s="97"/>
      <c r="W106" s="97"/>
      <c r="X106" s="97"/>
      <c r="Y106" s="97"/>
      <c r="Z106" s="105"/>
      <c r="AA106" s="114"/>
      <c r="AB106" s="97" t="e">
        <f t="shared" si="213"/>
        <v>#N/A</v>
      </c>
      <c r="AC106" s="97" t="e">
        <f t="shared" si="214"/>
        <v>#N/A</v>
      </c>
      <c r="AD106" s="97" t="e">
        <f t="shared" si="215"/>
        <v>#N/A</v>
      </c>
      <c r="AE106" s="97" t="e">
        <f t="shared" si="216"/>
        <v>#N/A</v>
      </c>
      <c r="AF106" s="97" t="e">
        <f t="shared" si="217"/>
        <v>#N/A</v>
      </c>
      <c r="AG106" s="97" t="e">
        <f t="shared" si="218"/>
        <v>#N/A</v>
      </c>
      <c r="AH106" s="97" t="e">
        <f t="shared" si="219"/>
        <v>#N/A</v>
      </c>
      <c r="AI106" s="97" t="e">
        <f t="shared" si="220"/>
        <v>#REF!</v>
      </c>
      <c r="AJ106" s="97" t="e">
        <f t="shared" si="221"/>
        <v>#REF!</v>
      </c>
      <c r="AK106" s="97" t="e">
        <f t="shared" si="222"/>
        <v>#REF!</v>
      </c>
      <c r="AL106" s="97" t="e">
        <f t="shared" si="223"/>
        <v>#REF!</v>
      </c>
      <c r="AM106" s="97"/>
      <c r="AN106" s="97"/>
      <c r="AO106" s="97"/>
      <c r="AP106" s="97"/>
      <c r="AQ106" s="105" t="str">
        <f t="shared" si="201"/>
        <v xml:space="preserve"> </v>
      </c>
      <c r="AR106" s="114"/>
      <c r="AS106" s="95">
        <f t="shared" si="184"/>
        <v>0</v>
      </c>
      <c r="AT106" s="124">
        <f t="shared" si="185"/>
        <v>0</v>
      </c>
      <c r="AU106" s="97" t="e">
        <f t="shared" si="224"/>
        <v>#N/A</v>
      </c>
      <c r="AV106" s="97" t="e">
        <f t="shared" si="225"/>
        <v>#N/A</v>
      </c>
      <c r="AW106" s="97" t="e">
        <f t="shared" si="226"/>
        <v>#N/A</v>
      </c>
      <c r="AX106" s="97" t="e">
        <f t="shared" si="227"/>
        <v>#N/A</v>
      </c>
      <c r="AY106" s="97" t="e">
        <f t="shared" si="228"/>
        <v>#N/A</v>
      </c>
      <c r="AZ106" s="97" t="e">
        <f t="shared" si="229"/>
        <v>#N/A</v>
      </c>
      <c r="BA106" s="97" t="e">
        <f t="shared" si="230"/>
        <v>#N/A</v>
      </c>
      <c r="BB106" s="97" t="e">
        <f t="shared" si="231"/>
        <v>#REF!</v>
      </c>
      <c r="BC106" s="97" t="e">
        <f t="shared" si="232"/>
        <v>#REF!</v>
      </c>
      <c r="BD106" s="97" t="e">
        <f t="shared" si="233"/>
        <v>#REF!</v>
      </c>
      <c r="BE106" s="97" t="e">
        <f t="shared" si="234"/>
        <v>#REF!</v>
      </c>
      <c r="BF106" s="97"/>
      <c r="BG106" s="97"/>
      <c r="BH106" s="97"/>
      <c r="BI106" s="97"/>
      <c r="BJ106" s="105" t="str">
        <f t="shared" si="177"/>
        <v xml:space="preserve"> </v>
      </c>
      <c r="BK106" s="114"/>
      <c r="BL106" s="97" t="e">
        <f t="shared" si="235"/>
        <v>#N/A</v>
      </c>
      <c r="BM106" s="97" t="e">
        <f t="shared" si="236"/>
        <v>#N/A</v>
      </c>
      <c r="BN106" s="97" t="e">
        <f t="shared" si="237"/>
        <v>#N/A</v>
      </c>
      <c r="BO106" s="97" t="e">
        <f t="shared" si="238"/>
        <v>#N/A</v>
      </c>
      <c r="BP106" s="97" t="e">
        <f t="shared" si="239"/>
        <v>#N/A</v>
      </c>
      <c r="BQ106" s="97" t="e">
        <f t="shared" si="240"/>
        <v>#N/A</v>
      </c>
      <c r="BR106" s="97" t="e">
        <f t="shared" si="241"/>
        <v>#N/A</v>
      </c>
      <c r="BS106" s="97" t="e">
        <f t="shared" si="242"/>
        <v>#REF!</v>
      </c>
      <c r="BT106" s="97" t="e">
        <f t="shared" si="243"/>
        <v>#REF!</v>
      </c>
      <c r="BU106" s="97" t="e">
        <f t="shared" si="244"/>
        <v>#REF!</v>
      </c>
      <c r="BV106" s="97" t="e">
        <f t="shared" si="245"/>
        <v>#REF!</v>
      </c>
      <c r="BW106" s="97"/>
      <c r="BX106" s="97"/>
      <c r="BY106" s="97"/>
      <c r="BZ106" s="97"/>
      <c r="CA106" s="105" t="str">
        <f t="shared" si="178"/>
        <v xml:space="preserve"> </v>
      </c>
      <c r="CB106" s="114"/>
      <c r="CC106" s="95">
        <f t="shared" si="191"/>
        <v>0</v>
      </c>
      <c r="CD106" s="124">
        <f t="shared" si="192"/>
        <v>0</v>
      </c>
      <c r="CE106" s="97" t="e">
        <f t="shared" si="246"/>
        <v>#N/A</v>
      </c>
      <c r="CF106" s="97" t="e">
        <f t="shared" si="247"/>
        <v>#N/A</v>
      </c>
      <c r="CG106" s="97" t="e">
        <f t="shared" si="248"/>
        <v>#N/A</v>
      </c>
      <c r="CH106" s="97" t="e">
        <f t="shared" si="249"/>
        <v>#N/A</v>
      </c>
      <c r="CI106" s="97" t="e">
        <f t="shared" si="250"/>
        <v>#N/A</v>
      </c>
      <c r="CJ106" s="97" t="e">
        <f t="shared" si="251"/>
        <v>#N/A</v>
      </c>
      <c r="CK106" s="97" t="e">
        <f t="shared" si="252"/>
        <v>#N/A</v>
      </c>
      <c r="CL106" s="97" t="e">
        <f t="shared" si="253"/>
        <v>#REF!</v>
      </c>
      <c r="CM106" s="97" t="e">
        <f t="shared" si="254"/>
        <v>#REF!</v>
      </c>
      <c r="CN106" s="97" t="e">
        <f t="shared" si="255"/>
        <v>#REF!</v>
      </c>
      <c r="CO106" s="97" t="e">
        <f t="shared" si="256"/>
        <v>#REF!</v>
      </c>
      <c r="CP106" s="97"/>
      <c r="CQ106" s="97"/>
      <c r="CR106" s="97"/>
      <c r="CS106" s="97"/>
      <c r="CT106" s="105" t="str">
        <f t="shared" si="179"/>
        <v xml:space="preserve"> </v>
      </c>
      <c r="CU106" s="118"/>
      <c r="CV106" s="95">
        <f t="shared" si="193"/>
        <v>0</v>
      </c>
      <c r="CW106" s="124">
        <f t="shared" si="194"/>
        <v>0</v>
      </c>
      <c r="CX106" s="186" t="e">
        <f t="shared" si="257"/>
        <v>#N/A</v>
      </c>
      <c r="CY106" s="186" t="e">
        <f t="shared" si="258"/>
        <v>#N/A</v>
      </c>
      <c r="CZ106" s="186" t="e">
        <f t="shared" si="259"/>
        <v>#N/A</v>
      </c>
      <c r="DA106" s="186" t="e">
        <f t="shared" si="260"/>
        <v>#N/A</v>
      </c>
      <c r="DB106" s="186" t="e">
        <f t="shared" si="261"/>
        <v>#N/A</v>
      </c>
      <c r="DC106" s="186" t="e">
        <f t="shared" si="262"/>
        <v>#N/A</v>
      </c>
      <c r="DD106" s="186" t="e">
        <f t="shared" si="263"/>
        <v>#N/A</v>
      </c>
      <c r="DE106" s="186" t="e">
        <f t="shared" si="264"/>
        <v>#REF!</v>
      </c>
      <c r="DF106" s="186" t="e">
        <f t="shared" si="265"/>
        <v>#REF!</v>
      </c>
      <c r="DG106" s="186" t="e">
        <f t="shared" si="266"/>
        <v>#REF!</v>
      </c>
      <c r="DH106" s="186" t="e">
        <f t="shared" si="267"/>
        <v>#REF!</v>
      </c>
      <c r="DI106" s="186"/>
      <c r="DM106" s="187" t="e">
        <f t="shared" si="195"/>
        <v>#N/A</v>
      </c>
    </row>
    <row r="107" spans="1:118" ht="16.5" hidden="1" thickBot="1" x14ac:dyDescent="0.3">
      <c r="A107" s="127"/>
      <c r="B107" s="127"/>
      <c r="C107" s="41"/>
      <c r="D107" s="38"/>
      <c r="E107" s="24"/>
      <c r="F107" s="24"/>
      <c r="G107" s="136"/>
      <c r="I107" s="32"/>
      <c r="J107" s="121"/>
      <c r="K107" s="97" t="e">
        <f t="shared" si="202"/>
        <v>#N/A</v>
      </c>
      <c r="L107" s="97" t="e">
        <f t="shared" si="203"/>
        <v>#N/A</v>
      </c>
      <c r="M107" s="97" t="e">
        <f t="shared" si="204"/>
        <v>#N/A</v>
      </c>
      <c r="N107" s="97" t="e">
        <f t="shared" si="205"/>
        <v>#N/A</v>
      </c>
      <c r="O107" s="97" t="e">
        <f t="shared" si="206"/>
        <v>#N/A</v>
      </c>
      <c r="P107" s="97" t="e">
        <f t="shared" si="207"/>
        <v>#N/A</v>
      </c>
      <c r="Q107" s="97" t="e">
        <f t="shared" si="208"/>
        <v>#N/A</v>
      </c>
      <c r="R107" s="97" t="e">
        <f t="shared" si="209"/>
        <v>#REF!</v>
      </c>
      <c r="S107" s="97" t="e">
        <f t="shared" si="210"/>
        <v>#REF!</v>
      </c>
      <c r="T107" s="97" t="e">
        <f t="shared" si="211"/>
        <v>#REF!</v>
      </c>
      <c r="U107" s="97" t="e">
        <f t="shared" si="212"/>
        <v>#REF!</v>
      </c>
      <c r="V107" s="97"/>
      <c r="W107" s="97"/>
      <c r="X107" s="97"/>
      <c r="Y107" s="97"/>
      <c r="Z107" s="105"/>
      <c r="AA107" s="114"/>
      <c r="AB107" s="97" t="e">
        <f t="shared" si="213"/>
        <v>#N/A</v>
      </c>
      <c r="AC107" s="97" t="e">
        <f t="shared" si="214"/>
        <v>#N/A</v>
      </c>
      <c r="AD107" s="97" t="e">
        <f t="shared" si="215"/>
        <v>#N/A</v>
      </c>
      <c r="AE107" s="97" t="e">
        <f t="shared" si="216"/>
        <v>#N/A</v>
      </c>
      <c r="AF107" s="97" t="e">
        <f t="shared" si="217"/>
        <v>#N/A</v>
      </c>
      <c r="AG107" s="97" t="e">
        <f t="shared" si="218"/>
        <v>#N/A</v>
      </c>
      <c r="AH107" s="97" t="e">
        <f t="shared" si="219"/>
        <v>#N/A</v>
      </c>
      <c r="AI107" s="97" t="e">
        <f t="shared" si="220"/>
        <v>#REF!</v>
      </c>
      <c r="AJ107" s="97" t="e">
        <f t="shared" si="221"/>
        <v>#REF!</v>
      </c>
      <c r="AK107" s="97" t="e">
        <f t="shared" si="222"/>
        <v>#REF!</v>
      </c>
      <c r="AL107" s="97" t="e">
        <f t="shared" si="223"/>
        <v>#REF!</v>
      </c>
      <c r="AM107" s="97"/>
      <c r="AN107" s="97"/>
      <c r="AO107" s="97"/>
      <c r="AP107" s="97"/>
      <c r="AQ107" s="105" t="str">
        <f t="shared" si="201"/>
        <v xml:space="preserve"> </v>
      </c>
      <c r="AR107" s="114"/>
      <c r="AS107" s="95">
        <f t="shared" si="184"/>
        <v>0</v>
      </c>
      <c r="AT107" s="124">
        <f t="shared" si="185"/>
        <v>0</v>
      </c>
      <c r="AU107" s="97" t="e">
        <f t="shared" si="224"/>
        <v>#N/A</v>
      </c>
      <c r="AV107" s="97" t="e">
        <f t="shared" si="225"/>
        <v>#N/A</v>
      </c>
      <c r="AW107" s="97" t="e">
        <f t="shared" si="226"/>
        <v>#N/A</v>
      </c>
      <c r="AX107" s="97" t="e">
        <f t="shared" si="227"/>
        <v>#N/A</v>
      </c>
      <c r="AY107" s="97" t="e">
        <f t="shared" si="228"/>
        <v>#N/A</v>
      </c>
      <c r="AZ107" s="97" t="e">
        <f t="shared" si="229"/>
        <v>#N/A</v>
      </c>
      <c r="BA107" s="97" t="e">
        <f t="shared" si="230"/>
        <v>#N/A</v>
      </c>
      <c r="BB107" s="97" t="e">
        <f t="shared" si="231"/>
        <v>#REF!</v>
      </c>
      <c r="BC107" s="97" t="e">
        <f t="shared" si="232"/>
        <v>#REF!</v>
      </c>
      <c r="BD107" s="97" t="e">
        <f t="shared" si="233"/>
        <v>#REF!</v>
      </c>
      <c r="BE107" s="97" t="e">
        <f t="shared" si="234"/>
        <v>#REF!</v>
      </c>
      <c r="BF107" s="97"/>
      <c r="BG107" s="97"/>
      <c r="BH107" s="97"/>
      <c r="BI107" s="97"/>
      <c r="BJ107" s="105" t="str">
        <f t="shared" si="177"/>
        <v xml:space="preserve"> </v>
      </c>
      <c r="BK107" s="114"/>
      <c r="BL107" s="97" t="e">
        <f t="shared" si="235"/>
        <v>#N/A</v>
      </c>
      <c r="BM107" s="97" t="e">
        <f t="shared" si="236"/>
        <v>#N/A</v>
      </c>
      <c r="BN107" s="97" t="e">
        <f t="shared" si="237"/>
        <v>#N/A</v>
      </c>
      <c r="BO107" s="97" t="e">
        <f t="shared" si="238"/>
        <v>#N/A</v>
      </c>
      <c r="BP107" s="97" t="e">
        <f t="shared" si="239"/>
        <v>#N/A</v>
      </c>
      <c r="BQ107" s="97" t="e">
        <f t="shared" si="240"/>
        <v>#N/A</v>
      </c>
      <c r="BR107" s="97" t="e">
        <f t="shared" si="241"/>
        <v>#N/A</v>
      </c>
      <c r="BS107" s="97" t="e">
        <f t="shared" si="242"/>
        <v>#REF!</v>
      </c>
      <c r="BT107" s="97" t="e">
        <f t="shared" si="243"/>
        <v>#REF!</v>
      </c>
      <c r="BU107" s="97" t="e">
        <f t="shared" si="244"/>
        <v>#REF!</v>
      </c>
      <c r="BV107" s="97" t="e">
        <f t="shared" si="245"/>
        <v>#REF!</v>
      </c>
      <c r="BW107" s="97"/>
      <c r="BX107" s="97"/>
      <c r="BY107" s="97"/>
      <c r="BZ107" s="97"/>
      <c r="CA107" s="105" t="str">
        <f t="shared" si="178"/>
        <v xml:space="preserve"> </v>
      </c>
      <c r="CB107" s="114"/>
      <c r="CC107" s="95">
        <f t="shared" si="191"/>
        <v>0</v>
      </c>
      <c r="CD107" s="124">
        <f t="shared" si="192"/>
        <v>0</v>
      </c>
      <c r="CE107" s="97" t="e">
        <f t="shared" si="246"/>
        <v>#N/A</v>
      </c>
      <c r="CF107" s="97" t="e">
        <f t="shared" si="247"/>
        <v>#N/A</v>
      </c>
      <c r="CG107" s="97" t="e">
        <f t="shared" si="248"/>
        <v>#N/A</v>
      </c>
      <c r="CH107" s="97" t="e">
        <f t="shared" si="249"/>
        <v>#N/A</v>
      </c>
      <c r="CI107" s="97" t="e">
        <f t="shared" si="250"/>
        <v>#N/A</v>
      </c>
      <c r="CJ107" s="97" t="e">
        <f t="shared" si="251"/>
        <v>#N/A</v>
      </c>
      <c r="CK107" s="97" t="e">
        <f t="shared" si="252"/>
        <v>#N/A</v>
      </c>
      <c r="CL107" s="97" t="e">
        <f t="shared" si="253"/>
        <v>#REF!</v>
      </c>
      <c r="CM107" s="97" t="e">
        <f t="shared" si="254"/>
        <v>#REF!</v>
      </c>
      <c r="CN107" s="97" t="e">
        <f t="shared" si="255"/>
        <v>#REF!</v>
      </c>
      <c r="CO107" s="97" t="e">
        <f t="shared" si="256"/>
        <v>#REF!</v>
      </c>
      <c r="CP107" s="97"/>
      <c r="CQ107" s="97"/>
      <c r="CR107" s="97"/>
      <c r="CS107" s="97"/>
      <c r="CT107" s="105" t="str">
        <f t="shared" si="179"/>
        <v xml:space="preserve"> </v>
      </c>
      <c r="CU107" s="118"/>
      <c r="CV107" s="95">
        <f t="shared" si="193"/>
        <v>0</v>
      </c>
      <c r="CW107" s="124">
        <f t="shared" si="194"/>
        <v>0</v>
      </c>
      <c r="CX107" s="186" t="e">
        <f t="shared" si="257"/>
        <v>#N/A</v>
      </c>
      <c r="CY107" s="186" t="e">
        <f t="shared" si="258"/>
        <v>#N/A</v>
      </c>
      <c r="CZ107" s="186" t="e">
        <f t="shared" si="259"/>
        <v>#N/A</v>
      </c>
      <c r="DA107" s="186" t="e">
        <f t="shared" si="260"/>
        <v>#N/A</v>
      </c>
      <c r="DB107" s="186" t="e">
        <f t="shared" si="261"/>
        <v>#N/A</v>
      </c>
      <c r="DC107" s="186" t="e">
        <f t="shared" si="262"/>
        <v>#N/A</v>
      </c>
      <c r="DD107" s="186" t="e">
        <f t="shared" si="263"/>
        <v>#N/A</v>
      </c>
      <c r="DE107" s="186" t="e">
        <f t="shared" si="264"/>
        <v>#REF!</v>
      </c>
      <c r="DF107" s="186" t="e">
        <f t="shared" si="265"/>
        <v>#REF!</v>
      </c>
      <c r="DG107" s="186" t="e">
        <f t="shared" si="266"/>
        <v>#REF!</v>
      </c>
      <c r="DH107" s="186" t="e">
        <f t="shared" si="267"/>
        <v>#REF!</v>
      </c>
      <c r="DI107" s="186"/>
      <c r="DM107" s="187" t="e">
        <f>AVERAGE(CX107:DL107)</f>
        <v>#N/A</v>
      </c>
    </row>
    <row r="108" spans="1:118" ht="16.5" thickTop="1" x14ac:dyDescent="0.25">
      <c r="A108" s="52" t="s">
        <v>28</v>
      </c>
      <c r="B108" s="53"/>
      <c r="C108" s="54">
        <f>SUM(C7:C107)</f>
        <v>10</v>
      </c>
      <c r="D108" s="128">
        <f>SUM(D7:D107)</f>
        <v>63</v>
      </c>
      <c r="E108" s="129">
        <f>SUM(E7:E107)</f>
        <v>82</v>
      </c>
      <c r="F108" s="129">
        <f>SUM(F7:F107)</f>
        <v>125</v>
      </c>
      <c r="G108" s="130">
        <f>SUM(G7:G107)</f>
        <v>12</v>
      </c>
      <c r="H108" s="3"/>
      <c r="I108" s="3"/>
      <c r="J108" s="3"/>
      <c r="K108" s="183">
        <f t="shared" ref="K108:U108" si="268">COUNTIF(K7:K107,"x")</f>
        <v>0</v>
      </c>
      <c r="L108" s="109">
        <f t="shared" si="268"/>
        <v>0</v>
      </c>
      <c r="M108" s="109">
        <f t="shared" si="268"/>
        <v>7</v>
      </c>
      <c r="N108" s="109">
        <f t="shared" si="268"/>
        <v>1</v>
      </c>
      <c r="O108" s="109">
        <f t="shared" si="268"/>
        <v>2</v>
      </c>
      <c r="P108" s="109">
        <f t="shared" si="268"/>
        <v>0</v>
      </c>
      <c r="Q108" s="109">
        <f t="shared" si="268"/>
        <v>0</v>
      </c>
      <c r="R108" s="109">
        <f t="shared" si="268"/>
        <v>0</v>
      </c>
      <c r="S108" s="109">
        <f t="shared" si="268"/>
        <v>0</v>
      </c>
      <c r="T108" s="109">
        <f t="shared" si="268"/>
        <v>0</v>
      </c>
      <c r="U108" s="109">
        <f t="shared" si="268"/>
        <v>0</v>
      </c>
      <c r="V108" s="109"/>
      <c r="W108" s="109">
        <f>COUNTIF(W7:W107,"x")</f>
        <v>0</v>
      </c>
      <c r="X108" s="109">
        <f>COUNTIF(X7:X107,"x")</f>
        <v>0</v>
      </c>
      <c r="Y108" s="109">
        <f>COUNTIF(Y7:Y107,"x")</f>
        <v>0</v>
      </c>
      <c r="Z108" s="106">
        <f>SUM(K108:Y108)</f>
        <v>10</v>
      </c>
      <c r="AA108" s="114"/>
      <c r="AB108" s="109">
        <f t="shared" ref="AB108:AP108" si="269">COUNTIF(AB7:AB107,"x")</f>
        <v>7</v>
      </c>
      <c r="AC108" s="101">
        <f t="shared" si="269"/>
        <v>14</v>
      </c>
      <c r="AD108" s="101">
        <f t="shared" si="269"/>
        <v>2</v>
      </c>
      <c r="AE108" s="101">
        <f t="shared" si="269"/>
        <v>7</v>
      </c>
      <c r="AF108" s="101">
        <f t="shared" si="269"/>
        <v>12</v>
      </c>
      <c r="AG108" s="101">
        <f t="shared" si="269"/>
        <v>12</v>
      </c>
      <c r="AH108" s="101">
        <f t="shared" si="269"/>
        <v>10</v>
      </c>
      <c r="AI108" s="109">
        <f t="shared" si="269"/>
        <v>0</v>
      </c>
      <c r="AJ108" s="109">
        <f t="shared" si="269"/>
        <v>0</v>
      </c>
      <c r="AK108" s="109">
        <f t="shared" si="269"/>
        <v>0</v>
      </c>
      <c r="AL108" s="109">
        <f t="shared" si="269"/>
        <v>0</v>
      </c>
      <c r="AM108" s="101">
        <f t="shared" si="269"/>
        <v>0</v>
      </c>
      <c r="AN108" s="101">
        <f t="shared" si="269"/>
        <v>0</v>
      </c>
      <c r="AO108" s="101">
        <f t="shared" si="269"/>
        <v>0</v>
      </c>
      <c r="AP108" s="101">
        <f t="shared" si="269"/>
        <v>0</v>
      </c>
      <c r="AQ108" s="106">
        <f>SUM(AB108:AP108)</f>
        <v>64</v>
      </c>
      <c r="AR108" s="114"/>
      <c r="AS108" s="100" t="s">
        <v>28</v>
      </c>
      <c r="AT108" s="125"/>
      <c r="AU108" s="109">
        <f t="shared" ref="AU108:BI108" si="270">COUNTIF(AU7:AU107,"x")</f>
        <v>0</v>
      </c>
      <c r="AV108" s="109">
        <f t="shared" si="270"/>
        <v>0</v>
      </c>
      <c r="AW108" s="109">
        <f t="shared" si="270"/>
        <v>2</v>
      </c>
      <c r="AX108" s="109">
        <f t="shared" si="270"/>
        <v>3</v>
      </c>
      <c r="AY108" s="109">
        <f t="shared" si="270"/>
        <v>7</v>
      </c>
      <c r="AZ108" s="109">
        <f t="shared" si="270"/>
        <v>0</v>
      </c>
      <c r="BA108" s="109">
        <f t="shared" si="270"/>
        <v>0</v>
      </c>
      <c r="BB108" s="109">
        <f t="shared" si="270"/>
        <v>0</v>
      </c>
      <c r="BC108" s="109">
        <f t="shared" si="270"/>
        <v>0</v>
      </c>
      <c r="BD108" s="109">
        <f t="shared" si="270"/>
        <v>0</v>
      </c>
      <c r="BE108" s="109">
        <f t="shared" si="270"/>
        <v>0</v>
      </c>
      <c r="BF108" s="109">
        <f t="shared" si="270"/>
        <v>0</v>
      </c>
      <c r="BG108" s="109">
        <f t="shared" si="270"/>
        <v>0</v>
      </c>
      <c r="BH108" s="109">
        <f t="shared" si="270"/>
        <v>0</v>
      </c>
      <c r="BI108" s="109">
        <f t="shared" si="270"/>
        <v>0</v>
      </c>
      <c r="BJ108" s="106">
        <f>SUM(AU108:BI108)</f>
        <v>12</v>
      </c>
      <c r="BK108" s="114"/>
      <c r="BL108" s="109">
        <f t="shared" ref="BL108:BZ108" si="271">COUNTIF(BL7:BL107,"x")</f>
        <v>10</v>
      </c>
      <c r="BM108" s="101">
        <f t="shared" si="271"/>
        <v>14</v>
      </c>
      <c r="BN108" s="101">
        <f t="shared" si="271"/>
        <v>5</v>
      </c>
      <c r="BO108" s="101">
        <f t="shared" si="271"/>
        <v>12</v>
      </c>
      <c r="BP108" s="101">
        <f t="shared" si="271"/>
        <v>14</v>
      </c>
      <c r="BQ108" s="101">
        <f t="shared" si="271"/>
        <v>15</v>
      </c>
      <c r="BR108" s="101">
        <f t="shared" si="271"/>
        <v>13</v>
      </c>
      <c r="BS108" s="109">
        <f t="shared" si="271"/>
        <v>0</v>
      </c>
      <c r="BT108" s="109">
        <f t="shared" si="271"/>
        <v>0</v>
      </c>
      <c r="BU108" s="109">
        <f t="shared" si="271"/>
        <v>0</v>
      </c>
      <c r="BV108" s="109">
        <f t="shared" si="271"/>
        <v>0</v>
      </c>
      <c r="BW108" s="109">
        <f t="shared" si="271"/>
        <v>0</v>
      </c>
      <c r="BX108" s="109">
        <f t="shared" si="271"/>
        <v>0</v>
      </c>
      <c r="BY108" s="109">
        <f t="shared" si="271"/>
        <v>0</v>
      </c>
      <c r="BZ108" s="109">
        <f t="shared" si="271"/>
        <v>0</v>
      </c>
      <c r="CA108" s="106">
        <f>SUM(BL108:BZ108)</f>
        <v>83</v>
      </c>
      <c r="CB108" s="114"/>
      <c r="CC108" s="100" t="s">
        <v>28</v>
      </c>
      <c r="CD108" s="125"/>
      <c r="CE108" s="109">
        <f t="shared" ref="CE108:CK108" si="272">COUNTIF(CE7:CE107,"x")</f>
        <v>11</v>
      </c>
      <c r="CF108" s="101">
        <f t="shared" si="272"/>
        <v>31</v>
      </c>
      <c r="CG108" s="101">
        <f t="shared" si="272"/>
        <v>9</v>
      </c>
      <c r="CH108" s="101">
        <f t="shared" si="272"/>
        <v>15</v>
      </c>
      <c r="CI108" s="101">
        <f t="shared" si="272"/>
        <v>23</v>
      </c>
      <c r="CJ108" s="101">
        <f t="shared" si="272"/>
        <v>21</v>
      </c>
      <c r="CK108" s="101">
        <f t="shared" si="272"/>
        <v>16</v>
      </c>
      <c r="CL108" s="101"/>
      <c r="CM108" s="101"/>
      <c r="CN108" s="101"/>
      <c r="CO108" s="101"/>
      <c r="CP108" s="101">
        <f>COUNTIF(CP7:CP107,"x")</f>
        <v>0</v>
      </c>
      <c r="CQ108" s="101">
        <f>COUNTIF(CQ7:CQ107,"x")</f>
        <v>0</v>
      </c>
      <c r="CR108" s="101">
        <f>COUNTIF(CR7:CR107,"x")</f>
        <v>0</v>
      </c>
      <c r="CS108" s="101">
        <f>COUNTIF(CS7:CS107,"x")</f>
        <v>0</v>
      </c>
      <c r="CT108" s="106">
        <f>SUM(CE108:CS108)</f>
        <v>126</v>
      </c>
      <c r="CU108" s="116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188"/>
      <c r="DN108" s="3"/>
    </row>
    <row r="109" spans="1:118" x14ac:dyDescent="0.2">
      <c r="A109" s="32"/>
      <c r="B109" s="32"/>
      <c r="C109" s="16"/>
      <c r="D109" s="16"/>
      <c r="E109" s="16"/>
      <c r="F109" s="16"/>
      <c r="G109" s="16"/>
      <c r="H109" s="14"/>
      <c r="I109" s="14"/>
      <c r="J109" s="14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111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111"/>
      <c r="AS109" s="96"/>
      <c r="AT109" s="124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111"/>
      <c r="BL109" s="96"/>
      <c r="BM109" s="96"/>
      <c r="BN109" s="96"/>
      <c r="BO109" s="96"/>
      <c r="BP109" s="96"/>
      <c r="BQ109" s="96"/>
      <c r="BR109" s="96"/>
      <c r="BS109" s="96"/>
      <c r="BT109" s="96"/>
      <c r="BU109" s="96"/>
      <c r="BV109" s="96"/>
      <c r="BW109" s="96"/>
      <c r="BX109" s="96"/>
      <c r="BY109" s="96"/>
      <c r="BZ109" s="96"/>
      <c r="CA109" s="96"/>
      <c r="CB109" s="111"/>
      <c r="CC109" s="96"/>
      <c r="CD109" s="124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89"/>
      <c r="DN109" s="14"/>
    </row>
    <row r="110" spans="1:118" x14ac:dyDescent="0.2">
      <c r="A110" s="207" t="s">
        <v>58</v>
      </c>
      <c r="B110" s="207"/>
      <c r="C110" s="207"/>
      <c r="D110" s="207"/>
      <c r="E110" s="207"/>
      <c r="F110" s="207"/>
      <c r="G110" s="20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21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21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</row>
    <row r="111" spans="1:118" ht="25.5" customHeight="1" x14ac:dyDescent="0.2">
      <c r="A111" s="207" t="s">
        <v>62</v>
      </c>
      <c r="B111" s="207"/>
      <c r="C111" s="207"/>
      <c r="D111" s="207"/>
      <c r="E111" s="207"/>
      <c r="F111" s="207"/>
      <c r="G111" s="20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21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21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</row>
    <row r="112" spans="1:118" x14ac:dyDescent="0.2">
      <c r="A112" s="32"/>
      <c r="B112" s="32"/>
      <c r="C112" s="16"/>
      <c r="D112" s="16"/>
      <c r="E112" s="16"/>
      <c r="F112" s="16"/>
      <c r="G112" s="16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21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21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</row>
    <row r="113" spans="1:118" x14ac:dyDescent="0.2">
      <c r="A113" s="32"/>
      <c r="B113" s="32"/>
      <c r="C113" s="16"/>
      <c r="D113" s="16"/>
      <c r="E113" s="16"/>
      <c r="F113" s="16"/>
      <c r="G113" s="16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21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21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</row>
    <row r="114" spans="1:118" x14ac:dyDescent="0.2">
      <c r="A114" s="32"/>
      <c r="B114" s="32"/>
      <c r="C114" s="16"/>
      <c r="D114" s="16"/>
      <c r="E114" s="16"/>
      <c r="F114" s="16"/>
      <c r="G114" s="16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21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21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</row>
    <row r="115" spans="1:118" ht="16.5" customHeight="1" x14ac:dyDescent="0.2">
      <c r="A115" s="32"/>
      <c r="B115" s="32"/>
      <c r="C115" s="16"/>
      <c r="D115" s="16"/>
      <c r="E115" s="16"/>
      <c r="F115" s="16"/>
      <c r="G115" s="16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21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21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</row>
    <row r="116" spans="1:118" s="3" customFormat="1" ht="22.5" customHeight="1" x14ac:dyDescent="0.2">
      <c r="A116" s="32"/>
      <c r="B116" s="32"/>
      <c r="C116" s="16"/>
      <c r="D116" s="16"/>
      <c r="E116" s="16"/>
      <c r="F116" s="16"/>
      <c r="G116" s="16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21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21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</row>
    <row r="117" spans="1:118" s="14" customFormat="1" ht="20.25" customHeight="1" x14ac:dyDescent="0.25">
      <c r="A117" s="32"/>
      <c r="B117" s="33" t="s">
        <v>29</v>
      </c>
      <c r="C117" s="31"/>
      <c r="D117" s="31"/>
      <c r="E117" s="16"/>
      <c r="F117" s="16"/>
      <c r="G117" s="16"/>
      <c r="AT117" s="121"/>
      <c r="CD117" s="121"/>
    </row>
    <row r="118" spans="1:118" s="14" customFormat="1" ht="24.75" customHeight="1" x14ac:dyDescent="0.2">
      <c r="A118" s="32"/>
      <c r="B118" s="31" t="s">
        <v>30</v>
      </c>
      <c r="C118" s="31"/>
      <c r="D118" s="31"/>
      <c r="E118" s="16"/>
      <c r="F118" s="16"/>
      <c r="G118" s="16"/>
      <c r="AT118" s="121"/>
      <c r="CD118" s="121"/>
    </row>
    <row r="119" spans="1:118" s="14" customFormat="1" ht="30.75" customHeight="1" x14ac:dyDescent="0.2">
      <c r="A119" s="32"/>
      <c r="B119" s="31" t="s">
        <v>31</v>
      </c>
      <c r="C119" s="34">
        <v>5000</v>
      </c>
      <c r="D119" s="31"/>
      <c r="E119" s="16"/>
      <c r="F119" s="16"/>
      <c r="G119" s="16"/>
      <c r="AT119" s="121"/>
      <c r="CD119" s="121"/>
    </row>
    <row r="120" spans="1:118" s="14" customFormat="1" ht="15" x14ac:dyDescent="0.2">
      <c r="A120" s="32"/>
      <c r="B120" s="31" t="s">
        <v>32</v>
      </c>
      <c r="C120" s="35">
        <v>0.1</v>
      </c>
      <c r="D120" s="31"/>
      <c r="E120" s="16"/>
      <c r="F120" s="16"/>
      <c r="G120" s="16"/>
      <c r="AT120" s="121"/>
      <c r="CD120" s="121"/>
    </row>
    <row r="121" spans="1:118" s="14" customFormat="1" ht="15" hidden="1" x14ac:dyDescent="0.2">
      <c r="A121" s="32"/>
      <c r="B121" s="31"/>
      <c r="C121" s="31"/>
      <c r="D121" s="31"/>
      <c r="E121" s="16"/>
      <c r="F121" s="16"/>
      <c r="G121" s="16"/>
      <c r="AT121" s="121"/>
      <c r="CD121" s="121"/>
    </row>
    <row r="122" spans="1:118" s="14" customFormat="1" ht="15" hidden="1" x14ac:dyDescent="0.2">
      <c r="A122" s="32"/>
      <c r="B122" s="31" t="s">
        <v>33</v>
      </c>
      <c r="C122" s="31"/>
      <c r="D122" s="31"/>
      <c r="E122" s="16"/>
      <c r="F122" s="16"/>
      <c r="G122" s="16"/>
      <c r="AT122" s="121"/>
      <c r="CD122" s="121"/>
    </row>
    <row r="123" spans="1:118" s="14" customFormat="1" ht="15" hidden="1" x14ac:dyDescent="0.2">
      <c r="A123" s="32"/>
      <c r="B123" s="31" t="s">
        <v>31</v>
      </c>
      <c r="C123" s="34">
        <v>5000</v>
      </c>
      <c r="D123" s="31"/>
      <c r="E123" s="16"/>
      <c r="F123" s="16"/>
      <c r="G123" s="16"/>
      <c r="AT123" s="121"/>
      <c r="CD123" s="121"/>
    </row>
    <row r="124" spans="1:118" s="14" customFormat="1" x14ac:dyDescent="0.2">
      <c r="A124" s="32"/>
      <c r="B124" s="32"/>
      <c r="C124" s="16"/>
      <c r="D124" s="16"/>
      <c r="E124" s="16"/>
      <c r="F124" s="16"/>
      <c r="G124" s="16"/>
      <c r="AT124" s="121"/>
      <c r="CD124" s="121"/>
    </row>
    <row r="125" spans="1:118" s="14" customFormat="1" ht="18" customHeight="1" x14ac:dyDescent="0.2">
      <c r="A125" s="32"/>
      <c r="B125" s="32"/>
      <c r="C125" s="16"/>
      <c r="D125" s="16"/>
      <c r="E125" s="16"/>
      <c r="F125" s="16"/>
      <c r="G125" s="16"/>
      <c r="AT125" s="121"/>
      <c r="CD125" s="121"/>
    </row>
    <row r="126" spans="1:118" s="14" customFormat="1" ht="18" customHeight="1" x14ac:dyDescent="0.2">
      <c r="A126" s="32"/>
      <c r="B126" s="32"/>
      <c r="C126" s="16"/>
      <c r="D126" s="16"/>
      <c r="E126" s="16"/>
      <c r="F126" s="16"/>
      <c r="G126" s="16"/>
      <c r="AT126" s="121"/>
      <c r="CD126" s="121"/>
    </row>
    <row r="127" spans="1:118" s="14" customFormat="1" ht="18" customHeight="1" x14ac:dyDescent="0.2">
      <c r="A127" s="32"/>
      <c r="B127" s="32"/>
      <c r="C127" s="16"/>
      <c r="D127" s="16"/>
      <c r="E127" s="16"/>
      <c r="F127" s="16"/>
      <c r="G127" s="16"/>
      <c r="J127" s="121"/>
      <c r="AT127" s="121"/>
      <c r="CD127" s="121"/>
    </row>
    <row r="128" spans="1:118" s="14" customFormat="1" ht="18" customHeight="1" x14ac:dyDescent="0.2">
      <c r="A128" s="32"/>
      <c r="B128" s="32"/>
      <c r="C128" s="16"/>
      <c r="D128" s="16"/>
      <c r="E128" s="16"/>
      <c r="F128" s="16"/>
      <c r="G128" s="16"/>
      <c r="J128" s="121"/>
      <c r="AT128" s="121"/>
      <c r="CD128" s="121"/>
    </row>
    <row r="129" spans="1:97" s="14" customFormat="1" ht="18" customHeight="1" x14ac:dyDescent="0.2">
      <c r="A129" s="32"/>
      <c r="B129" s="32"/>
      <c r="C129" s="16"/>
      <c r="D129" s="16"/>
      <c r="J129" s="121"/>
      <c r="AT129" s="121"/>
      <c r="CD129" s="121"/>
    </row>
    <row r="130" spans="1:97" s="14" customFormat="1" ht="18" customHeight="1" x14ac:dyDescent="0.2">
      <c r="A130" s="32"/>
      <c r="B130" s="32"/>
      <c r="C130" s="16"/>
      <c r="D130" s="16"/>
      <c r="J130" s="121"/>
      <c r="AT130" s="121"/>
      <c r="CD130" s="121"/>
      <c r="CS130" s="48"/>
    </row>
    <row r="131" spans="1:97" s="14" customFormat="1" ht="18" customHeight="1" x14ac:dyDescent="0.2">
      <c r="A131" s="32"/>
      <c r="B131" s="32"/>
      <c r="C131" s="16"/>
      <c r="D131" s="16"/>
      <c r="J131" s="121"/>
      <c r="AT131" s="121"/>
      <c r="CD131" s="121"/>
      <c r="CS131" s="49"/>
    </row>
    <row r="132" spans="1:97" s="14" customFormat="1" x14ac:dyDescent="0.2">
      <c r="A132" s="32"/>
      <c r="B132" s="32"/>
      <c r="C132" s="16"/>
      <c r="D132" s="16"/>
      <c r="J132" s="121"/>
      <c r="AT132" s="121"/>
      <c r="CD132" s="121"/>
      <c r="CS132" s="49"/>
    </row>
    <row r="133" spans="1:97" s="14" customFormat="1" x14ac:dyDescent="0.2">
      <c r="A133" s="32"/>
      <c r="B133" s="32"/>
      <c r="C133" s="16"/>
      <c r="D133" s="16"/>
      <c r="J133" s="121"/>
      <c r="AT133" s="121"/>
      <c r="CD133" s="121"/>
      <c r="CS133" s="49"/>
    </row>
    <row r="134" spans="1:97" s="14" customFormat="1" x14ac:dyDescent="0.2">
      <c r="A134" s="32"/>
      <c r="B134" s="32"/>
      <c r="C134" s="16"/>
      <c r="D134" s="16"/>
      <c r="E134" s="16"/>
      <c r="F134" s="16"/>
      <c r="G134" s="16"/>
      <c r="J134" s="121"/>
      <c r="AT134" s="121"/>
      <c r="CD134" s="121"/>
      <c r="CS134" s="49"/>
    </row>
    <row r="135" spans="1:97" s="14" customFormat="1" ht="15.75" customHeight="1" x14ac:dyDescent="0.2">
      <c r="A135" s="32"/>
      <c r="B135" s="32"/>
      <c r="C135" s="16"/>
      <c r="D135" s="16"/>
      <c r="E135" s="16"/>
      <c r="F135" s="16"/>
      <c r="G135" s="16"/>
      <c r="J135" s="121"/>
      <c r="AT135" s="121"/>
      <c r="CD135" s="121"/>
      <c r="CS135" s="49"/>
    </row>
    <row r="136" spans="1:97" s="14" customFormat="1" x14ac:dyDescent="0.2">
      <c r="A136" s="32"/>
      <c r="B136" s="32"/>
      <c r="C136" s="16"/>
      <c r="D136" s="16"/>
      <c r="E136" s="16"/>
      <c r="F136" s="16"/>
      <c r="G136" s="16"/>
      <c r="J136" s="121"/>
      <c r="AT136" s="121"/>
      <c r="CD136" s="121"/>
      <c r="CS136" s="49"/>
    </row>
    <row r="137" spans="1:97" s="14" customFormat="1" x14ac:dyDescent="0.2">
      <c r="A137" s="32"/>
      <c r="B137" s="32"/>
      <c r="C137" s="16"/>
      <c r="D137" s="16"/>
      <c r="E137" s="16"/>
      <c r="F137" s="16"/>
      <c r="G137" s="16"/>
      <c r="J137" s="121"/>
      <c r="AT137" s="121"/>
      <c r="CD137" s="121"/>
      <c r="CS137" s="49"/>
    </row>
    <row r="138" spans="1:97" s="14" customFormat="1" ht="49.5" customHeight="1" x14ac:dyDescent="0.2">
      <c r="A138" s="32"/>
      <c r="B138" s="32"/>
      <c r="C138" s="16"/>
      <c r="D138" s="16"/>
      <c r="E138" s="16"/>
      <c r="F138" s="16"/>
      <c r="G138" s="16"/>
      <c r="J138" s="121"/>
      <c r="AT138" s="121"/>
      <c r="CD138" s="121"/>
      <c r="CS138" s="49"/>
    </row>
    <row r="139" spans="1:97" s="14" customFormat="1" x14ac:dyDescent="0.2">
      <c r="A139" s="32"/>
      <c r="B139" s="32"/>
      <c r="C139" s="16"/>
      <c r="D139" s="16"/>
      <c r="E139" s="16"/>
      <c r="F139" s="16"/>
      <c r="G139" s="16"/>
      <c r="J139" s="121"/>
      <c r="AT139" s="121"/>
      <c r="CD139" s="121"/>
      <c r="CS139" s="49"/>
    </row>
    <row r="140" spans="1:97" s="14" customFormat="1" x14ac:dyDescent="0.2">
      <c r="A140" s="32"/>
      <c r="B140" s="32"/>
      <c r="C140" s="16"/>
      <c r="D140" s="16"/>
      <c r="E140" s="16"/>
      <c r="F140" s="16"/>
      <c r="G140" s="16"/>
      <c r="J140" s="121"/>
      <c r="AT140" s="121"/>
      <c r="CD140" s="121"/>
      <c r="CS140" s="49"/>
    </row>
    <row r="141" spans="1:97" s="14" customFormat="1" x14ac:dyDescent="0.2">
      <c r="A141" s="32"/>
      <c r="B141" s="32"/>
      <c r="C141" s="16"/>
      <c r="D141" s="16"/>
      <c r="E141" s="16"/>
      <c r="F141" s="16"/>
      <c r="G141" s="16"/>
      <c r="J141" s="121"/>
      <c r="AT141" s="121"/>
      <c r="CD141" s="121"/>
      <c r="CS141" s="49"/>
    </row>
    <row r="142" spans="1:97" s="14" customFormat="1" x14ac:dyDescent="0.2">
      <c r="A142" s="32"/>
      <c r="B142" s="32"/>
      <c r="C142" s="16"/>
      <c r="D142" s="16"/>
      <c r="E142" s="16"/>
      <c r="F142" s="16"/>
      <c r="G142" s="16"/>
      <c r="J142" s="121"/>
      <c r="AT142" s="121"/>
      <c r="CD142" s="121"/>
      <c r="CS142" s="49"/>
    </row>
    <row r="143" spans="1:97" s="14" customFormat="1" x14ac:dyDescent="0.2">
      <c r="A143" s="32"/>
      <c r="B143" s="32"/>
      <c r="C143" s="16"/>
      <c r="D143" s="16"/>
      <c r="E143" s="16"/>
      <c r="F143" s="16"/>
      <c r="G143" s="16"/>
      <c r="J143" s="121"/>
      <c r="AT143" s="121"/>
      <c r="CD143" s="121"/>
      <c r="CS143" s="49"/>
    </row>
    <row r="144" spans="1:97" s="14" customFormat="1" x14ac:dyDescent="0.2">
      <c r="A144" s="32"/>
      <c r="B144" s="32"/>
      <c r="C144" s="16"/>
      <c r="D144" s="16"/>
      <c r="E144" s="16"/>
      <c r="F144" s="16"/>
      <c r="G144" s="16"/>
      <c r="J144" s="121"/>
      <c r="AT144" s="121"/>
      <c r="CD144" s="121"/>
      <c r="CS144" s="49"/>
    </row>
    <row r="145" spans="1:97" s="14" customFormat="1" x14ac:dyDescent="0.2">
      <c r="A145" s="32"/>
      <c r="B145" s="32"/>
      <c r="C145" s="16"/>
      <c r="D145" s="16"/>
      <c r="E145" s="16"/>
      <c r="F145" s="16"/>
      <c r="G145" s="16"/>
      <c r="J145" s="121"/>
      <c r="AT145" s="121"/>
      <c r="CD145" s="121"/>
      <c r="CS145" s="49"/>
    </row>
    <row r="146" spans="1:97" s="14" customFormat="1" x14ac:dyDescent="0.2">
      <c r="A146" s="32"/>
      <c r="B146" s="32"/>
      <c r="C146" s="16"/>
      <c r="D146" s="16"/>
      <c r="E146" s="16"/>
      <c r="F146" s="16"/>
      <c r="G146" s="16"/>
      <c r="J146" s="121"/>
      <c r="AT146" s="121"/>
      <c r="CD146" s="121"/>
      <c r="CS146" s="49"/>
    </row>
    <row r="147" spans="1:97" s="14" customFormat="1" x14ac:dyDescent="0.2">
      <c r="A147" s="32"/>
      <c r="B147" s="32"/>
      <c r="C147" s="16"/>
      <c r="D147" s="16"/>
      <c r="E147" s="16"/>
      <c r="F147" s="16"/>
      <c r="G147" s="16"/>
      <c r="J147" s="121"/>
      <c r="AT147" s="121"/>
      <c r="CD147" s="121"/>
      <c r="CS147" s="49"/>
    </row>
    <row r="148" spans="1:97" s="14" customFormat="1" x14ac:dyDescent="0.2">
      <c r="A148" s="32"/>
      <c r="B148" s="32"/>
      <c r="C148" s="16"/>
      <c r="D148" s="16"/>
      <c r="E148" s="16"/>
      <c r="F148" s="16"/>
      <c r="G148" s="16"/>
      <c r="J148" s="121"/>
      <c r="AT148" s="121"/>
      <c r="CD148" s="121"/>
      <c r="CS148" s="49"/>
    </row>
    <row r="149" spans="1:97" s="14" customFormat="1" x14ac:dyDescent="0.2">
      <c r="A149" s="32"/>
      <c r="B149" s="32"/>
      <c r="C149" s="16"/>
      <c r="D149" s="16"/>
      <c r="E149" s="16"/>
      <c r="F149" s="16"/>
      <c r="G149" s="16"/>
      <c r="J149" s="121"/>
      <c r="AT149" s="121"/>
      <c r="CD149" s="121"/>
      <c r="CS149" s="49"/>
    </row>
    <row r="150" spans="1:97" s="14" customFormat="1" x14ac:dyDescent="0.2">
      <c r="A150" s="32"/>
      <c r="B150" s="32"/>
      <c r="C150" s="16"/>
      <c r="D150" s="16"/>
      <c r="E150" s="16"/>
      <c r="F150" s="16"/>
      <c r="G150" s="16"/>
      <c r="J150" s="121"/>
      <c r="AT150" s="121"/>
      <c r="CD150" s="121"/>
      <c r="CS150" s="49"/>
    </row>
    <row r="151" spans="1:97" s="14" customFormat="1" x14ac:dyDescent="0.2">
      <c r="A151" s="32"/>
      <c r="B151" s="32"/>
      <c r="C151" s="16"/>
      <c r="D151" s="16"/>
      <c r="E151" s="16"/>
      <c r="F151" s="16"/>
      <c r="G151" s="16"/>
      <c r="J151" s="121"/>
      <c r="AT151" s="121"/>
      <c r="CD151" s="121"/>
      <c r="CS151" s="49"/>
    </row>
    <row r="152" spans="1:97" s="14" customFormat="1" x14ac:dyDescent="0.2">
      <c r="A152" s="32"/>
      <c r="B152" s="32"/>
      <c r="C152" s="16"/>
      <c r="D152" s="16"/>
      <c r="E152" s="16"/>
      <c r="F152" s="16"/>
      <c r="G152" s="16"/>
      <c r="J152" s="121"/>
      <c r="AT152" s="121"/>
      <c r="CD152" s="121"/>
      <c r="CS152" s="49"/>
    </row>
    <row r="153" spans="1:97" s="14" customFormat="1" x14ac:dyDescent="0.2">
      <c r="A153" s="32"/>
      <c r="B153" s="32"/>
      <c r="C153" s="16"/>
      <c r="D153" s="16"/>
      <c r="E153" s="16"/>
      <c r="F153" s="16"/>
      <c r="G153" s="16"/>
      <c r="J153" s="121"/>
      <c r="AT153" s="121"/>
      <c r="CD153" s="121"/>
      <c r="CS153" s="49"/>
    </row>
    <row r="154" spans="1:97" s="14" customFormat="1" x14ac:dyDescent="0.2">
      <c r="A154" s="32"/>
      <c r="B154" s="32"/>
      <c r="C154" s="16"/>
      <c r="D154" s="16"/>
      <c r="E154" s="16"/>
      <c r="F154" s="16"/>
      <c r="G154" s="16"/>
      <c r="J154" s="121"/>
      <c r="AT154" s="121"/>
      <c r="CD154" s="121"/>
      <c r="CS154" s="49"/>
    </row>
    <row r="155" spans="1:97" s="14" customFormat="1" x14ac:dyDescent="0.2">
      <c r="A155" s="32"/>
      <c r="B155" s="32"/>
      <c r="C155" s="16"/>
      <c r="D155" s="16"/>
      <c r="E155" s="16"/>
      <c r="F155" s="16"/>
      <c r="G155" s="16"/>
      <c r="J155" s="121"/>
      <c r="AT155" s="121"/>
      <c r="CD155" s="121"/>
      <c r="CS155" s="49"/>
    </row>
    <row r="156" spans="1:97" s="14" customFormat="1" x14ac:dyDescent="0.2">
      <c r="A156" s="32"/>
      <c r="B156" s="32"/>
      <c r="C156" s="16"/>
      <c r="D156" s="16"/>
      <c r="E156" s="16"/>
      <c r="F156" s="16"/>
      <c r="G156" s="16"/>
      <c r="J156" s="121"/>
      <c r="AT156" s="121"/>
      <c r="CD156" s="121"/>
      <c r="CS156" s="49"/>
    </row>
    <row r="157" spans="1:97" s="14" customFormat="1" x14ac:dyDescent="0.2">
      <c r="A157" s="32"/>
      <c r="B157" s="32"/>
      <c r="C157" s="16"/>
      <c r="D157" s="16"/>
      <c r="E157" s="16"/>
      <c r="F157" s="16"/>
      <c r="G157" s="16"/>
      <c r="J157" s="121"/>
      <c r="AT157" s="121"/>
      <c r="CD157" s="121"/>
      <c r="CS157" s="49"/>
    </row>
    <row r="158" spans="1:97" s="14" customFormat="1" x14ac:dyDescent="0.2">
      <c r="A158" s="32"/>
      <c r="B158" s="32"/>
      <c r="C158" s="16"/>
      <c r="D158" s="16"/>
      <c r="E158" s="16"/>
      <c r="F158" s="16"/>
      <c r="G158" s="16"/>
      <c r="J158" s="121"/>
      <c r="AT158" s="121"/>
      <c r="CD158" s="121"/>
      <c r="CS158" s="49"/>
    </row>
    <row r="159" spans="1:97" s="14" customFormat="1" x14ac:dyDescent="0.2">
      <c r="A159" s="32"/>
      <c r="B159" s="32"/>
      <c r="C159" s="16"/>
      <c r="D159" s="16"/>
      <c r="E159" s="16"/>
      <c r="F159" s="16"/>
      <c r="G159" s="16"/>
      <c r="J159" s="121"/>
      <c r="AT159" s="121"/>
      <c r="CD159" s="121"/>
      <c r="CS159" s="49"/>
    </row>
    <row r="160" spans="1:97" s="14" customFormat="1" x14ac:dyDescent="0.2">
      <c r="A160" s="32"/>
      <c r="B160" s="32"/>
      <c r="C160" s="16"/>
      <c r="D160" s="16"/>
      <c r="E160" s="16"/>
      <c r="F160" s="16"/>
      <c r="G160" s="16"/>
      <c r="J160" s="121"/>
      <c r="AT160" s="121"/>
      <c r="CD160" s="121"/>
      <c r="CS160" s="49"/>
    </row>
    <row r="161" spans="1:97" s="14" customFormat="1" x14ac:dyDescent="0.2">
      <c r="A161" s="32"/>
      <c r="B161" s="32"/>
      <c r="C161" s="16"/>
      <c r="D161" s="16"/>
      <c r="E161" s="16"/>
      <c r="F161" s="16"/>
      <c r="G161" s="16"/>
      <c r="J161" s="121"/>
      <c r="AT161" s="121"/>
      <c r="CD161" s="121"/>
      <c r="CS161" s="49"/>
    </row>
    <row r="162" spans="1:97" s="14" customFormat="1" x14ac:dyDescent="0.2">
      <c r="A162" s="32"/>
      <c r="B162" s="32"/>
      <c r="C162" s="16"/>
      <c r="D162" s="16"/>
      <c r="E162" s="16"/>
      <c r="F162" s="16"/>
      <c r="G162" s="16"/>
      <c r="J162" s="121"/>
      <c r="AT162" s="121"/>
      <c r="CD162" s="121"/>
      <c r="CS162" s="49"/>
    </row>
    <row r="163" spans="1:97" s="14" customFormat="1" x14ac:dyDescent="0.2">
      <c r="A163" s="32"/>
      <c r="B163" s="32"/>
      <c r="C163" s="16"/>
      <c r="D163" s="16"/>
      <c r="E163" s="16"/>
      <c r="F163" s="16"/>
      <c r="G163" s="16"/>
      <c r="J163" s="121"/>
      <c r="AT163" s="121"/>
      <c r="CD163" s="121"/>
      <c r="CS163" s="49"/>
    </row>
    <row r="164" spans="1:97" s="14" customFormat="1" x14ac:dyDescent="0.2">
      <c r="A164" s="32"/>
      <c r="B164" s="32"/>
      <c r="C164" s="16"/>
      <c r="D164" s="16"/>
      <c r="E164" s="16"/>
      <c r="F164" s="16"/>
      <c r="G164" s="16"/>
      <c r="J164" s="121"/>
      <c r="AT164" s="121"/>
      <c r="CD164" s="121"/>
      <c r="CS164" s="49"/>
    </row>
    <row r="165" spans="1:97" s="14" customFormat="1" x14ac:dyDescent="0.2">
      <c r="A165" s="32"/>
      <c r="B165" s="32"/>
      <c r="C165" s="16"/>
      <c r="D165" s="16"/>
      <c r="E165" s="16"/>
      <c r="F165" s="16"/>
      <c r="G165" s="16"/>
      <c r="J165" s="121"/>
      <c r="AT165" s="121"/>
      <c r="CD165" s="121"/>
      <c r="CS165" s="49"/>
    </row>
    <row r="166" spans="1:97" s="14" customFormat="1" x14ac:dyDescent="0.2">
      <c r="A166" s="32"/>
      <c r="B166" s="32"/>
      <c r="C166" s="16"/>
      <c r="D166" s="16"/>
      <c r="E166" s="16"/>
      <c r="F166" s="16"/>
      <c r="G166" s="16"/>
      <c r="J166" s="121"/>
      <c r="AT166" s="121"/>
      <c r="CD166" s="121"/>
      <c r="CS166" s="49"/>
    </row>
    <row r="167" spans="1:97" s="14" customFormat="1" x14ac:dyDescent="0.2">
      <c r="A167" s="32"/>
      <c r="B167" s="32"/>
      <c r="C167" s="16"/>
      <c r="D167" s="16"/>
      <c r="E167" s="16"/>
      <c r="F167" s="16"/>
      <c r="G167" s="16"/>
      <c r="J167" s="121"/>
      <c r="AT167" s="121"/>
      <c r="CD167" s="121"/>
      <c r="CS167" s="49"/>
    </row>
    <row r="168" spans="1:97" s="14" customFormat="1" x14ac:dyDescent="0.2">
      <c r="A168" s="32"/>
      <c r="B168" s="32"/>
      <c r="C168" s="16"/>
      <c r="D168" s="16"/>
      <c r="E168" s="16"/>
      <c r="F168" s="16"/>
      <c r="G168" s="16"/>
      <c r="J168" s="121"/>
      <c r="AT168" s="121"/>
      <c r="CD168" s="121"/>
      <c r="CS168" s="49"/>
    </row>
    <row r="169" spans="1:97" s="14" customFormat="1" x14ac:dyDescent="0.2">
      <c r="A169" s="32"/>
      <c r="B169" s="32"/>
      <c r="C169" s="16"/>
      <c r="D169" s="16"/>
      <c r="E169" s="16"/>
      <c r="F169" s="16"/>
      <c r="G169" s="16"/>
      <c r="J169" s="121"/>
      <c r="AT169" s="121"/>
      <c r="CD169" s="121"/>
      <c r="CS169" s="49"/>
    </row>
    <row r="170" spans="1:97" s="14" customFormat="1" x14ac:dyDescent="0.2">
      <c r="A170" s="32"/>
      <c r="B170" s="32"/>
      <c r="C170" s="16"/>
      <c r="D170" s="16"/>
      <c r="E170" s="16"/>
      <c r="F170" s="16"/>
      <c r="G170" s="16"/>
      <c r="J170" s="121"/>
      <c r="AT170" s="121"/>
      <c r="CD170" s="121"/>
      <c r="CS170" s="49"/>
    </row>
    <row r="171" spans="1:97" s="14" customFormat="1" x14ac:dyDescent="0.2">
      <c r="A171" s="32"/>
      <c r="B171" s="32"/>
      <c r="C171" s="16"/>
      <c r="D171" s="16"/>
      <c r="E171" s="16"/>
      <c r="F171" s="16"/>
      <c r="G171" s="16"/>
      <c r="J171" s="121"/>
      <c r="AT171" s="121"/>
      <c r="CD171" s="121"/>
      <c r="CS171" s="49"/>
    </row>
    <row r="172" spans="1:97" s="14" customFormat="1" x14ac:dyDescent="0.2">
      <c r="A172" s="32"/>
      <c r="B172" s="32"/>
      <c r="C172" s="16"/>
      <c r="D172" s="16"/>
      <c r="E172" s="16"/>
      <c r="F172" s="16"/>
      <c r="G172" s="16"/>
      <c r="J172" s="121"/>
      <c r="AT172" s="121"/>
      <c r="CD172" s="121"/>
      <c r="CS172" s="49"/>
    </row>
    <row r="173" spans="1:97" s="14" customFormat="1" x14ac:dyDescent="0.2">
      <c r="A173" s="32"/>
      <c r="B173" s="32"/>
      <c r="C173" s="16"/>
      <c r="D173" s="16"/>
      <c r="E173" s="16"/>
      <c r="F173" s="16"/>
      <c r="G173" s="16"/>
      <c r="J173" s="121"/>
      <c r="AT173" s="121"/>
      <c r="CD173" s="121"/>
      <c r="CS173" s="49"/>
    </row>
    <row r="174" spans="1:97" s="14" customFormat="1" x14ac:dyDescent="0.2">
      <c r="A174" s="32"/>
      <c r="B174" s="32"/>
      <c r="C174" s="16"/>
      <c r="D174" s="16"/>
      <c r="E174" s="16"/>
      <c r="F174" s="16"/>
      <c r="G174" s="16"/>
      <c r="J174" s="121"/>
      <c r="AT174" s="121"/>
      <c r="CD174" s="121"/>
      <c r="CS174" s="49"/>
    </row>
    <row r="175" spans="1:97" s="14" customFormat="1" x14ac:dyDescent="0.2">
      <c r="A175" s="32"/>
      <c r="B175" s="32"/>
      <c r="C175" s="16"/>
      <c r="D175" s="16"/>
      <c r="E175" s="16"/>
      <c r="F175" s="16"/>
      <c r="G175" s="16"/>
      <c r="J175" s="121"/>
      <c r="AT175" s="121"/>
      <c r="CD175" s="121"/>
      <c r="CS175" s="49"/>
    </row>
    <row r="176" spans="1:97" s="14" customFormat="1" x14ac:dyDescent="0.2">
      <c r="A176" s="32"/>
      <c r="B176" s="32"/>
      <c r="C176" s="16"/>
      <c r="D176" s="16"/>
      <c r="E176" s="16"/>
      <c r="F176" s="16"/>
      <c r="G176" s="16"/>
      <c r="J176" s="121"/>
      <c r="AT176" s="121"/>
      <c r="CD176" s="121"/>
      <c r="CS176" s="49"/>
    </row>
    <row r="177" spans="1:97" s="14" customFormat="1" x14ac:dyDescent="0.2">
      <c r="A177" s="32"/>
      <c r="B177" s="32"/>
      <c r="C177" s="16"/>
      <c r="D177" s="16"/>
      <c r="E177" s="16"/>
      <c r="F177" s="16"/>
      <c r="G177" s="16"/>
      <c r="J177" s="121"/>
      <c r="AT177" s="121"/>
      <c r="CD177" s="121"/>
      <c r="CS177" s="49"/>
    </row>
    <row r="178" spans="1:97" s="14" customFormat="1" x14ac:dyDescent="0.2">
      <c r="A178" s="32"/>
      <c r="B178" s="32"/>
      <c r="C178" s="16"/>
      <c r="D178" s="16"/>
      <c r="E178" s="16"/>
      <c r="F178" s="16"/>
      <c r="G178" s="16"/>
      <c r="J178" s="121"/>
      <c r="AT178" s="121"/>
      <c r="CD178" s="121"/>
      <c r="CS178" s="49"/>
    </row>
    <row r="179" spans="1:97" s="14" customFormat="1" x14ac:dyDescent="0.2">
      <c r="A179" s="32"/>
      <c r="B179" s="32"/>
      <c r="C179" s="16"/>
      <c r="D179" s="16"/>
      <c r="E179" s="16"/>
      <c r="F179" s="16"/>
      <c r="G179" s="16"/>
      <c r="J179" s="121"/>
      <c r="AT179" s="121"/>
      <c r="CD179" s="121"/>
      <c r="CS179" s="49"/>
    </row>
    <row r="180" spans="1:97" s="14" customFormat="1" x14ac:dyDescent="0.2">
      <c r="A180" s="32"/>
      <c r="B180" s="32"/>
      <c r="C180" s="16"/>
      <c r="D180" s="16"/>
      <c r="E180" s="16"/>
      <c r="F180" s="16"/>
      <c r="G180" s="16"/>
      <c r="J180" s="121"/>
      <c r="AT180" s="121"/>
      <c r="CD180" s="121"/>
      <c r="CS180" s="49"/>
    </row>
    <row r="181" spans="1:97" s="14" customFormat="1" x14ac:dyDescent="0.2">
      <c r="A181" s="32"/>
      <c r="B181" s="32"/>
      <c r="C181" s="16"/>
      <c r="D181" s="16"/>
      <c r="E181" s="16"/>
      <c r="F181" s="16"/>
      <c r="G181" s="16"/>
      <c r="J181" s="121"/>
      <c r="AT181" s="121"/>
      <c r="CD181" s="121"/>
      <c r="CS181" s="49"/>
    </row>
    <row r="182" spans="1:97" s="14" customFormat="1" x14ac:dyDescent="0.2">
      <c r="A182" s="32"/>
      <c r="B182" s="32"/>
      <c r="C182" s="16"/>
      <c r="D182" s="16"/>
      <c r="E182" s="16"/>
      <c r="F182" s="16"/>
      <c r="G182" s="16"/>
      <c r="J182" s="121"/>
      <c r="AT182" s="121"/>
      <c r="CD182" s="121"/>
      <c r="CS182" s="49"/>
    </row>
    <row r="183" spans="1:97" s="14" customFormat="1" x14ac:dyDescent="0.2">
      <c r="A183" s="32"/>
      <c r="B183" s="32"/>
      <c r="C183" s="16"/>
      <c r="D183" s="16"/>
      <c r="E183" s="16"/>
      <c r="F183" s="16"/>
      <c r="G183" s="16"/>
      <c r="J183" s="121"/>
      <c r="AT183" s="121"/>
      <c r="CD183" s="121"/>
      <c r="CS183" s="49"/>
    </row>
    <row r="184" spans="1:97" s="14" customFormat="1" x14ac:dyDescent="0.2">
      <c r="A184" s="32"/>
      <c r="B184" s="32"/>
      <c r="C184" s="16"/>
      <c r="D184" s="16"/>
      <c r="E184" s="16"/>
      <c r="F184" s="16"/>
      <c r="G184" s="16"/>
      <c r="J184" s="121"/>
      <c r="AT184" s="121"/>
      <c r="CD184" s="121"/>
      <c r="CS184" s="49"/>
    </row>
    <row r="185" spans="1:97" s="14" customFormat="1" x14ac:dyDescent="0.2">
      <c r="A185" s="32"/>
      <c r="B185" s="32"/>
      <c r="C185" s="16"/>
      <c r="D185" s="16"/>
      <c r="E185" s="16"/>
      <c r="F185" s="16"/>
      <c r="G185" s="16"/>
      <c r="J185" s="121"/>
      <c r="AT185" s="121"/>
      <c r="CD185" s="121"/>
      <c r="CS185" s="49"/>
    </row>
    <row r="186" spans="1:97" s="14" customFormat="1" x14ac:dyDescent="0.2">
      <c r="A186" s="32"/>
      <c r="B186" s="32"/>
      <c r="C186" s="16"/>
      <c r="D186" s="16"/>
      <c r="E186" s="16"/>
      <c r="F186" s="16"/>
      <c r="G186" s="16"/>
      <c r="J186" s="121"/>
      <c r="AT186" s="121"/>
      <c r="CD186" s="121"/>
      <c r="CS186" s="49"/>
    </row>
    <row r="187" spans="1:97" s="14" customFormat="1" x14ac:dyDescent="0.2">
      <c r="A187" s="32"/>
      <c r="B187" s="32"/>
      <c r="C187" s="16"/>
      <c r="D187" s="16"/>
      <c r="E187" s="16"/>
      <c r="F187" s="16"/>
      <c r="G187" s="16"/>
      <c r="J187" s="121"/>
      <c r="AT187" s="121"/>
      <c r="CD187" s="121"/>
      <c r="CS187" s="49"/>
    </row>
    <row r="188" spans="1:97" s="14" customFormat="1" x14ac:dyDescent="0.2">
      <c r="A188" s="32"/>
      <c r="B188" s="32"/>
      <c r="C188" s="16"/>
      <c r="D188" s="16"/>
      <c r="E188" s="16"/>
      <c r="F188" s="16"/>
      <c r="G188" s="16"/>
      <c r="J188" s="121"/>
      <c r="AT188" s="121"/>
      <c r="CD188" s="121"/>
      <c r="CS188" s="49"/>
    </row>
    <row r="189" spans="1:97" s="14" customFormat="1" x14ac:dyDescent="0.2">
      <c r="A189" s="32"/>
      <c r="B189" s="32"/>
      <c r="C189" s="16"/>
      <c r="D189" s="16"/>
      <c r="E189" s="16"/>
      <c r="F189" s="16"/>
      <c r="G189" s="16"/>
      <c r="J189" s="121"/>
      <c r="AT189" s="121"/>
      <c r="CD189" s="121"/>
      <c r="CS189" s="49"/>
    </row>
    <row r="190" spans="1:97" s="14" customFormat="1" x14ac:dyDescent="0.2">
      <c r="A190" s="32"/>
      <c r="B190" s="32"/>
      <c r="C190" s="16"/>
      <c r="D190" s="16"/>
      <c r="E190" s="16"/>
      <c r="F190" s="16"/>
      <c r="G190" s="16"/>
      <c r="J190" s="121"/>
      <c r="AT190" s="121"/>
      <c r="CD190" s="121"/>
      <c r="CS190" s="49"/>
    </row>
    <row r="191" spans="1:97" s="14" customFormat="1" x14ac:dyDescent="0.2">
      <c r="A191" s="32"/>
      <c r="B191" s="32"/>
      <c r="C191" s="16"/>
      <c r="D191" s="16"/>
      <c r="E191" s="16"/>
      <c r="F191" s="16"/>
      <c r="G191" s="16"/>
      <c r="J191" s="121"/>
      <c r="AT191" s="121"/>
      <c r="CD191" s="121"/>
      <c r="CS191" s="49"/>
    </row>
    <row r="192" spans="1:97" s="14" customFormat="1" x14ac:dyDescent="0.2">
      <c r="A192" s="32"/>
      <c r="B192" s="32"/>
      <c r="C192" s="16"/>
      <c r="D192" s="16"/>
      <c r="E192" s="16"/>
      <c r="F192" s="16"/>
      <c r="G192" s="16"/>
      <c r="J192" s="121"/>
      <c r="AT192" s="121"/>
      <c r="CD192" s="121"/>
      <c r="CS192" s="49"/>
    </row>
    <row r="193" spans="1:97" s="14" customFormat="1" x14ac:dyDescent="0.2">
      <c r="A193" s="32"/>
      <c r="B193" s="32"/>
      <c r="C193" s="16"/>
      <c r="D193" s="16"/>
      <c r="E193" s="16"/>
      <c r="F193" s="16"/>
      <c r="G193" s="16"/>
      <c r="J193" s="121"/>
      <c r="AT193" s="121"/>
      <c r="CD193" s="121"/>
      <c r="CS193" s="49"/>
    </row>
    <row r="194" spans="1:97" s="14" customFormat="1" x14ac:dyDescent="0.2">
      <c r="A194" s="32"/>
      <c r="B194" s="32"/>
      <c r="C194" s="16"/>
      <c r="D194" s="16"/>
      <c r="E194" s="16"/>
      <c r="F194" s="16"/>
      <c r="G194" s="16"/>
      <c r="J194" s="121"/>
      <c r="AT194" s="121"/>
      <c r="CD194" s="121"/>
      <c r="CS194" s="49"/>
    </row>
    <row r="195" spans="1:97" s="14" customFormat="1" x14ac:dyDescent="0.2">
      <c r="A195" s="32"/>
      <c r="B195" s="32"/>
      <c r="C195" s="16"/>
      <c r="D195" s="16"/>
      <c r="E195" s="16"/>
      <c r="F195" s="16"/>
      <c r="G195" s="16"/>
      <c r="J195" s="121"/>
      <c r="AT195" s="121"/>
      <c r="CD195" s="121"/>
      <c r="CS195" s="49"/>
    </row>
    <row r="196" spans="1:97" s="14" customFormat="1" x14ac:dyDescent="0.2">
      <c r="A196" s="32"/>
      <c r="B196" s="32"/>
      <c r="C196" s="16"/>
      <c r="D196" s="16"/>
      <c r="E196" s="16"/>
      <c r="F196" s="16"/>
      <c r="G196" s="16"/>
      <c r="J196" s="121"/>
      <c r="AT196" s="121"/>
      <c r="CD196" s="121"/>
      <c r="CS196" s="49"/>
    </row>
    <row r="197" spans="1:97" s="14" customFormat="1" x14ac:dyDescent="0.2">
      <c r="A197" s="32"/>
      <c r="B197" s="32"/>
      <c r="C197" s="16"/>
      <c r="D197" s="16"/>
      <c r="E197" s="16"/>
      <c r="F197" s="16"/>
      <c r="G197" s="16"/>
      <c r="J197" s="121"/>
      <c r="AT197" s="121"/>
      <c r="CD197" s="121"/>
      <c r="CS197" s="49"/>
    </row>
    <row r="198" spans="1:97" s="14" customFormat="1" x14ac:dyDescent="0.2">
      <c r="A198" s="32"/>
      <c r="B198" s="32"/>
      <c r="C198" s="16"/>
      <c r="D198" s="16"/>
      <c r="E198" s="16"/>
      <c r="F198" s="16"/>
      <c r="G198" s="16"/>
      <c r="J198" s="121"/>
      <c r="AT198" s="121"/>
      <c r="CD198" s="121"/>
      <c r="CS198" s="49"/>
    </row>
    <row r="199" spans="1:97" s="14" customFormat="1" x14ac:dyDescent="0.2">
      <c r="A199" s="32"/>
      <c r="B199" s="32"/>
      <c r="C199" s="16"/>
      <c r="D199" s="16"/>
      <c r="E199" s="16"/>
      <c r="F199" s="16"/>
      <c r="G199" s="16"/>
      <c r="J199" s="121"/>
      <c r="AT199" s="121"/>
      <c r="CD199" s="121"/>
      <c r="CS199" s="49"/>
    </row>
    <row r="200" spans="1:97" s="14" customFormat="1" x14ac:dyDescent="0.2">
      <c r="A200" s="32"/>
      <c r="B200" s="32"/>
      <c r="C200" s="16"/>
      <c r="D200" s="16"/>
      <c r="E200" s="16"/>
      <c r="F200" s="16"/>
      <c r="G200" s="16"/>
      <c r="J200" s="121"/>
      <c r="AT200" s="121"/>
      <c r="CD200" s="121"/>
      <c r="CS200" s="49"/>
    </row>
    <row r="201" spans="1:97" s="14" customFormat="1" x14ac:dyDescent="0.2">
      <c r="A201" s="32"/>
      <c r="B201" s="32"/>
      <c r="C201" s="16"/>
      <c r="D201" s="16"/>
      <c r="E201" s="16"/>
      <c r="F201" s="16"/>
      <c r="G201" s="16"/>
      <c r="J201" s="121"/>
      <c r="AT201" s="121"/>
      <c r="CD201" s="121"/>
      <c r="CS201" s="49"/>
    </row>
    <row r="202" spans="1:97" s="14" customFormat="1" x14ac:dyDescent="0.2">
      <c r="A202" s="32"/>
      <c r="B202" s="32"/>
      <c r="C202" s="16"/>
      <c r="D202" s="16"/>
      <c r="E202" s="16"/>
      <c r="F202" s="16"/>
      <c r="G202" s="16"/>
      <c r="J202" s="121"/>
      <c r="AT202" s="121"/>
      <c r="CD202" s="121"/>
      <c r="CS202" s="49"/>
    </row>
    <row r="203" spans="1:97" s="14" customFormat="1" x14ac:dyDescent="0.2">
      <c r="A203" s="32"/>
      <c r="B203" s="32"/>
      <c r="C203" s="16"/>
      <c r="D203" s="16"/>
      <c r="E203" s="16"/>
      <c r="F203" s="16"/>
      <c r="G203" s="16"/>
      <c r="J203" s="121"/>
      <c r="AT203" s="121"/>
      <c r="CD203" s="121"/>
      <c r="CS203" s="49"/>
    </row>
    <row r="204" spans="1:97" s="14" customFormat="1" x14ac:dyDescent="0.2">
      <c r="A204" s="32"/>
      <c r="B204" s="32"/>
      <c r="C204" s="16"/>
      <c r="D204" s="16"/>
      <c r="E204" s="16"/>
      <c r="F204" s="16"/>
      <c r="G204" s="16"/>
      <c r="J204" s="121"/>
      <c r="AT204" s="121"/>
      <c r="CD204" s="121"/>
      <c r="CS204" s="49"/>
    </row>
    <row r="205" spans="1:97" s="14" customFormat="1" x14ac:dyDescent="0.2">
      <c r="A205" s="32"/>
      <c r="B205" s="32"/>
      <c r="C205" s="16"/>
      <c r="D205" s="16"/>
      <c r="E205" s="16"/>
      <c r="F205" s="16"/>
      <c r="G205" s="16"/>
      <c r="J205" s="121"/>
      <c r="AT205" s="121"/>
      <c r="CD205" s="121"/>
      <c r="CS205" s="49"/>
    </row>
    <row r="206" spans="1:97" s="14" customFormat="1" x14ac:dyDescent="0.2">
      <c r="A206" s="32"/>
      <c r="B206" s="32"/>
      <c r="C206" s="16"/>
      <c r="D206" s="16"/>
      <c r="E206" s="16"/>
      <c r="F206" s="16"/>
      <c r="G206" s="16"/>
      <c r="J206" s="121"/>
      <c r="AT206" s="121"/>
      <c r="CD206" s="121"/>
      <c r="CS206" s="49"/>
    </row>
    <row r="207" spans="1:97" s="14" customFormat="1" x14ac:dyDescent="0.2">
      <c r="A207" s="32"/>
      <c r="B207" s="32"/>
      <c r="C207" s="16"/>
      <c r="D207" s="16"/>
      <c r="E207" s="16"/>
      <c r="F207" s="16"/>
      <c r="G207" s="16"/>
      <c r="J207" s="121"/>
      <c r="AT207" s="121"/>
      <c r="CD207" s="121"/>
      <c r="CS207" s="49"/>
    </row>
    <row r="208" spans="1:97" s="14" customFormat="1" x14ac:dyDescent="0.2">
      <c r="A208" s="32"/>
      <c r="B208" s="32"/>
      <c r="C208" s="16"/>
      <c r="D208" s="16"/>
      <c r="E208" s="16"/>
      <c r="F208" s="16"/>
      <c r="G208" s="16"/>
      <c r="J208" s="121"/>
      <c r="AT208" s="121"/>
      <c r="CD208" s="121"/>
      <c r="CS208" s="49"/>
    </row>
    <row r="209" spans="1:97" s="14" customFormat="1" x14ac:dyDescent="0.2">
      <c r="A209" s="32"/>
      <c r="B209" s="32"/>
      <c r="C209" s="16"/>
      <c r="D209" s="16"/>
      <c r="E209" s="16"/>
      <c r="F209" s="16"/>
      <c r="G209" s="16"/>
      <c r="I209" s="16"/>
      <c r="J209" s="126"/>
      <c r="AT209" s="121"/>
      <c r="CD209" s="121"/>
      <c r="CS209" s="49"/>
    </row>
    <row r="210" spans="1:97" s="14" customFormat="1" x14ac:dyDescent="0.2">
      <c r="A210" s="32"/>
      <c r="B210" s="32"/>
      <c r="C210" s="16"/>
      <c r="D210" s="16"/>
      <c r="E210" s="16"/>
      <c r="F210" s="16"/>
      <c r="G210" s="16"/>
      <c r="I210" s="16"/>
      <c r="J210" s="126"/>
      <c r="AT210" s="121"/>
      <c r="CD210" s="121"/>
      <c r="CS210" s="49"/>
    </row>
    <row r="211" spans="1:97" s="14" customFormat="1" x14ac:dyDescent="0.2">
      <c r="A211" s="32"/>
      <c r="B211" s="32"/>
      <c r="C211" s="16"/>
      <c r="D211" s="16"/>
      <c r="E211" s="16"/>
      <c r="F211" s="16"/>
      <c r="G211" s="16"/>
      <c r="J211" s="121"/>
      <c r="AT211" s="121"/>
      <c r="CD211" s="121"/>
      <c r="CS211" s="49"/>
    </row>
    <row r="212" spans="1:97" s="14" customFormat="1" x14ac:dyDescent="0.2">
      <c r="A212" s="32"/>
      <c r="B212" s="32"/>
      <c r="C212" s="16"/>
      <c r="D212" s="16"/>
      <c r="E212" s="16"/>
      <c r="F212" s="16"/>
      <c r="G212" s="16"/>
      <c r="J212" s="121"/>
      <c r="AT212" s="121"/>
      <c r="CD212" s="121"/>
      <c r="CS212" s="49"/>
    </row>
    <row r="213" spans="1:97" s="14" customFormat="1" x14ac:dyDescent="0.2">
      <c r="A213" s="32"/>
      <c r="B213" s="32"/>
      <c r="C213" s="16"/>
      <c r="D213" s="16"/>
      <c r="E213" s="16"/>
      <c r="F213" s="16"/>
      <c r="G213" s="16"/>
      <c r="J213" s="121"/>
      <c r="AT213" s="121"/>
      <c r="CD213" s="121"/>
      <c r="CS213" s="49"/>
    </row>
    <row r="214" spans="1:97" s="14" customFormat="1" x14ac:dyDescent="0.2">
      <c r="A214" s="32"/>
      <c r="B214" s="32"/>
      <c r="C214" s="16"/>
      <c r="D214" s="16"/>
      <c r="E214" s="16"/>
      <c r="F214" s="16"/>
      <c r="G214" s="16"/>
      <c r="J214" s="121"/>
      <c r="AT214" s="121"/>
      <c r="CD214" s="121"/>
      <c r="CS214" s="49"/>
    </row>
    <row r="215" spans="1:97" s="14" customFormat="1" x14ac:dyDescent="0.2">
      <c r="A215" s="32"/>
      <c r="B215" s="32"/>
      <c r="C215" s="16"/>
      <c r="D215" s="16"/>
      <c r="E215" s="16"/>
      <c r="F215" s="16"/>
      <c r="G215" s="16"/>
      <c r="J215" s="121"/>
      <c r="AT215" s="121"/>
      <c r="CD215" s="121"/>
      <c r="CS215" s="49"/>
    </row>
    <row r="216" spans="1:97" s="14" customFormat="1" x14ac:dyDescent="0.2">
      <c r="A216" s="32"/>
      <c r="B216" s="32"/>
      <c r="C216" s="16"/>
      <c r="D216" s="16"/>
      <c r="E216" s="16"/>
      <c r="F216" s="16"/>
      <c r="G216" s="16"/>
      <c r="J216" s="121"/>
      <c r="AT216" s="121"/>
      <c r="CD216" s="121"/>
      <c r="CS216" s="51"/>
    </row>
    <row r="217" spans="1:97" s="14" customFormat="1" x14ac:dyDescent="0.2">
      <c r="A217" s="32"/>
      <c r="B217" s="32"/>
      <c r="C217" s="16"/>
      <c r="D217" s="16"/>
      <c r="E217" s="16"/>
      <c r="F217" s="16"/>
      <c r="G217" s="16"/>
      <c r="J217" s="121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2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2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49"/>
    </row>
    <row r="218" spans="1:97" s="14" customFormat="1" x14ac:dyDescent="0.2">
      <c r="A218" s="32"/>
      <c r="B218" s="32"/>
      <c r="C218" s="16"/>
      <c r="D218" s="16"/>
      <c r="E218" s="16"/>
      <c r="F218" s="16"/>
      <c r="G218" s="16"/>
      <c r="J218" s="121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2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2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49"/>
    </row>
    <row r="219" spans="1:97" s="14" customFormat="1" x14ac:dyDescent="0.2">
      <c r="A219" s="32"/>
      <c r="B219" s="32"/>
      <c r="C219" s="16"/>
      <c r="D219" s="16"/>
      <c r="E219" s="16"/>
      <c r="F219" s="16"/>
      <c r="G219" s="16"/>
      <c r="J219" s="121"/>
      <c r="AT219" s="121"/>
      <c r="CD219" s="121"/>
    </row>
    <row r="220" spans="1:97" s="14" customFormat="1" x14ac:dyDescent="0.2">
      <c r="A220" s="32"/>
      <c r="B220" s="32"/>
      <c r="C220" s="16"/>
      <c r="D220" s="16"/>
      <c r="E220" s="16"/>
      <c r="F220" s="16"/>
      <c r="G220" s="16"/>
      <c r="J220" s="121"/>
      <c r="AT220" s="121"/>
      <c r="CD220" s="121"/>
    </row>
    <row r="221" spans="1:97" s="14" customFormat="1" x14ac:dyDescent="0.2">
      <c r="A221" s="32"/>
      <c r="B221" s="32"/>
      <c r="C221" s="16"/>
      <c r="D221" s="16"/>
      <c r="E221" s="16"/>
      <c r="F221" s="16"/>
      <c r="G221" s="16"/>
      <c r="J221" s="121"/>
      <c r="AT221" s="121"/>
      <c r="CD221" s="121"/>
    </row>
    <row r="222" spans="1:97" s="14" customFormat="1" x14ac:dyDescent="0.2">
      <c r="A222" s="32"/>
      <c r="B222" s="32"/>
      <c r="C222" s="16"/>
      <c r="D222" s="16"/>
      <c r="E222" s="16"/>
      <c r="F222" s="16"/>
      <c r="G222" s="16"/>
      <c r="J222" s="121"/>
      <c r="AT222" s="121"/>
      <c r="CD222" s="121"/>
    </row>
    <row r="223" spans="1:97" s="14" customFormat="1" x14ac:dyDescent="0.2">
      <c r="A223" s="32"/>
      <c r="B223" s="32"/>
      <c r="C223" s="16"/>
      <c r="D223" s="16"/>
      <c r="E223" s="16"/>
      <c r="F223" s="16"/>
      <c r="G223" s="16"/>
      <c r="J223" s="121"/>
      <c r="AT223" s="121"/>
      <c r="CD223" s="121"/>
    </row>
    <row r="224" spans="1:97" s="14" customFormat="1" ht="19.5" customHeight="1" x14ac:dyDescent="0.2">
      <c r="A224" s="32"/>
      <c r="B224" s="32"/>
      <c r="C224" s="16"/>
      <c r="D224" s="16"/>
      <c r="E224" s="16"/>
      <c r="F224" s="16"/>
      <c r="G224" s="16"/>
      <c r="J224" s="121"/>
      <c r="AT224" s="121"/>
      <c r="CD224" s="121"/>
    </row>
    <row r="225" spans="1:82" s="14" customFormat="1" x14ac:dyDescent="0.2">
      <c r="A225" s="32"/>
      <c r="B225" s="32"/>
      <c r="C225" s="16"/>
      <c r="D225" s="16"/>
      <c r="E225" s="16"/>
      <c r="F225" s="16"/>
      <c r="G225" s="16"/>
      <c r="J225" s="121"/>
      <c r="AT225" s="121"/>
      <c r="CD225" s="121"/>
    </row>
    <row r="226" spans="1:82" s="14" customFormat="1" x14ac:dyDescent="0.2">
      <c r="A226" s="32"/>
      <c r="B226" s="32"/>
      <c r="C226" s="16"/>
      <c r="D226" s="16"/>
      <c r="E226" s="16"/>
      <c r="F226" s="16"/>
      <c r="G226" s="16"/>
      <c r="J226" s="121"/>
      <c r="AT226" s="121"/>
      <c r="CD226" s="121"/>
    </row>
    <row r="227" spans="1:82" s="14" customFormat="1" x14ac:dyDescent="0.2">
      <c r="A227" s="32"/>
      <c r="B227" s="32"/>
      <c r="C227" s="16"/>
      <c r="D227" s="16"/>
      <c r="E227" s="16"/>
      <c r="F227" s="16"/>
      <c r="G227" s="16"/>
      <c r="J227" s="121"/>
      <c r="AT227" s="121"/>
      <c r="CD227" s="121"/>
    </row>
    <row r="228" spans="1:82" s="14" customFormat="1" x14ac:dyDescent="0.2">
      <c r="A228" s="32"/>
      <c r="B228" s="32"/>
      <c r="C228" s="16"/>
      <c r="D228" s="16"/>
      <c r="E228" s="16"/>
      <c r="F228" s="16"/>
      <c r="G228" s="16"/>
      <c r="J228" s="121"/>
      <c r="AT228" s="121"/>
      <c r="CD228" s="121"/>
    </row>
    <row r="229" spans="1:82" s="14" customFormat="1" x14ac:dyDescent="0.2">
      <c r="A229" s="32"/>
      <c r="B229" s="32"/>
      <c r="C229" s="16"/>
      <c r="D229" s="16"/>
      <c r="E229" s="16"/>
      <c r="F229" s="16"/>
      <c r="G229" s="16"/>
      <c r="J229" s="121"/>
      <c r="AT229" s="121"/>
      <c r="CD229" s="121"/>
    </row>
    <row r="230" spans="1:82" s="14" customFormat="1" x14ac:dyDescent="0.2">
      <c r="A230" s="32"/>
      <c r="B230" s="32"/>
      <c r="C230" s="16"/>
      <c r="D230" s="16"/>
      <c r="E230" s="16"/>
      <c r="F230" s="16"/>
      <c r="G230" s="16"/>
      <c r="J230" s="121"/>
      <c r="AT230" s="121"/>
      <c r="CD230" s="121"/>
    </row>
    <row r="231" spans="1:82" s="14" customFormat="1" x14ac:dyDescent="0.2">
      <c r="A231" s="32"/>
      <c r="B231" s="32"/>
      <c r="C231" s="16"/>
      <c r="D231" s="16"/>
      <c r="E231" s="16"/>
      <c r="F231" s="16"/>
      <c r="G231" s="16"/>
      <c r="J231" s="121"/>
      <c r="AT231" s="121"/>
      <c r="CD231" s="121"/>
    </row>
    <row r="232" spans="1:82" s="14" customFormat="1" x14ac:dyDescent="0.2">
      <c r="A232" s="32"/>
      <c r="B232" s="32"/>
      <c r="C232" s="16"/>
      <c r="D232" s="16"/>
      <c r="E232" s="16"/>
      <c r="F232" s="16"/>
      <c r="G232" s="16"/>
      <c r="J232" s="121"/>
      <c r="AT232" s="121"/>
      <c r="CD232" s="121"/>
    </row>
    <row r="233" spans="1:82" s="14" customFormat="1" x14ac:dyDescent="0.2">
      <c r="A233" s="32"/>
      <c r="B233" s="32"/>
      <c r="C233" s="16"/>
      <c r="D233" s="16"/>
      <c r="E233" s="16"/>
      <c r="F233" s="16"/>
      <c r="G233" s="16"/>
      <c r="J233" s="121"/>
      <c r="AT233" s="121"/>
      <c r="CD233" s="121"/>
    </row>
    <row r="234" spans="1:82" s="14" customFormat="1" x14ac:dyDescent="0.2">
      <c r="A234" s="32"/>
      <c r="B234" s="32"/>
      <c r="C234" s="16"/>
      <c r="D234" s="16"/>
      <c r="E234" s="16"/>
      <c r="F234" s="16"/>
      <c r="G234" s="16"/>
      <c r="J234" s="121"/>
      <c r="AT234" s="121"/>
      <c r="CD234" s="121"/>
    </row>
    <row r="235" spans="1:82" s="14" customFormat="1" x14ac:dyDescent="0.2">
      <c r="A235" s="32"/>
      <c r="B235" s="32"/>
      <c r="C235" s="16"/>
      <c r="D235" s="16"/>
      <c r="E235" s="16"/>
      <c r="F235" s="16"/>
      <c r="G235" s="16"/>
      <c r="J235" s="121"/>
      <c r="AT235" s="121"/>
      <c r="CD235" s="121"/>
    </row>
    <row r="236" spans="1:82" s="14" customFormat="1" x14ac:dyDescent="0.2">
      <c r="A236" s="32"/>
      <c r="B236" s="32"/>
      <c r="C236" s="16"/>
      <c r="D236" s="16"/>
      <c r="E236" s="16"/>
      <c r="F236" s="16"/>
      <c r="G236" s="16"/>
      <c r="J236" s="121"/>
      <c r="AT236" s="121"/>
      <c r="CD236" s="121"/>
    </row>
    <row r="237" spans="1:82" s="14" customFormat="1" x14ac:dyDescent="0.2">
      <c r="A237" s="32"/>
      <c r="B237" s="32"/>
      <c r="C237" s="16"/>
      <c r="D237" s="16"/>
      <c r="E237" s="16"/>
      <c r="F237" s="16"/>
      <c r="G237" s="16"/>
      <c r="J237" s="121"/>
      <c r="AT237" s="121"/>
      <c r="CD237" s="121"/>
    </row>
    <row r="238" spans="1:82" s="14" customFormat="1" x14ac:dyDescent="0.2">
      <c r="A238" s="32"/>
      <c r="B238" s="32"/>
      <c r="C238" s="16"/>
      <c r="D238" s="16"/>
      <c r="E238" s="16"/>
      <c r="F238" s="16"/>
      <c r="G238" s="16"/>
      <c r="J238" s="121"/>
      <c r="AT238" s="121"/>
      <c r="CD238" s="121"/>
    </row>
    <row r="239" spans="1:82" s="14" customFormat="1" x14ac:dyDescent="0.2">
      <c r="A239" s="32"/>
      <c r="B239" s="32"/>
      <c r="C239" s="16"/>
      <c r="D239" s="16"/>
      <c r="E239" s="16"/>
      <c r="F239" s="16"/>
      <c r="G239" s="16"/>
      <c r="J239" s="121"/>
      <c r="AT239" s="121"/>
      <c r="CD239" s="121"/>
    </row>
    <row r="240" spans="1:82" s="14" customFormat="1" x14ac:dyDescent="0.2">
      <c r="A240" s="32"/>
      <c r="B240" s="32"/>
      <c r="C240" s="16"/>
      <c r="D240" s="16"/>
      <c r="E240" s="16"/>
      <c r="F240" s="16"/>
      <c r="G240" s="16"/>
      <c r="J240" s="121"/>
      <c r="AT240" s="121"/>
      <c r="CD240" s="121"/>
    </row>
    <row r="241" spans="1:82" s="14" customFormat="1" x14ac:dyDescent="0.2">
      <c r="A241" s="32"/>
      <c r="B241" s="32"/>
      <c r="C241" s="16"/>
      <c r="D241" s="16"/>
      <c r="E241" s="16"/>
      <c r="F241" s="16"/>
      <c r="G241" s="16"/>
      <c r="J241" s="121"/>
      <c r="AT241" s="121"/>
      <c r="CD241" s="121"/>
    </row>
    <row r="242" spans="1:82" s="14" customFormat="1" x14ac:dyDescent="0.2">
      <c r="A242" s="32"/>
      <c r="B242" s="32"/>
      <c r="C242" s="16"/>
      <c r="D242" s="16"/>
      <c r="E242" s="16"/>
      <c r="F242" s="16"/>
      <c r="G242" s="16"/>
      <c r="J242" s="121"/>
      <c r="AT242" s="121"/>
      <c r="CD242" s="121"/>
    </row>
    <row r="243" spans="1:82" s="14" customFormat="1" x14ac:dyDescent="0.2">
      <c r="A243" s="32"/>
      <c r="B243" s="32"/>
      <c r="C243" s="16"/>
      <c r="D243" s="16"/>
      <c r="E243" s="16"/>
      <c r="F243" s="16"/>
      <c r="G243" s="16"/>
      <c r="J243" s="121"/>
      <c r="AT243" s="121"/>
      <c r="CD243" s="121"/>
    </row>
    <row r="244" spans="1:82" s="14" customFormat="1" x14ac:dyDescent="0.2">
      <c r="A244" s="32"/>
      <c r="B244" s="32"/>
      <c r="C244" s="16"/>
      <c r="D244" s="16"/>
      <c r="E244" s="16"/>
      <c r="F244" s="16"/>
      <c r="G244" s="16"/>
      <c r="J244" s="121"/>
      <c r="AT244" s="121"/>
      <c r="CD244" s="121"/>
    </row>
    <row r="245" spans="1:82" s="14" customFormat="1" x14ac:dyDescent="0.2">
      <c r="A245" s="32"/>
      <c r="B245" s="32"/>
      <c r="C245" s="16"/>
      <c r="D245" s="16"/>
      <c r="E245" s="16"/>
      <c r="F245" s="16"/>
      <c r="G245" s="16"/>
      <c r="J245" s="121"/>
      <c r="AT245" s="121"/>
      <c r="CD245" s="121"/>
    </row>
    <row r="246" spans="1:82" s="14" customFormat="1" x14ac:dyDescent="0.2">
      <c r="A246" s="32"/>
      <c r="B246" s="32"/>
      <c r="C246" s="16"/>
      <c r="D246" s="16"/>
      <c r="E246" s="16"/>
      <c r="F246" s="16"/>
      <c r="G246" s="16"/>
      <c r="J246" s="121"/>
      <c r="AT246" s="121"/>
      <c r="CD246" s="121"/>
    </row>
    <row r="247" spans="1:82" s="14" customFormat="1" x14ac:dyDescent="0.2">
      <c r="A247" s="32"/>
      <c r="B247" s="32"/>
      <c r="C247" s="16"/>
      <c r="D247" s="16"/>
      <c r="E247" s="16"/>
      <c r="F247" s="16"/>
      <c r="G247" s="16"/>
      <c r="J247" s="121"/>
      <c r="AT247" s="121"/>
      <c r="CD247" s="121"/>
    </row>
    <row r="248" spans="1:82" s="14" customFormat="1" x14ac:dyDescent="0.2">
      <c r="A248" s="32"/>
      <c r="B248" s="32"/>
      <c r="C248" s="16"/>
      <c r="D248" s="16"/>
      <c r="E248" s="16"/>
      <c r="F248" s="16"/>
      <c r="G248" s="16"/>
      <c r="J248" s="121"/>
      <c r="AT248" s="121"/>
      <c r="CD248" s="121"/>
    </row>
    <row r="249" spans="1:82" s="14" customFormat="1" x14ac:dyDescent="0.2">
      <c r="A249" s="32"/>
      <c r="B249" s="32"/>
      <c r="C249" s="16"/>
      <c r="D249" s="16"/>
      <c r="E249" s="16"/>
      <c r="F249" s="16"/>
      <c r="G249" s="16"/>
      <c r="J249" s="121"/>
      <c r="AT249" s="121"/>
      <c r="CD249" s="121"/>
    </row>
    <row r="250" spans="1:82" s="14" customFormat="1" x14ac:dyDescent="0.2">
      <c r="A250" s="32"/>
      <c r="B250" s="32"/>
      <c r="C250" s="16"/>
      <c r="D250" s="16"/>
      <c r="E250" s="16"/>
      <c r="F250" s="16"/>
      <c r="G250" s="16"/>
      <c r="J250" s="121"/>
      <c r="AT250" s="121"/>
      <c r="CD250" s="121"/>
    </row>
    <row r="251" spans="1:82" s="14" customFormat="1" x14ac:dyDescent="0.2">
      <c r="A251" s="32"/>
      <c r="B251" s="32"/>
      <c r="C251" s="16"/>
      <c r="D251" s="16"/>
      <c r="E251" s="16"/>
      <c r="F251" s="16"/>
      <c r="G251" s="16"/>
      <c r="I251"/>
      <c r="J251" s="120"/>
      <c r="AT251" s="121"/>
      <c r="CD251" s="121"/>
    </row>
    <row r="252" spans="1:82" s="14" customFormat="1" x14ac:dyDescent="0.2">
      <c r="A252" s="32"/>
      <c r="B252" s="32"/>
      <c r="C252" s="16"/>
      <c r="D252" s="16"/>
      <c r="E252" s="16"/>
      <c r="F252" s="16"/>
      <c r="G252" s="16"/>
      <c r="I252"/>
      <c r="J252" s="120"/>
      <c r="AT252" s="121"/>
      <c r="CD252" s="121"/>
    </row>
    <row r="253" spans="1:82" s="14" customFormat="1" x14ac:dyDescent="0.2">
      <c r="A253" s="32"/>
      <c r="B253" s="32"/>
      <c r="C253" s="16"/>
      <c r="D253" s="16"/>
      <c r="E253" s="16"/>
      <c r="F253" s="16"/>
      <c r="G253" s="16"/>
      <c r="I253"/>
      <c r="J253" s="120"/>
      <c r="AT253" s="121"/>
      <c r="CD253" s="121"/>
    </row>
    <row r="254" spans="1:82" s="14" customFormat="1" x14ac:dyDescent="0.2">
      <c r="A254" s="32"/>
      <c r="B254" s="32"/>
      <c r="C254" s="16"/>
      <c r="D254" s="16"/>
      <c r="E254" s="16"/>
      <c r="F254" s="16"/>
      <c r="G254" s="16"/>
      <c r="I254"/>
      <c r="J254" s="120"/>
      <c r="AT254" s="121"/>
      <c r="CD254" s="121"/>
    </row>
    <row r="255" spans="1:82" s="14" customFormat="1" x14ac:dyDescent="0.2">
      <c r="A255" s="32"/>
      <c r="B255" s="32"/>
      <c r="C255" s="16"/>
      <c r="D255" s="16"/>
      <c r="E255" s="16"/>
      <c r="F255" s="16"/>
      <c r="G255" s="16"/>
      <c r="I255"/>
      <c r="J255" s="120"/>
      <c r="AT255" s="121"/>
      <c r="CD255" s="121"/>
    </row>
    <row r="256" spans="1:82" s="14" customFormat="1" x14ac:dyDescent="0.2">
      <c r="A256" s="32"/>
      <c r="B256" s="32"/>
      <c r="C256" s="16"/>
      <c r="D256" s="16"/>
      <c r="E256" s="16"/>
      <c r="F256" s="16"/>
      <c r="G256" s="16"/>
      <c r="I256"/>
      <c r="J256" s="120"/>
      <c r="AT256" s="121"/>
      <c r="CD256" s="121"/>
    </row>
    <row r="257" spans="1:118" s="14" customFormat="1" x14ac:dyDescent="0.2">
      <c r="A257" s="32"/>
      <c r="B257" s="32"/>
      <c r="C257" s="16"/>
      <c r="D257" s="16"/>
      <c r="E257" s="16"/>
      <c r="F257" s="16"/>
      <c r="G257" s="16"/>
      <c r="I257"/>
      <c r="J257" s="120"/>
      <c r="AT257" s="121"/>
      <c r="CD257" s="121"/>
    </row>
    <row r="258" spans="1:118" s="14" customFormat="1" x14ac:dyDescent="0.2">
      <c r="A258" s="32"/>
      <c r="B258" s="32"/>
      <c r="C258" s="16"/>
      <c r="D258" s="16"/>
      <c r="E258" s="16"/>
      <c r="F258" s="16"/>
      <c r="G258" s="16"/>
      <c r="I258"/>
      <c r="J258" s="120"/>
      <c r="AT258" s="121"/>
      <c r="CD258" s="121"/>
    </row>
    <row r="259" spans="1:118" s="14" customFormat="1" x14ac:dyDescent="0.2">
      <c r="A259" s="28"/>
      <c r="B259" s="28"/>
      <c r="C259" s="18"/>
      <c r="D259" s="15"/>
      <c r="E259" s="15"/>
      <c r="F259" s="15"/>
      <c r="G259" s="15"/>
      <c r="H259"/>
      <c r="I259"/>
      <c r="J259" s="120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 s="120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 s="120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</row>
    <row r="260" spans="1:118" s="14" customFormat="1" x14ac:dyDescent="0.2">
      <c r="A260" s="28"/>
      <c r="B260" s="28"/>
      <c r="C260" s="18"/>
      <c r="D260" s="15"/>
      <c r="E260" s="15"/>
      <c r="F260" s="15"/>
      <c r="G260" s="15"/>
      <c r="H260"/>
      <c r="I260"/>
      <c r="J260" s="12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 s="12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 s="12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</row>
    <row r="261" spans="1:118" s="14" customFormat="1" x14ac:dyDescent="0.2">
      <c r="A261" s="28"/>
      <c r="B261" s="28"/>
      <c r="C261" s="18"/>
      <c r="D261" s="15"/>
      <c r="E261" s="15"/>
      <c r="F261" s="15"/>
      <c r="G261" s="15"/>
      <c r="H261"/>
      <c r="I261"/>
      <c r="J261" s="120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 s="120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 s="120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</row>
    <row r="262" spans="1:118" s="14" customFormat="1" x14ac:dyDescent="0.2">
      <c r="A262" s="28"/>
      <c r="B262" s="28"/>
      <c r="C262" s="18"/>
      <c r="D262" s="15"/>
      <c r="E262" s="15"/>
      <c r="F262" s="15"/>
      <c r="G262" s="15"/>
      <c r="H262"/>
      <c r="I262"/>
      <c r="J262" s="120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 s="120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 s="120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</row>
    <row r="263" spans="1:118" s="14" customFormat="1" x14ac:dyDescent="0.2">
      <c r="A263" s="28"/>
      <c r="B263" s="28"/>
      <c r="C263" s="18"/>
      <c r="D263" s="15"/>
      <c r="E263" s="15"/>
      <c r="F263" s="15"/>
      <c r="G263" s="15"/>
      <c r="H263"/>
      <c r="I263"/>
      <c r="J263" s="120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 s="120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 s="120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</row>
    <row r="264" spans="1:118" s="14" customFormat="1" x14ac:dyDescent="0.2">
      <c r="A264" s="28"/>
      <c r="B264" s="28"/>
      <c r="C264" s="18"/>
      <c r="D264" s="15"/>
      <c r="E264" s="15"/>
      <c r="F264" s="15"/>
      <c r="G264" s="15"/>
      <c r="H264"/>
      <c r="I264"/>
      <c r="J264" s="120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 s="120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 s="120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</row>
    <row r="265" spans="1:118" s="14" customFormat="1" x14ac:dyDescent="0.2">
      <c r="A265" s="28"/>
      <c r="B265" s="28"/>
      <c r="C265" s="18"/>
      <c r="D265" s="15"/>
      <c r="E265" s="15"/>
      <c r="F265" s="15"/>
      <c r="G265" s="15"/>
      <c r="H265"/>
      <c r="I265"/>
      <c r="J265" s="120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 s="120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 s="120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</row>
    <row r="266" spans="1:118" s="14" customFormat="1" x14ac:dyDescent="0.2">
      <c r="A266" s="28"/>
      <c r="B266" s="28"/>
      <c r="C266" s="18"/>
      <c r="D266" s="15"/>
      <c r="E266" s="15"/>
      <c r="F266" s="15"/>
      <c r="G266" s="15"/>
      <c r="H266"/>
      <c r="I266"/>
      <c r="J266" s="120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 s="120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 s="120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</row>
  </sheetData>
  <mergeCells count="2">
    <mergeCell ref="A110:G110"/>
    <mergeCell ref="A111:G111"/>
  </mergeCells>
  <phoneticPr fontId="0" type="noConversion"/>
  <pageMargins left="1.24" right="0.3" top="0.27" bottom="0.43" header="0.22" footer="0.25"/>
  <pageSetup scale="80" orientation="portrait" horizontalDpi="300" verticalDpi="300" r:id="rId1"/>
  <headerFooter alignWithMargins="0">
    <oddHeader>&amp;L&amp;"Arial,Bold"&amp;12January - March, 2001</oddHead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zoomScale="75" workbookViewId="0">
      <pane xSplit="1" ySplit="9" topLeftCell="B10" activePane="bottomRight" state="frozen"/>
      <selection activeCell="B1" sqref="B1"/>
      <selection pane="topRight" activeCell="E1" sqref="E1"/>
      <selection pane="bottomLeft" activeCell="B10" sqref="B10"/>
      <selection pane="bottomRight" activeCell="B3" sqref="B3"/>
    </sheetView>
  </sheetViews>
  <sheetFormatPr defaultColWidth="7.85546875" defaultRowHeight="12.75" x14ac:dyDescent="0.2"/>
  <cols>
    <col min="1" max="1" width="9.42578125" style="28" customWidth="1"/>
    <col min="2" max="2" width="10" style="28" customWidth="1"/>
    <col min="3" max="22" width="10" customWidth="1"/>
    <col min="23" max="235" width="9.140625" customWidth="1"/>
  </cols>
  <sheetData>
    <row r="1" spans="1:24" ht="18" customHeight="1" x14ac:dyDescent="0.25">
      <c r="A1" s="56" t="s">
        <v>0</v>
      </c>
    </row>
    <row r="2" spans="1:24" ht="19.5" customHeight="1" x14ac:dyDescent="0.2">
      <c r="A2" s="83" t="s">
        <v>34</v>
      </c>
    </row>
    <row r="3" spans="1:24" ht="15.75" x14ac:dyDescent="0.25">
      <c r="A3" s="57" t="s">
        <v>35</v>
      </c>
      <c r="C3" s="10">
        <f>L8</f>
        <v>36923</v>
      </c>
      <c r="D3" s="9"/>
    </row>
    <row r="4" spans="1:24" ht="15.75" x14ac:dyDescent="0.25">
      <c r="A4" s="57" t="s">
        <v>36</v>
      </c>
      <c r="C4" s="4" t="s">
        <v>54</v>
      </c>
      <c r="E4" s="4" t="s">
        <v>63</v>
      </c>
      <c r="G4" s="4" t="s">
        <v>55</v>
      </c>
    </row>
    <row r="5" spans="1:24" ht="16.5" thickBot="1" x14ac:dyDescent="0.3">
      <c r="A5" s="57" t="s">
        <v>39</v>
      </c>
      <c r="C5" s="4" t="s">
        <v>40</v>
      </c>
    </row>
    <row r="6" spans="1:24" ht="24.95" customHeight="1" thickBot="1" x14ac:dyDescent="0.25">
      <c r="R6" s="143" t="s">
        <v>41</v>
      </c>
      <c r="S6" s="144"/>
      <c r="T6" s="78"/>
      <c r="U6" s="79"/>
    </row>
    <row r="7" spans="1:24" s="61" customFormat="1" ht="54" customHeight="1" thickBot="1" x14ac:dyDescent="0.25">
      <c r="A7" s="58" t="s">
        <v>42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67" t="s">
        <v>48</v>
      </c>
      <c r="Q7" s="58" t="s">
        <v>49</v>
      </c>
      <c r="R7" s="59" t="s">
        <v>14</v>
      </c>
      <c r="S7" s="80" t="s">
        <v>50</v>
      </c>
      <c r="T7" s="71" t="s">
        <v>15</v>
      </c>
      <c r="U7" s="75" t="s">
        <v>16</v>
      </c>
      <c r="V7" s="71"/>
      <c r="W7" s="185" t="s">
        <v>56</v>
      </c>
      <c r="X7" s="185" t="s">
        <v>57</v>
      </c>
    </row>
    <row r="8" spans="1:24" s="160" customFormat="1" ht="15.95" customHeight="1" thickBot="1" x14ac:dyDescent="0.25">
      <c r="A8" s="161"/>
      <c r="B8" s="162"/>
      <c r="C8" s="165">
        <f>C9</f>
        <v>36920</v>
      </c>
      <c r="D8" s="163"/>
      <c r="E8" s="164" t="str">
        <f>TEXT(WEEKDAY(C8),"dddd")</f>
        <v>Monday</v>
      </c>
      <c r="F8" s="165">
        <f>F9</f>
        <v>36921</v>
      </c>
      <c r="G8" s="163"/>
      <c r="H8" s="164" t="str">
        <f>TEXT(WEEKDAY(F8),"dddd")</f>
        <v>Tuesday</v>
      </c>
      <c r="I8" s="165">
        <f>I9</f>
        <v>36922</v>
      </c>
      <c r="J8" s="163"/>
      <c r="K8" s="164" t="str">
        <f>TEXT(WEEKDAY(I8),"dddd")</f>
        <v>Wednesday</v>
      </c>
      <c r="L8" s="165">
        <f>L9</f>
        <v>36923</v>
      </c>
      <c r="M8" s="163"/>
      <c r="N8" s="164" t="str">
        <f>TEXT(WEEKDAY(L8),"dddd")</f>
        <v>Thursday</v>
      </c>
      <c r="O8" s="166"/>
      <c r="P8" s="167"/>
      <c r="Q8" s="166"/>
      <c r="R8" s="172"/>
      <c r="S8" s="175">
        <f>Summary!$C$123</f>
        <v>5000</v>
      </c>
      <c r="T8" s="173"/>
      <c r="U8" s="174"/>
    </row>
    <row r="9" spans="1:24" hidden="1" x14ac:dyDescent="0.2">
      <c r="A9" s="27"/>
      <c r="B9" s="55"/>
      <c r="C9" s="146">
        <v>36920</v>
      </c>
      <c r="D9" s="145">
        <v>36920</v>
      </c>
      <c r="E9" s="145">
        <v>36920</v>
      </c>
      <c r="F9" s="146">
        <v>36921</v>
      </c>
      <c r="G9" s="145">
        <v>36921</v>
      </c>
      <c r="H9" s="145">
        <v>36921</v>
      </c>
      <c r="I9" s="146">
        <v>36922</v>
      </c>
      <c r="J9" s="145">
        <v>36922</v>
      </c>
      <c r="K9" s="145">
        <v>36922</v>
      </c>
      <c r="L9" s="146">
        <v>36923</v>
      </c>
      <c r="M9" s="145">
        <v>36923</v>
      </c>
      <c r="N9" s="145">
        <v>36923</v>
      </c>
      <c r="O9" s="7"/>
      <c r="P9" s="147"/>
      <c r="Q9" s="65"/>
      <c r="R9" s="63"/>
      <c r="S9" s="76"/>
    </row>
    <row r="10" spans="1:24" x14ac:dyDescent="0.2">
      <c r="A10" s="27">
        <v>1117</v>
      </c>
      <c r="B10" s="55" t="s">
        <v>25</v>
      </c>
      <c r="C10" s="6">
        <v>900</v>
      </c>
      <c r="D10" s="5">
        <v>526</v>
      </c>
      <c r="E10" s="5">
        <v>374</v>
      </c>
      <c r="F10" s="6">
        <v>900</v>
      </c>
      <c r="G10" s="5">
        <v>522</v>
      </c>
      <c r="H10" s="5">
        <v>378</v>
      </c>
      <c r="I10" s="6">
        <v>900</v>
      </c>
      <c r="J10" s="5">
        <v>537</v>
      </c>
      <c r="K10" s="5">
        <v>363</v>
      </c>
      <c r="L10" s="6">
        <v>479</v>
      </c>
      <c r="M10" s="5">
        <v>504</v>
      </c>
      <c r="N10" s="5">
        <v>-25</v>
      </c>
      <c r="O10" s="6">
        <f t="shared" ref="O10:O25" si="0">K10+H10+E10</f>
        <v>1115</v>
      </c>
      <c r="P10" s="70">
        <f t="shared" ref="P10:P25" si="1">O10/(J10+G10+D10+1)</f>
        <v>0.70302648171500626</v>
      </c>
      <c r="Q10" s="176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72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 xml:space="preserve"> </v>
      </c>
      <c r="V10" t="str">
        <f t="shared" ref="V10:V34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 xml:space="preserve"> </v>
      </c>
    </row>
    <row r="11" spans="1:24" x14ac:dyDescent="0.2">
      <c r="A11" s="27">
        <v>1126</v>
      </c>
      <c r="B11" s="55" t="s">
        <v>25</v>
      </c>
      <c r="C11" s="6">
        <v>1500</v>
      </c>
      <c r="D11" s="5">
        <v>1378</v>
      </c>
      <c r="E11" s="5">
        <v>122</v>
      </c>
      <c r="F11" s="6">
        <v>1500</v>
      </c>
      <c r="G11" s="5">
        <v>1393</v>
      </c>
      <c r="H11" s="5">
        <v>107</v>
      </c>
      <c r="I11" s="6">
        <v>1500</v>
      </c>
      <c r="J11" s="5">
        <v>1384</v>
      </c>
      <c r="K11" s="5">
        <v>116</v>
      </c>
      <c r="L11" s="6">
        <v>1450</v>
      </c>
      <c r="M11" s="5">
        <v>1478</v>
      </c>
      <c r="N11" s="5">
        <v>-28</v>
      </c>
      <c r="O11" s="6">
        <f t="shared" si="0"/>
        <v>345</v>
      </c>
      <c r="P11" s="70">
        <f t="shared" si="1"/>
        <v>8.3012512030798846E-2</v>
      </c>
      <c r="Q11" s="176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72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 xml:space="preserve"> 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 xml:space="preserve"> </v>
      </c>
    </row>
    <row r="12" spans="1:24" x14ac:dyDescent="0.2">
      <c r="A12" s="27">
        <v>1157</v>
      </c>
      <c r="B12" s="55" t="s">
        <v>25</v>
      </c>
      <c r="C12" s="6">
        <v>133</v>
      </c>
      <c r="D12" s="5">
        <v>168</v>
      </c>
      <c r="E12" s="5">
        <v>-35</v>
      </c>
      <c r="F12" s="6">
        <v>133</v>
      </c>
      <c r="G12" s="5">
        <v>172</v>
      </c>
      <c r="H12" s="5">
        <v>-39</v>
      </c>
      <c r="I12" s="6">
        <v>133</v>
      </c>
      <c r="J12" s="5">
        <v>167</v>
      </c>
      <c r="K12" s="5">
        <v>-34</v>
      </c>
      <c r="L12" s="6">
        <v>130</v>
      </c>
      <c r="M12" s="5">
        <v>183</v>
      </c>
      <c r="N12" s="5">
        <v>-53</v>
      </c>
      <c r="O12" s="6">
        <f t="shared" si="0"/>
        <v>-108</v>
      </c>
      <c r="P12" s="70">
        <f t="shared" si="1"/>
        <v>-0.2125984251968504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72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>X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>X</v>
      </c>
    </row>
    <row r="13" spans="1:24" x14ac:dyDescent="0.2">
      <c r="A13" s="27">
        <v>1780</v>
      </c>
      <c r="B13" s="55" t="s">
        <v>25</v>
      </c>
      <c r="C13" s="6">
        <v>3452</v>
      </c>
      <c r="D13" s="5">
        <v>2915</v>
      </c>
      <c r="E13" s="5">
        <v>537</v>
      </c>
      <c r="F13" s="6">
        <v>3452</v>
      </c>
      <c r="G13" s="5">
        <v>2940</v>
      </c>
      <c r="H13" s="5">
        <v>512</v>
      </c>
      <c r="I13" s="6">
        <v>3452</v>
      </c>
      <c r="J13" s="5">
        <v>2970</v>
      </c>
      <c r="K13" s="5">
        <v>482</v>
      </c>
      <c r="L13" s="6">
        <v>3051</v>
      </c>
      <c r="M13" s="5">
        <v>3083</v>
      </c>
      <c r="N13" s="5">
        <v>-32</v>
      </c>
      <c r="O13" s="6">
        <f t="shared" si="0"/>
        <v>1531</v>
      </c>
      <c r="P13" s="70">
        <f t="shared" si="1"/>
        <v>0.17346476319963744</v>
      </c>
      <c r="Q13" s="74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72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 xml:space="preserve"> 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 xml:space="preserve"> </v>
      </c>
    </row>
    <row r="14" spans="1:24" x14ac:dyDescent="0.2">
      <c r="A14" s="27">
        <v>2280</v>
      </c>
      <c r="B14" s="55" t="s">
        <v>25</v>
      </c>
      <c r="C14" s="6">
        <v>1353</v>
      </c>
      <c r="D14" s="5">
        <v>650</v>
      </c>
      <c r="E14" s="5">
        <v>703</v>
      </c>
      <c r="F14" s="6">
        <v>596</v>
      </c>
      <c r="G14" s="5">
        <v>646</v>
      </c>
      <c r="H14" s="5">
        <v>-50</v>
      </c>
      <c r="I14" s="6">
        <v>596</v>
      </c>
      <c r="J14" s="5">
        <v>660</v>
      </c>
      <c r="K14" s="5">
        <v>-64</v>
      </c>
      <c r="L14" s="6">
        <v>436</v>
      </c>
      <c r="M14" s="5">
        <v>599</v>
      </c>
      <c r="N14" s="5">
        <v>-163</v>
      </c>
      <c r="O14" s="6">
        <f t="shared" si="0"/>
        <v>589</v>
      </c>
      <c r="P14" s="70">
        <f t="shared" si="1"/>
        <v>0.30097087378640774</v>
      </c>
      <c r="Q14" s="176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72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24" x14ac:dyDescent="0.2">
      <c r="A15" s="27">
        <v>2584</v>
      </c>
      <c r="B15" s="55" t="s">
        <v>25</v>
      </c>
      <c r="C15" s="6">
        <v>7788</v>
      </c>
      <c r="D15" s="5">
        <v>6257</v>
      </c>
      <c r="E15" s="5">
        <v>1531</v>
      </c>
      <c r="F15" s="6">
        <v>9440</v>
      </c>
      <c r="G15" s="5">
        <v>6178</v>
      </c>
      <c r="H15" s="5">
        <v>3262</v>
      </c>
      <c r="I15" s="6">
        <v>7788</v>
      </c>
      <c r="J15" s="5">
        <v>6390</v>
      </c>
      <c r="K15" s="5">
        <v>1398</v>
      </c>
      <c r="L15" s="6">
        <v>6674</v>
      </c>
      <c r="M15" s="5">
        <v>6827</v>
      </c>
      <c r="N15" s="5">
        <v>-153</v>
      </c>
      <c r="O15" s="6">
        <f t="shared" si="0"/>
        <v>6191</v>
      </c>
      <c r="P15" s="70">
        <f t="shared" si="1"/>
        <v>0.32885371295017529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72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2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24" x14ac:dyDescent="0.2">
      <c r="A16" s="27">
        <v>2771</v>
      </c>
      <c r="B16" s="55" t="s">
        <v>25</v>
      </c>
      <c r="C16" s="6">
        <v>10000</v>
      </c>
      <c r="D16" s="5">
        <v>9696</v>
      </c>
      <c r="E16" s="5">
        <v>304</v>
      </c>
      <c r="F16" s="6">
        <v>10000</v>
      </c>
      <c r="G16" s="5">
        <v>9665</v>
      </c>
      <c r="H16" s="5">
        <v>335</v>
      </c>
      <c r="I16" s="6">
        <v>10000</v>
      </c>
      <c r="J16" s="5">
        <v>9857</v>
      </c>
      <c r="K16" s="5">
        <v>143</v>
      </c>
      <c r="L16" s="6">
        <v>11000</v>
      </c>
      <c r="M16" s="5">
        <v>10507</v>
      </c>
      <c r="N16" s="5">
        <v>493</v>
      </c>
      <c r="O16" s="6">
        <f>K16+H16+E16</f>
        <v>782</v>
      </c>
      <c r="P16" s="70">
        <f>O16/(J16+G16+D16+1)</f>
        <v>2.6763407371915536E-2</v>
      </c>
      <c r="Q16" s="176"/>
      <c r="R16" s="66" t="str">
        <f>IF($C$4="High Inventory",IF(AND(O16&gt;=Summary!$C$119,P16&gt;=Summary!$C$120),"X"," "),IF(AND(O16&lt;=-Summary!$C$119,P16&lt;=-Summary!$C$120),"X"," "))</f>
        <v xml:space="preserve"> 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72" t="str">
        <f>IF($C$4="High Inventory",IF(AND($O16&gt;=Summary!$C$119,$P16&gt;=0%),"X"," "),IF(AND($O16&lt;=-Summary!$C$119,$P16&lt;=0%),"X"," "))</f>
        <v xml:space="preserve"> </v>
      </c>
      <c r="U16" s="11" t="str">
        <f>IF($C$4="High Inventory",IF(AND($O16&gt;=0,$P16&gt;=Summary!$C$120),"X"," "),IF(AND($O16&lt;=0,$P16&lt;=-Summary!$C$120),"X"," "))</f>
        <v xml:space="preserve"> </v>
      </c>
      <c r="V16" t="str">
        <f t="shared" si="2"/>
        <v xml:space="preserve"> </v>
      </c>
      <c r="W16" t="str">
        <f>IF($C$4="High Inventory",IF(O16&gt;Summary!$C$119,"X"," "),IF(O16&lt;-Summary!$C$119,"X"," "))</f>
        <v xml:space="preserve"> </v>
      </c>
      <c r="X16" t="str">
        <f>IF($C$4="High Inventory",IF(P16&gt;Summary!$C$120,"X"," "),IF(P16&lt;-Summary!$C$120,"X"," "))</f>
        <v xml:space="preserve"> </v>
      </c>
    </row>
    <row r="17" spans="1:24" x14ac:dyDescent="0.2">
      <c r="A17" s="27">
        <v>2832</v>
      </c>
      <c r="B17" s="55" t="s">
        <v>25</v>
      </c>
      <c r="C17" s="6">
        <v>800</v>
      </c>
      <c r="D17" s="5">
        <v>715</v>
      </c>
      <c r="E17" s="5">
        <v>85</v>
      </c>
      <c r="F17" s="6">
        <v>800</v>
      </c>
      <c r="G17" s="5">
        <v>713</v>
      </c>
      <c r="H17" s="5">
        <v>87</v>
      </c>
      <c r="I17" s="6">
        <v>800</v>
      </c>
      <c r="J17" s="5">
        <v>730</v>
      </c>
      <c r="K17" s="5">
        <v>70</v>
      </c>
      <c r="L17" s="6">
        <v>800</v>
      </c>
      <c r="M17" s="5">
        <v>662</v>
      </c>
      <c r="N17" s="5">
        <v>138</v>
      </c>
      <c r="O17" s="6">
        <f t="shared" si="0"/>
        <v>242</v>
      </c>
      <c r="P17" s="70">
        <f t="shared" si="1"/>
        <v>0.11208893006021306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72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 xml:space="preserve"> 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 xml:space="preserve"> </v>
      </c>
    </row>
    <row r="18" spans="1:24" x14ac:dyDescent="0.2">
      <c r="A18" s="27">
        <v>2892</v>
      </c>
      <c r="B18" s="55" t="s">
        <v>25</v>
      </c>
      <c r="C18" s="6">
        <v>6700</v>
      </c>
      <c r="D18" s="5">
        <v>6709</v>
      </c>
      <c r="E18" s="5">
        <v>-9</v>
      </c>
      <c r="F18" s="6">
        <v>6700</v>
      </c>
      <c r="G18" s="5">
        <v>6659</v>
      </c>
      <c r="H18" s="5">
        <v>41</v>
      </c>
      <c r="I18" s="6">
        <v>6700</v>
      </c>
      <c r="J18" s="5">
        <v>6812</v>
      </c>
      <c r="K18" s="5">
        <v>-112</v>
      </c>
      <c r="L18" s="6">
        <v>7216</v>
      </c>
      <c r="M18" s="5">
        <v>7204</v>
      </c>
      <c r="N18" s="5">
        <v>12</v>
      </c>
      <c r="O18" s="6">
        <f t="shared" si="0"/>
        <v>-80</v>
      </c>
      <c r="P18" s="70">
        <f t="shared" si="1"/>
        <v>-3.9641246717209257E-3</v>
      </c>
      <c r="Q18" s="176"/>
      <c r="R18" s="66" t="str">
        <f>IF($C$4="High Inventory",IF(AND(O18&gt;=Summary!$C$119,P18&gt;=Summary!$C$120),"X"," "),IF(AND(O18&lt;=-Summary!$C$119,P18&lt;=-Summary!$C$120),"X"," "))</f>
        <v xml:space="preserve"> 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72" t="str">
        <f>IF($C$4="High Inventory",IF(AND($O18&gt;=Summary!$C$119,$P18&gt;=0%),"X"," "),IF(AND($O18&lt;=-Summary!$C$119,$P18&lt;=0%),"X"," "))</f>
        <v xml:space="preserve"> </v>
      </c>
      <c r="U18" s="11" t="str">
        <f>IF($C$4="High Inventory",IF(AND($O18&gt;=0,$P18&gt;=Summary!$C$120),"X"," "),IF(AND($O18&lt;=0,$P18&lt;=-Summary!$C$120),"X"," "))</f>
        <v xml:space="preserve"> </v>
      </c>
      <c r="V18" t="str">
        <f t="shared" si="2"/>
        <v xml:space="preserve"> </v>
      </c>
      <c r="W18" t="str">
        <f>IF($C$4="High Inventory",IF(O18&gt;Summary!$C$119,"X"," "),IF(O18&lt;-Summary!$C$119,"X"," "))</f>
        <v xml:space="preserve"> </v>
      </c>
      <c r="X18" t="str">
        <f>IF($C$4="High Inventory",IF(P18&gt;Summary!$C$120,"X"," "),IF(P18&lt;-Summary!$C$120,"X"," "))</f>
        <v xml:space="preserve"> </v>
      </c>
    </row>
    <row r="19" spans="1:24" x14ac:dyDescent="0.2">
      <c r="A19" s="27">
        <v>3152</v>
      </c>
      <c r="B19" s="55" t="s">
        <v>25</v>
      </c>
      <c r="C19" s="6">
        <v>19018</v>
      </c>
      <c r="D19" s="5">
        <v>16277</v>
      </c>
      <c r="E19" s="5">
        <v>2741</v>
      </c>
      <c r="F19" s="6">
        <v>24618</v>
      </c>
      <c r="G19" s="5">
        <v>16263</v>
      </c>
      <c r="H19" s="5">
        <v>8355</v>
      </c>
      <c r="I19" s="6">
        <v>24618</v>
      </c>
      <c r="J19" s="5">
        <v>16735</v>
      </c>
      <c r="K19" s="5">
        <v>7883</v>
      </c>
      <c r="L19" s="6">
        <v>17848</v>
      </c>
      <c r="M19" s="5">
        <v>18257</v>
      </c>
      <c r="N19" s="5">
        <v>-409</v>
      </c>
      <c r="O19" s="6">
        <f t="shared" si="0"/>
        <v>18979</v>
      </c>
      <c r="P19" s="70">
        <f t="shared" si="1"/>
        <v>0.38515707443786024</v>
      </c>
      <c r="Q19" s="176"/>
      <c r="R19" s="66" t="str">
        <f>IF($C$4="High Inventory",IF(AND(O19&gt;=Summary!$C$119,P19&gt;=Summary!$C$120),"X"," "),IF(AND(O19&lt;=-Summary!$C$119,P19&lt;=-Summary!$C$120),"X"," "))</f>
        <v xml:space="preserve"> 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72" t="str">
        <f>IF($C$4="High Inventory",IF(AND($O19&gt;=Summary!$C$119,$P19&gt;=0%),"X"," "),IF(AND($O19&lt;=-Summary!$C$119,$P19&lt;=0%),"X"," "))</f>
        <v xml:space="preserve"> </v>
      </c>
      <c r="U19" s="11" t="str">
        <f>IF($C$4="High Inventory",IF(AND($O19&gt;=0,$P19&gt;=Summary!$C$120),"X"," "),IF(AND($O19&lt;=0,$P19&lt;=-Summary!$C$120),"X"," "))</f>
        <v xml:space="preserve"> </v>
      </c>
      <c r="V19" t="str">
        <f t="shared" si="2"/>
        <v xml:space="preserve"> </v>
      </c>
      <c r="W19" t="str">
        <f>IF($C$4="High Inventory",IF(O19&gt;Summary!$C$119,"X"," "),IF(O19&lt;-Summary!$C$119,"X"," "))</f>
        <v xml:space="preserve"> </v>
      </c>
      <c r="X19" t="str">
        <f>IF($C$4="High Inventory",IF(P19&gt;Summary!$C$120,"X"," "),IF(P19&lt;-Summary!$C$120,"X"," "))</f>
        <v xml:space="preserve"> </v>
      </c>
    </row>
    <row r="20" spans="1:24" x14ac:dyDescent="0.2">
      <c r="A20" s="27">
        <v>6500</v>
      </c>
      <c r="B20" s="55" t="s">
        <v>25</v>
      </c>
      <c r="C20" s="6">
        <v>1560703</v>
      </c>
      <c r="D20" s="5">
        <v>1574194</v>
      </c>
      <c r="E20" s="5">
        <v>-13491</v>
      </c>
      <c r="F20" s="6">
        <v>1563333</v>
      </c>
      <c r="G20" s="5">
        <v>1562439</v>
      </c>
      <c r="H20" s="5">
        <v>894</v>
      </c>
      <c r="I20" s="6">
        <v>1635775</v>
      </c>
      <c r="J20" s="5">
        <v>1624105</v>
      </c>
      <c r="K20" s="5">
        <v>11670</v>
      </c>
      <c r="L20" s="6">
        <v>1605366</v>
      </c>
      <c r="M20" s="5">
        <v>1623052</v>
      </c>
      <c r="N20" s="5">
        <v>-17686</v>
      </c>
      <c r="O20" s="6">
        <f t="shared" si="0"/>
        <v>-927</v>
      </c>
      <c r="P20" s="70">
        <f t="shared" si="1"/>
        <v>-1.9471766883250689E-4</v>
      </c>
      <c r="Q20" s="176"/>
      <c r="R20" s="66" t="str">
        <f>IF($C$4="High Inventory",IF(AND(O20&gt;=Summary!$C$119,P20&gt;=Summary!$C$120),"X"," "),IF(AND(O20&lt;=-Summary!$C$119,P20&lt;=-Summary!$C$120),"X"," "))</f>
        <v xml:space="preserve"> 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72" t="str">
        <f>IF($C$4="High Inventory",IF(AND($O20&gt;=Summary!$C$119,$P20&gt;=0%),"X"," "),IF(AND($O20&lt;=-Summary!$C$119,$P20&lt;=0%),"X"," "))</f>
        <v xml:space="preserve"> </v>
      </c>
      <c r="U20" s="11" t="str">
        <f>IF($C$4="High Inventory",IF(AND($O20&gt;=0,$P20&gt;=Summary!$C$120),"X"," "),IF(AND($O20&lt;=0,$P20&lt;=-Summary!$C$120),"X"," "))</f>
        <v xml:space="preserve"> </v>
      </c>
      <c r="V20" t="str">
        <f t="shared" si="2"/>
        <v xml:space="preserve"> </v>
      </c>
      <c r="W20" t="str">
        <f>IF($C$4="High Inventory",IF(O20&gt;Summary!$C$119,"X"," "),IF(O20&lt;-Summary!$C$119,"X"," "))</f>
        <v xml:space="preserve"> </v>
      </c>
      <c r="X20" t="str">
        <f>IF($C$4="High Inventory",IF(P20&gt;Summary!$C$120,"X"," "),IF(P20&lt;-Summary!$C$120,"X"," "))</f>
        <v xml:space="preserve"> </v>
      </c>
    </row>
    <row r="21" spans="1:24" x14ac:dyDescent="0.2">
      <c r="A21" s="27">
        <v>10656</v>
      </c>
      <c r="B21" s="55" t="s">
        <v>25</v>
      </c>
      <c r="C21" s="6">
        <v>260</v>
      </c>
      <c r="D21" s="5">
        <v>404</v>
      </c>
      <c r="E21" s="5">
        <v>-144</v>
      </c>
      <c r="F21" s="6">
        <v>260</v>
      </c>
      <c r="G21" s="5">
        <v>418</v>
      </c>
      <c r="H21" s="5">
        <v>-158</v>
      </c>
      <c r="I21" s="6">
        <v>260</v>
      </c>
      <c r="J21" s="5">
        <v>403</v>
      </c>
      <c r="K21" s="5">
        <v>-143</v>
      </c>
      <c r="L21" s="6">
        <v>300</v>
      </c>
      <c r="M21" s="5">
        <v>247</v>
      </c>
      <c r="N21" s="5">
        <v>53</v>
      </c>
      <c r="O21" s="6">
        <f t="shared" si="0"/>
        <v>-445</v>
      </c>
      <c r="P21" s="70">
        <f t="shared" si="1"/>
        <v>-0.36296900489396411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72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>X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>X</v>
      </c>
    </row>
    <row r="22" spans="1:24" x14ac:dyDescent="0.2">
      <c r="A22" s="27">
        <v>12296</v>
      </c>
      <c r="B22" s="55" t="s">
        <v>25</v>
      </c>
      <c r="C22" s="6">
        <v>4500</v>
      </c>
      <c r="D22" s="5">
        <v>4786</v>
      </c>
      <c r="E22" s="5">
        <v>-286</v>
      </c>
      <c r="F22" s="6">
        <v>4500</v>
      </c>
      <c r="G22" s="5">
        <v>4666</v>
      </c>
      <c r="H22" s="5">
        <v>-166</v>
      </c>
      <c r="I22" s="6">
        <v>4500</v>
      </c>
      <c r="J22" s="5">
        <v>4904</v>
      </c>
      <c r="K22" s="5">
        <v>-404</v>
      </c>
      <c r="L22" s="6">
        <v>4270</v>
      </c>
      <c r="M22" s="5">
        <v>4351</v>
      </c>
      <c r="N22" s="5">
        <v>-81</v>
      </c>
      <c r="O22" s="6">
        <f t="shared" si="0"/>
        <v>-856</v>
      </c>
      <c r="P22" s="70">
        <f t="shared" si="1"/>
        <v>-5.9622483805809014E-2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72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">
      <c r="A23" s="27">
        <v>16786</v>
      </c>
      <c r="B23" s="55" t="s">
        <v>25</v>
      </c>
      <c r="C23" s="6">
        <v>4000</v>
      </c>
      <c r="D23" s="5">
        <v>3572</v>
      </c>
      <c r="E23" s="5">
        <v>428</v>
      </c>
      <c r="F23" s="6">
        <v>4000</v>
      </c>
      <c r="G23" s="5">
        <v>3567</v>
      </c>
      <c r="H23" s="5">
        <v>433</v>
      </c>
      <c r="I23" s="6">
        <v>4000</v>
      </c>
      <c r="J23" s="5">
        <v>3693</v>
      </c>
      <c r="K23" s="5">
        <v>307</v>
      </c>
      <c r="L23" s="6">
        <v>3025</v>
      </c>
      <c r="M23" s="5">
        <v>3002</v>
      </c>
      <c r="N23" s="5">
        <v>23</v>
      </c>
      <c r="O23" s="6">
        <f t="shared" si="0"/>
        <v>1168</v>
      </c>
      <c r="P23" s="70">
        <f t="shared" si="1"/>
        <v>0.1078187021139112</v>
      </c>
      <c r="Q23" s="74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72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 xml:space="preserve"> 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 xml:space="preserve"> </v>
      </c>
    </row>
    <row r="24" spans="1:24" x14ac:dyDescent="0.2">
      <c r="A24" s="27">
        <v>17791</v>
      </c>
      <c r="B24" s="55" t="s">
        <v>25</v>
      </c>
      <c r="C24" s="6">
        <v>974</v>
      </c>
      <c r="D24" s="5">
        <v>784</v>
      </c>
      <c r="E24" s="5">
        <v>190</v>
      </c>
      <c r="F24" s="6">
        <v>974</v>
      </c>
      <c r="G24" s="5">
        <v>775</v>
      </c>
      <c r="H24" s="5">
        <v>199</v>
      </c>
      <c r="I24" s="6">
        <v>974</v>
      </c>
      <c r="J24" s="5">
        <v>796</v>
      </c>
      <c r="K24" s="5">
        <v>178</v>
      </c>
      <c r="L24" s="6">
        <v>915</v>
      </c>
      <c r="M24" s="5">
        <v>935</v>
      </c>
      <c r="N24" s="5">
        <v>-20</v>
      </c>
      <c r="O24" s="6">
        <f t="shared" si="0"/>
        <v>567</v>
      </c>
      <c r="P24" s="70">
        <f t="shared" si="1"/>
        <v>0.24066213921901528</v>
      </c>
      <c r="Q24" s="74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72" t="str">
        <f>IF($C$4="High Inventory",IF(AND($O24&gt;=Summary!$C$119,$P24&gt;=0%),"X"," "),IF(AND($O24&lt;=-Summary!$C$119,$P24&lt;=0%),"X"," "))</f>
        <v xml:space="preserve"> </v>
      </c>
      <c r="U24" s="11" t="str">
        <f>IF($C$4="High Inventory",IF(AND($O24&gt;=0,$P24&gt;=Summary!$C$120),"X"," "),IF(AND($O24&lt;=0,$P24&lt;=-Summary!$C$120),"X"," "))</f>
        <v xml:space="preserve"> </v>
      </c>
      <c r="V24" t="str">
        <f t="shared" si="2"/>
        <v xml:space="preserve"> </v>
      </c>
      <c r="W24" t="str">
        <f>IF($C$4="High Inventory",IF(O24&gt;Summary!$C$119,"X"," "),IF(O24&lt;-Summary!$C$119,"X"," "))</f>
        <v xml:space="preserve"> </v>
      </c>
      <c r="X24" t="str">
        <f>IF($C$4="High Inventory",IF(P24&gt;Summary!$C$120,"X"," "),IF(P24&lt;-Summary!$C$120,"X"," "))</f>
        <v xml:space="preserve"> </v>
      </c>
    </row>
    <row r="25" spans="1:24" x14ac:dyDescent="0.2">
      <c r="A25" s="27">
        <v>30649</v>
      </c>
      <c r="B25" s="55" t="s">
        <v>25</v>
      </c>
      <c r="C25" s="6">
        <v>789</v>
      </c>
      <c r="D25" s="5">
        <v>1776</v>
      </c>
      <c r="E25" s="5">
        <v>-987</v>
      </c>
      <c r="F25" s="6">
        <v>789</v>
      </c>
      <c r="G25" s="5">
        <v>1768</v>
      </c>
      <c r="H25" s="5">
        <v>-979</v>
      </c>
      <c r="I25" s="6">
        <v>7789</v>
      </c>
      <c r="J25" s="5">
        <v>1806</v>
      </c>
      <c r="K25" s="5">
        <v>5983</v>
      </c>
      <c r="L25" s="6">
        <v>355</v>
      </c>
      <c r="M25" s="5">
        <v>1060</v>
      </c>
      <c r="N25" s="5">
        <v>-705</v>
      </c>
      <c r="O25" s="6">
        <f t="shared" si="0"/>
        <v>4017</v>
      </c>
      <c r="P25" s="70">
        <f t="shared" si="1"/>
        <v>0.75070080358811442</v>
      </c>
      <c r="Q25" s="176"/>
      <c r="R25" s="66" t="str">
        <f>IF($C$4="High Inventory",IF(AND(O25&gt;=Summary!$C$119,P25&gt;=Summary!$C$120),"X"," "),IF(AND(O25&lt;=-Summary!$C$119,P25&lt;=-Summary!$C$120),"X"," "))</f>
        <v xml:space="preserve"> 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72" t="str">
        <f>IF($C$4="High Inventory",IF(AND($O25&gt;=Summary!$C$119,$P25&gt;=0%),"X"," "),IF(AND($O25&lt;=-Summary!$C$119,$P25&lt;=0%),"X"," "))</f>
        <v xml:space="preserve"> </v>
      </c>
      <c r="U25" s="11" t="str">
        <f>IF($C$4="High Inventory",IF(AND($O25&gt;=0,$P25&gt;=Summary!$C$120),"X"," "),IF(AND($O25&lt;=0,$P25&lt;=-Summary!$C$120),"X"," "))</f>
        <v xml:space="preserve"> </v>
      </c>
      <c r="V25" t="str">
        <f t="shared" si="2"/>
        <v xml:space="preserve"> </v>
      </c>
      <c r="W25" t="str">
        <f>IF($C$4="High Inventory",IF(O25&gt;Summary!$C$119,"X"," "),IF(O25&lt;-Summary!$C$119,"X"," "))</f>
        <v xml:space="preserve"> </v>
      </c>
      <c r="X25" t="str">
        <f>IF($C$4="High Inventory",IF(P25&gt;Summary!$C$120,"X"," "),IF(P25&lt;-Summary!$C$120,"X"," "))</f>
        <v xml:space="preserve"> </v>
      </c>
    </row>
    <row r="26" spans="1:24" x14ac:dyDescent="0.2">
      <c r="A26" s="27">
        <v>1117</v>
      </c>
      <c r="B26" s="55" t="s">
        <v>26</v>
      </c>
      <c r="C26" s="6">
        <v>19951</v>
      </c>
      <c r="D26" s="5">
        <v>51166</v>
      </c>
      <c r="E26" s="5">
        <v>-31215</v>
      </c>
      <c r="F26" s="6">
        <v>39045</v>
      </c>
      <c r="G26" s="5">
        <v>54720</v>
      </c>
      <c r="H26" s="5">
        <v>-15675</v>
      </c>
      <c r="I26" s="6">
        <v>11861</v>
      </c>
      <c r="J26" s="5">
        <v>54728</v>
      </c>
      <c r="K26" s="5">
        <v>-42867</v>
      </c>
      <c r="L26" s="6">
        <v>94295</v>
      </c>
      <c r="M26" s="5">
        <v>57697</v>
      </c>
      <c r="N26" s="5">
        <v>36598</v>
      </c>
      <c r="O26" s="6">
        <f t="shared" ref="O26:O79" si="3">K26+H26+E26</f>
        <v>-89757</v>
      </c>
      <c r="P26" s="70">
        <f t="shared" ref="P26:P79" si="4">O26/(J26+G26+D26+1)</f>
        <v>-0.55883323475391466</v>
      </c>
      <c r="Q26" s="176"/>
      <c r="R26" s="66" t="str">
        <f>IF($C$4="High Inventory",IF(AND(O26&gt;=Summary!$C$119,P26&gt;=Summary!$C$120),"X"," "),IF(AND(O26&lt;=-Summary!$C$119,P26&lt;=-Summary!$C$120),"X"," "))</f>
        <v>X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72" t="str">
        <f>IF($C$4="High Inventory",IF(AND($O26&gt;=Summary!$C$119,$P26&gt;=0%),"X"," "),IF(AND($O26&lt;=-Summary!$C$119,$P26&lt;=0%),"X"," "))</f>
        <v>X</v>
      </c>
      <c r="U26" s="11" t="str">
        <f>IF($C$4="High Inventory",IF(AND($O26&gt;=0,$P26&gt;=Summary!$C$120),"X"," "),IF(AND($O26&lt;=0,$P26&lt;=-Summary!$C$120),"X"," "))</f>
        <v>X</v>
      </c>
      <c r="V26" t="str">
        <f t="shared" si="2"/>
        <v xml:space="preserve"> </v>
      </c>
      <c r="W26" t="str">
        <f>IF($C$4="High Inventory",IF(O26&gt;Summary!$C$119,"X"," "),IF(O26&lt;-Summary!$C$119,"X"," "))</f>
        <v>X</v>
      </c>
      <c r="X26" t="str">
        <f>IF($C$4="High Inventory",IF(P26&gt;Summary!$C$120,"X"," "),IF(P26&lt;-Summary!$C$120,"X"," "))</f>
        <v>X</v>
      </c>
    </row>
    <row r="27" spans="1:24" x14ac:dyDescent="0.2">
      <c r="A27" s="27">
        <v>1126</v>
      </c>
      <c r="B27" s="55" t="s">
        <v>26</v>
      </c>
      <c r="C27" s="6">
        <v>32008</v>
      </c>
      <c r="D27" s="5">
        <v>40626</v>
      </c>
      <c r="E27" s="5">
        <v>-8618</v>
      </c>
      <c r="F27" s="6">
        <v>41930</v>
      </c>
      <c r="G27" s="5">
        <v>40588</v>
      </c>
      <c r="H27" s="5">
        <v>1342</v>
      </c>
      <c r="I27" s="6">
        <v>24840</v>
      </c>
      <c r="J27" s="5">
        <v>40821</v>
      </c>
      <c r="K27" s="5">
        <v>-15981</v>
      </c>
      <c r="L27" s="6">
        <v>39340</v>
      </c>
      <c r="M27" s="5">
        <v>40082</v>
      </c>
      <c r="N27" s="5">
        <v>-742</v>
      </c>
      <c r="O27" s="6">
        <f t="shared" si="3"/>
        <v>-23257</v>
      </c>
      <c r="P27" s="70">
        <f t="shared" si="4"/>
        <v>-0.19057491232095447</v>
      </c>
      <c r="Q27" s="176"/>
      <c r="R27" s="66" t="str">
        <f>IF($C$4="High Inventory",IF(AND(O27&gt;=Summary!$C$119,P27&gt;=Summary!$C$120),"X"," "),IF(AND(O27&lt;=-Summary!$C$119,P27&lt;=-Summary!$C$120),"X"," "))</f>
        <v>X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72" t="str">
        <f>IF($C$4="High Inventory",IF(AND($O27&gt;=Summary!$C$119,$P27&gt;=0%),"X"," "),IF(AND($O27&lt;=-Summary!$C$119,$P27&lt;=0%),"X"," "))</f>
        <v>X</v>
      </c>
      <c r="U27" s="11" t="str">
        <f>IF($C$4="High Inventory",IF(AND($O27&gt;=0,$P27&gt;=Summary!$C$120),"X"," "),IF(AND($O27&lt;=0,$P27&lt;=-Summary!$C$120),"X"," "))</f>
        <v>X</v>
      </c>
      <c r="V27" t="str">
        <f t="shared" si="2"/>
        <v xml:space="preserve"> </v>
      </c>
      <c r="W27" t="str">
        <f>IF($C$4="High Inventory",IF(O27&gt;Summary!$C$119,"X"," "),IF(O27&lt;-Summary!$C$119,"X"," "))</f>
        <v>X</v>
      </c>
      <c r="X27" t="str">
        <f>IF($C$4="High Inventory",IF(P27&gt;Summary!$C$120,"X"," "),IF(P27&lt;-Summary!$C$120,"X"," "))</f>
        <v>X</v>
      </c>
    </row>
    <row r="28" spans="1:24" x14ac:dyDescent="0.2">
      <c r="A28" s="27">
        <v>1157</v>
      </c>
      <c r="B28" s="55" t="s">
        <v>26</v>
      </c>
      <c r="C28" s="6">
        <v>166796</v>
      </c>
      <c r="D28" s="5">
        <v>139070</v>
      </c>
      <c r="E28" s="5">
        <v>27726</v>
      </c>
      <c r="F28" s="6">
        <v>114464</v>
      </c>
      <c r="G28" s="5">
        <v>137850</v>
      </c>
      <c r="H28" s="5">
        <v>-23386</v>
      </c>
      <c r="I28" s="6">
        <v>115877</v>
      </c>
      <c r="J28" s="5">
        <v>143270</v>
      </c>
      <c r="K28" s="5">
        <v>-27393</v>
      </c>
      <c r="L28" s="6">
        <v>148714</v>
      </c>
      <c r="M28" s="5">
        <v>135061</v>
      </c>
      <c r="N28" s="5">
        <v>13653</v>
      </c>
      <c r="O28" s="6">
        <f t="shared" si="3"/>
        <v>-23053</v>
      </c>
      <c r="P28" s="70">
        <f t="shared" si="4"/>
        <v>-5.4863145569514819E-2</v>
      </c>
      <c r="Q28" s="176"/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72" t="str">
        <f>IF($C$4="High Inventory",IF(AND($O28&gt;=Summary!$C$119,$P28&gt;=0%),"X"," "),IF(AND($O28&lt;=-Summary!$C$119,$P28&lt;=0%),"X"," "))</f>
        <v>X</v>
      </c>
      <c r="U28" s="11" t="str">
        <f>IF($C$4="High Inventory",IF(AND($O28&gt;=0,$P28&gt;=Summary!$C$120),"X"," "),IF(AND($O28&lt;=0,$P28&lt;=-Summary!$C$120),"X"," "))</f>
        <v xml:space="preserve"> </v>
      </c>
      <c r="V28" t="str">
        <f t="shared" si="2"/>
        <v xml:space="preserve"> </v>
      </c>
      <c r="W28" t="str">
        <f>IF($C$4="High Inventory",IF(O28&gt;Summary!$C$119,"X"," "),IF(O28&lt;-Summary!$C$119,"X"," "))</f>
        <v>X</v>
      </c>
      <c r="X28" t="str">
        <f>IF($C$4="High Inventory",IF(P28&gt;Summary!$C$120,"X"," "),IF(P28&lt;-Summary!$C$120,"X"," "))</f>
        <v xml:space="preserve"> </v>
      </c>
    </row>
    <row r="29" spans="1:24" x14ac:dyDescent="0.2">
      <c r="A29" s="27">
        <v>1281</v>
      </c>
      <c r="B29" s="55" t="s">
        <v>26</v>
      </c>
      <c r="C29" s="6">
        <v>5299</v>
      </c>
      <c r="D29" s="5">
        <v>11770</v>
      </c>
      <c r="E29" s="5">
        <v>-6471</v>
      </c>
      <c r="F29" s="6">
        <v>20400</v>
      </c>
      <c r="G29" s="5">
        <v>17346</v>
      </c>
      <c r="H29" s="5">
        <v>3054</v>
      </c>
      <c r="I29" s="6">
        <v>12681</v>
      </c>
      <c r="J29" s="5">
        <v>14303</v>
      </c>
      <c r="K29" s="5">
        <v>-1622</v>
      </c>
      <c r="L29" s="6">
        <v>18565</v>
      </c>
      <c r="M29" s="5">
        <v>17097</v>
      </c>
      <c r="N29" s="5">
        <v>1468</v>
      </c>
      <c r="O29" s="6">
        <f t="shared" si="3"/>
        <v>-5039</v>
      </c>
      <c r="P29" s="70">
        <f t="shared" si="4"/>
        <v>-0.11605251036388761</v>
      </c>
      <c r="Q29" s="176"/>
      <c r="R29" s="66" t="str">
        <f>IF($C$4="High Inventory",IF(AND(O29&gt;=Summary!$C$119,P29&gt;=Summary!$C$120),"X"," "),IF(AND(O29&lt;=-Summary!$C$119,P29&lt;=-Summary!$C$120),"X"," "))</f>
        <v>X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72" t="str">
        <f>IF($C$4="High Inventory",IF(AND($O29&gt;=Summary!$C$119,$P29&gt;=0%),"X"," "),IF(AND($O29&lt;=-Summary!$C$119,$P29&lt;=0%),"X"," "))</f>
        <v>X</v>
      </c>
      <c r="U29" s="11" t="str">
        <f>IF($C$4="High Inventory",IF(AND($O29&gt;=0,$P29&gt;=Summary!$C$120),"X"," "),IF(AND($O29&lt;=0,$P29&lt;=-Summary!$C$120),"X"," "))</f>
        <v>X</v>
      </c>
      <c r="V29" t="str">
        <f t="shared" si="2"/>
        <v xml:space="preserve"> </v>
      </c>
      <c r="W29" t="str">
        <f>IF($C$4="High Inventory",IF(O29&gt;Summary!$C$119,"X"," "),IF(O29&lt;-Summary!$C$119,"X"," "))</f>
        <v>X</v>
      </c>
      <c r="X29" t="str">
        <f>IF($C$4="High Inventory",IF(P29&gt;Summary!$C$120,"X"," "),IF(P29&lt;-Summary!$C$120,"X"," "))</f>
        <v>X</v>
      </c>
    </row>
    <row r="30" spans="1:24" x14ac:dyDescent="0.2">
      <c r="A30" s="27">
        <v>1340</v>
      </c>
      <c r="B30" s="55" t="s">
        <v>26</v>
      </c>
      <c r="C30" s="6">
        <v>3381</v>
      </c>
      <c r="D30" s="5">
        <v>4983</v>
      </c>
      <c r="E30" s="5">
        <v>-1602</v>
      </c>
      <c r="F30" s="6">
        <v>818</v>
      </c>
      <c r="G30" s="5">
        <v>5741</v>
      </c>
      <c r="H30" s="5">
        <v>-4923</v>
      </c>
      <c r="I30" s="6">
        <v>5886</v>
      </c>
      <c r="J30" s="5">
        <v>5712</v>
      </c>
      <c r="K30" s="5">
        <v>174</v>
      </c>
      <c r="L30" s="6">
        <v>5812</v>
      </c>
      <c r="M30" s="5">
        <v>6071</v>
      </c>
      <c r="N30" s="5">
        <v>-259</v>
      </c>
      <c r="O30" s="6">
        <f t="shared" si="3"/>
        <v>-6351</v>
      </c>
      <c r="P30" s="70">
        <f t="shared" si="4"/>
        <v>-0.38638437671107867</v>
      </c>
      <c r="Q30" s="176"/>
      <c r="R30" s="66" t="str">
        <f>IF($C$4="High Inventory",IF(AND(O30&gt;=Summary!$C$119,P30&gt;=Summary!$C$120),"X"," "),IF(AND(O30&lt;=-Summary!$C$119,P30&lt;=-Summary!$C$120),"X"," "))</f>
        <v>X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72" t="str">
        <f>IF($C$4="High Inventory",IF(AND($O30&gt;=Summary!$C$119,$P30&gt;=0%),"X"," "),IF(AND($O30&lt;=-Summary!$C$119,$P30&lt;=0%),"X"," "))</f>
        <v>X</v>
      </c>
      <c r="U30" s="11" t="str">
        <f>IF($C$4="High Inventory",IF(AND($O30&gt;=0,$P30&gt;=Summary!$C$120),"X"," "),IF(AND($O30&lt;=0,$P30&lt;=-Summary!$C$120),"X"," "))</f>
        <v>X</v>
      </c>
      <c r="V30" t="str">
        <f t="shared" si="2"/>
        <v xml:space="preserve"> </v>
      </c>
      <c r="W30" t="str">
        <f>IF($C$4="High Inventory",IF(O30&gt;Summary!$C$119,"X"," "),IF(O30&lt;-Summary!$C$119,"X"," "))</f>
        <v>X</v>
      </c>
      <c r="X30" t="str">
        <f>IF($C$4="High Inventory",IF(P30&gt;Summary!$C$120,"X"," "),IF(P30&lt;-Summary!$C$120,"X"," "))</f>
        <v>X</v>
      </c>
    </row>
    <row r="31" spans="1:24" x14ac:dyDescent="0.2">
      <c r="A31" s="27">
        <v>1377</v>
      </c>
      <c r="B31" s="55" t="s">
        <v>26</v>
      </c>
      <c r="C31" s="6">
        <v>109812</v>
      </c>
      <c r="D31" s="5">
        <v>109153</v>
      </c>
      <c r="E31" s="5">
        <v>659</v>
      </c>
      <c r="F31" s="6">
        <v>133267</v>
      </c>
      <c r="G31" s="5">
        <v>112074</v>
      </c>
      <c r="H31" s="5">
        <v>21193</v>
      </c>
      <c r="I31" s="6">
        <v>106214</v>
      </c>
      <c r="J31" s="5">
        <v>111608</v>
      </c>
      <c r="K31" s="5">
        <v>-5394</v>
      </c>
      <c r="L31" s="6">
        <v>122612</v>
      </c>
      <c r="M31" s="5">
        <v>90885</v>
      </c>
      <c r="N31" s="5">
        <v>31727</v>
      </c>
      <c r="O31" s="6">
        <f t="shared" si="3"/>
        <v>16458</v>
      </c>
      <c r="P31" s="70">
        <f t="shared" si="4"/>
        <v>4.9447776081914217E-2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72" t="str">
        <f>IF($C$4="High Inventory",IF(AND($O31&gt;=Summary!$C$119,$P31&gt;=0%),"X"," "),IF(AND($O31&lt;=-Summary!$C$119,$P31&lt;=0%),"X"," "))</f>
        <v xml:space="preserve"> </v>
      </c>
      <c r="U31" s="11" t="str">
        <f>IF($C$4="High Inventory",IF(AND($O31&gt;=0,$P31&gt;=Summary!$C$120),"X"," "),IF(AND($O31&lt;=0,$P31&lt;=-Summary!$C$120),"X"," "))</f>
        <v xml:space="preserve"> </v>
      </c>
      <c r="V31" t="str">
        <f t="shared" si="2"/>
        <v xml:space="preserve"> </v>
      </c>
      <c r="W31" t="str">
        <f>IF($C$4="High Inventory",IF(O31&gt;Summary!$C$119,"X"," "),IF(O31&lt;-Summary!$C$119,"X"," "))</f>
        <v xml:space="preserve"> </v>
      </c>
      <c r="X31" t="str">
        <f>IF($C$4="High Inventory",IF(P31&gt;Summary!$C$120,"X"," "),IF(P31&lt;-Summary!$C$120,"X"," "))</f>
        <v xml:space="preserve"> </v>
      </c>
    </row>
    <row r="32" spans="1:24" x14ac:dyDescent="0.2">
      <c r="A32" s="27">
        <v>1830</v>
      </c>
      <c r="B32" s="55" t="s">
        <v>26</v>
      </c>
      <c r="C32" s="6">
        <v>24500</v>
      </c>
      <c r="D32" s="5">
        <v>15600</v>
      </c>
      <c r="E32" s="5">
        <v>8900</v>
      </c>
      <c r="F32" s="6">
        <v>24500</v>
      </c>
      <c r="G32" s="5">
        <v>12703</v>
      </c>
      <c r="H32" s="5">
        <v>11797</v>
      </c>
      <c r="I32" s="6">
        <v>14903</v>
      </c>
      <c r="J32" s="5">
        <v>12703</v>
      </c>
      <c r="K32" s="5">
        <v>2200</v>
      </c>
      <c r="L32" s="6"/>
      <c r="M32" s="5"/>
      <c r="N32" s="5"/>
      <c r="O32" s="6">
        <f t="shared" si="3"/>
        <v>22897</v>
      </c>
      <c r="P32" s="70">
        <f t="shared" si="4"/>
        <v>0.55836808349793943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72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 xml:space="preserve"> </v>
      </c>
      <c r="V32" t="str">
        <f t="shared" si="2"/>
        <v xml:space="preserve"> 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 xml:space="preserve"> </v>
      </c>
    </row>
    <row r="33" spans="1:24" x14ac:dyDescent="0.2">
      <c r="A33" s="27">
        <v>1864</v>
      </c>
      <c r="B33" s="55" t="s">
        <v>26</v>
      </c>
      <c r="C33" s="6">
        <v>321652</v>
      </c>
      <c r="D33" s="5">
        <v>323406</v>
      </c>
      <c r="E33" s="5">
        <v>-1754</v>
      </c>
      <c r="F33" s="6">
        <v>228726</v>
      </c>
      <c r="G33" s="5">
        <v>334567</v>
      </c>
      <c r="H33" s="5">
        <v>-105841</v>
      </c>
      <c r="I33" s="6">
        <v>234655</v>
      </c>
      <c r="J33" s="5">
        <v>341585</v>
      </c>
      <c r="K33" s="5">
        <v>-106930</v>
      </c>
      <c r="L33" s="6">
        <v>380759</v>
      </c>
      <c r="M33" s="5">
        <v>330447</v>
      </c>
      <c r="N33" s="5">
        <v>50312</v>
      </c>
      <c r="O33" s="6">
        <f t="shared" si="3"/>
        <v>-214525</v>
      </c>
      <c r="P33" s="70">
        <f t="shared" si="4"/>
        <v>-0.21461964726444363</v>
      </c>
      <c r="Q33" s="176"/>
      <c r="R33" s="66" t="str">
        <f>IF($C$4="High Inventory",IF(AND(O33&gt;=Summary!$C$119,P33&gt;=Summary!$C$120),"X"," "),IF(AND(O33&lt;=-Summary!$C$119,P33&lt;=-Summary!$C$120),"X"," "))</f>
        <v>X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72" t="str">
        <f>IF($C$4="High Inventory",IF(AND($O33&gt;=Summary!$C$119,$P33&gt;=0%),"X"," "),IF(AND($O33&lt;=-Summary!$C$119,$P33&lt;=0%),"X"," "))</f>
        <v>X</v>
      </c>
      <c r="U33" s="11" t="str">
        <f>IF($C$4="High Inventory",IF(AND($O33&gt;=0,$P33&gt;=Summary!$C$120),"X"," "),IF(AND($O33&lt;=0,$P33&lt;=-Summary!$C$120),"X"," "))</f>
        <v>X</v>
      </c>
      <c r="V33" t="str">
        <f t="shared" si="2"/>
        <v xml:space="preserve"> </v>
      </c>
      <c r="W33" t="str">
        <f>IF($C$4="High Inventory",IF(O33&gt;Summary!$C$119,"X"," "),IF(O33&lt;-Summary!$C$119,"X"," "))</f>
        <v>X</v>
      </c>
      <c r="X33" t="str">
        <f>IF($C$4="High Inventory",IF(P33&gt;Summary!$C$120,"X"," "),IF(P33&lt;-Summary!$C$120,"X"," "))</f>
        <v>X</v>
      </c>
    </row>
    <row r="34" spans="1:24" x14ac:dyDescent="0.2">
      <c r="A34" s="27">
        <v>1922</v>
      </c>
      <c r="B34" s="55" t="s">
        <v>26</v>
      </c>
      <c r="C34" s="6">
        <v>24652</v>
      </c>
      <c r="D34" s="5">
        <v>49024</v>
      </c>
      <c r="E34" s="5">
        <v>-24372</v>
      </c>
      <c r="F34" s="6">
        <v>25996</v>
      </c>
      <c r="G34" s="5">
        <v>54500</v>
      </c>
      <c r="H34" s="5">
        <v>-28504</v>
      </c>
      <c r="I34" s="6">
        <v>34487</v>
      </c>
      <c r="J34" s="5">
        <v>53331</v>
      </c>
      <c r="K34" s="5">
        <v>-18844</v>
      </c>
      <c r="L34" s="6">
        <v>41394</v>
      </c>
      <c r="M34" s="5">
        <v>34619</v>
      </c>
      <c r="N34" s="5">
        <v>6775</v>
      </c>
      <c r="O34" s="6">
        <f t="shared" si="3"/>
        <v>-71720</v>
      </c>
      <c r="P34" s="70">
        <f t="shared" si="4"/>
        <v>-0.45723466109042687</v>
      </c>
      <c r="Q34" s="176"/>
      <c r="R34" s="66" t="str">
        <f>IF($C$4="High Inventory",IF(AND(O34&gt;=Summary!$C$119,P34&gt;=Summary!$C$120),"X"," "),IF(AND(O34&lt;=-Summary!$C$119,P34&lt;=-Summary!$C$120),"X"," "))</f>
        <v>X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72" t="str">
        <f>IF($C$4="High Inventory",IF(AND($O34&gt;=Summary!$C$119,$P34&gt;=0%),"X"," "),IF(AND($O34&lt;=-Summary!$C$119,$P34&lt;=0%),"X"," "))</f>
        <v>X</v>
      </c>
      <c r="U34" s="11" t="str">
        <f>IF($C$4="High Inventory",IF(AND($O34&gt;=0,$P34&gt;=Summary!$C$120),"X"," "),IF(AND($O34&lt;=0,$P34&lt;=-Summary!$C$120),"X"," "))</f>
        <v>X</v>
      </c>
      <c r="V34" t="str">
        <f t="shared" si="2"/>
        <v xml:space="preserve"> </v>
      </c>
      <c r="W34" t="str">
        <f>IF($C$4="High Inventory",IF(O34&gt;Summary!$C$119,"X"," "),IF(O34&lt;-Summary!$C$119,"X"," "))</f>
        <v>X</v>
      </c>
      <c r="X34" t="str">
        <f>IF($C$4="High Inventory",IF(P34&gt;Summary!$C$120,"X"," "),IF(P34&lt;-Summary!$C$120,"X"," "))</f>
        <v>X</v>
      </c>
    </row>
    <row r="35" spans="1:24" x14ac:dyDescent="0.2">
      <c r="A35" s="27">
        <v>2056</v>
      </c>
      <c r="B35" s="55" t="s">
        <v>26</v>
      </c>
      <c r="C35" s="6">
        <v>14021</v>
      </c>
      <c r="D35" s="5">
        <v>16019</v>
      </c>
      <c r="E35" s="5">
        <v>-1998</v>
      </c>
      <c r="F35" s="6">
        <v>14021</v>
      </c>
      <c r="G35" s="5">
        <v>16014</v>
      </c>
      <c r="H35" s="5">
        <v>-1993</v>
      </c>
      <c r="I35" s="6">
        <v>14021</v>
      </c>
      <c r="J35" s="5">
        <v>16777</v>
      </c>
      <c r="K35" s="5">
        <v>-2756</v>
      </c>
      <c r="L35" s="6">
        <v>18180</v>
      </c>
      <c r="M35" s="5">
        <v>16982</v>
      </c>
      <c r="N35" s="5">
        <v>1198</v>
      </c>
      <c r="O35" s="6">
        <f t="shared" si="3"/>
        <v>-6747</v>
      </c>
      <c r="P35" s="70">
        <f t="shared" si="4"/>
        <v>-0.13822703898711355</v>
      </c>
      <c r="Q35" s="176"/>
      <c r="R35" s="66" t="str">
        <f>IF($C$4="High Inventory",IF(AND(O35&gt;=Summary!$C$119,P35&gt;=Summary!$C$120),"X"," "),IF(AND(O35&lt;=-Summary!$C$119,P35&lt;=-Summary!$C$120),"X"," "))</f>
        <v>X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72" t="str">
        <f>IF($C$4="High Inventory",IF(AND($O35&gt;=Summary!$C$119,$P35&gt;=0%),"X"," "),IF(AND($O35&lt;=-Summary!$C$119,$P35&lt;=0%),"X"," "))</f>
        <v>X</v>
      </c>
      <c r="U35" s="11" t="str">
        <f>IF($C$4="High Inventory",IF(AND($O35&gt;=0,$P35&gt;=Summary!$C$120),"X"," "),IF(AND($O35&lt;=0,$P35&lt;=-Summary!$C$120),"X"," "))</f>
        <v>X</v>
      </c>
      <c r="V35" t="str">
        <f t="shared" ref="V35:V81" si="5">IF(S35 = "X",L35-I35," ")</f>
        <v xml:space="preserve"> </v>
      </c>
      <c r="W35" t="str">
        <f>IF($C$4="High Inventory",IF(O35&gt;Summary!$C$119,"X"," "),IF(O35&lt;-Summary!$C$119,"X"," "))</f>
        <v>X</v>
      </c>
      <c r="X35" t="str">
        <f>IF($C$4="High Inventory",IF(P35&gt;Summary!$C$120,"X"," "),IF(P35&lt;-Summary!$C$120,"X"," "))</f>
        <v>X</v>
      </c>
    </row>
    <row r="36" spans="1:24" x14ac:dyDescent="0.2">
      <c r="A36" s="27">
        <v>2280</v>
      </c>
      <c r="B36" s="55" t="s">
        <v>26</v>
      </c>
      <c r="C36" s="6">
        <v>11750</v>
      </c>
      <c r="D36" s="5">
        <v>349</v>
      </c>
      <c r="E36" s="5">
        <v>11401</v>
      </c>
      <c r="F36" s="6">
        <v>10000</v>
      </c>
      <c r="G36" s="5">
        <v>470</v>
      </c>
      <c r="H36" s="5">
        <v>9530</v>
      </c>
      <c r="I36" s="6">
        <v>5814</v>
      </c>
      <c r="J36" s="5">
        <v>484</v>
      </c>
      <c r="K36" s="5">
        <v>5330</v>
      </c>
      <c r="L36" s="6">
        <v>7525</v>
      </c>
      <c r="M36" s="5">
        <v>447</v>
      </c>
      <c r="N36" s="5">
        <v>7078</v>
      </c>
      <c r="O36" s="6">
        <f t="shared" si="3"/>
        <v>26261</v>
      </c>
      <c r="P36" s="70">
        <f t="shared" si="4"/>
        <v>20.138803680981596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72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5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">
      <c r="A37" s="27">
        <v>2584</v>
      </c>
      <c r="B37" s="55" t="s">
        <v>26</v>
      </c>
      <c r="C37" s="6">
        <v>64220</v>
      </c>
      <c r="D37" s="5">
        <v>61043</v>
      </c>
      <c r="E37" s="5">
        <v>3177</v>
      </c>
      <c r="F37" s="6">
        <v>66854</v>
      </c>
      <c r="G37" s="5">
        <v>69016</v>
      </c>
      <c r="H37" s="5">
        <v>-2162</v>
      </c>
      <c r="I37" s="6">
        <v>57628</v>
      </c>
      <c r="J37" s="5">
        <v>65275</v>
      </c>
      <c r="K37" s="5">
        <v>-7647</v>
      </c>
      <c r="L37" s="6">
        <v>68606</v>
      </c>
      <c r="M37" s="5">
        <v>58634</v>
      </c>
      <c r="N37" s="5">
        <v>9972</v>
      </c>
      <c r="O37" s="6">
        <f t="shared" si="3"/>
        <v>-6632</v>
      </c>
      <c r="P37" s="70">
        <f t="shared" si="4"/>
        <v>-3.3951928737809403E-2</v>
      </c>
      <c r="Q37" s="176"/>
      <c r="R37" s="66" t="str">
        <f>IF($C$4="High Inventory",IF(AND(O37&gt;=Summary!$C$119,P37&gt;=Summary!$C$120),"X"," "),IF(AND(O37&lt;=-Summary!$C$119,P37&lt;=-Summary!$C$120),"X"," "))</f>
        <v xml:space="preserve"> 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72" t="str">
        <f>IF($C$4="High Inventory",IF(AND($O37&gt;=Summary!$C$119,$P37&gt;=0%),"X"," "),IF(AND($O37&lt;=-Summary!$C$119,$P37&lt;=0%),"X"," "))</f>
        <v>X</v>
      </c>
      <c r="U37" s="11" t="str">
        <f>IF($C$4="High Inventory",IF(AND($O37&gt;=0,$P37&gt;=Summary!$C$120),"X"," "),IF(AND($O37&lt;=0,$P37&lt;=-Summary!$C$120),"X"," "))</f>
        <v xml:space="preserve"> </v>
      </c>
      <c r="V37" t="str">
        <f t="shared" si="5"/>
        <v xml:space="preserve"> </v>
      </c>
      <c r="W37" t="str">
        <f>IF($C$4="High Inventory",IF(O37&gt;Summary!$C$119,"X"," "),IF(O37&lt;-Summary!$C$119,"X"," "))</f>
        <v>X</v>
      </c>
      <c r="X37" t="str">
        <f>IF($C$4="High Inventory",IF(P37&gt;Summary!$C$120,"X"," "),IF(P37&lt;-Summary!$C$120,"X"," "))</f>
        <v xml:space="preserve"> </v>
      </c>
    </row>
    <row r="38" spans="1:24" x14ac:dyDescent="0.2">
      <c r="A38" s="27">
        <v>2771</v>
      </c>
      <c r="B38" s="55" t="s">
        <v>26</v>
      </c>
      <c r="C38" s="6">
        <v>38662</v>
      </c>
      <c r="D38" s="5">
        <v>38465</v>
      </c>
      <c r="E38" s="5">
        <v>197</v>
      </c>
      <c r="F38" s="6">
        <v>39756</v>
      </c>
      <c r="G38" s="5">
        <v>40614</v>
      </c>
      <c r="H38" s="5">
        <v>-858</v>
      </c>
      <c r="I38" s="6">
        <v>48616</v>
      </c>
      <c r="J38" s="5">
        <v>40805</v>
      </c>
      <c r="K38" s="5">
        <v>7811</v>
      </c>
      <c r="L38" s="6">
        <v>65007</v>
      </c>
      <c r="M38" s="5">
        <v>40550</v>
      </c>
      <c r="N38" s="5">
        <v>24457</v>
      </c>
      <c r="O38" s="6">
        <f t="shared" si="3"/>
        <v>7150</v>
      </c>
      <c r="P38" s="70">
        <f t="shared" si="4"/>
        <v>5.9640488801768358E-2</v>
      </c>
      <c r="Q38" s="176"/>
      <c r="R38" s="66" t="str">
        <f>IF($C$4="High Inventory",IF(AND(O38&gt;=Summary!$C$119,P38&gt;=Summary!$C$120),"X"," "),IF(AND(O38&lt;=-Summary!$C$119,P38&lt;=-Summary!$C$120),"X"," "))</f>
        <v xml:space="preserve"> 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72" t="str">
        <f>IF($C$4="High Inventory",IF(AND($O38&gt;=Summary!$C$119,$P38&gt;=0%),"X"," "),IF(AND($O38&lt;=-Summary!$C$119,$P38&lt;=0%),"X"," "))</f>
        <v xml:space="preserve"> </v>
      </c>
      <c r="U38" s="11" t="str">
        <f>IF($C$4="High Inventory",IF(AND($O38&gt;=0,$P38&gt;=Summary!$C$120),"X"," "),IF(AND($O38&lt;=0,$P38&lt;=-Summary!$C$120),"X"," "))</f>
        <v xml:space="preserve"> </v>
      </c>
      <c r="V38" t="str">
        <f t="shared" si="5"/>
        <v xml:space="preserve"> </v>
      </c>
      <c r="W38" t="str">
        <f>IF($C$4="High Inventory",IF(O38&gt;Summary!$C$119,"X"," "),IF(O38&lt;-Summary!$C$119,"X"," "))</f>
        <v xml:space="preserve"> </v>
      </c>
      <c r="X38" t="str">
        <f>IF($C$4="High Inventory",IF(P38&gt;Summary!$C$120,"X"," "),IF(P38&lt;-Summary!$C$120,"X"," "))</f>
        <v xml:space="preserve"> </v>
      </c>
    </row>
    <row r="39" spans="1:24" x14ac:dyDescent="0.2">
      <c r="A39" s="27">
        <v>2832</v>
      </c>
      <c r="B39" s="55" t="s">
        <v>26</v>
      </c>
      <c r="C39" s="6">
        <v>4100</v>
      </c>
      <c r="D39" s="5">
        <v>3320</v>
      </c>
      <c r="E39" s="5">
        <v>780</v>
      </c>
      <c r="F39" s="6">
        <v>4100</v>
      </c>
      <c r="G39" s="5">
        <v>3821</v>
      </c>
      <c r="H39" s="5">
        <v>279</v>
      </c>
      <c r="I39" s="6">
        <v>4100</v>
      </c>
      <c r="J39" s="5">
        <v>3933</v>
      </c>
      <c r="K39" s="5">
        <v>167</v>
      </c>
      <c r="L39" s="6">
        <v>4100</v>
      </c>
      <c r="M39" s="5">
        <v>3894</v>
      </c>
      <c r="N39" s="5">
        <v>206</v>
      </c>
      <c r="O39" s="6">
        <f t="shared" si="3"/>
        <v>1226</v>
      </c>
      <c r="P39" s="70">
        <f t="shared" si="4"/>
        <v>0.11069977426636569</v>
      </c>
      <c r="Q39" s="176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72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 xml:space="preserve"> </v>
      </c>
      <c r="V39" t="str">
        <f t="shared" si="5"/>
        <v xml:space="preserve"> 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 xml:space="preserve"> </v>
      </c>
    </row>
    <row r="40" spans="1:24" x14ac:dyDescent="0.2">
      <c r="A40" s="27">
        <v>2892</v>
      </c>
      <c r="B40" s="55" t="s">
        <v>26</v>
      </c>
      <c r="C40" s="6">
        <v>300</v>
      </c>
      <c r="D40" s="5">
        <v>0</v>
      </c>
      <c r="E40" s="5">
        <v>300</v>
      </c>
      <c r="F40" s="6">
        <v>300</v>
      </c>
      <c r="G40" s="5">
        <v>0</v>
      </c>
      <c r="H40" s="5">
        <v>300</v>
      </c>
      <c r="I40" s="6">
        <v>300</v>
      </c>
      <c r="J40" s="5">
        <v>0</v>
      </c>
      <c r="K40" s="5">
        <v>300</v>
      </c>
      <c r="L40" s="6">
        <v>270</v>
      </c>
      <c r="M40" s="5">
        <v>221</v>
      </c>
      <c r="N40" s="5">
        <v>49</v>
      </c>
      <c r="O40" s="6">
        <f t="shared" si="3"/>
        <v>900</v>
      </c>
      <c r="P40" s="70">
        <f t="shared" si="4"/>
        <v>900</v>
      </c>
      <c r="Q40" s="176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72" t="str">
        <f>IF($C$4="High Inventory",IF(AND($O40&gt;=Summary!$C$119,$P40&gt;=0%),"X"," "),IF(AND($O40&lt;=-Summary!$C$119,$P40&lt;=0%),"X"," "))</f>
        <v xml:space="preserve"> 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5"/>
        <v xml:space="preserve"> </v>
      </c>
      <c r="W40" t="str">
        <f>IF($C$4="High Inventory",IF(O40&gt;Summary!$C$119,"X"," "),IF(O40&lt;-Summary!$C$119,"X"," "))</f>
        <v xml:space="preserve"> </v>
      </c>
      <c r="X40" t="str">
        <f>IF($C$4="High Inventory",IF(P40&gt;Summary!$C$120,"X"," "),IF(P40&lt;-Summary!$C$120,"X"," "))</f>
        <v xml:space="preserve"> </v>
      </c>
    </row>
    <row r="41" spans="1:24" x14ac:dyDescent="0.2">
      <c r="A41" s="27">
        <v>3015</v>
      </c>
      <c r="B41" s="55" t="s">
        <v>26</v>
      </c>
      <c r="C41" s="6">
        <v>19747</v>
      </c>
      <c r="D41" s="5">
        <v>15998</v>
      </c>
      <c r="E41" s="5">
        <v>3749</v>
      </c>
      <c r="F41" s="6">
        <v>11561</v>
      </c>
      <c r="G41" s="5">
        <v>16627</v>
      </c>
      <c r="H41" s="5">
        <v>-5066</v>
      </c>
      <c r="I41" s="6">
        <v>16042</v>
      </c>
      <c r="J41" s="5">
        <v>16257</v>
      </c>
      <c r="K41" s="5">
        <v>-215</v>
      </c>
      <c r="L41" s="6">
        <v>23324</v>
      </c>
      <c r="M41" s="5">
        <v>21561</v>
      </c>
      <c r="N41" s="5">
        <v>1763</v>
      </c>
      <c r="O41" s="6">
        <f t="shared" si="3"/>
        <v>-1532</v>
      </c>
      <c r="P41" s="70">
        <f t="shared" si="4"/>
        <v>-3.1340138698525047E-2</v>
      </c>
      <c r="Q41" s="176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72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5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">
      <c r="A42" s="27">
        <v>3550</v>
      </c>
      <c r="B42" s="55" t="s">
        <v>26</v>
      </c>
      <c r="C42" s="6"/>
      <c r="D42" s="5"/>
      <c r="E42" s="5"/>
      <c r="F42" s="6"/>
      <c r="G42" s="5"/>
      <c r="H42" s="5"/>
      <c r="I42" s="6"/>
      <c r="J42" s="5"/>
      <c r="K42" s="5"/>
      <c r="L42" s="6">
        <v>7000</v>
      </c>
      <c r="M42" s="5">
        <v>3923</v>
      </c>
      <c r="N42" s="5">
        <v>3077</v>
      </c>
      <c r="O42" s="6">
        <f t="shared" si="3"/>
        <v>0</v>
      </c>
      <c r="P42" s="70">
        <f t="shared" si="4"/>
        <v>0</v>
      </c>
      <c r="Q42" s="176"/>
      <c r="R42" s="66" t="str">
        <f>IF($C$4="High Inventory",IF(AND(O42&gt;=Summary!$C$119,P42&gt;=Summary!$C$120),"X"," "),IF(AND(O42&lt;=-Summary!$C$119,P42&lt;=-Summary!$C$120),"X"," "))</f>
        <v xml:space="preserve"> 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72" t="str">
        <f>IF($C$4="High Inventory",IF(AND($O42&gt;=Summary!$C$119,$P42&gt;=0%),"X"," "),IF(AND($O42&lt;=-Summary!$C$119,$P42&lt;=0%),"X"," "))</f>
        <v xml:space="preserve"> </v>
      </c>
      <c r="U42" s="11" t="str">
        <f>IF($C$4="High Inventory",IF(AND($O42&gt;=0,$P42&gt;=Summary!$C$120),"X"," "),IF(AND($O42&lt;=0,$P42&lt;=-Summary!$C$120),"X"," "))</f>
        <v xml:space="preserve"> </v>
      </c>
      <c r="V42" t="str">
        <f t="shared" si="5"/>
        <v xml:space="preserve"> </v>
      </c>
      <c r="W42" t="str">
        <f>IF($C$4="High Inventory",IF(O42&gt;Summary!$C$119,"X"," "),IF(O42&lt;-Summary!$C$119,"X"," "))</f>
        <v xml:space="preserve"> </v>
      </c>
      <c r="X42" t="str">
        <f>IF($C$4="High Inventory",IF(P42&gt;Summary!$C$120,"X"," "),IF(P42&lt;-Summary!$C$120,"X"," "))</f>
        <v xml:space="preserve"> </v>
      </c>
    </row>
    <row r="43" spans="1:24" x14ac:dyDescent="0.2">
      <c r="A43" s="27">
        <v>4760</v>
      </c>
      <c r="B43" s="55" t="s">
        <v>26</v>
      </c>
      <c r="C43" s="6">
        <v>444869</v>
      </c>
      <c r="D43" s="5">
        <v>456284</v>
      </c>
      <c r="E43" s="5">
        <v>-11415</v>
      </c>
      <c r="F43" s="6">
        <v>393063</v>
      </c>
      <c r="G43" s="5">
        <v>447947</v>
      </c>
      <c r="H43" s="5">
        <v>-54884</v>
      </c>
      <c r="I43" s="6">
        <v>423675</v>
      </c>
      <c r="J43" s="5">
        <v>455937</v>
      </c>
      <c r="K43" s="5">
        <v>-32262</v>
      </c>
      <c r="L43" s="6">
        <v>464934</v>
      </c>
      <c r="M43" s="5">
        <v>456838</v>
      </c>
      <c r="N43" s="5">
        <v>8096</v>
      </c>
      <c r="O43" s="6">
        <f t="shared" si="3"/>
        <v>-98561</v>
      </c>
      <c r="P43" s="70">
        <f t="shared" si="4"/>
        <v>-7.2462319020651117E-2</v>
      </c>
      <c r="Q43" s="176"/>
      <c r="R43" s="66" t="str">
        <f>IF($C$4="High Inventory",IF(AND(O43&gt;=Summary!$C$119,P43&gt;=Summary!$C$120),"X"," "),IF(AND(O43&lt;=-Summary!$C$119,P43&lt;=-Summary!$C$120),"X"," "))</f>
        <v xml:space="preserve"> 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72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 xml:space="preserve"> 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 xml:space="preserve"> </v>
      </c>
    </row>
    <row r="44" spans="1:24" x14ac:dyDescent="0.2">
      <c r="A44" s="27">
        <v>6728</v>
      </c>
      <c r="B44" s="55" t="s">
        <v>26</v>
      </c>
      <c r="C44" s="6">
        <v>10999</v>
      </c>
      <c r="D44" s="5">
        <v>11089</v>
      </c>
      <c r="E44" s="5">
        <v>-90</v>
      </c>
      <c r="F44" s="6">
        <v>12525</v>
      </c>
      <c r="G44" s="5">
        <v>11276</v>
      </c>
      <c r="H44" s="5">
        <v>1249</v>
      </c>
      <c r="I44" s="6">
        <v>11291</v>
      </c>
      <c r="J44" s="5">
        <v>11432</v>
      </c>
      <c r="K44" s="5">
        <v>-141</v>
      </c>
      <c r="L44" s="6">
        <v>11000</v>
      </c>
      <c r="M44" s="5">
        <v>11426</v>
      </c>
      <c r="N44" s="5">
        <v>-426</v>
      </c>
      <c r="O44" s="6">
        <f t="shared" si="3"/>
        <v>1018</v>
      </c>
      <c r="P44" s="70">
        <f t="shared" si="4"/>
        <v>3.0120125451210129E-2</v>
      </c>
      <c r="Q44" s="176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72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">
      <c r="A45" s="27">
        <v>12296</v>
      </c>
      <c r="B45" s="55" t="s">
        <v>26</v>
      </c>
      <c r="C45" s="6">
        <v>12103</v>
      </c>
      <c r="D45" s="5">
        <v>1772</v>
      </c>
      <c r="E45" s="5">
        <v>10331</v>
      </c>
      <c r="F45" s="6">
        <v>10631</v>
      </c>
      <c r="G45" s="5">
        <v>2151</v>
      </c>
      <c r="H45" s="5">
        <v>8480</v>
      </c>
      <c r="I45" s="6">
        <v>14611</v>
      </c>
      <c r="J45" s="5">
        <v>3164</v>
      </c>
      <c r="K45" s="5">
        <v>11447</v>
      </c>
      <c r="L45" s="6">
        <v>10410</v>
      </c>
      <c r="M45" s="5">
        <v>0</v>
      </c>
      <c r="N45" s="5">
        <v>10410</v>
      </c>
      <c r="O45" s="6">
        <f t="shared" si="3"/>
        <v>30258</v>
      </c>
      <c r="P45" s="70">
        <f t="shared" si="4"/>
        <v>4.2689051918735892</v>
      </c>
      <c r="Q45" s="176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72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5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">
      <c r="A46" s="27">
        <v>15966</v>
      </c>
      <c r="B46" s="55" t="s">
        <v>26</v>
      </c>
      <c r="C46" s="6">
        <v>57480</v>
      </c>
      <c r="D46" s="5">
        <v>62473</v>
      </c>
      <c r="E46" s="5">
        <v>-4993</v>
      </c>
      <c r="F46" s="6">
        <v>51918</v>
      </c>
      <c r="G46" s="5">
        <v>62821</v>
      </c>
      <c r="H46" s="5">
        <v>-10903</v>
      </c>
      <c r="I46" s="6">
        <v>93974</v>
      </c>
      <c r="J46" s="5">
        <v>62155</v>
      </c>
      <c r="K46" s="5">
        <v>31819</v>
      </c>
      <c r="L46" s="6">
        <v>63828</v>
      </c>
      <c r="M46" s="5">
        <v>61466</v>
      </c>
      <c r="N46" s="5">
        <v>2362</v>
      </c>
      <c r="O46" s="6">
        <f t="shared" si="3"/>
        <v>15923</v>
      </c>
      <c r="P46" s="70">
        <f t="shared" si="4"/>
        <v>8.4945318751667109E-2</v>
      </c>
      <c r="Q46" s="176"/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72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5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">
      <c r="A47" s="27">
        <v>30069</v>
      </c>
      <c r="B47" s="55" t="s">
        <v>26</v>
      </c>
      <c r="C47" s="6">
        <v>10363</v>
      </c>
      <c r="D47" s="5">
        <v>8335</v>
      </c>
      <c r="E47" s="5">
        <v>2028</v>
      </c>
      <c r="F47" s="6">
        <v>10175</v>
      </c>
      <c r="G47" s="5">
        <v>10421</v>
      </c>
      <c r="H47" s="5">
        <v>-246</v>
      </c>
      <c r="I47" s="6">
        <v>10227</v>
      </c>
      <c r="J47" s="5">
        <v>10337</v>
      </c>
      <c r="K47" s="5">
        <v>-110</v>
      </c>
      <c r="L47" s="6">
        <v>12375</v>
      </c>
      <c r="M47" s="5">
        <v>10372</v>
      </c>
      <c r="N47" s="5">
        <v>2003</v>
      </c>
      <c r="O47" s="6">
        <f t="shared" si="3"/>
        <v>1672</v>
      </c>
      <c r="P47" s="70">
        <f t="shared" si="4"/>
        <v>5.7468893930019936E-2</v>
      </c>
      <c r="Q47" s="176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72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 xml:space="preserve"> </v>
      </c>
      <c r="V47" t="str">
        <f t="shared" si="5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 xml:space="preserve"> </v>
      </c>
    </row>
    <row r="48" spans="1:24" x14ac:dyDescent="0.2">
      <c r="A48" s="27">
        <v>51</v>
      </c>
      <c r="B48" s="55" t="s">
        <v>27</v>
      </c>
      <c r="C48" s="6">
        <v>10017</v>
      </c>
      <c r="D48" s="5">
        <v>8810</v>
      </c>
      <c r="E48" s="5">
        <v>1207</v>
      </c>
      <c r="F48" s="6">
        <v>10017</v>
      </c>
      <c r="G48" s="5">
        <v>13103</v>
      </c>
      <c r="H48" s="5">
        <v>-3086</v>
      </c>
      <c r="I48" s="6">
        <v>10017</v>
      </c>
      <c r="J48" s="5">
        <v>9573</v>
      </c>
      <c r="K48" s="5">
        <v>444</v>
      </c>
      <c r="L48" s="6">
        <v>8240</v>
      </c>
      <c r="M48" s="5">
        <v>8460</v>
      </c>
      <c r="N48" s="5">
        <v>-220</v>
      </c>
      <c r="O48" s="6">
        <f t="shared" si="3"/>
        <v>-1435</v>
      </c>
      <c r="P48" s="70">
        <f t="shared" si="4"/>
        <v>-4.5574364023247688E-2</v>
      </c>
      <c r="Q48" s="176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72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 xml:space="preserve"> </v>
      </c>
      <c r="V48" t="str">
        <f>IF(S48 = "X",L48-I48," ")</f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 xml:space="preserve"> </v>
      </c>
    </row>
    <row r="49" spans="1:24" x14ac:dyDescent="0.2">
      <c r="A49" s="27">
        <v>62</v>
      </c>
      <c r="B49" s="55" t="s">
        <v>27</v>
      </c>
      <c r="C49" s="6"/>
      <c r="D49" s="5"/>
      <c r="E49" s="5"/>
      <c r="F49" s="6"/>
      <c r="G49" s="5"/>
      <c r="H49" s="5"/>
      <c r="I49" s="6"/>
      <c r="J49" s="5"/>
      <c r="K49" s="5"/>
      <c r="L49" s="6">
        <v>1403</v>
      </c>
      <c r="M49" s="5">
        <v>1217</v>
      </c>
      <c r="N49" s="5">
        <v>186</v>
      </c>
      <c r="O49" s="6">
        <f t="shared" si="3"/>
        <v>0</v>
      </c>
      <c r="P49" s="70">
        <f t="shared" si="4"/>
        <v>0</v>
      </c>
      <c r="Q49" s="176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72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>IF(S49 = "X",L49-I49," ")</f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24" x14ac:dyDescent="0.2">
      <c r="A50" s="27">
        <v>145</v>
      </c>
      <c r="B50" s="55" t="s">
        <v>27</v>
      </c>
      <c r="C50" s="6"/>
      <c r="D50" s="5"/>
      <c r="E50" s="5"/>
      <c r="F50" s="6"/>
      <c r="G50" s="5"/>
      <c r="H50" s="5"/>
      <c r="I50" s="6"/>
      <c r="J50" s="5"/>
      <c r="K50" s="5"/>
      <c r="L50" s="6">
        <v>900</v>
      </c>
      <c r="M50" s="5">
        <v>685</v>
      </c>
      <c r="N50" s="5">
        <v>215</v>
      </c>
      <c r="O50" s="6">
        <f t="shared" si="3"/>
        <v>0</v>
      </c>
      <c r="P50" s="70">
        <f t="shared" si="4"/>
        <v>0</v>
      </c>
      <c r="Q50" s="176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72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>IF(S50 = "X",L50-I50," ")</f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24" x14ac:dyDescent="0.2">
      <c r="A51" s="27">
        <v>254</v>
      </c>
      <c r="B51" s="55" t="s">
        <v>27</v>
      </c>
      <c r="C51" s="6"/>
      <c r="D51" s="5"/>
      <c r="E51" s="5"/>
      <c r="F51" s="6"/>
      <c r="G51" s="5"/>
      <c r="H51" s="5"/>
      <c r="I51" s="6"/>
      <c r="J51" s="5"/>
      <c r="K51" s="5"/>
      <c r="L51" s="6">
        <v>15921</v>
      </c>
      <c r="M51" s="5">
        <v>16740</v>
      </c>
      <c r="N51" s="5">
        <v>-819</v>
      </c>
      <c r="O51" s="6">
        <f t="shared" si="3"/>
        <v>0</v>
      </c>
      <c r="P51" s="70">
        <f t="shared" si="4"/>
        <v>0</v>
      </c>
      <c r="Q51" s="176"/>
      <c r="R51" s="66" t="str">
        <f>IF($C$4="High Inventory",IF(AND(O51&gt;=Summary!$C$119,P51&gt;=Summary!$C$120),"X"," "),IF(AND(O51&lt;=-Summary!$C$119,P51&lt;=-Summary!$C$120),"X"," "))</f>
        <v xml:space="preserve"> 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72" t="str">
        <f>IF($C$4="High Inventory",IF(AND($O51&gt;=Summary!$C$119,$P51&gt;=0%),"X"," "),IF(AND($O51&lt;=-Summary!$C$119,$P51&lt;=0%),"X"," "))</f>
        <v xml:space="preserve"> </v>
      </c>
      <c r="U51" s="11" t="str">
        <f>IF($C$4="High Inventory",IF(AND($O51&gt;=0,$P51&gt;=Summary!$C$120),"X"," "),IF(AND($O51&lt;=0,$P51&lt;=-Summary!$C$120),"X"," "))</f>
        <v xml:space="preserve"> </v>
      </c>
      <c r="V51" t="str">
        <f t="shared" si="5"/>
        <v xml:space="preserve"> </v>
      </c>
      <c r="W51" t="str">
        <f>IF($C$4="High Inventory",IF(O51&gt;Summary!$E$5,"X"," "),IF(O51&lt;-Summary!$E$5,"X"," "))</f>
        <v xml:space="preserve"> </v>
      </c>
    </row>
    <row r="52" spans="1:24" x14ac:dyDescent="0.2">
      <c r="A52" s="27">
        <v>261</v>
      </c>
      <c r="B52" s="55" t="s">
        <v>27</v>
      </c>
      <c r="C52" s="6">
        <v>0</v>
      </c>
      <c r="D52" s="5">
        <v>0</v>
      </c>
      <c r="E52" s="5">
        <v>0</v>
      </c>
      <c r="F52" s="6">
        <v>0</v>
      </c>
      <c r="G52" s="5">
        <v>0</v>
      </c>
      <c r="H52" s="5">
        <v>0</v>
      </c>
      <c r="I52" s="6">
        <v>0</v>
      </c>
      <c r="J52" s="5">
        <v>0</v>
      </c>
      <c r="K52" s="5">
        <v>0</v>
      </c>
      <c r="L52" s="6"/>
      <c r="M52" s="5"/>
      <c r="N52" s="5"/>
      <c r="O52" s="6">
        <f t="shared" si="3"/>
        <v>0</v>
      </c>
      <c r="P52" s="70">
        <f t="shared" si="4"/>
        <v>0</v>
      </c>
      <c r="Q52" s="176"/>
      <c r="R52" s="5"/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72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>IF(S52 = "X",L52-I52," ")</f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24" x14ac:dyDescent="0.2">
      <c r="A53" s="27">
        <v>326</v>
      </c>
      <c r="B53" s="55" t="s">
        <v>27</v>
      </c>
      <c r="C53" s="6"/>
      <c r="D53" s="5"/>
      <c r="E53" s="5"/>
      <c r="F53" s="6"/>
      <c r="G53" s="5"/>
      <c r="H53" s="5"/>
      <c r="I53" s="6"/>
      <c r="J53" s="5"/>
      <c r="K53" s="5"/>
      <c r="L53" s="6">
        <v>165</v>
      </c>
      <c r="M53" s="5">
        <v>157</v>
      </c>
      <c r="N53" s="5">
        <v>8</v>
      </c>
      <c r="O53" s="6">
        <f t="shared" si="3"/>
        <v>0</v>
      </c>
      <c r="P53" s="70">
        <f t="shared" si="4"/>
        <v>0</v>
      </c>
      <c r="Q53" s="176"/>
      <c r="R53" s="66"/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72"/>
      <c r="U53" s="11"/>
      <c r="V53" t="str">
        <f t="shared" si="5"/>
        <v xml:space="preserve"> </v>
      </c>
    </row>
    <row r="54" spans="1:24" x14ac:dyDescent="0.2">
      <c r="A54" s="27">
        <v>375</v>
      </c>
      <c r="B54" s="55" t="s">
        <v>27</v>
      </c>
      <c r="C54" s="6">
        <v>113</v>
      </c>
      <c r="D54" s="5">
        <v>0</v>
      </c>
      <c r="E54" s="5">
        <v>113</v>
      </c>
      <c r="F54" s="6">
        <v>120</v>
      </c>
      <c r="G54" s="5">
        <v>0</v>
      </c>
      <c r="H54" s="5">
        <v>120</v>
      </c>
      <c r="I54" s="6">
        <v>120</v>
      </c>
      <c r="J54" s="5">
        <v>0</v>
      </c>
      <c r="K54" s="5">
        <v>120</v>
      </c>
      <c r="L54" s="6">
        <v>200</v>
      </c>
      <c r="M54" s="5">
        <v>0</v>
      </c>
      <c r="N54" s="5">
        <v>200</v>
      </c>
      <c r="O54" s="6">
        <f t="shared" si="3"/>
        <v>353</v>
      </c>
      <c r="P54" s="70">
        <f t="shared" si="4"/>
        <v>353</v>
      </c>
      <c r="Q54" s="176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72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 xml:space="preserve"> </v>
      </c>
      <c r="V54" t="str">
        <f>IF(S54 = "X",L54-I54," ")</f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 xml:space="preserve"> </v>
      </c>
    </row>
    <row r="55" spans="1:24" x14ac:dyDescent="0.2">
      <c r="A55" s="27">
        <v>389</v>
      </c>
      <c r="B55" s="55" t="s">
        <v>27</v>
      </c>
      <c r="C55" s="6">
        <v>100</v>
      </c>
      <c r="D55" s="5">
        <v>175</v>
      </c>
      <c r="E55" s="5">
        <v>-75</v>
      </c>
      <c r="F55" s="6">
        <v>100</v>
      </c>
      <c r="G55" s="5">
        <v>196</v>
      </c>
      <c r="H55" s="5">
        <v>-96</v>
      </c>
      <c r="I55" s="6">
        <v>100</v>
      </c>
      <c r="J55" s="5">
        <v>174</v>
      </c>
      <c r="K55" s="5">
        <v>-74</v>
      </c>
      <c r="L55" s="6"/>
      <c r="M55" s="5"/>
      <c r="N55" s="5"/>
      <c r="O55" s="6">
        <f t="shared" si="3"/>
        <v>-245</v>
      </c>
      <c r="P55" s="70">
        <f t="shared" si="4"/>
        <v>-0.44871794871794873</v>
      </c>
      <c r="Q55" s="176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72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>X</v>
      </c>
      <c r="V55" t="str">
        <f t="shared" si="5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>X</v>
      </c>
    </row>
    <row r="56" spans="1:24" x14ac:dyDescent="0.2">
      <c r="A56" s="27">
        <v>399</v>
      </c>
      <c r="B56" s="55" t="s">
        <v>27</v>
      </c>
      <c r="C56" s="6">
        <v>141</v>
      </c>
      <c r="D56" s="5">
        <v>189</v>
      </c>
      <c r="E56" s="5">
        <v>-48</v>
      </c>
      <c r="F56" s="6">
        <v>150</v>
      </c>
      <c r="G56" s="5">
        <v>228</v>
      </c>
      <c r="H56" s="5">
        <v>-78</v>
      </c>
      <c r="I56" s="6">
        <v>150</v>
      </c>
      <c r="J56" s="5">
        <v>221</v>
      </c>
      <c r="K56" s="5">
        <v>-71</v>
      </c>
      <c r="L56" s="6">
        <v>150</v>
      </c>
      <c r="M56" s="5">
        <v>197</v>
      </c>
      <c r="N56" s="5">
        <v>-47</v>
      </c>
      <c r="O56" s="6">
        <f t="shared" si="3"/>
        <v>-197</v>
      </c>
      <c r="P56" s="70">
        <f t="shared" si="4"/>
        <v>-0.30829420970266042</v>
      </c>
      <c r="Q56" s="176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72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>X</v>
      </c>
      <c r="V56" t="str">
        <f t="shared" si="5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>X</v>
      </c>
    </row>
    <row r="57" spans="1:24" x14ac:dyDescent="0.2">
      <c r="A57" s="27">
        <v>462</v>
      </c>
      <c r="B57" s="55" t="s">
        <v>27</v>
      </c>
      <c r="C57" s="6">
        <v>0</v>
      </c>
      <c r="D57" s="5">
        <v>167</v>
      </c>
      <c r="E57" s="5">
        <v>-167</v>
      </c>
      <c r="F57" s="6">
        <v>78</v>
      </c>
      <c r="G57" s="5">
        <v>190</v>
      </c>
      <c r="H57" s="5">
        <v>-112</v>
      </c>
      <c r="I57" s="6">
        <v>78</v>
      </c>
      <c r="J57" s="5">
        <v>174</v>
      </c>
      <c r="K57" s="5">
        <v>-96</v>
      </c>
      <c r="L57" s="6">
        <v>78</v>
      </c>
      <c r="M57" s="152">
        <v>165</v>
      </c>
      <c r="N57" s="180">
        <v>-87</v>
      </c>
      <c r="O57" s="6">
        <f t="shared" si="3"/>
        <v>-375</v>
      </c>
      <c r="P57" s="70">
        <f t="shared" si="4"/>
        <v>-0.70488721804511278</v>
      </c>
      <c r="Q57" s="176"/>
      <c r="R57" s="66"/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72"/>
      <c r="U57" s="11"/>
    </row>
    <row r="58" spans="1:24" x14ac:dyDescent="0.2">
      <c r="A58" s="27">
        <v>470</v>
      </c>
      <c r="B58" s="55" t="s">
        <v>27</v>
      </c>
      <c r="C58" s="6"/>
      <c r="D58" s="5"/>
      <c r="E58" s="5"/>
      <c r="F58" s="6"/>
      <c r="G58" s="5"/>
      <c r="H58" s="5"/>
      <c r="I58" s="6"/>
      <c r="J58" s="5"/>
      <c r="K58" s="5"/>
      <c r="L58" s="6">
        <v>169</v>
      </c>
      <c r="M58" s="5">
        <v>192</v>
      </c>
      <c r="N58" s="5">
        <v>-23</v>
      </c>
      <c r="O58" s="6">
        <f t="shared" si="3"/>
        <v>0</v>
      </c>
      <c r="P58" s="70">
        <f t="shared" si="4"/>
        <v>0</v>
      </c>
      <c r="Q58" s="176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72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5"/>
        <v xml:space="preserve"> </v>
      </c>
      <c r="W58" t="str">
        <f>IF($C$4="High Inventory",IF(O58&gt;Summary!$E$5,"X"," "),IF(O58&lt;-Summary!$E$5,"X"," "))</f>
        <v xml:space="preserve"> </v>
      </c>
    </row>
    <row r="59" spans="1:24" x14ac:dyDescent="0.2">
      <c r="A59" s="27">
        <v>503</v>
      </c>
      <c r="B59" s="55" t="s">
        <v>27</v>
      </c>
      <c r="C59" s="6"/>
      <c r="D59" s="5"/>
      <c r="E59" s="5"/>
      <c r="F59" s="6"/>
      <c r="G59" s="5"/>
      <c r="H59" s="5"/>
      <c r="I59" s="6"/>
      <c r="J59" s="5"/>
      <c r="K59" s="5"/>
      <c r="L59" s="6">
        <v>0</v>
      </c>
      <c r="M59" s="5">
        <v>0</v>
      </c>
      <c r="N59" s="5">
        <v>0</v>
      </c>
      <c r="O59" s="6">
        <f t="shared" si="3"/>
        <v>0</v>
      </c>
      <c r="P59" s="70">
        <f t="shared" si="4"/>
        <v>0</v>
      </c>
      <c r="Q59" s="176"/>
      <c r="R59" s="66"/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72"/>
      <c r="U59" s="11"/>
    </row>
    <row r="60" spans="1:24" x14ac:dyDescent="0.2">
      <c r="A60" s="27">
        <v>512</v>
      </c>
      <c r="B60" s="55" t="s">
        <v>27</v>
      </c>
      <c r="C60" s="6">
        <v>300</v>
      </c>
      <c r="D60" s="5">
        <v>994</v>
      </c>
      <c r="E60" s="5">
        <v>-694</v>
      </c>
      <c r="F60" s="6">
        <v>500</v>
      </c>
      <c r="G60" s="5">
        <v>884</v>
      </c>
      <c r="H60" s="5">
        <v>-384</v>
      </c>
      <c r="I60" s="6">
        <v>500</v>
      </c>
      <c r="J60" s="5">
        <v>579</v>
      </c>
      <c r="K60" s="5">
        <v>-79</v>
      </c>
      <c r="L60" s="6">
        <v>800</v>
      </c>
      <c r="M60" s="5">
        <v>633</v>
      </c>
      <c r="N60" s="5">
        <v>167</v>
      </c>
      <c r="O60" s="6">
        <f t="shared" si="3"/>
        <v>-1157</v>
      </c>
      <c r="P60" s="70">
        <f t="shared" si="4"/>
        <v>-0.47070789259560619</v>
      </c>
      <c r="Q60" s="176"/>
      <c r="R60" s="66"/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T60" s="72"/>
      <c r="U60" s="11"/>
    </row>
    <row r="61" spans="1:24" x14ac:dyDescent="0.2">
      <c r="A61" s="27">
        <v>602</v>
      </c>
      <c r="B61" s="55" t="s">
        <v>27</v>
      </c>
      <c r="C61" s="6">
        <v>164</v>
      </c>
      <c r="D61" s="5">
        <v>92</v>
      </c>
      <c r="E61" s="5">
        <v>72</v>
      </c>
      <c r="F61" s="6">
        <v>175</v>
      </c>
      <c r="G61" s="5">
        <v>131</v>
      </c>
      <c r="H61" s="5">
        <v>44</v>
      </c>
      <c r="I61" s="6">
        <v>175</v>
      </c>
      <c r="J61" s="5">
        <v>119</v>
      </c>
      <c r="K61" s="5">
        <v>56</v>
      </c>
      <c r="L61" s="6"/>
      <c r="M61" s="5"/>
      <c r="N61" s="5"/>
      <c r="O61" s="6">
        <f t="shared" si="3"/>
        <v>172</v>
      </c>
      <c r="P61" s="70">
        <f t="shared" si="4"/>
        <v>0.50145772594752192</v>
      </c>
      <c r="Q61" s="176"/>
      <c r="R61" s="66" t="str">
        <f>IF($C$4="High Inventory",IF(AND(O61&gt;=Summary!$C$119,P61&gt;=Summary!$C$120),"X"," "),IF(AND(O61&lt;=-Summary!$C$119,P61&lt;=-Summary!$C$120),"X"," "))</f>
        <v xml:space="preserve"> </v>
      </c>
      <c r="S61" s="81" t="str">
        <f>IF($C$5="System-Wide"," ",IF($C$4="High Inventory",IF(AND(L61-I61&gt;=Summary!$C$123,N61-K61&gt;Summary!$C$123,N61&gt;0),"X"," "),IF(AND(I61-L61&gt;=Summary!$C$123,K61-N61&gt;Summary!$C$123,N61&lt;0),"X"," ")))</f>
        <v xml:space="preserve"> </v>
      </c>
      <c r="T61" s="72" t="str">
        <f>IF($C$4="High Inventory",IF(AND($O61&gt;=Summary!$C$119,$P61&gt;=0%),"X"," "),IF(AND($O61&lt;=-Summary!$C$119,$P61&lt;=0%),"X"," "))</f>
        <v xml:space="preserve"> </v>
      </c>
      <c r="U61" s="11" t="str">
        <f>IF($C$4="High Inventory",IF(AND($O61&gt;=0,$P61&gt;=Summary!$C$120),"X"," "),IF(AND($O61&lt;=0,$P61&lt;=-Summary!$C$120),"X"," "))</f>
        <v xml:space="preserve"> </v>
      </c>
      <c r="V61" t="str">
        <f>IF(S61 = "X",L61-I61," ")</f>
        <v xml:space="preserve"> </v>
      </c>
      <c r="W61" t="str">
        <f>IF($C$4="High Inventory",IF(O61&gt;Summary!$C$119,"X"," "),IF(O61&lt;-Summary!$C$119,"X"," "))</f>
        <v xml:space="preserve"> </v>
      </c>
      <c r="X61" t="str">
        <f>IF($C$4="High Inventory",IF(P61&gt;Summary!$C$120,"X"," "),IF(P61&lt;-Summary!$C$120,"X"," "))</f>
        <v xml:space="preserve"> </v>
      </c>
    </row>
    <row r="62" spans="1:24" x14ac:dyDescent="0.2">
      <c r="A62" s="27">
        <v>650</v>
      </c>
      <c r="B62" s="55" t="s">
        <v>27</v>
      </c>
      <c r="C62" s="6"/>
      <c r="D62" s="5"/>
      <c r="E62" s="5"/>
      <c r="F62" s="6"/>
      <c r="G62" s="5"/>
      <c r="H62" s="5"/>
      <c r="I62" s="6"/>
      <c r="J62" s="5"/>
      <c r="K62" s="5"/>
      <c r="L62" s="6">
        <v>900</v>
      </c>
      <c r="M62" s="5">
        <v>717</v>
      </c>
      <c r="N62" s="5">
        <v>183</v>
      </c>
      <c r="O62" s="6">
        <f t="shared" si="3"/>
        <v>0</v>
      </c>
      <c r="P62" s="70">
        <f t="shared" si="4"/>
        <v>0</v>
      </c>
      <c r="Q62" s="176"/>
      <c r="R62" s="66" t="str">
        <f>IF($C$4="High Inventory",IF(AND(O62&gt;=Summary!$C$119,P62&gt;=Summary!$C$120),"X"," "),IF(AND(O62&lt;=-Summary!$C$119,P62&lt;=-Summary!$C$120),"X"," "))</f>
        <v xml:space="preserve"> </v>
      </c>
      <c r="S62" s="81" t="str">
        <f>IF($C$5="System-Wide"," ",IF($C$4="High Inventory",IF(AND(L62-I62&gt;=Summary!$C$123,N62-K62&gt;Summary!$C$123,N62&gt;0),"X"," "),IF(AND(I62-L62&gt;=Summary!$C$123,K62-N62&gt;Summary!$C$123,N62&lt;0),"X"," ")))</f>
        <v xml:space="preserve"> </v>
      </c>
      <c r="T62" s="72" t="str">
        <f>IF($C$4="High Inventory",IF(AND($O62&gt;=Summary!$C$119,$P62&gt;=0%),"X"," "),IF(AND($O62&lt;=-Summary!$C$119,$P62&lt;=0%),"X"," "))</f>
        <v xml:space="preserve"> </v>
      </c>
      <c r="U62" s="11" t="str">
        <f>IF($C$4="High Inventory",IF(AND($O62&gt;=0,$P62&gt;=Summary!$C$120),"X"," "),IF(AND($O62&lt;=0,$P62&lt;=-Summary!$C$120),"X"," "))</f>
        <v xml:space="preserve"> </v>
      </c>
      <c r="V62" t="str">
        <f t="shared" si="5"/>
        <v xml:space="preserve"> </v>
      </c>
      <c r="W62" t="str">
        <f>IF($C$4="High Inventory",IF(O62&gt;Summary!$C$119,"X"," "),IF(O62&lt;-Summary!$C$119,"X"," "))</f>
        <v xml:space="preserve"> </v>
      </c>
      <c r="X62" t="str">
        <f>IF($C$4="High Inventory",IF(P62&gt;Summary!$C$120,"X"," "),IF(P62&lt;-Summary!$C$120,"X"," "))</f>
        <v xml:space="preserve"> </v>
      </c>
    </row>
    <row r="63" spans="1:24" x14ac:dyDescent="0.2">
      <c r="A63" s="27">
        <v>741</v>
      </c>
      <c r="B63" s="55" t="s">
        <v>27</v>
      </c>
      <c r="C63" s="6">
        <v>188</v>
      </c>
      <c r="D63" s="5">
        <v>156</v>
      </c>
      <c r="E63" s="5">
        <v>32</v>
      </c>
      <c r="F63" s="6">
        <v>200</v>
      </c>
      <c r="G63" s="5">
        <v>189</v>
      </c>
      <c r="H63" s="5">
        <v>11</v>
      </c>
      <c r="I63" s="6">
        <v>200</v>
      </c>
      <c r="J63" s="5">
        <v>201</v>
      </c>
      <c r="K63" s="5">
        <v>-1</v>
      </c>
      <c r="L63" s="6"/>
      <c r="M63" s="5"/>
      <c r="N63" s="5"/>
      <c r="O63" s="6">
        <f t="shared" si="3"/>
        <v>42</v>
      </c>
      <c r="P63" s="70">
        <f t="shared" si="4"/>
        <v>7.6782449725776969E-2</v>
      </c>
      <c r="Q63" s="176"/>
      <c r="R63" s="66" t="str">
        <f>IF($C$4="High Inventory",IF(AND(O63&gt;=Summary!$C$119,P63&gt;=Summary!$C$120),"X"," "),IF(AND(O63&lt;=-Summary!$C$119,P63&lt;=-Summary!$C$120),"X"," "))</f>
        <v xml:space="preserve"> </v>
      </c>
      <c r="S63" s="81" t="str">
        <f>IF($C$5="System-Wide"," ",IF($C$4="High Inventory",IF(AND(L63-I63&gt;=Summary!$C$123,N63-K63&gt;Summary!$C$123,N63&gt;0),"X"," "),IF(AND(I63-L63&gt;=Summary!$C$123,K63-N63&gt;Summary!$C$123,N63&lt;0),"X"," ")))</f>
        <v xml:space="preserve"> </v>
      </c>
      <c r="T63" s="72" t="str">
        <f>IF($C$4="High Inventory",IF(AND($O63&gt;=Summary!$C$119,$P63&gt;=0%),"X"," "),IF(AND($O63&lt;=-Summary!$C$119,$P63&lt;=0%),"X"," "))</f>
        <v xml:space="preserve"> </v>
      </c>
      <c r="U63" s="11" t="str">
        <f>IF($C$4="High Inventory",IF(AND($O63&gt;=0,$P63&gt;=Summary!$C$120),"X"," "),IF(AND($O63&lt;=0,$P63&lt;=-Summary!$C$120),"X"," "))</f>
        <v xml:space="preserve"> </v>
      </c>
      <c r="V63" t="str">
        <f>IF(S63 = "X",L63-I63," ")</f>
        <v xml:space="preserve"> </v>
      </c>
      <c r="W63" t="str">
        <f>IF($C$4="High Inventory",IF(O63&gt;Summary!$C$119,"X"," "),IF(O63&lt;-Summary!$C$119,"X"," "))</f>
        <v xml:space="preserve"> </v>
      </c>
      <c r="X63" t="str">
        <f>IF($C$4="High Inventory",IF(P63&gt;Summary!$C$120,"X"," "),IF(P63&lt;-Summary!$C$120,"X"," "))</f>
        <v xml:space="preserve"> </v>
      </c>
    </row>
    <row r="64" spans="1:24" x14ac:dyDescent="0.2">
      <c r="A64" s="27">
        <v>779</v>
      </c>
      <c r="B64" s="181" t="s">
        <v>27</v>
      </c>
      <c r="C64" s="6">
        <v>614</v>
      </c>
      <c r="D64" s="5">
        <v>0</v>
      </c>
      <c r="E64" s="150">
        <v>614</v>
      </c>
      <c r="F64" s="156">
        <v>778</v>
      </c>
      <c r="G64" s="5">
        <v>482</v>
      </c>
      <c r="H64" s="68">
        <v>296</v>
      </c>
      <c r="I64" s="6">
        <v>778</v>
      </c>
      <c r="J64" s="5">
        <v>1264</v>
      </c>
      <c r="K64" s="150">
        <v>-486</v>
      </c>
      <c r="L64" s="156">
        <v>800</v>
      </c>
      <c r="M64" s="5">
        <v>1335</v>
      </c>
      <c r="N64" s="68">
        <v>-535</v>
      </c>
      <c r="O64" s="6">
        <f t="shared" si="3"/>
        <v>424</v>
      </c>
      <c r="P64" s="70">
        <f t="shared" si="4"/>
        <v>0.24270177447052088</v>
      </c>
      <c r="Q64" s="176"/>
      <c r="R64" s="66"/>
      <c r="S64" s="81" t="str">
        <f>IF($C$5="System-Wide"," ",IF($C$4="High Inventory",IF(AND(L64-I64&gt;=Summary!$C$123,N64-K64&gt;Summary!$C$123,N64&gt;0),"X"," "),IF(AND(I64-L64&gt;=Summary!$C$123,K64-N64&gt;Summary!$C$123,N64&lt;0),"X"," ")))</f>
        <v xml:space="preserve"> </v>
      </c>
      <c r="T64" s="72"/>
      <c r="U64" s="11"/>
    </row>
    <row r="65" spans="1:24" x14ac:dyDescent="0.2">
      <c r="A65" s="27">
        <v>928</v>
      </c>
      <c r="B65" s="181" t="s">
        <v>27</v>
      </c>
      <c r="C65" s="6">
        <v>190</v>
      </c>
      <c r="D65" s="5">
        <v>180</v>
      </c>
      <c r="E65" s="150">
        <v>10</v>
      </c>
      <c r="F65" s="156">
        <v>190</v>
      </c>
      <c r="G65" s="5">
        <v>179</v>
      </c>
      <c r="H65" s="68">
        <v>11</v>
      </c>
      <c r="I65" s="6">
        <v>190</v>
      </c>
      <c r="J65" s="5">
        <v>175</v>
      </c>
      <c r="K65" s="150">
        <v>15</v>
      </c>
      <c r="L65" s="156">
        <v>190</v>
      </c>
      <c r="M65" s="5">
        <v>174</v>
      </c>
      <c r="N65" s="68">
        <v>16</v>
      </c>
      <c r="O65" s="6">
        <f t="shared" si="3"/>
        <v>36</v>
      </c>
      <c r="P65" s="70">
        <f t="shared" si="4"/>
        <v>6.7289719626168226E-2</v>
      </c>
      <c r="Q65" s="176"/>
      <c r="R65" s="66" t="str">
        <f>IF($C$4="High Inventory",IF(AND(O65&gt;=Summary!$C$119,P65&gt;=Summary!$C$120),"X"," "),IF(AND(O65&lt;=-Summary!$C$119,P65&lt;=-Summary!$C$120),"X"," "))</f>
        <v xml:space="preserve"> </v>
      </c>
      <c r="S65" s="81" t="str">
        <f>IF($C$5="System-Wide"," ",IF($C$4="High Inventory",IF(AND(L65-I65&gt;=Summary!$C$123,N65-K65&gt;Summary!$C$123,N65&gt;0),"X"," "),IF(AND(I65-L65&gt;=Summary!$C$123,K65-N65&gt;Summary!$C$123,N65&lt;0),"X"," ")))</f>
        <v xml:space="preserve"> </v>
      </c>
      <c r="T65" s="72" t="str">
        <f>IF($C$4="High Inventory",IF(AND($O65&gt;=Summary!$C$119,$P65&gt;=0%),"X"," "),IF(AND($O65&lt;=-Summary!$C$119,$P65&lt;=0%),"X"," "))</f>
        <v xml:space="preserve"> </v>
      </c>
      <c r="U65" s="11" t="str">
        <f>IF($C$4="High Inventory",IF(AND($O65&gt;=0,$P65&gt;=Summary!$C$120),"X"," "),IF(AND($O65&lt;=0,$P65&lt;=-Summary!$C$120),"X"," "))</f>
        <v xml:space="preserve"> </v>
      </c>
      <c r="V65" t="str">
        <f t="shared" si="5"/>
        <v xml:space="preserve"> </v>
      </c>
      <c r="W65" t="str">
        <f>IF($C$4="High Inventory",IF(O65&gt;Summary!$C$119,"X"," "),IF(O65&lt;-Summary!$C$119,"X"," "))</f>
        <v xml:space="preserve"> </v>
      </c>
      <c r="X65" t="str">
        <f>IF($C$4="High Inventory",IF(P65&gt;Summary!$C$120,"X"," "),IF(P65&lt;-Summary!$C$120,"X"," "))</f>
        <v xml:space="preserve"> </v>
      </c>
    </row>
    <row r="66" spans="1:24" x14ac:dyDescent="0.2">
      <c r="A66" s="27">
        <v>5325</v>
      </c>
      <c r="B66" s="181" t="s">
        <v>27</v>
      </c>
      <c r="C66" s="6"/>
      <c r="D66" s="5"/>
      <c r="E66" s="150"/>
      <c r="F66" s="156"/>
      <c r="G66" s="5"/>
      <c r="H66" s="68"/>
      <c r="I66" s="6"/>
      <c r="J66" s="5"/>
      <c r="K66" s="150"/>
      <c r="L66" s="156">
        <v>182</v>
      </c>
      <c r="M66" s="5">
        <v>337</v>
      </c>
      <c r="N66" s="68">
        <v>-155</v>
      </c>
      <c r="O66" s="6">
        <f t="shared" si="3"/>
        <v>0</v>
      </c>
      <c r="P66" s="70">
        <f t="shared" si="4"/>
        <v>0</v>
      </c>
      <c r="Q66" s="176"/>
      <c r="R66" s="66" t="str">
        <f>IF($C$4="High Inventory",IF(AND(O66&gt;=Summary!$C$119,P66&gt;=Summary!$C$120),"X"," "),IF(AND(O66&lt;=-Summary!$C$119,P66&lt;=-Summary!$C$120),"X"," "))</f>
        <v xml:space="preserve"> </v>
      </c>
      <c r="S66" s="81" t="str">
        <f>IF($C$5="System-Wide"," ",IF($C$4="High Inventory",IF(AND(L66-I66&gt;=Summary!$C$123,N66-K66&gt;Summary!$C$123,N66&gt;0),"X"," "),IF(AND(I66-L66&gt;=Summary!$C$123,K66-N66&gt;Summary!$C$123,N66&lt;0),"X"," ")))</f>
        <v xml:space="preserve"> </v>
      </c>
      <c r="T66" s="72" t="str">
        <f>IF($C$4="High Inventory",IF(AND($O66&gt;=Summary!$C$119,$P66&gt;=0%),"X"," "),IF(AND($O66&lt;=-Summary!$C$119,$P66&lt;=0%),"X"," "))</f>
        <v xml:space="preserve"> </v>
      </c>
      <c r="U66" s="11" t="str">
        <f>IF($C$4="High Inventory",IF(AND($O66&gt;=0,$P66&gt;=Summary!$C$120),"X"," "),IF(AND($O66&lt;=0,$P66&lt;=-Summary!$C$120),"X"," "))</f>
        <v xml:space="preserve"> </v>
      </c>
      <c r="V66" t="str">
        <f t="shared" si="5"/>
        <v xml:space="preserve"> </v>
      </c>
      <c r="W66" t="str">
        <f>IF($C$4="High Inventory",IF(O66&gt;Summary!$C$119,"X"," "),IF(O66&lt;-Summary!$C$119,"X"," "))</f>
        <v xml:space="preserve"> </v>
      </c>
      <c r="X66" t="str">
        <f>IF($C$4="High Inventory",IF(P66&gt;Summary!$C$120,"X"," "),IF(P66&lt;-Summary!$C$120,"X"," "))</f>
        <v xml:space="preserve"> </v>
      </c>
    </row>
    <row r="67" spans="1:24" x14ac:dyDescent="0.2">
      <c r="A67" s="27">
        <v>5382</v>
      </c>
      <c r="B67" s="55" t="s">
        <v>27</v>
      </c>
      <c r="C67" s="6">
        <v>113</v>
      </c>
      <c r="D67" s="5">
        <v>0</v>
      </c>
      <c r="E67" s="5">
        <v>113</v>
      </c>
      <c r="F67" s="6">
        <v>120</v>
      </c>
      <c r="G67" s="5">
        <v>1</v>
      </c>
      <c r="H67" s="5">
        <v>119</v>
      </c>
      <c r="I67" s="6">
        <v>120</v>
      </c>
      <c r="J67" s="5">
        <v>0</v>
      </c>
      <c r="K67" s="5">
        <v>120</v>
      </c>
      <c r="L67" s="6">
        <v>170</v>
      </c>
      <c r="M67" s="5">
        <v>1</v>
      </c>
      <c r="N67" s="5">
        <v>169</v>
      </c>
      <c r="O67" s="6">
        <f t="shared" si="3"/>
        <v>352</v>
      </c>
      <c r="P67" s="70">
        <f t="shared" si="4"/>
        <v>176</v>
      </c>
      <c r="Q67" s="176"/>
      <c r="R67" s="66" t="str">
        <f>IF($C$4="High Inventory",IF(AND(O67&gt;=Summary!$C$119,P67&gt;=Summary!$C$120),"X"," "),IF(AND(O67&lt;=-Summary!$C$119,P67&lt;=-Summary!$C$120),"X"," "))</f>
        <v xml:space="preserve"> </v>
      </c>
      <c r="S67" s="81" t="str">
        <f>IF($C$5="System-Wide"," ",IF($C$4="High Inventory",IF(AND(L67-I67&gt;=Summary!$C$123,N67-K67&gt;Summary!$C$123,N67&gt;0),"X"," "),IF(AND(I67-L67&gt;=Summary!$C$123,K67-N67&gt;Summary!$C$123,N67&lt;0),"X"," ")))</f>
        <v xml:space="preserve"> </v>
      </c>
      <c r="T67" s="72" t="str">
        <f>IF($C$4="High Inventory",IF(AND($O67&gt;=Summary!$C$119,$P67&gt;=0%),"X"," "),IF(AND($O67&lt;=-Summary!$C$119,$P67&lt;=0%),"X"," "))</f>
        <v xml:space="preserve"> </v>
      </c>
      <c r="U67" s="11" t="str">
        <f>IF($C$4="High Inventory",IF(AND($O67&gt;=0,$P67&gt;=Summary!$C$120),"X"," "),IF(AND($O67&lt;=0,$P67&lt;=-Summary!$C$120),"X"," "))</f>
        <v xml:space="preserve"> </v>
      </c>
      <c r="V67" t="str">
        <f>IF(S67 = "X",L67-I67," ")</f>
        <v xml:space="preserve"> </v>
      </c>
      <c r="W67" t="str">
        <f>IF($C$4="High Inventory",IF(O67&gt;Summary!$C$119,"X"," "),IF(O67&lt;-Summary!$C$119,"X"," "))</f>
        <v xml:space="preserve"> </v>
      </c>
      <c r="X67" t="str">
        <f>IF($C$4="High Inventory",IF(P67&gt;Summary!$C$120,"X"," "),IF(P67&lt;-Summary!$C$120,"X"," "))</f>
        <v xml:space="preserve"> </v>
      </c>
    </row>
    <row r="68" spans="1:24" x14ac:dyDescent="0.2">
      <c r="A68" s="27">
        <v>6581</v>
      </c>
      <c r="B68" s="55" t="s">
        <v>27</v>
      </c>
      <c r="C68" s="6"/>
      <c r="D68" s="5"/>
      <c r="E68" s="5"/>
      <c r="F68" s="6"/>
      <c r="G68" s="5"/>
      <c r="H68" s="5"/>
      <c r="I68" s="6"/>
      <c r="J68" s="5"/>
      <c r="K68" s="5"/>
      <c r="L68" s="6">
        <v>0</v>
      </c>
      <c r="M68" s="5">
        <v>0</v>
      </c>
      <c r="N68" s="5">
        <v>0</v>
      </c>
      <c r="O68" s="6">
        <f t="shared" si="3"/>
        <v>0</v>
      </c>
      <c r="P68" s="70">
        <f t="shared" si="4"/>
        <v>0</v>
      </c>
      <c r="Q68" s="176"/>
      <c r="R68" s="66" t="str">
        <f>IF($C$4="High Inventory",IF(AND(O68&gt;=Summary!$C$119,P68&gt;=Summary!$C$120),"X"," "),IF(AND(O68&lt;=-Summary!$C$119,P68&lt;=-Summary!$C$120),"X"," "))</f>
        <v xml:space="preserve"> </v>
      </c>
      <c r="S68" s="81" t="str">
        <f>IF($C$5="System-Wide"," ",IF($C$4="High Inventory",IF(AND(L68-I68&gt;=Summary!$C$123,N68-K68&gt;Summary!$C$123,N68&gt;0),"X"," "),IF(AND(I68-L68&gt;=Summary!$C$123,K68-N68&gt;Summary!$C$123,N68&lt;0),"X"," ")))</f>
        <v xml:space="preserve"> </v>
      </c>
      <c r="T68" s="72" t="str">
        <f>IF($C$4="High Inventory",IF(AND($O68&gt;=Summary!$C$119,$P68&gt;=0%),"X"," "),IF(AND($O68&lt;=-Summary!$C$119,$P68&lt;=0%),"X"," "))</f>
        <v xml:space="preserve"> </v>
      </c>
      <c r="U68" s="11" t="str">
        <f>IF($C$4="High Inventory",IF(AND($O68&gt;=0,$P68&gt;=Summary!$C$120),"X"," "),IF(AND($O68&lt;=0,$P68&lt;=-Summary!$C$120),"X"," "))</f>
        <v xml:space="preserve"> </v>
      </c>
      <c r="V68" t="str">
        <f t="shared" si="5"/>
        <v xml:space="preserve"> </v>
      </c>
      <c r="W68" t="str">
        <f>IF($C$4="High Inventory",IF(O68&gt;Summary!$E$5,"X"," "),IF(O68&lt;-Summary!$E$5,"X"," "))</f>
        <v xml:space="preserve"> </v>
      </c>
    </row>
    <row r="69" spans="1:24" x14ac:dyDescent="0.2">
      <c r="A69" s="27">
        <v>7602</v>
      </c>
      <c r="B69" s="55" t="s">
        <v>27</v>
      </c>
      <c r="C69" s="6">
        <v>49616</v>
      </c>
      <c r="D69" s="5">
        <v>33583</v>
      </c>
      <c r="E69" s="5">
        <v>16033</v>
      </c>
      <c r="F69" s="6">
        <v>24240</v>
      </c>
      <c r="G69" s="5">
        <v>33503</v>
      </c>
      <c r="H69" s="5">
        <v>-9263</v>
      </c>
      <c r="I69" s="6">
        <v>30454</v>
      </c>
      <c r="J69" s="5">
        <v>15093</v>
      </c>
      <c r="K69" s="5">
        <v>15361</v>
      </c>
      <c r="L69" s="6">
        <v>45834</v>
      </c>
      <c r="M69" s="5">
        <v>10454</v>
      </c>
      <c r="N69" s="5">
        <v>35380</v>
      </c>
      <c r="O69" s="6">
        <f t="shared" si="3"/>
        <v>22131</v>
      </c>
      <c r="P69" s="70">
        <f t="shared" si="4"/>
        <v>0.26929909953760039</v>
      </c>
      <c r="Q69" s="176"/>
      <c r="R69" s="66" t="str">
        <f>IF($C$4="High Inventory",IF(AND(O69&gt;=Summary!$C$119,P69&gt;=Summary!$C$120),"X"," "),IF(AND(O69&lt;=-Summary!$C$119,P69&lt;=-Summary!$C$120),"X"," "))</f>
        <v xml:space="preserve"> </v>
      </c>
      <c r="S69" s="81" t="str">
        <f>IF($C$5="System-Wide"," ",IF($C$4="High Inventory",IF(AND(L69-I69&gt;=Summary!$C$123,N69-K69&gt;Summary!$C$123,N69&gt;0),"X"," "),IF(AND(I69-L69&gt;=Summary!$C$123,K69-N69&gt;Summary!$C$123,N69&lt;0),"X"," ")))</f>
        <v xml:space="preserve"> </v>
      </c>
      <c r="T69" s="72" t="str">
        <f>IF($C$4="High Inventory",IF(AND($O69&gt;=Summary!$C$119,$P69&gt;=0%),"X"," "),IF(AND($O69&lt;=-Summary!$C$119,$P69&lt;=0%),"X"," "))</f>
        <v xml:space="preserve"> </v>
      </c>
      <c r="U69" s="11" t="str">
        <f>IF($C$4="High Inventory",IF(AND($O69&gt;=0,$P69&gt;=Summary!$C$120),"X"," "),IF(AND($O69&lt;=0,$P69&lt;=-Summary!$C$120),"X"," "))</f>
        <v xml:space="preserve"> </v>
      </c>
      <c r="V69" t="str">
        <f t="shared" si="5"/>
        <v xml:space="preserve"> </v>
      </c>
      <c r="W69" t="str">
        <f>IF($C$4="High Inventory",IF(O69&gt;Summary!$E$5,"X"," "),IF(O69&lt;-Summary!$E$5,"X"," "))</f>
        <v xml:space="preserve"> </v>
      </c>
    </row>
    <row r="70" spans="1:24" x14ac:dyDescent="0.2">
      <c r="A70" s="27">
        <v>7604</v>
      </c>
      <c r="B70" s="55" t="s">
        <v>27</v>
      </c>
      <c r="C70" s="6">
        <v>46338</v>
      </c>
      <c r="D70" s="5">
        <v>37564</v>
      </c>
      <c r="E70" s="5">
        <v>8774</v>
      </c>
      <c r="F70" s="6">
        <v>36278</v>
      </c>
      <c r="G70" s="5">
        <v>39298</v>
      </c>
      <c r="H70" s="5">
        <v>-3020</v>
      </c>
      <c r="I70" s="6">
        <v>47121</v>
      </c>
      <c r="J70" s="5">
        <v>40284</v>
      </c>
      <c r="K70" s="5">
        <v>6837</v>
      </c>
      <c r="L70" s="6">
        <v>28861</v>
      </c>
      <c r="M70" s="5">
        <v>38167</v>
      </c>
      <c r="N70" s="5">
        <v>-9306</v>
      </c>
      <c r="O70" s="6">
        <f t="shared" si="3"/>
        <v>12591</v>
      </c>
      <c r="P70" s="70">
        <f t="shared" si="4"/>
        <v>0.10748034520730364</v>
      </c>
      <c r="Q70" s="176"/>
      <c r="R70" s="66"/>
      <c r="S70" s="81" t="str">
        <f>IF($C$5="System-Wide"," ",IF($C$4="High Inventory",IF(AND(L70-I70&gt;=Summary!$C$123,N70-K70&gt;Summary!$C$123,N70&gt;0),"X"," "),IF(AND(I70-L70&gt;=Summary!$C$123,K70-N70&gt;Summary!$C$123,N70&lt;0),"X"," ")))</f>
        <v xml:space="preserve"> </v>
      </c>
      <c r="T70" s="72"/>
      <c r="U70" s="11"/>
    </row>
    <row r="71" spans="1:24" x14ac:dyDescent="0.2">
      <c r="A71" s="27">
        <v>8537</v>
      </c>
      <c r="B71" s="55" t="s">
        <v>27</v>
      </c>
      <c r="C71" s="6">
        <v>0</v>
      </c>
      <c r="D71" s="5">
        <v>425</v>
      </c>
      <c r="E71" s="5">
        <v>-425</v>
      </c>
      <c r="F71" s="6">
        <v>0</v>
      </c>
      <c r="G71" s="5">
        <v>172</v>
      </c>
      <c r="H71" s="5">
        <v>-172</v>
      </c>
      <c r="I71" s="6">
        <v>0</v>
      </c>
      <c r="J71" s="5">
        <v>0</v>
      </c>
      <c r="K71" s="5">
        <v>0</v>
      </c>
      <c r="L71" s="6"/>
      <c r="M71" s="5"/>
      <c r="N71" s="5"/>
      <c r="O71" s="6">
        <f t="shared" si="3"/>
        <v>-597</v>
      </c>
      <c r="P71" s="70">
        <f t="shared" si="4"/>
        <v>-0.99832775919732442</v>
      </c>
      <c r="Q71" s="176"/>
      <c r="R71" s="66"/>
      <c r="S71" s="81" t="str">
        <f>IF($C$5="System-Wide"," ",IF($C$4="High Inventory",IF(AND(L71-I71&gt;=Summary!$C$123,N71-K71&gt;Summary!$C$123,N71&gt;0),"X"," "),IF(AND(I71-L71&gt;=Summary!$C$123,K71-N71&gt;Summary!$C$123,N71&lt;0),"X"," ")))</f>
        <v xml:space="preserve"> </v>
      </c>
      <c r="T71" s="72"/>
      <c r="U71" s="11"/>
    </row>
    <row r="72" spans="1:24" x14ac:dyDescent="0.2">
      <c r="A72" s="27">
        <v>13636</v>
      </c>
      <c r="B72" s="55" t="s">
        <v>27</v>
      </c>
      <c r="C72" s="6">
        <v>290</v>
      </c>
      <c r="D72" s="5">
        <v>46</v>
      </c>
      <c r="E72" s="5">
        <v>244</v>
      </c>
      <c r="F72" s="6">
        <v>90</v>
      </c>
      <c r="G72" s="5">
        <v>61</v>
      </c>
      <c r="H72" s="5">
        <v>29</v>
      </c>
      <c r="I72" s="6"/>
      <c r="J72" s="5"/>
      <c r="K72" s="5"/>
      <c r="L72" s="6"/>
      <c r="M72" s="5"/>
      <c r="N72" s="5"/>
      <c r="O72" s="6">
        <f t="shared" si="3"/>
        <v>273</v>
      </c>
      <c r="P72" s="70">
        <f t="shared" si="4"/>
        <v>2.5277777777777777</v>
      </c>
      <c r="Q72" s="176"/>
      <c r="R72" s="66" t="str">
        <f>IF($C$4="High Inventory",IF(AND(O72&gt;=Summary!$C$119,P72&gt;=Summary!$C$120),"X"," "),IF(AND(O72&lt;=-Summary!$C$119,P72&lt;=-Summary!$C$120),"X"," "))</f>
        <v xml:space="preserve"> </v>
      </c>
      <c r="S72" s="81" t="str">
        <f>IF($C$5="System-Wide"," ",IF($C$4="High Inventory",IF(AND(L72-I72&gt;=Summary!$C$123,N72-K72&gt;Summary!$C$123,N72&gt;0),"X"," "),IF(AND(I72-L72&gt;=Summary!$C$123,K72-N72&gt;Summary!$C$123,N72&lt;0),"X"," ")))</f>
        <v xml:space="preserve"> </v>
      </c>
      <c r="T72" s="72" t="str">
        <f>IF($C$4="High Inventory",IF(AND($O72&gt;=Summary!$C$119,$P72&gt;=0%),"X"," "),IF(AND($O72&lt;=-Summary!$C$119,$P72&lt;=0%),"X"," "))</f>
        <v xml:space="preserve"> </v>
      </c>
      <c r="U72" s="11" t="str">
        <f>IF($C$4="High Inventory",IF(AND($O72&gt;=0,$P72&gt;=Summary!$C$120),"X"," "),IF(AND($O72&lt;=0,$P72&lt;=-Summary!$C$120),"X"," "))</f>
        <v xml:space="preserve"> </v>
      </c>
      <c r="V72" t="str">
        <f>IF(S72 = "X",L72-I72," ")</f>
        <v xml:space="preserve"> </v>
      </c>
      <c r="W72" t="str">
        <f>IF($C$4="High Inventory",IF(O72&gt;Summary!$C$119,"X"," "),IF(O72&lt;-Summary!$C$119,"X"," "))</f>
        <v xml:space="preserve"> </v>
      </c>
      <c r="X72" t="str">
        <f>IF($C$4="High Inventory",IF(P72&gt;Summary!$C$120,"X"," "),IF(P72&lt;-Summary!$C$120,"X"," "))</f>
        <v xml:space="preserve"> </v>
      </c>
    </row>
    <row r="73" spans="1:24" x14ac:dyDescent="0.2">
      <c r="A73" s="27">
        <v>16547</v>
      </c>
      <c r="B73" s="55" t="s">
        <v>27</v>
      </c>
      <c r="C73" s="6"/>
      <c r="D73" s="5"/>
      <c r="E73" s="5"/>
      <c r="F73" s="6"/>
      <c r="G73" s="5"/>
      <c r="H73" s="5"/>
      <c r="I73" s="6"/>
      <c r="J73" s="5"/>
      <c r="K73" s="5"/>
      <c r="L73" s="6">
        <v>357</v>
      </c>
      <c r="M73" s="5">
        <v>0</v>
      </c>
      <c r="N73" s="5">
        <v>357</v>
      </c>
      <c r="O73" s="6">
        <f t="shared" si="3"/>
        <v>0</v>
      </c>
      <c r="P73" s="70">
        <f t="shared" si="4"/>
        <v>0</v>
      </c>
      <c r="Q73" s="176"/>
      <c r="R73" s="66" t="str">
        <f>IF($C$4="High Inventory",IF(AND(O73&gt;=Summary!$C$119,P73&gt;=Summary!$C$120),"X"," "),IF(AND(O73&lt;=-Summary!$C$119,P73&lt;=-Summary!$C$120),"X"," "))</f>
        <v xml:space="preserve"> </v>
      </c>
      <c r="S73" s="81" t="str">
        <f>IF($C$5="System-Wide"," ",IF($C$4="High Inventory",IF(AND(L73-I73&gt;=Summary!$C$123,N73-K73&gt;Summary!$C$123,N73&gt;0),"X"," "),IF(AND(I73-L73&gt;=Summary!$C$123,K73-N73&gt;Summary!$C$123,N73&lt;0),"X"," ")))</f>
        <v xml:space="preserve"> </v>
      </c>
      <c r="T73" s="72" t="str">
        <f>IF($C$4="High Inventory",IF(AND($O73&gt;=Summary!$C$119,$P73&gt;=0%),"X"," "),IF(AND($O73&lt;=-Summary!$C$119,$P73&lt;=0%),"X"," "))</f>
        <v xml:space="preserve"> </v>
      </c>
      <c r="U73" s="11" t="str">
        <f>IF($C$4="High Inventory",IF(AND($O73&gt;=0,$P73&gt;=Summary!$C$120),"X"," "),IF(AND($O73&lt;=0,$P73&lt;=-Summary!$C$120),"X"," "))</f>
        <v xml:space="preserve"> </v>
      </c>
      <c r="V73" t="str">
        <f>IF(S73 = "X",L73-I73," ")</f>
        <v xml:space="preserve"> </v>
      </c>
      <c r="W73" t="str">
        <f>IF($C$4="High Inventory",IF(O73&gt;Summary!$C$119,"X"," "),IF(O73&lt;-Summary!$C$119,"X"," "))</f>
        <v xml:space="preserve"> </v>
      </c>
      <c r="X73" t="str">
        <f>IF($C$4="High Inventory",IF(P73&gt;Summary!$C$120,"X"," "),IF(P73&lt;-Summary!$C$120,"X"," "))</f>
        <v xml:space="preserve"> </v>
      </c>
    </row>
    <row r="74" spans="1:24" x14ac:dyDescent="0.2">
      <c r="A74" s="27">
        <v>18586</v>
      </c>
      <c r="B74" s="55" t="s">
        <v>27</v>
      </c>
      <c r="C74" s="6"/>
      <c r="D74" s="5"/>
      <c r="E74" s="5"/>
      <c r="F74" s="6"/>
      <c r="G74" s="5"/>
      <c r="H74" s="5"/>
      <c r="I74" s="6"/>
      <c r="J74" s="5"/>
      <c r="K74" s="5"/>
      <c r="L74" s="6">
        <v>1</v>
      </c>
      <c r="M74" s="5">
        <v>0</v>
      </c>
      <c r="N74" s="5">
        <v>1</v>
      </c>
      <c r="O74" s="6">
        <f t="shared" si="3"/>
        <v>0</v>
      </c>
      <c r="P74" s="70">
        <f t="shared" si="4"/>
        <v>0</v>
      </c>
      <c r="Q74" s="176"/>
      <c r="R74" s="66" t="str">
        <f>IF($C$4="High Inventory",IF(AND(O74&gt;=Summary!$C$119,P74&gt;=Summary!$C$120),"X"," "),IF(AND(O74&lt;=-Summary!$C$119,P74&lt;=-Summary!$C$120),"X"," "))</f>
        <v xml:space="preserve"> </v>
      </c>
      <c r="S74" s="81" t="str">
        <f>IF($C$5="System-Wide"," ",IF($C$4="High Inventory",IF(AND(L74-I74&gt;=Summary!$C$123,N74-K74&gt;Summary!$C$123,N74&gt;0),"X"," "),IF(AND(I74-L74&gt;=Summary!$C$123,K74-N74&gt;Summary!$C$123,N74&lt;0),"X"," ")))</f>
        <v xml:space="preserve"> </v>
      </c>
      <c r="T74" s="72" t="str">
        <f>IF($C$4="High Inventory",IF(AND($O74&gt;=Summary!$C$119,$P74&gt;=0%),"X"," "),IF(AND($O74&lt;=-Summary!$C$119,$P74&lt;=0%),"X"," "))</f>
        <v xml:space="preserve"> </v>
      </c>
      <c r="U74" s="11" t="str">
        <f>IF($C$4="High Inventory",IF(AND($O74&gt;=0,$P74&gt;=Summary!$C$120),"X"," "),IF(AND($O74&lt;=0,$P74&lt;=-Summary!$C$120),"X"," "))</f>
        <v xml:space="preserve"> </v>
      </c>
      <c r="V74" t="str">
        <f>IF(S74 = "X",L74-I74," ")</f>
        <v xml:space="preserve"> </v>
      </c>
      <c r="W74" t="str">
        <f>IF($C$4="High Inventory",IF(O74&gt;Summary!$C$119,"X"," "),IF(O74&lt;-Summary!$C$119,"X"," "))</f>
        <v xml:space="preserve"> </v>
      </c>
      <c r="X74" t="str">
        <f>IF($C$4="High Inventory",IF(P74&gt;Summary!$C$120,"X"," "),IF(P74&lt;-Summary!$C$120,"X"," "))</f>
        <v xml:space="preserve"> </v>
      </c>
    </row>
    <row r="75" spans="1:24" x14ac:dyDescent="0.2">
      <c r="A75" s="27">
        <v>30149</v>
      </c>
      <c r="B75" s="55" t="s">
        <v>27</v>
      </c>
      <c r="C75" s="6">
        <v>119</v>
      </c>
      <c r="D75" s="5">
        <v>64</v>
      </c>
      <c r="E75" s="5">
        <v>55</v>
      </c>
      <c r="F75" s="6">
        <v>119</v>
      </c>
      <c r="G75" s="5">
        <v>83</v>
      </c>
      <c r="H75" s="5">
        <v>36</v>
      </c>
      <c r="I75" s="6">
        <v>119</v>
      </c>
      <c r="J75" s="5">
        <v>84</v>
      </c>
      <c r="K75" s="5">
        <v>35</v>
      </c>
      <c r="L75" s="6"/>
      <c r="M75" s="5"/>
      <c r="N75" s="5"/>
      <c r="O75" s="6">
        <f t="shared" si="3"/>
        <v>126</v>
      </c>
      <c r="P75" s="70">
        <f t="shared" si="4"/>
        <v>0.5431034482758621</v>
      </c>
      <c r="Q75" s="176"/>
      <c r="R75" s="66" t="str">
        <f>IF($C$4="High Inventory",IF(AND(O75&gt;=Summary!$C$119,P75&gt;=Summary!$C$120),"X"," "),IF(AND(O75&lt;=-Summary!$C$119,P75&lt;=-Summary!$C$120),"X"," "))</f>
        <v xml:space="preserve"> </v>
      </c>
      <c r="S75" s="81" t="str">
        <f>IF($C$5="System-Wide"," ",IF($C$4="High Inventory",IF(AND(L75-I75&gt;=Summary!$C$123,N75-K75&gt;Summary!$C$123,N75&gt;0),"X"," "),IF(AND(I75-L75&gt;=Summary!$C$123,K75-N75&gt;Summary!$C$123,N75&lt;0),"X"," ")))</f>
        <v xml:space="preserve"> </v>
      </c>
      <c r="T75" s="72" t="str">
        <f>IF($C$4="High Inventory",IF(AND($O75&gt;=Summary!$C$119,$P75&gt;=0%),"X"," "),IF(AND($O75&lt;=-Summary!$C$119,$P75&lt;=0%),"X"," "))</f>
        <v xml:space="preserve"> </v>
      </c>
      <c r="U75" s="11" t="str">
        <f>IF($C$4="High Inventory",IF(AND($O75&gt;=0,$P75&gt;=Summary!$C$120),"X"," "),IF(AND($O75&lt;=0,$P75&lt;=-Summary!$C$120),"X"," "))</f>
        <v xml:space="preserve"> </v>
      </c>
      <c r="V75" t="str">
        <f>IF(S75 = "X",L75-I75," ")</f>
        <v xml:space="preserve"> </v>
      </c>
      <c r="W75" t="str">
        <f>IF($C$4="High Inventory",IF(O75&gt;Summary!$C$119,"X"," "),IF(O75&lt;-Summary!$C$119,"X"," "))</f>
        <v xml:space="preserve"> </v>
      </c>
      <c r="X75" t="str">
        <f>IF($C$4="High Inventory",IF(P75&gt;Summary!$C$120,"X"," "),IF(P75&lt;-Summary!$C$120,"X"," "))</f>
        <v xml:space="preserve"> </v>
      </c>
    </row>
    <row r="76" spans="1:24" x14ac:dyDescent="0.2">
      <c r="A76" s="27">
        <v>30511</v>
      </c>
      <c r="B76" s="55" t="s">
        <v>27</v>
      </c>
      <c r="C76" s="6">
        <v>350</v>
      </c>
      <c r="D76" s="5">
        <v>486</v>
      </c>
      <c r="E76" s="5">
        <v>-136</v>
      </c>
      <c r="F76" s="6">
        <v>500</v>
      </c>
      <c r="G76" s="5">
        <v>495</v>
      </c>
      <c r="H76" s="5">
        <v>5</v>
      </c>
      <c r="I76" s="6">
        <v>500</v>
      </c>
      <c r="J76" s="5">
        <v>429</v>
      </c>
      <c r="K76" s="5">
        <v>71</v>
      </c>
      <c r="L76" s="6">
        <v>500</v>
      </c>
      <c r="M76" s="5">
        <v>501</v>
      </c>
      <c r="N76" s="5">
        <v>-1</v>
      </c>
      <c r="O76" s="6">
        <f t="shared" si="3"/>
        <v>-60</v>
      </c>
      <c r="P76" s="70">
        <f t="shared" si="4"/>
        <v>-4.2523033309709427E-2</v>
      </c>
      <c r="Q76" s="176"/>
      <c r="R76" s="66" t="str">
        <f>IF($C$4="High Inventory",IF(AND(O76&gt;=Summary!$C$119,P76&gt;=Summary!$C$120),"X"," "),IF(AND(O76&lt;=-Summary!$C$119,P76&lt;=-Summary!$C$120),"X"," "))</f>
        <v xml:space="preserve"> </v>
      </c>
      <c r="S76" s="81" t="str">
        <f>IF($C$5="System-Wide"," ",IF($C$4="High Inventory",IF(AND(L76-I76&gt;=Summary!$C$123,N76-K76&gt;Summary!$C$123,N76&gt;0),"X"," "),IF(AND(I76-L76&gt;=Summary!$C$123,K76-N76&gt;Summary!$C$123,N76&lt;0),"X"," ")))</f>
        <v xml:space="preserve"> </v>
      </c>
      <c r="T76" s="72" t="str">
        <f>IF($C$4="High Inventory",IF(AND($O76&gt;=Summary!$C$119,$P76&gt;=0%),"X"," "),IF(AND($O76&lt;=-Summary!$C$119,$P76&lt;=0%),"X"," "))</f>
        <v xml:space="preserve"> </v>
      </c>
      <c r="U76" s="11" t="str">
        <f>IF($C$4="High Inventory",IF(AND($O76&gt;=0,$P76&gt;=Summary!$C$120),"X"," "),IF(AND($O76&lt;=0,$P76&lt;=-Summary!$C$120),"X"," "))</f>
        <v xml:space="preserve"> </v>
      </c>
      <c r="V76" t="str">
        <f t="shared" si="5"/>
        <v xml:space="preserve"> </v>
      </c>
      <c r="W76" t="str">
        <f>IF($C$4="High Inventory",IF(O76&gt;Summary!$C$119,"X"," "),IF(O76&lt;-Summary!$C$119,"X"," "))</f>
        <v xml:space="preserve"> </v>
      </c>
      <c r="X76" t="str">
        <f>IF($C$4="High Inventory",IF(P76&gt;Summary!$C$120,"X"," "),IF(P76&lt;-Summary!$C$120,"X"," "))</f>
        <v xml:space="preserve"> </v>
      </c>
    </row>
    <row r="77" spans="1:24" x14ac:dyDescent="0.2">
      <c r="A77" s="27">
        <v>35475</v>
      </c>
      <c r="B77" s="151" t="s">
        <v>27</v>
      </c>
      <c r="C77" s="156">
        <v>2825</v>
      </c>
      <c r="D77" s="5">
        <v>14241</v>
      </c>
      <c r="E77" s="68">
        <v>-11416</v>
      </c>
      <c r="F77" s="6">
        <v>43025</v>
      </c>
      <c r="G77" s="5">
        <v>13833</v>
      </c>
      <c r="H77" s="150">
        <v>29192</v>
      </c>
      <c r="I77" s="156">
        <v>5267</v>
      </c>
      <c r="J77" s="5">
        <v>15440</v>
      </c>
      <c r="K77" s="68">
        <v>-10173</v>
      </c>
      <c r="L77" s="6">
        <v>440</v>
      </c>
      <c r="M77" s="5">
        <v>5094</v>
      </c>
      <c r="N77" s="150">
        <v>-4654</v>
      </c>
      <c r="O77" s="6">
        <f t="shared" si="3"/>
        <v>7603</v>
      </c>
      <c r="P77" s="70">
        <f t="shared" si="4"/>
        <v>0.17472136045041939</v>
      </c>
      <c r="Q77" s="176"/>
      <c r="R77" s="66" t="str">
        <f>IF($C$4="High Inventory",IF(AND(O77&gt;=Summary!$C$119,P77&gt;=Summary!$C$120),"X"," "),IF(AND(O77&lt;=-Summary!$C$119,P77&lt;=-Summary!$C$120),"X"," "))</f>
        <v xml:space="preserve"> </v>
      </c>
      <c r="S77" s="81" t="str">
        <f>IF($C$5="System-Wide"," ",IF($C$4="High Inventory",IF(AND(L77-I77&gt;=Summary!$C$123,N77-K77&gt;Summary!$C$123,N77&gt;0),"X"," "),IF(AND(I77-L77&gt;=Summary!$C$123,K77-N77&gt;Summary!$C$123,N77&lt;0),"X"," ")))</f>
        <v xml:space="preserve"> </v>
      </c>
      <c r="T77" s="73" t="str">
        <f>IF($C$4="High Inventory",IF(AND($O77&gt;=Summary!$C$119,$P77&gt;=0%),"X"," "),IF(AND($O77&lt;=-Summary!$C$119,$P77&lt;=0%),"X"," "))</f>
        <v xml:space="preserve"> </v>
      </c>
      <c r="U77" s="77" t="str">
        <f>IF($C$4="High Inventory",IF(AND($O77&gt;=0,$P77&gt;=Summary!$C$120),"X"," "),IF(AND($O77&lt;=0,$P77&lt;=-Summary!$C$120),"X"," "))</f>
        <v xml:space="preserve"> </v>
      </c>
      <c r="V77" t="str">
        <f t="shared" si="5"/>
        <v xml:space="preserve"> </v>
      </c>
      <c r="W77" t="str">
        <f>IF($C$4="High Inventory",IF(O77&gt;Summary!$C$119,"X"," "),IF(O77&lt;-Summary!$C$119,"X"," "))</f>
        <v xml:space="preserve"> </v>
      </c>
      <c r="X77" t="str">
        <f>IF($C$4="High Inventory",IF(P77&gt;Summary!$C$120,"X"," "),IF(P77&lt;-Summary!$C$120,"X"," "))</f>
        <v xml:space="preserve"> </v>
      </c>
    </row>
    <row r="78" spans="1:24" x14ac:dyDescent="0.2">
      <c r="A78" s="27">
        <v>36570</v>
      </c>
      <c r="B78" s="151" t="s">
        <v>27</v>
      </c>
      <c r="C78" s="156">
        <v>363</v>
      </c>
      <c r="D78" s="5">
        <v>262</v>
      </c>
      <c r="E78" s="68">
        <v>101</v>
      </c>
      <c r="F78" s="6">
        <v>363</v>
      </c>
      <c r="G78" s="5">
        <v>329</v>
      </c>
      <c r="H78" s="150">
        <v>34</v>
      </c>
      <c r="I78" s="156">
        <v>363</v>
      </c>
      <c r="J78" s="5">
        <v>313</v>
      </c>
      <c r="K78" s="68">
        <v>50</v>
      </c>
      <c r="L78" s="6">
        <v>304</v>
      </c>
      <c r="M78" s="5">
        <v>306</v>
      </c>
      <c r="N78" s="150">
        <v>-2</v>
      </c>
      <c r="O78" s="6">
        <f t="shared" si="3"/>
        <v>185</v>
      </c>
      <c r="P78" s="70">
        <f t="shared" si="4"/>
        <v>0.20441988950276244</v>
      </c>
      <c r="Q78" s="176"/>
      <c r="R78" s="66"/>
      <c r="S78" s="81" t="str">
        <f>IF($C$5="System-Wide"," ",IF($C$4="High Inventory",IF(AND(L78-I78&gt;=Summary!$C$123,N78-K78&gt;Summary!$C$123,N78&gt;0),"X"," "),IF(AND(I78-L78&gt;=Summary!$C$123,K78-N78&gt;Summary!$C$123,N78&lt;0),"X"," ")))</f>
        <v xml:space="preserve"> </v>
      </c>
      <c r="T78" s="73"/>
      <c r="U78" s="77"/>
    </row>
    <row r="79" spans="1:24" x14ac:dyDescent="0.2">
      <c r="A79" s="27">
        <v>37459</v>
      </c>
      <c r="B79" s="151" t="s">
        <v>27</v>
      </c>
      <c r="C79" s="156"/>
      <c r="D79" s="5"/>
      <c r="E79" s="68"/>
      <c r="F79" s="6"/>
      <c r="G79" s="5"/>
      <c r="H79" s="150"/>
      <c r="I79" s="156"/>
      <c r="J79" s="5"/>
      <c r="K79" s="68"/>
      <c r="L79" s="6">
        <v>116</v>
      </c>
      <c r="M79" s="5">
        <v>2</v>
      </c>
      <c r="N79" s="150">
        <v>114</v>
      </c>
      <c r="O79" s="6">
        <f t="shared" si="3"/>
        <v>0</v>
      </c>
      <c r="P79" s="70">
        <f t="shared" si="4"/>
        <v>0</v>
      </c>
      <c r="Q79" s="176"/>
      <c r="R79" s="66"/>
      <c r="S79" s="81" t="str">
        <f>IF($C$5="System-Wide"," ",IF($C$4="High Inventory",IF(AND(L79-I79&gt;=Summary!$C$123,N79-K79&gt;Summary!$C$123,N79&gt;0),"X"," "),IF(AND(I79-L79&gt;=Summary!$C$123,K79-N79&gt;Summary!$C$123,N79&lt;0),"X"," ")))</f>
        <v xml:space="preserve"> </v>
      </c>
      <c r="T79" s="73"/>
      <c r="U79" s="77"/>
    </row>
    <row r="80" spans="1:24" x14ac:dyDescent="0.2">
      <c r="A80" s="27"/>
      <c r="B80" s="151"/>
      <c r="C80" s="156"/>
      <c r="D80" s="5"/>
      <c r="E80" s="68"/>
      <c r="F80" s="6"/>
      <c r="G80" s="5"/>
      <c r="H80" s="150"/>
      <c r="I80" s="156"/>
      <c r="J80" s="5"/>
      <c r="K80" s="68"/>
      <c r="L80" s="6"/>
      <c r="M80" s="5"/>
      <c r="N80" s="150"/>
      <c r="O80" s="6">
        <f>K80+H80+E80</f>
        <v>0</v>
      </c>
      <c r="P80" s="70">
        <f>O80/(J80+G80+D80+1)</f>
        <v>0</v>
      </c>
      <c r="Q80" s="176"/>
      <c r="R80" s="5"/>
      <c r="S80" s="81" t="str">
        <f>IF($C$5="System-Wide"," ",IF($C$4="High Inventory",IF(AND(L80-I80&gt;=Summary!$C$123,N80-K80&gt;Summary!$C$123,N80&gt;0),"X"," "),IF(AND(I80-L80&gt;=Summary!$C$123,K80-N80&gt;Summary!$C$123,N80&lt;0),"X"," ")))</f>
        <v xml:space="preserve"> </v>
      </c>
      <c r="T80" s="73" t="str">
        <f>IF($C$4="High Inventory",IF(AND($O80&gt;=Summary!$C$119,$P80&gt;=0%),"X"," "),IF(AND($O80&lt;=-Summary!$C$119,$P80&lt;=0%),"X"," "))</f>
        <v xml:space="preserve"> </v>
      </c>
      <c r="U80" s="77" t="str">
        <f>IF($C$4="High Inventory",IF(AND($O80&gt;=0,$P80&gt;=Summary!$C$120),"X"," "),IF(AND($O80&lt;=0,$P80&lt;=-Summary!$C$120),"X"," "))</f>
        <v xml:space="preserve"> </v>
      </c>
      <c r="V80" t="str">
        <f t="shared" si="5"/>
        <v xml:space="preserve"> </v>
      </c>
      <c r="W80" t="str">
        <f>IF($C$4="High Inventory",IF(O80&gt;Summary!$C$119,"X"," "),IF(O80&lt;-Summary!$C$119,"X"," "))</f>
        <v xml:space="preserve"> </v>
      </c>
      <c r="X80" t="str">
        <f>IF($C$4="High Inventory",IF(P80&gt;Summary!$C$120,"X"," "),IF(P80&lt;-Summary!$C$120,"X"," "))</f>
        <v xml:space="preserve"> </v>
      </c>
    </row>
    <row r="81" spans="1:24" x14ac:dyDescent="0.2">
      <c r="A81" s="27"/>
      <c r="B81" s="151"/>
      <c r="C81" s="156"/>
      <c r="D81" s="5"/>
      <c r="E81" s="68"/>
      <c r="F81" s="6"/>
      <c r="G81" s="5"/>
      <c r="H81" s="150"/>
      <c r="I81" s="156"/>
      <c r="J81" s="5"/>
      <c r="K81" s="68"/>
      <c r="L81" s="6"/>
      <c r="M81" s="5"/>
      <c r="N81" s="150"/>
      <c r="O81" s="6">
        <f>K81+H81+E81</f>
        <v>0</v>
      </c>
      <c r="P81" s="70">
        <f>O81/(J81+G81+D81+1)</f>
        <v>0</v>
      </c>
      <c r="Q81" s="176"/>
      <c r="R81" s="66" t="str">
        <f>IF($C$4="High Inventory",IF(AND(O81&gt;=Summary!$C$119,P81&gt;=Summary!$C$120),"X"," "),IF(AND(O81&lt;=-Summary!$C$119,P81&lt;=-Summary!$C$120),"X"," "))</f>
        <v xml:space="preserve"> </v>
      </c>
      <c r="S81" s="81" t="str">
        <f>IF($C$5="System-Wide"," ",IF($C$4="High Inventory",IF(AND(L81-I81&gt;=Summary!$C$123,N81-K81&gt;Summary!$C$123,N81&gt;0),"X"," "),IF(AND(I81-L81&gt;=Summary!$C$123,K81-N81&gt;Summary!$C$123,N81&lt;0),"X"," ")))</f>
        <v xml:space="preserve"> </v>
      </c>
      <c r="T81" s="73" t="str">
        <f>IF($C$4="High Inventory",IF(AND($O81&gt;=Summary!$C$119,$P81&gt;=0%),"X"," "),IF(AND($O81&lt;=-Summary!$C$119,$P81&lt;=0%),"X"," "))</f>
        <v xml:space="preserve"> </v>
      </c>
      <c r="U81" s="77" t="str">
        <f>IF($C$4="High Inventory",IF(AND($O81&gt;=0,$P81&gt;=Summary!$C$120),"X"," "),IF(AND($O81&lt;=0,$P81&lt;=-Summary!$C$120),"X"," "))</f>
        <v xml:space="preserve"> </v>
      </c>
      <c r="V81" t="str">
        <f t="shared" si="5"/>
        <v xml:space="preserve"> </v>
      </c>
      <c r="W81" t="str">
        <f>IF($C$4="High Inventory",IF(O81&gt;Summary!$E$5,"X"," "),IF(O81&lt;-Summary!$E$5,"X"," "))</f>
        <v xml:space="preserve"> </v>
      </c>
    </row>
    <row r="82" spans="1:24" x14ac:dyDescent="0.2">
      <c r="A82" s="195" t="s">
        <v>28</v>
      </c>
      <c r="B82" s="192"/>
      <c r="C82" s="3"/>
      <c r="D82" s="3"/>
      <c r="E82" s="3">
        <f>SUM(E10:E81)</f>
        <v>-16810</v>
      </c>
      <c r="F82" s="193"/>
      <c r="G82" s="50"/>
      <c r="H82" s="194">
        <f>SUM(H10:H81)</f>
        <v>-170320</v>
      </c>
      <c r="I82" s="3"/>
      <c r="J82" s="3"/>
      <c r="K82" s="3">
        <f>SUM(K10:K81)</f>
        <v>-162949</v>
      </c>
      <c r="L82" s="193"/>
      <c r="M82" s="50">
        <f>SUM(M10:M81)</f>
        <v>3165758</v>
      </c>
      <c r="N82" s="194">
        <f>SUM(N10:N81)</f>
        <v>212288</v>
      </c>
      <c r="O82" s="3">
        <f>SUM(O10:O76)</f>
        <v>-357867</v>
      </c>
      <c r="P82" s="12"/>
      <c r="Q82" s="190">
        <f>COUNTIF(Q12:Q76,"X")</f>
        <v>0</v>
      </c>
      <c r="R82" s="191">
        <f>COUNTIF(R12:R76,"X")</f>
        <v>7</v>
      </c>
      <c r="S82" s="192">
        <f>COUNTIF(S12:S76,"X")</f>
        <v>0</v>
      </c>
      <c r="T82" s="73">
        <f>COUNTIF(T12:T76,"X")</f>
        <v>10</v>
      </c>
      <c r="U82" s="77">
        <f>COUNTIF(U12:U76,"X")</f>
        <v>11</v>
      </c>
      <c r="W82" s="82">
        <f>COUNTIF(W12:W76,"X")</f>
        <v>10</v>
      </c>
      <c r="X82" s="82">
        <f>COUNTIF(X12:X76,"X")</f>
        <v>11</v>
      </c>
    </row>
    <row r="83" spans="1:24" x14ac:dyDescent="0.2">
      <c r="M83" s="85" t="s">
        <v>51</v>
      </c>
      <c r="N83" s="86">
        <f>N82/M82</f>
        <v>6.7057557779211172E-2</v>
      </c>
      <c r="P83" s="1"/>
      <c r="R83" s="2" t="str">
        <f>IF(AND(O83&gt;=5000,P83&gt;=10%),"X"," ")</f>
        <v xml:space="preserve"> </v>
      </c>
    </row>
    <row r="84" spans="1:24" x14ac:dyDescent="0.2">
      <c r="P84" s="1"/>
      <c r="R84" s="2" t="str">
        <f>IF(AND(O84&gt;=5000,P84&gt;=10%),"X"," ")</f>
        <v xml:space="preserve"> </v>
      </c>
    </row>
  </sheetData>
  <phoneticPr fontId="0" type="noConversion"/>
  <pageMargins left="0.25" right="0.25" top="0.77" bottom="0.81" header="0.5" footer="0.5"/>
  <pageSetup scale="70" fitToHeight="2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0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A5" sqref="A5"/>
    </sheetView>
  </sheetViews>
  <sheetFormatPr defaultColWidth="7.85546875" defaultRowHeight="12.75" x14ac:dyDescent="0.2"/>
  <cols>
    <col min="1" max="1" width="9.42578125" style="28" customWidth="1"/>
    <col min="2" max="2" width="10" style="28" customWidth="1"/>
    <col min="3" max="19" width="10" customWidth="1"/>
    <col min="20" max="22" width="10" hidden="1" customWidth="1"/>
    <col min="23" max="42" width="7.85546875" style="14" customWidth="1"/>
    <col min="43" max="252" width="9.140625" customWidth="1"/>
  </cols>
  <sheetData>
    <row r="1" spans="1:42" ht="18" x14ac:dyDescent="0.25">
      <c r="A1" s="56" t="s">
        <v>0</v>
      </c>
    </row>
    <row r="2" spans="1:42" ht="20.25" customHeight="1" x14ac:dyDescent="0.2">
      <c r="A2" s="83" t="s">
        <v>34</v>
      </c>
    </row>
    <row r="3" spans="1:42" ht="15.75" x14ac:dyDescent="0.25">
      <c r="A3" s="57" t="s">
        <v>35</v>
      </c>
      <c r="C3" s="10">
        <f>L8</f>
        <v>36927</v>
      </c>
      <c r="D3" s="9"/>
    </row>
    <row r="4" spans="1:42" ht="15.75" x14ac:dyDescent="0.25">
      <c r="A4" s="57" t="s">
        <v>36</v>
      </c>
      <c r="C4" s="4" t="s">
        <v>37</v>
      </c>
      <c r="E4" s="91" t="s">
        <v>64</v>
      </c>
      <c r="G4" s="4" t="s">
        <v>55</v>
      </c>
    </row>
    <row r="5" spans="1:42" ht="16.5" thickBot="1" x14ac:dyDescent="0.3">
      <c r="A5" s="57" t="s">
        <v>39</v>
      </c>
      <c r="C5" s="4" t="s">
        <v>40</v>
      </c>
      <c r="E5" s="57"/>
    </row>
    <row r="6" spans="1:42" ht="21.75" customHeight="1" thickBot="1" x14ac:dyDescent="0.25">
      <c r="R6" s="143" t="s">
        <v>41</v>
      </c>
      <c r="S6" s="144"/>
    </row>
    <row r="7" spans="1:42" s="61" customFormat="1" ht="54" customHeight="1" thickBot="1" x14ac:dyDescent="0.25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5" customHeight="1" thickBot="1" x14ac:dyDescent="0.25">
      <c r="A8" s="161"/>
      <c r="B8" s="162"/>
      <c r="C8" s="165">
        <f>C9</f>
        <v>36924</v>
      </c>
      <c r="D8" s="163"/>
      <c r="E8" s="164" t="str">
        <f>TEXT(WEEKDAY(C8),"dddd")</f>
        <v>Friday</v>
      </c>
      <c r="F8" s="165">
        <f>F9</f>
        <v>36925</v>
      </c>
      <c r="G8" s="163"/>
      <c r="H8" s="164" t="str">
        <f>TEXT(WEEKDAY(F8),"dddd")</f>
        <v>Saturday</v>
      </c>
      <c r="I8" s="165">
        <f>I9</f>
        <v>36926</v>
      </c>
      <c r="J8" s="163"/>
      <c r="K8" s="164" t="str">
        <f>TEXT(WEEKDAY(I8),"dddd")</f>
        <v>Sunday</v>
      </c>
      <c r="L8" s="165">
        <f>L9</f>
        <v>36927</v>
      </c>
      <c r="M8" s="163"/>
      <c r="N8" s="164" t="str">
        <f>TEXT(WEEKDAY(L8),"dddd")</f>
        <v>Monday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2.75" hidden="1" x14ac:dyDescent="0.2">
      <c r="A9" s="27"/>
      <c r="B9" s="55"/>
      <c r="C9" s="146">
        <v>36924</v>
      </c>
      <c r="D9" s="148">
        <v>36924</v>
      </c>
      <c r="E9" s="148">
        <v>36924</v>
      </c>
      <c r="F9" s="149">
        <v>36925</v>
      </c>
      <c r="G9" s="148">
        <v>36925</v>
      </c>
      <c r="H9" s="148">
        <v>36925</v>
      </c>
      <c r="I9" s="149">
        <v>36926</v>
      </c>
      <c r="J9" s="148">
        <v>36926</v>
      </c>
      <c r="K9" s="148">
        <v>36926</v>
      </c>
      <c r="L9" s="149">
        <v>36927</v>
      </c>
      <c r="M9" s="148">
        <v>36927</v>
      </c>
      <c r="N9" s="148">
        <v>36927</v>
      </c>
      <c r="O9" s="6">
        <f t="shared" ref="O9:O25" si="0">K9+H9+E9</f>
        <v>110775</v>
      </c>
      <c r="P9" s="68"/>
      <c r="Q9" s="65"/>
      <c r="R9" s="63"/>
      <c r="S9" s="69"/>
      <c r="T9" s="65"/>
      <c r="U9" s="64"/>
    </row>
    <row r="10" spans="1:42" x14ac:dyDescent="0.2">
      <c r="A10" s="27">
        <v>1117</v>
      </c>
      <c r="B10" s="55" t="s">
        <v>25</v>
      </c>
      <c r="C10" s="6">
        <v>479</v>
      </c>
      <c r="D10" s="5">
        <v>454</v>
      </c>
      <c r="E10" s="5">
        <v>25</v>
      </c>
      <c r="F10" s="6">
        <v>479</v>
      </c>
      <c r="G10" s="5">
        <v>401</v>
      </c>
      <c r="H10" s="5">
        <v>78</v>
      </c>
      <c r="I10" s="6">
        <v>479</v>
      </c>
      <c r="J10" s="5">
        <v>334</v>
      </c>
      <c r="K10" s="5">
        <v>145</v>
      </c>
      <c r="L10" s="6">
        <v>479</v>
      </c>
      <c r="M10" s="5">
        <v>369</v>
      </c>
      <c r="N10" s="5">
        <v>110</v>
      </c>
      <c r="O10" s="6">
        <f t="shared" si="0"/>
        <v>248</v>
      </c>
      <c r="P10" s="70">
        <f t="shared" ref="P10:P25" si="1">O10/(J10+G10+D10+1)</f>
        <v>0.20840336134453782</v>
      </c>
      <c r="Q10" s="74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>X</v>
      </c>
      <c r="V10" t="str">
        <f t="shared" ref="V10:V30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>X</v>
      </c>
    </row>
    <row r="11" spans="1:42" x14ac:dyDescent="0.2">
      <c r="A11" s="27">
        <v>1126</v>
      </c>
      <c r="B11" s="55" t="s">
        <v>25</v>
      </c>
      <c r="C11" s="6">
        <v>1450</v>
      </c>
      <c r="D11" s="5">
        <v>1321</v>
      </c>
      <c r="E11" s="5">
        <v>129</v>
      </c>
      <c r="F11" s="6">
        <v>1450</v>
      </c>
      <c r="G11" s="5">
        <v>1173</v>
      </c>
      <c r="H11" s="5">
        <v>277</v>
      </c>
      <c r="I11" s="6">
        <v>1450</v>
      </c>
      <c r="J11" s="5">
        <v>1005</v>
      </c>
      <c r="K11" s="5">
        <v>445</v>
      </c>
      <c r="L11" s="6">
        <v>1000</v>
      </c>
      <c r="M11" s="5">
        <v>1086</v>
      </c>
      <c r="N11" s="5">
        <v>-86</v>
      </c>
      <c r="O11" s="6">
        <f>K11+H11+E11</f>
        <v>851</v>
      </c>
      <c r="P11" s="70">
        <f>O11/(J11+G11+D11+1)</f>
        <v>0.24314285714285713</v>
      </c>
      <c r="Q11" s="74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>X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>X</v>
      </c>
    </row>
    <row r="12" spans="1:42" x14ac:dyDescent="0.2">
      <c r="A12" s="27">
        <v>1157</v>
      </c>
      <c r="B12" s="55" t="s">
        <v>25</v>
      </c>
      <c r="C12" s="6">
        <v>133</v>
      </c>
      <c r="D12" s="5">
        <v>175</v>
      </c>
      <c r="E12" s="5">
        <v>-42</v>
      </c>
      <c r="F12" s="6">
        <v>133</v>
      </c>
      <c r="G12" s="5">
        <v>157</v>
      </c>
      <c r="H12" s="5">
        <v>-24</v>
      </c>
      <c r="I12" s="6">
        <v>128</v>
      </c>
      <c r="J12" s="5">
        <v>128</v>
      </c>
      <c r="K12" s="5">
        <v>0</v>
      </c>
      <c r="L12" s="6">
        <v>128</v>
      </c>
      <c r="M12" s="5">
        <v>149</v>
      </c>
      <c r="N12" s="5">
        <v>-21</v>
      </c>
      <c r="O12" s="6">
        <f t="shared" si="0"/>
        <v>-66</v>
      </c>
      <c r="P12" s="70">
        <f t="shared" si="1"/>
        <v>-0.14316702819956617</v>
      </c>
      <c r="Q12" s="74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 xml:space="preserve"> 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 xml:space="preserve"> </v>
      </c>
    </row>
    <row r="13" spans="1:42" x14ac:dyDescent="0.2">
      <c r="A13" s="27">
        <v>1780</v>
      </c>
      <c r="B13" s="55" t="s">
        <v>25</v>
      </c>
      <c r="C13" s="6">
        <v>1901</v>
      </c>
      <c r="D13" s="5">
        <v>2820</v>
      </c>
      <c r="E13" s="5">
        <v>-919</v>
      </c>
      <c r="F13" s="6">
        <v>1901</v>
      </c>
      <c r="G13" s="5">
        <v>2426</v>
      </c>
      <c r="H13" s="5">
        <v>-525</v>
      </c>
      <c r="I13" s="6">
        <v>1901</v>
      </c>
      <c r="J13" s="5">
        <v>1921</v>
      </c>
      <c r="K13" s="5">
        <v>-20</v>
      </c>
      <c r="L13" s="6">
        <v>2251</v>
      </c>
      <c r="M13" s="5">
        <v>2291</v>
      </c>
      <c r="N13" s="5">
        <v>-40</v>
      </c>
      <c r="O13" s="6">
        <f t="shared" si="0"/>
        <v>-1464</v>
      </c>
      <c r="P13" s="70">
        <f t="shared" si="1"/>
        <v>-0.20424107142857142</v>
      </c>
      <c r="Q13" s="74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 xml:space="preserve"> 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 xml:space="preserve"> </v>
      </c>
    </row>
    <row r="14" spans="1:42" x14ac:dyDescent="0.2">
      <c r="A14" s="27">
        <v>2280</v>
      </c>
      <c r="B14" s="55" t="s">
        <v>25</v>
      </c>
      <c r="C14" s="6">
        <v>246</v>
      </c>
      <c r="D14" s="5">
        <v>547</v>
      </c>
      <c r="E14" s="5">
        <v>-301</v>
      </c>
      <c r="F14" s="6">
        <v>246</v>
      </c>
      <c r="G14" s="5">
        <v>505</v>
      </c>
      <c r="H14" s="5">
        <v>-259</v>
      </c>
      <c r="I14" s="6">
        <v>246</v>
      </c>
      <c r="J14" s="5">
        <v>450</v>
      </c>
      <c r="K14" s="5">
        <v>-204</v>
      </c>
      <c r="L14" s="6">
        <v>246</v>
      </c>
      <c r="M14" s="5">
        <v>470</v>
      </c>
      <c r="N14" s="5">
        <v>-224</v>
      </c>
      <c r="O14" s="6">
        <f t="shared" si="0"/>
        <v>-764</v>
      </c>
      <c r="P14" s="70">
        <f>O14/(J14+G14+D14+1)</f>
        <v>-0.5083166999334664</v>
      </c>
      <c r="Q14" s="74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">
      <c r="A15" s="27">
        <v>2584</v>
      </c>
      <c r="B15" s="55" t="s">
        <v>25</v>
      </c>
      <c r="C15" s="6">
        <v>3774</v>
      </c>
      <c r="D15" s="5">
        <v>6147</v>
      </c>
      <c r="E15" s="5">
        <v>-2373</v>
      </c>
      <c r="F15" s="6">
        <v>3774</v>
      </c>
      <c r="G15" s="5">
        <v>5544</v>
      </c>
      <c r="H15" s="5">
        <v>-1770</v>
      </c>
      <c r="I15" s="6">
        <v>3774</v>
      </c>
      <c r="J15" s="5">
        <v>4723</v>
      </c>
      <c r="K15" s="5">
        <v>-949</v>
      </c>
      <c r="L15" s="6">
        <v>4974</v>
      </c>
      <c r="M15" s="5">
        <v>4996</v>
      </c>
      <c r="N15" s="5">
        <v>-22</v>
      </c>
      <c r="O15" s="6">
        <f>K15+H15+E15</f>
        <v>-5092</v>
      </c>
      <c r="P15" s="70">
        <f>O15/(J15+G15+D15+1)</f>
        <v>-0.31020408163265306</v>
      </c>
      <c r="Q15" s="74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2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">
      <c r="A16" s="27">
        <v>2771</v>
      </c>
      <c r="B16" s="55" t="s">
        <v>25</v>
      </c>
      <c r="C16" s="6">
        <v>11000</v>
      </c>
      <c r="D16" s="5">
        <v>9548</v>
      </c>
      <c r="E16" s="5">
        <v>1452</v>
      </c>
      <c r="F16" s="6">
        <v>11000</v>
      </c>
      <c r="G16" s="5">
        <v>8633</v>
      </c>
      <c r="H16" s="5">
        <v>2367</v>
      </c>
      <c r="I16" s="6">
        <v>11000</v>
      </c>
      <c r="J16" s="5">
        <v>7465</v>
      </c>
      <c r="K16" s="5">
        <v>3535</v>
      </c>
      <c r="L16" s="6">
        <v>7500</v>
      </c>
      <c r="M16" s="5">
        <v>8043</v>
      </c>
      <c r="N16" s="5">
        <v>-543</v>
      </c>
      <c r="O16" s="6">
        <f>K16+H16+E16</f>
        <v>7354</v>
      </c>
      <c r="P16" s="70">
        <f>O16/(J16+G16+D16+1)</f>
        <v>0.28673918976878388</v>
      </c>
      <c r="Q16" s="6"/>
      <c r="R16" s="66" t="str">
        <f>IF($C$4="High Inventory",IF(AND(O16&gt;=Summary!$C$119,P16&gt;=Summary!$C$120),"X"," "),IF(AND(O16&lt;=-Summary!$C$119,P16&lt;=-Summary!$C$120),"X"," "))</f>
        <v>X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>X</v>
      </c>
      <c r="U16" s="11" t="str">
        <f>IF($C$4="High Inventory",IF(AND($O16&gt;=0,$P16&gt;=Summary!$C$120),"X"," "),IF(AND($O16&lt;=0,$P16&lt;=-Summary!$C$120),"X"," "))</f>
        <v>X</v>
      </c>
      <c r="V16" t="str">
        <f t="shared" si="2"/>
        <v xml:space="preserve"> </v>
      </c>
      <c r="W16" t="str">
        <f>IF($C$4="High Inventory",IF(O16&gt;Summary!$C$119,"X"," "),IF(O16&lt;-Summary!$C$119,"X"," "))</f>
        <v>X</v>
      </c>
      <c r="X16" t="str">
        <f>IF($C$4="High Inventory",IF(P16&gt;Summary!$C$120,"X"," "),IF(P16&lt;-Summary!$C$120,"X"," "))</f>
        <v>X</v>
      </c>
    </row>
    <row r="17" spans="1:24" x14ac:dyDescent="0.2">
      <c r="A17" s="27">
        <v>2832</v>
      </c>
      <c r="B17" s="55" t="s">
        <v>25</v>
      </c>
      <c r="C17" s="6">
        <v>800</v>
      </c>
      <c r="D17" s="5">
        <v>591</v>
      </c>
      <c r="E17" s="5">
        <v>209</v>
      </c>
      <c r="F17" s="6">
        <v>800</v>
      </c>
      <c r="G17" s="5">
        <v>537</v>
      </c>
      <c r="H17" s="5">
        <v>263</v>
      </c>
      <c r="I17" s="6">
        <v>800</v>
      </c>
      <c r="J17" s="5">
        <v>462</v>
      </c>
      <c r="K17" s="5">
        <v>338</v>
      </c>
      <c r="L17" s="6">
        <v>450</v>
      </c>
      <c r="M17" s="5">
        <v>490</v>
      </c>
      <c r="N17" s="5">
        <v>-40</v>
      </c>
      <c r="O17" s="6">
        <f t="shared" si="0"/>
        <v>810</v>
      </c>
      <c r="P17" s="70">
        <f t="shared" si="1"/>
        <v>0.50911376492771843</v>
      </c>
      <c r="Q17" s="74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>X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>X</v>
      </c>
    </row>
    <row r="18" spans="1:24" x14ac:dyDescent="0.2">
      <c r="A18" s="27">
        <v>2892</v>
      </c>
      <c r="B18" s="55" t="s">
        <v>25</v>
      </c>
      <c r="C18" s="6">
        <v>6876</v>
      </c>
      <c r="D18" s="5">
        <v>6600</v>
      </c>
      <c r="E18" s="5">
        <v>276</v>
      </c>
      <c r="F18" s="6">
        <v>6876</v>
      </c>
      <c r="G18" s="5">
        <v>6051</v>
      </c>
      <c r="H18" s="5">
        <v>825</v>
      </c>
      <c r="I18" s="6">
        <v>6876</v>
      </c>
      <c r="J18" s="5">
        <v>5323</v>
      </c>
      <c r="K18" s="5">
        <v>1553</v>
      </c>
      <c r="L18" s="6">
        <v>5507</v>
      </c>
      <c r="M18" s="5">
        <v>5634</v>
      </c>
      <c r="N18" s="5">
        <v>-127</v>
      </c>
      <c r="O18" s="6">
        <f t="shared" si="0"/>
        <v>2654</v>
      </c>
      <c r="P18" s="70">
        <f t="shared" si="1"/>
        <v>0.14764951321279554</v>
      </c>
      <c r="Q18" s="74"/>
      <c r="R18" s="66" t="str">
        <f>IF($C$4="High Inventory",IF(AND(O18&gt;=Summary!$C$119,P18&gt;=Summary!$C$120),"X"," "),IF(AND(O18&lt;=-Summary!$C$119,P18&lt;=-Summary!$C$120),"X"," "))</f>
        <v xml:space="preserve"> 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 xml:space="preserve"> </v>
      </c>
      <c r="U18" s="11" t="str">
        <f>IF($C$4="High Inventory",IF(AND($O18&gt;=0,$P18&gt;=Summary!$C$120),"X"," "),IF(AND($O18&lt;=0,$P18&lt;=-Summary!$C$120),"X"," "))</f>
        <v>X</v>
      </c>
      <c r="V18" t="str">
        <f t="shared" si="2"/>
        <v xml:space="preserve"> </v>
      </c>
      <c r="W18" t="str">
        <f>IF($C$4="High Inventory",IF(O18&gt;Summary!$C$119,"X"," "),IF(O18&lt;-Summary!$C$119,"X"," "))</f>
        <v xml:space="preserve"> </v>
      </c>
      <c r="X18" t="str">
        <f>IF($C$4="High Inventory",IF(P18&gt;Summary!$C$120,"X"," "),IF(P18&lt;-Summary!$C$120,"X"," "))</f>
        <v>X</v>
      </c>
    </row>
    <row r="19" spans="1:24" x14ac:dyDescent="0.2">
      <c r="A19" s="27">
        <v>3152</v>
      </c>
      <c r="B19" s="55" t="s">
        <v>25</v>
      </c>
      <c r="C19" s="6">
        <v>12088</v>
      </c>
      <c r="D19" s="5">
        <v>15610</v>
      </c>
      <c r="E19" s="5">
        <v>-3522</v>
      </c>
      <c r="F19" s="6">
        <v>12088</v>
      </c>
      <c r="G19" s="5">
        <v>13579</v>
      </c>
      <c r="H19" s="5">
        <v>-1491</v>
      </c>
      <c r="I19" s="6">
        <v>12088</v>
      </c>
      <c r="J19" s="5">
        <v>10982</v>
      </c>
      <c r="K19" s="5">
        <v>1106</v>
      </c>
      <c r="L19" s="6">
        <v>11988</v>
      </c>
      <c r="M19" s="5">
        <v>11990</v>
      </c>
      <c r="N19" s="5">
        <v>-2</v>
      </c>
      <c r="O19" s="6">
        <f t="shared" si="0"/>
        <v>-3907</v>
      </c>
      <c r="P19" s="70">
        <f t="shared" si="1"/>
        <v>-9.7256795778153937E-2</v>
      </c>
      <c r="Q19" s="74"/>
      <c r="R19" s="66" t="str">
        <f>IF($C$4="High Inventory",IF(AND(O19&gt;=Summary!$C$119,P19&gt;=Summary!$C$120),"X"," "),IF(AND(O19&lt;=-Summary!$C$119,P19&lt;=-Summary!$C$120),"X"," "))</f>
        <v xml:space="preserve"> 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8" t="str">
        <f>IF($C$4="High Inventory",IF(AND($O19&gt;=Summary!$C$119,$P19&gt;=0%),"X"," "),IF(AND($O19&lt;=-Summary!$C$119,$P19&lt;=0%),"X"," "))</f>
        <v xml:space="preserve"> </v>
      </c>
      <c r="U19" s="11" t="str">
        <f>IF($C$4="High Inventory",IF(AND($O19&gt;=0,$P19&gt;=Summary!$C$120),"X"," "),IF(AND($O19&lt;=0,$P19&lt;=-Summary!$C$120),"X"," "))</f>
        <v xml:space="preserve"> </v>
      </c>
      <c r="V19" t="str">
        <f t="shared" si="2"/>
        <v xml:space="preserve"> </v>
      </c>
      <c r="W19" t="str">
        <f>IF($C$4="High Inventory",IF(O19&gt;Summary!$C$119,"X"," "),IF(O19&lt;-Summary!$C$119,"X"," "))</f>
        <v xml:space="preserve"> </v>
      </c>
      <c r="X19" t="str">
        <f>IF($C$4="High Inventory",IF(P19&gt;Summary!$C$120,"X"," "),IF(P19&lt;-Summary!$C$120,"X"," "))</f>
        <v xml:space="preserve"> </v>
      </c>
    </row>
    <row r="20" spans="1:24" x14ac:dyDescent="0.2">
      <c r="A20" s="27">
        <v>6500</v>
      </c>
      <c r="B20" s="55" t="s">
        <v>25</v>
      </c>
      <c r="C20" s="6">
        <v>1282241</v>
      </c>
      <c r="D20" s="5">
        <v>1373826</v>
      </c>
      <c r="E20" s="5">
        <v>-91585</v>
      </c>
      <c r="F20" s="6">
        <v>1216606</v>
      </c>
      <c r="G20" s="5">
        <v>1135905</v>
      </c>
      <c r="H20" s="5">
        <v>80701</v>
      </c>
      <c r="I20" s="6">
        <v>998260</v>
      </c>
      <c r="J20" s="5">
        <v>826496</v>
      </c>
      <c r="K20" s="5">
        <v>171764</v>
      </c>
      <c r="L20" s="6">
        <v>1109741</v>
      </c>
      <c r="M20" s="5">
        <v>976477</v>
      </c>
      <c r="N20" s="5">
        <v>133264</v>
      </c>
      <c r="O20" s="6">
        <f t="shared" si="0"/>
        <v>160880</v>
      </c>
      <c r="P20" s="70">
        <f t="shared" si="1"/>
        <v>4.8222123907598641E-2</v>
      </c>
      <c r="Q20" s="74"/>
      <c r="R20" s="66" t="str">
        <f>IF($C$4="High Inventory",IF(AND(O20&gt;=Summary!$C$119,P20&gt;=Summary!$C$120),"X"," "),IF(AND(O20&lt;=-Summary!$C$119,P20&lt;=-Summary!$C$120),"X"," "))</f>
        <v xml:space="preserve"> 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 xml:space="preserve"> </v>
      </c>
      <c r="V20" t="str">
        <f t="shared" si="2"/>
        <v xml:space="preserve"> 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 xml:space="preserve"> </v>
      </c>
    </row>
    <row r="21" spans="1:24" x14ac:dyDescent="0.2">
      <c r="A21" s="27">
        <v>10656</v>
      </c>
      <c r="B21" s="55" t="s">
        <v>25</v>
      </c>
      <c r="C21" s="6">
        <v>300</v>
      </c>
      <c r="D21" s="5">
        <v>226</v>
      </c>
      <c r="E21" s="5">
        <v>74</v>
      </c>
      <c r="F21" s="6">
        <v>300</v>
      </c>
      <c r="G21" s="5">
        <v>187</v>
      </c>
      <c r="H21" s="5">
        <v>113</v>
      </c>
      <c r="I21" s="6">
        <v>300</v>
      </c>
      <c r="J21" s="5">
        <v>125</v>
      </c>
      <c r="K21" s="5">
        <v>175</v>
      </c>
      <c r="L21" s="6">
        <v>300</v>
      </c>
      <c r="M21" s="5">
        <v>171</v>
      </c>
      <c r="N21" s="5">
        <v>129</v>
      </c>
      <c r="O21" s="6">
        <f t="shared" si="0"/>
        <v>362</v>
      </c>
      <c r="P21" s="70">
        <f t="shared" si="1"/>
        <v>0.67161410018552881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>X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>X</v>
      </c>
    </row>
    <row r="22" spans="1:24" x14ac:dyDescent="0.2">
      <c r="A22" s="27">
        <v>12296</v>
      </c>
      <c r="B22" s="55" t="s">
        <v>25</v>
      </c>
      <c r="C22" s="6">
        <v>4500</v>
      </c>
      <c r="D22" s="5">
        <v>3734</v>
      </c>
      <c r="E22" s="5">
        <v>766</v>
      </c>
      <c r="F22" s="6">
        <v>4500</v>
      </c>
      <c r="G22" s="5">
        <v>3252</v>
      </c>
      <c r="H22" s="5">
        <v>1248</v>
      </c>
      <c r="I22" s="6">
        <v>4500</v>
      </c>
      <c r="J22" s="5">
        <v>2674</v>
      </c>
      <c r="K22" s="5">
        <v>1826</v>
      </c>
      <c r="L22" s="6">
        <v>2813</v>
      </c>
      <c r="M22" s="5">
        <v>2814</v>
      </c>
      <c r="N22" s="5">
        <v>-1</v>
      </c>
      <c r="O22" s="6">
        <f>K22+H22+E22</f>
        <v>3840</v>
      </c>
      <c r="P22" s="70">
        <f t="shared" si="1"/>
        <v>0.39747438153400272</v>
      </c>
      <c r="Q22" s="74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>X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>X</v>
      </c>
    </row>
    <row r="23" spans="1:24" x14ac:dyDescent="0.2">
      <c r="A23" s="27">
        <v>16786</v>
      </c>
      <c r="B23" s="55" t="s">
        <v>25</v>
      </c>
      <c r="C23" s="6">
        <v>3025</v>
      </c>
      <c r="D23" s="5">
        <v>2502</v>
      </c>
      <c r="E23" s="5">
        <v>523</v>
      </c>
      <c r="F23" s="6">
        <v>2525</v>
      </c>
      <c r="G23" s="5">
        <v>2020</v>
      </c>
      <c r="H23" s="5">
        <v>505</v>
      </c>
      <c r="I23" s="6">
        <v>2525</v>
      </c>
      <c r="J23" s="5">
        <v>1376</v>
      </c>
      <c r="K23" s="5">
        <v>1149</v>
      </c>
      <c r="L23" s="6">
        <v>1675</v>
      </c>
      <c r="M23" s="5">
        <v>1725</v>
      </c>
      <c r="N23" s="5">
        <v>-50</v>
      </c>
      <c r="O23" s="6">
        <f>K23+H23+E23</f>
        <v>2177</v>
      </c>
      <c r="P23" s="70">
        <f>O23/(J23+G23+D23+1)</f>
        <v>0.36904560094931343</v>
      </c>
      <c r="Q23" s="74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>X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>X</v>
      </c>
    </row>
    <row r="24" spans="1:24" x14ac:dyDescent="0.2">
      <c r="A24" s="27">
        <v>17791</v>
      </c>
      <c r="B24" s="55" t="s">
        <v>25</v>
      </c>
      <c r="C24" s="6">
        <v>700</v>
      </c>
      <c r="D24" s="5">
        <v>817</v>
      </c>
      <c r="E24" s="5">
        <v>-117</v>
      </c>
      <c r="F24" s="6">
        <v>700</v>
      </c>
      <c r="G24" s="5">
        <v>712</v>
      </c>
      <c r="H24" s="5">
        <v>-12</v>
      </c>
      <c r="I24" s="6">
        <v>700</v>
      </c>
      <c r="J24" s="5">
        <v>568</v>
      </c>
      <c r="K24" s="5">
        <v>132</v>
      </c>
      <c r="L24" s="6">
        <v>600</v>
      </c>
      <c r="M24" s="5">
        <v>620</v>
      </c>
      <c r="N24" s="5">
        <v>-20</v>
      </c>
      <c r="O24" s="6">
        <f t="shared" si="0"/>
        <v>3</v>
      </c>
      <c r="P24" s="70">
        <f t="shared" si="1"/>
        <v>1.4299332697807435E-3</v>
      </c>
      <c r="Q24" s="74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8" t="str">
        <f>IF($C$4="High Inventory",IF(AND($O24&gt;=Summary!$C$119,$P24&gt;=0%),"X"," "),IF(AND($O24&lt;=-Summary!$C$119,$P24&lt;=0%),"X"," "))</f>
        <v xml:space="preserve"> </v>
      </c>
      <c r="U24" s="11" t="str">
        <f>IF($C$4="High Inventory",IF(AND($O24&gt;=0,$P24&gt;=Summary!$C$120),"X"," "),IF(AND($O24&lt;=0,$P24&lt;=-Summary!$C$120),"X"," "))</f>
        <v xml:space="preserve"> </v>
      </c>
      <c r="V24" t="str">
        <f t="shared" si="2"/>
        <v xml:space="preserve"> </v>
      </c>
      <c r="W24" t="str">
        <f>IF($C$4="High Inventory",IF(O24&gt;Summary!$C$119,"X"," "),IF(O24&lt;-Summary!$C$119,"X"," "))</f>
        <v xml:space="preserve"> </v>
      </c>
      <c r="X24" t="str">
        <f>IF($C$4="High Inventory",IF(P24&gt;Summary!$C$120,"X"," "),IF(P24&lt;-Summary!$C$120,"X"," "))</f>
        <v xml:space="preserve"> </v>
      </c>
    </row>
    <row r="25" spans="1:24" x14ac:dyDescent="0.2">
      <c r="A25" s="27">
        <v>30649</v>
      </c>
      <c r="B25" s="55" t="s">
        <v>25</v>
      </c>
      <c r="C25" s="6">
        <v>1000</v>
      </c>
      <c r="D25" s="5">
        <v>987</v>
      </c>
      <c r="E25" s="5">
        <v>13</v>
      </c>
      <c r="F25" s="6">
        <v>1000</v>
      </c>
      <c r="G25" s="5">
        <v>917</v>
      </c>
      <c r="H25" s="5">
        <v>83</v>
      </c>
      <c r="I25" s="6">
        <v>1000</v>
      </c>
      <c r="J25" s="5">
        <v>821</v>
      </c>
      <c r="K25" s="5">
        <v>179</v>
      </c>
      <c r="L25" s="6">
        <v>890</v>
      </c>
      <c r="M25" s="5">
        <v>863</v>
      </c>
      <c r="N25" s="5">
        <v>27</v>
      </c>
      <c r="O25" s="6">
        <f t="shared" si="0"/>
        <v>275</v>
      </c>
      <c r="P25" s="70">
        <f t="shared" si="1"/>
        <v>0.10088041085840059</v>
      </c>
      <c r="Q25" s="74"/>
      <c r="R25" s="66" t="str">
        <f>IF($C$4="High Inventory",IF(AND(O25&gt;=Summary!$C$119,P25&gt;=Summary!$C$120),"X"," "),IF(AND(O25&lt;=-Summary!$C$119,P25&lt;=-Summary!$C$120),"X"," "))</f>
        <v xml:space="preserve"> 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 xml:space="preserve"> </v>
      </c>
      <c r="U25" s="11" t="str">
        <f>IF($C$4="High Inventory",IF(AND($O25&gt;=0,$P25&gt;=Summary!$C$120),"X"," "),IF(AND($O25&lt;=0,$P25&lt;=-Summary!$C$120),"X"," "))</f>
        <v>X</v>
      </c>
      <c r="V25" t="str">
        <f t="shared" si="2"/>
        <v xml:space="preserve"> </v>
      </c>
      <c r="W25" t="str">
        <f>IF($C$4="High Inventory",IF(O25&gt;Summary!$C$119,"X"," "),IF(O25&lt;-Summary!$C$119,"X"," "))</f>
        <v xml:space="preserve"> </v>
      </c>
      <c r="X25" t="str">
        <f>IF($C$4="High Inventory",IF(P25&gt;Summary!$C$120,"X"," "),IF(P25&lt;-Summary!$C$120,"X"," "))</f>
        <v>X</v>
      </c>
    </row>
    <row r="26" spans="1:24" x14ac:dyDescent="0.2">
      <c r="A26" s="27">
        <v>1117</v>
      </c>
      <c r="B26" s="55" t="s">
        <v>26</v>
      </c>
      <c r="C26" s="6">
        <v>24274</v>
      </c>
      <c r="D26" s="5">
        <v>57086</v>
      </c>
      <c r="E26" s="5">
        <v>-32812</v>
      </c>
      <c r="F26" s="6">
        <v>47077</v>
      </c>
      <c r="G26" s="5">
        <v>45530</v>
      </c>
      <c r="H26" s="5">
        <v>1547</v>
      </c>
      <c r="I26" s="6">
        <v>44342</v>
      </c>
      <c r="J26" s="5">
        <v>41347</v>
      </c>
      <c r="K26" s="5">
        <v>2995</v>
      </c>
      <c r="L26" s="6">
        <v>46978</v>
      </c>
      <c r="M26" s="5">
        <v>53760</v>
      </c>
      <c r="N26" s="5">
        <v>-6782</v>
      </c>
      <c r="O26" s="6">
        <f t="shared" ref="O26:O45" si="3">K26+H26+E26</f>
        <v>-28270</v>
      </c>
      <c r="P26" s="70">
        <f t="shared" ref="P26:P45" si="4">O26/(J26+G26+D26+1)</f>
        <v>-0.1963685365785891</v>
      </c>
      <c r="Q26" s="176"/>
      <c r="R26" s="66" t="str">
        <f>IF($C$4="High Inventory",IF(AND(O26&gt;=Summary!$C$119,P26&gt;=Summary!$C$120),"X"," "),IF(AND(O26&lt;=-Summary!$C$119,P26&lt;=-Summary!$C$120),"X"," "))</f>
        <v xml:space="preserve"> 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 xml:space="preserve"> </v>
      </c>
      <c r="U26" s="11" t="str">
        <f>IF($C$4="High Inventory",IF(AND($O26&gt;=0,$P26&gt;=Summary!$C$120),"X"," "),IF(AND($O26&lt;=0,$P26&lt;=-Summary!$C$120),"X"," "))</f>
        <v xml:space="preserve"> </v>
      </c>
      <c r="V26" t="str">
        <f t="shared" si="2"/>
        <v xml:space="preserve"> </v>
      </c>
      <c r="W26" t="str">
        <f>IF($C$4="High Inventory",IF(O26&gt;Summary!$C$119,"X"," "),IF(O26&lt;-Summary!$C$119,"X"," "))</f>
        <v xml:space="preserve"> </v>
      </c>
      <c r="X26" t="str">
        <f>IF($C$4="High Inventory",IF(P26&gt;Summary!$C$120,"X"," "),IF(P26&lt;-Summary!$C$120,"X"," "))</f>
        <v xml:space="preserve"> </v>
      </c>
    </row>
    <row r="27" spans="1:24" x14ac:dyDescent="0.2">
      <c r="A27" s="27">
        <v>1126</v>
      </c>
      <c r="B27" s="55" t="s">
        <v>26</v>
      </c>
      <c r="C27" s="6">
        <v>39418</v>
      </c>
      <c r="D27" s="5">
        <v>38401</v>
      </c>
      <c r="E27" s="5">
        <v>1017</v>
      </c>
      <c r="F27" s="6">
        <v>39418</v>
      </c>
      <c r="G27" s="5">
        <v>32835</v>
      </c>
      <c r="H27" s="5">
        <v>6583</v>
      </c>
      <c r="I27" s="6">
        <v>39418</v>
      </c>
      <c r="J27" s="5">
        <v>30364</v>
      </c>
      <c r="K27" s="5">
        <v>9054</v>
      </c>
      <c r="L27" s="6">
        <v>36918</v>
      </c>
      <c r="M27" s="5">
        <v>34591</v>
      </c>
      <c r="N27" s="5">
        <v>2327</v>
      </c>
      <c r="O27" s="6">
        <f>K27+H27+E27</f>
        <v>16654</v>
      </c>
      <c r="P27" s="70">
        <f>O27/(J27+G27+D27+1)</f>
        <v>0.16391570949104831</v>
      </c>
      <c r="Q27" s="176"/>
      <c r="R27" s="66" t="str">
        <f>IF($C$4="High Inventory",IF(AND(O27&gt;=Summary!$C$119,P27&gt;=Summary!$C$120),"X"," "),IF(AND(O27&lt;=-Summary!$C$119,P27&lt;=-Summary!$C$120),"X"," "))</f>
        <v>X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>X</v>
      </c>
      <c r="U27" s="11" t="str">
        <f>IF($C$4="High Inventory",IF(AND($O27&gt;=0,$P27&gt;=Summary!$C$120),"X"," "),IF(AND($O27&lt;=0,$P27&lt;=-Summary!$C$120),"X"," "))</f>
        <v>X</v>
      </c>
      <c r="V27" t="str">
        <f t="shared" si="2"/>
        <v xml:space="preserve"> </v>
      </c>
      <c r="W27" t="str">
        <f>IF($C$4="High Inventory",IF(O27&gt;Summary!$C$119,"X"," "),IF(O27&lt;-Summary!$C$119,"X"," "))</f>
        <v>X</v>
      </c>
      <c r="X27" t="str">
        <f>IF($C$4="High Inventory",IF(P27&gt;Summary!$C$120,"X"," "),IF(P27&lt;-Summary!$C$120,"X"," "))</f>
        <v>X</v>
      </c>
    </row>
    <row r="28" spans="1:24" x14ac:dyDescent="0.2">
      <c r="A28" s="27">
        <v>1157</v>
      </c>
      <c r="B28" s="55" t="s">
        <v>26</v>
      </c>
      <c r="C28" s="6">
        <v>107261</v>
      </c>
      <c r="D28" s="5">
        <v>134445</v>
      </c>
      <c r="E28" s="5">
        <v>-27184</v>
      </c>
      <c r="F28" s="6">
        <v>131313</v>
      </c>
      <c r="G28" s="5">
        <v>121057</v>
      </c>
      <c r="H28" s="5">
        <v>10256</v>
      </c>
      <c r="I28" s="6">
        <v>135926</v>
      </c>
      <c r="J28" s="5">
        <v>111637</v>
      </c>
      <c r="K28" s="5">
        <v>24289</v>
      </c>
      <c r="L28" s="6">
        <v>121448</v>
      </c>
      <c r="M28" s="5">
        <v>116065</v>
      </c>
      <c r="N28" s="5">
        <v>5383</v>
      </c>
      <c r="O28" s="6">
        <f t="shared" si="3"/>
        <v>7361</v>
      </c>
      <c r="P28" s="70">
        <f t="shared" si="4"/>
        <v>2.0049572370212997E-2</v>
      </c>
      <c r="Q28" s="176"/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>X</v>
      </c>
      <c r="U28" s="11" t="str">
        <f>IF($C$4="High Inventory",IF(AND($O28&gt;=0,$P28&gt;=Summary!$C$120),"X"," "),IF(AND($O28&lt;=0,$P28&lt;=-Summary!$C$120),"X"," "))</f>
        <v xml:space="preserve"> </v>
      </c>
      <c r="V28" t="str">
        <f t="shared" si="2"/>
        <v xml:space="preserve"> </v>
      </c>
      <c r="W28" t="str">
        <f>IF($C$4="High Inventory",IF(O28&gt;Summary!$C$119,"X"," "),IF(O28&lt;-Summary!$C$119,"X"," "))</f>
        <v>X</v>
      </c>
      <c r="X28" t="str">
        <f>IF($C$4="High Inventory",IF(P28&gt;Summary!$C$120,"X"," "),IF(P28&lt;-Summary!$C$120,"X"," "))</f>
        <v xml:space="preserve"> </v>
      </c>
    </row>
    <row r="29" spans="1:24" x14ac:dyDescent="0.2">
      <c r="A29" s="27">
        <v>1281</v>
      </c>
      <c r="B29" s="55" t="s">
        <v>26</v>
      </c>
      <c r="C29" s="6">
        <v>5870</v>
      </c>
      <c r="D29" s="5">
        <v>12173</v>
      </c>
      <c r="E29" s="5">
        <v>-6303</v>
      </c>
      <c r="F29" s="6">
        <v>5870</v>
      </c>
      <c r="G29" s="5">
        <v>7285</v>
      </c>
      <c r="H29" s="5">
        <v>-1415</v>
      </c>
      <c r="I29" s="6">
        <v>5870</v>
      </c>
      <c r="J29" s="5">
        <v>4645</v>
      </c>
      <c r="K29" s="5">
        <v>1225</v>
      </c>
      <c r="L29" s="6">
        <v>8820</v>
      </c>
      <c r="M29" s="5">
        <v>9410</v>
      </c>
      <c r="N29" s="5">
        <v>-590</v>
      </c>
      <c r="O29" s="6">
        <f t="shared" si="3"/>
        <v>-6493</v>
      </c>
      <c r="P29" s="70">
        <f t="shared" si="4"/>
        <v>-0.26937437769664785</v>
      </c>
      <c r="Q29" s="176"/>
      <c r="R29" s="66" t="str">
        <f>IF($C$4="High Inventory",IF(AND(O29&gt;=Summary!$C$119,P29&gt;=Summary!$C$120),"X"," "),IF(AND(O29&lt;=-Summary!$C$119,P29&lt;=-Summary!$C$120),"X"," "))</f>
        <v xml:space="preserve"> 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8" t="str">
        <f>IF($C$4="High Inventory",IF(AND($O29&gt;=Summary!$C$119,$P29&gt;=0%),"X"," "),IF(AND($O29&lt;=-Summary!$C$119,$P29&lt;=0%),"X"," "))</f>
        <v xml:space="preserve"> </v>
      </c>
      <c r="U29" s="11" t="str">
        <f>IF($C$4="High Inventory",IF(AND($O29&gt;=0,$P29&gt;=Summary!$C$120),"X"," "),IF(AND($O29&lt;=0,$P29&lt;=-Summary!$C$120),"X"," "))</f>
        <v xml:space="preserve"> </v>
      </c>
      <c r="V29" t="str">
        <f t="shared" si="2"/>
        <v xml:space="preserve"> </v>
      </c>
      <c r="W29" t="str">
        <f>IF($C$4="High Inventory",IF(O29&gt;Summary!$C$119,"X"," "),IF(O29&lt;-Summary!$C$119,"X"," "))</f>
        <v xml:space="preserve"> </v>
      </c>
      <c r="X29" t="str">
        <f>IF($C$4="High Inventory",IF(P29&gt;Summary!$C$120,"X"," "),IF(P29&lt;-Summary!$C$120,"X"," "))</f>
        <v xml:space="preserve"> </v>
      </c>
    </row>
    <row r="30" spans="1:24" x14ac:dyDescent="0.2">
      <c r="A30" s="27">
        <v>1340</v>
      </c>
      <c r="B30" s="55" t="s">
        <v>26</v>
      </c>
      <c r="C30" s="6">
        <v>5812</v>
      </c>
      <c r="D30" s="5">
        <v>5344</v>
      </c>
      <c r="E30" s="5">
        <v>468</v>
      </c>
      <c r="F30" s="6">
        <v>5818</v>
      </c>
      <c r="G30" s="5">
        <v>3161</v>
      </c>
      <c r="H30" s="5">
        <v>2657</v>
      </c>
      <c r="I30" s="6">
        <v>5818</v>
      </c>
      <c r="J30" s="5">
        <v>3140</v>
      </c>
      <c r="K30" s="5">
        <v>2678</v>
      </c>
      <c r="L30" s="6">
        <v>4885</v>
      </c>
      <c r="M30" s="5">
        <v>5179</v>
      </c>
      <c r="N30" s="5">
        <v>-294</v>
      </c>
      <c r="O30" s="6">
        <f>K30+H30+E30</f>
        <v>5803</v>
      </c>
      <c r="P30" s="70">
        <f>O30/(J30+G30+D30+1)</f>
        <v>0.49828267216211575</v>
      </c>
      <c r="Q30" s="176"/>
      <c r="R30" s="66" t="str">
        <f>IF($C$4="High Inventory",IF(AND(O30&gt;=Summary!$C$119,P30&gt;=Summary!$C$120),"X"," "),IF(AND(O30&lt;=-Summary!$C$119,P30&lt;=-Summary!$C$120),"X"," "))</f>
        <v>X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8" t="str">
        <f>IF($C$4="High Inventory",IF(AND($O30&gt;=Summary!$C$119,$P30&gt;=0%),"X"," "),IF(AND($O30&lt;=-Summary!$C$119,$P30&lt;=0%),"X"," "))</f>
        <v>X</v>
      </c>
      <c r="U30" s="11" t="str">
        <f>IF($C$4="High Inventory",IF(AND($O30&gt;=0,$P30&gt;=Summary!$C$120),"X"," "),IF(AND($O30&lt;=0,$P30&lt;=-Summary!$C$120),"X"," "))</f>
        <v>X</v>
      </c>
      <c r="V30" t="str">
        <f t="shared" si="2"/>
        <v xml:space="preserve"> </v>
      </c>
      <c r="W30" t="str">
        <f>IF($C$4="High Inventory",IF(O30&gt;Summary!$C$119,"X"," "),IF(O30&lt;-Summary!$C$119,"X"," "))</f>
        <v>X</v>
      </c>
      <c r="X30" t="str">
        <f>IF($C$4="High Inventory",IF(P30&gt;Summary!$C$120,"X"," "),IF(P30&lt;-Summary!$C$120,"X"," "))</f>
        <v>X</v>
      </c>
    </row>
    <row r="31" spans="1:24" x14ac:dyDescent="0.2">
      <c r="A31" s="27">
        <v>1377</v>
      </c>
      <c r="B31" s="55" t="s">
        <v>26</v>
      </c>
      <c r="C31" s="6">
        <v>121710</v>
      </c>
      <c r="D31" s="5">
        <v>77509</v>
      </c>
      <c r="E31" s="5">
        <v>44201</v>
      </c>
      <c r="F31" s="6">
        <v>106430</v>
      </c>
      <c r="G31" s="5">
        <v>80677</v>
      </c>
      <c r="H31" s="5">
        <v>25753</v>
      </c>
      <c r="I31" s="6">
        <v>106253</v>
      </c>
      <c r="J31" s="5">
        <v>80907</v>
      </c>
      <c r="K31" s="5">
        <v>25346</v>
      </c>
      <c r="L31" s="6">
        <v>81532</v>
      </c>
      <c r="M31" s="5">
        <v>83259</v>
      </c>
      <c r="N31" s="5">
        <v>-1727</v>
      </c>
      <c r="O31" s="6">
        <f>K31+H31+E31</f>
        <v>95300</v>
      </c>
      <c r="P31" s="70">
        <f>O31/(J31+G31+D31+1)</f>
        <v>0.39858800304482755</v>
      </c>
      <c r="Q31" s="176"/>
      <c r="R31" s="66" t="str">
        <f>IF($C$4="High Inventory",IF(AND(O31&gt;=Summary!$C$119,P31&gt;=Summary!$C$120),"X"," "),IF(AND(O31&lt;=-Summary!$C$119,P31&lt;=-Summary!$C$120),"X"," "))</f>
        <v>X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8" t="str">
        <f>IF($C$4="High Inventory",IF(AND($O31&gt;=Summary!$C$119,$P31&gt;=0%),"X"," "),IF(AND($O31&lt;=-Summary!$C$119,$P31&lt;=0%),"X"," "))</f>
        <v>X</v>
      </c>
      <c r="U31" s="11" t="str">
        <f>IF($C$4="High Inventory",IF(AND($O31&gt;=0,$P31&gt;=Summary!$C$120),"X"," "),IF(AND($O31&lt;=0,$P31&lt;=-Summary!$C$120),"X"," "))</f>
        <v>X</v>
      </c>
      <c r="V31" t="str">
        <f t="shared" ref="V31:V75" si="5">IF(S31 = "X",L31-I31," ")</f>
        <v xml:space="preserve"> </v>
      </c>
      <c r="W31" t="str">
        <f>IF($C$4="High Inventory",IF(O31&gt;Summary!$C$119,"X"," "),IF(O31&lt;-Summary!$C$119,"X"," "))</f>
        <v>X</v>
      </c>
      <c r="X31" t="str">
        <f>IF($C$4="High Inventory",IF(P31&gt;Summary!$C$120,"X"," "),IF(P31&lt;-Summary!$C$120,"X"," "))</f>
        <v>X</v>
      </c>
    </row>
    <row r="32" spans="1:24" x14ac:dyDescent="0.2">
      <c r="A32" s="27">
        <v>1830</v>
      </c>
      <c r="B32" s="55" t="s">
        <v>26</v>
      </c>
      <c r="C32" s="6">
        <v>10000</v>
      </c>
      <c r="D32" s="5">
        <v>9077</v>
      </c>
      <c r="E32" s="5">
        <v>923</v>
      </c>
      <c r="F32" s="6">
        <v>10000</v>
      </c>
      <c r="G32" s="5">
        <v>9077</v>
      </c>
      <c r="H32" s="5">
        <v>923</v>
      </c>
      <c r="I32" s="6">
        <v>10000</v>
      </c>
      <c r="J32" s="5">
        <v>9077</v>
      </c>
      <c r="K32" s="5">
        <v>923</v>
      </c>
      <c r="L32" s="6">
        <v>10000</v>
      </c>
      <c r="M32" s="5">
        <v>9077</v>
      </c>
      <c r="N32" s="5">
        <v>923</v>
      </c>
      <c r="O32" s="6">
        <f>K32+H32+E32</f>
        <v>2769</v>
      </c>
      <c r="P32" s="70">
        <f>O32/(J32+G32+D32+1)</f>
        <v>0.10168184488836662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8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>X</v>
      </c>
      <c r="V32" t="str">
        <f t="shared" si="5"/>
        <v xml:space="preserve"> 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>X</v>
      </c>
    </row>
    <row r="33" spans="1:24" x14ac:dyDescent="0.2">
      <c r="A33" s="27">
        <v>1864</v>
      </c>
      <c r="B33" s="55" t="s">
        <v>26</v>
      </c>
      <c r="C33" s="6">
        <v>215088</v>
      </c>
      <c r="D33" s="5">
        <v>310457</v>
      </c>
      <c r="E33" s="5">
        <v>-95369</v>
      </c>
      <c r="F33" s="6">
        <v>338386</v>
      </c>
      <c r="G33" s="5">
        <v>317144</v>
      </c>
      <c r="H33" s="5">
        <v>21242</v>
      </c>
      <c r="I33" s="6">
        <v>309469</v>
      </c>
      <c r="J33" s="5">
        <v>322093</v>
      </c>
      <c r="K33" s="5">
        <v>-12624</v>
      </c>
      <c r="L33" s="6">
        <v>334770</v>
      </c>
      <c r="M33" s="5">
        <v>327800</v>
      </c>
      <c r="N33" s="5">
        <v>6970</v>
      </c>
      <c r="O33" s="6">
        <f t="shared" si="3"/>
        <v>-86751</v>
      </c>
      <c r="P33" s="70">
        <f t="shared" si="4"/>
        <v>-9.1346169033215921E-2</v>
      </c>
      <c r="Q33" s="176"/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 xml:space="preserve"> 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si="5"/>
        <v xml:space="preserve"> </v>
      </c>
      <c r="W33" t="str">
        <f>IF($C$4="High Inventory",IF(O33&gt;Summary!$C$119,"X"," "),IF(O33&lt;-Summary!$C$119,"X"," "))</f>
        <v xml:space="preserve"> </v>
      </c>
      <c r="X33" t="str">
        <f>IF($C$4="High Inventory",IF(P33&gt;Summary!$C$120,"X"," "),IF(P33&lt;-Summary!$C$120,"X"," "))</f>
        <v xml:space="preserve"> </v>
      </c>
    </row>
    <row r="34" spans="1:24" x14ac:dyDescent="0.2">
      <c r="A34" s="27">
        <v>1922</v>
      </c>
      <c r="B34" s="55" t="s">
        <v>26</v>
      </c>
      <c r="C34" s="6">
        <v>59367</v>
      </c>
      <c r="D34" s="5">
        <v>32891</v>
      </c>
      <c r="E34" s="5">
        <v>26476</v>
      </c>
      <c r="F34" s="6">
        <v>31788</v>
      </c>
      <c r="G34" s="5">
        <v>29154</v>
      </c>
      <c r="H34" s="5">
        <v>2634</v>
      </c>
      <c r="I34" s="6">
        <v>35804</v>
      </c>
      <c r="J34" s="5">
        <v>26858</v>
      </c>
      <c r="K34" s="5">
        <v>8946</v>
      </c>
      <c r="L34" s="6">
        <v>30027</v>
      </c>
      <c r="M34" s="5">
        <v>31878</v>
      </c>
      <c r="N34" s="5">
        <v>-1851</v>
      </c>
      <c r="O34" s="6">
        <f t="shared" si="3"/>
        <v>38056</v>
      </c>
      <c r="P34" s="70">
        <f t="shared" si="4"/>
        <v>0.42805723027085396</v>
      </c>
      <c r="Q34" s="178"/>
      <c r="R34" s="66" t="str">
        <f>IF($C$4="High Inventory",IF(AND(O34&gt;=Summary!$C$119,P34&gt;=Summary!$C$120),"X"," "),IF(AND(O34&lt;=-Summary!$C$119,P34&lt;=-Summary!$C$120),"X"," "))</f>
        <v>X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>X</v>
      </c>
      <c r="U34" s="11" t="str">
        <f>IF($C$4="High Inventory",IF(AND($O34&gt;=0,$P34&gt;=Summary!$C$120),"X"," "),IF(AND($O34&lt;=0,$P34&lt;=-Summary!$C$120),"X"," "))</f>
        <v>X</v>
      </c>
      <c r="V34" t="str">
        <f t="shared" si="5"/>
        <v xml:space="preserve"> </v>
      </c>
      <c r="W34" t="str">
        <f>IF($C$4="High Inventory",IF(O34&gt;Summary!$C$119,"X"," "),IF(O34&lt;-Summary!$C$119,"X"," "))</f>
        <v>X</v>
      </c>
      <c r="X34" t="str">
        <f>IF($C$4="High Inventory",IF(P34&gt;Summary!$C$120,"X"," "),IF(P34&lt;-Summary!$C$120,"X"," "))</f>
        <v>X</v>
      </c>
    </row>
    <row r="35" spans="1:24" x14ac:dyDescent="0.2">
      <c r="A35" s="27">
        <v>2056</v>
      </c>
      <c r="B35" s="55" t="s">
        <v>26</v>
      </c>
      <c r="C35" s="6">
        <v>16298</v>
      </c>
      <c r="D35" s="5">
        <v>15364</v>
      </c>
      <c r="E35" s="5">
        <v>934</v>
      </c>
      <c r="F35" s="6">
        <v>15465</v>
      </c>
      <c r="G35" s="5">
        <v>15346</v>
      </c>
      <c r="H35" s="5">
        <v>119</v>
      </c>
      <c r="I35" s="6">
        <v>16214</v>
      </c>
      <c r="J35" s="5">
        <v>14681</v>
      </c>
      <c r="K35" s="5">
        <v>1533</v>
      </c>
      <c r="L35" s="6">
        <v>17723</v>
      </c>
      <c r="M35" s="5">
        <v>14541</v>
      </c>
      <c r="N35" s="5">
        <v>3182</v>
      </c>
      <c r="O35" s="6">
        <f t="shared" si="3"/>
        <v>2586</v>
      </c>
      <c r="P35" s="70">
        <f>O35/(J35+G35+D35+1)</f>
        <v>5.6970391258371521E-2</v>
      </c>
      <c r="Q35" s="176"/>
      <c r="R35" s="66" t="str">
        <f>IF($C$4="High Inventory",IF(AND(O35&gt;=Summary!$C$119,P35&gt;=Summary!$C$120),"X"," "),IF(AND(O35&lt;=-Summary!$C$119,P35&lt;=-Summary!$C$120),"X"," "))</f>
        <v xml:space="preserve"> 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 xml:space="preserve"> </v>
      </c>
      <c r="U35" s="11" t="str">
        <f>IF($C$4="High Inventory",IF(AND($O35&gt;=0,$P35&gt;=Summary!$C$120),"X"," "),IF(AND($O35&lt;=0,$P35&lt;=-Summary!$C$120),"X"," "))</f>
        <v xml:space="preserve"> </v>
      </c>
      <c r="V35" t="str">
        <f t="shared" si="5"/>
        <v xml:space="preserve"> </v>
      </c>
      <c r="W35" t="str">
        <f>IF($C$4="High Inventory",IF(O35&gt;Summary!$C$119,"X"," "),IF(O35&lt;-Summary!$C$119,"X"," "))</f>
        <v xml:space="preserve"> </v>
      </c>
      <c r="X35" t="str">
        <f>IF($C$4="High Inventory",IF(P35&gt;Summary!$C$120,"X"," "),IF(P35&lt;-Summary!$C$120,"X"," "))</f>
        <v xml:space="preserve"> </v>
      </c>
    </row>
    <row r="36" spans="1:24" x14ac:dyDescent="0.2">
      <c r="A36" s="27">
        <v>2280</v>
      </c>
      <c r="B36" s="55" t="s">
        <v>26</v>
      </c>
      <c r="C36" s="6">
        <v>8333</v>
      </c>
      <c r="D36" s="5">
        <v>409</v>
      </c>
      <c r="E36" s="5">
        <v>7924</v>
      </c>
      <c r="F36" s="6">
        <v>6933</v>
      </c>
      <c r="G36" s="5">
        <v>358</v>
      </c>
      <c r="H36" s="5">
        <v>6575</v>
      </c>
      <c r="I36" s="6">
        <v>8333</v>
      </c>
      <c r="J36" s="5">
        <v>316</v>
      </c>
      <c r="K36" s="5">
        <v>8017</v>
      </c>
      <c r="L36" s="6">
        <v>3333</v>
      </c>
      <c r="M36" s="5">
        <v>363</v>
      </c>
      <c r="N36" s="5">
        <v>2970</v>
      </c>
      <c r="O36" s="6">
        <f t="shared" si="3"/>
        <v>22516</v>
      </c>
      <c r="P36" s="70">
        <f t="shared" si="4"/>
        <v>20.771217712177123</v>
      </c>
      <c r="Q36" s="176"/>
      <c r="R36" s="66" t="str">
        <f>IF($C$4="High Inventory",IF(AND(O36&gt;=Summary!$C$119,P36&gt;=Summary!$C$120),"X"," "),IF(AND(O36&lt;=-Summary!$C$119,P36&lt;=-Summary!$C$120),"X"," "))</f>
        <v>X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>X</v>
      </c>
      <c r="U36" s="11" t="str">
        <f>IF($C$4="High Inventory",IF(AND($O36&gt;=0,$P36&gt;=Summary!$C$120),"X"," "),IF(AND($O36&lt;=0,$P36&lt;=-Summary!$C$120),"X"," "))</f>
        <v>X</v>
      </c>
      <c r="V36" t="str">
        <f t="shared" si="5"/>
        <v xml:space="preserve"> </v>
      </c>
      <c r="W36" t="str">
        <f>IF($C$4="High Inventory",IF(O36&gt;Summary!$C$119,"X"," "),IF(O36&lt;-Summary!$C$119,"X"," "))</f>
        <v>X</v>
      </c>
      <c r="X36" t="str">
        <f>IF($C$4="High Inventory",IF(P36&gt;Summary!$C$120,"X"," "),IF(P36&lt;-Summary!$C$120,"X"," "))</f>
        <v>X</v>
      </c>
    </row>
    <row r="37" spans="1:24" x14ac:dyDescent="0.2">
      <c r="A37" s="27">
        <v>2584</v>
      </c>
      <c r="B37" s="55" t="s">
        <v>26</v>
      </c>
      <c r="C37" s="6">
        <v>55383</v>
      </c>
      <c r="D37" s="5">
        <v>57438</v>
      </c>
      <c r="E37" s="5">
        <v>-2055</v>
      </c>
      <c r="F37" s="6">
        <v>55426</v>
      </c>
      <c r="G37" s="5">
        <v>41251</v>
      </c>
      <c r="H37" s="5">
        <v>14175</v>
      </c>
      <c r="I37" s="6">
        <v>55426</v>
      </c>
      <c r="J37" s="5">
        <v>34907</v>
      </c>
      <c r="K37" s="5">
        <v>20519</v>
      </c>
      <c r="L37" s="6">
        <v>54516</v>
      </c>
      <c r="M37" s="5">
        <v>46049</v>
      </c>
      <c r="N37" s="5">
        <v>8467</v>
      </c>
      <c r="O37" s="6">
        <f>K37+H37+E37</f>
        <v>32639</v>
      </c>
      <c r="P37" s="70">
        <f t="shared" si="4"/>
        <v>0.24430937820460041</v>
      </c>
      <c r="Q37" s="176"/>
      <c r="R37" s="66" t="str">
        <f>IF($C$4="High Inventory",IF(AND(O37&gt;=Summary!$C$119,P37&gt;=Summary!$C$120),"X"," "),IF(AND(O37&lt;=-Summary!$C$119,P37&lt;=-Summary!$C$120),"X"," "))</f>
        <v>X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>X</v>
      </c>
      <c r="U37" s="11" t="str">
        <f>IF($C$4="High Inventory",IF(AND($O37&gt;=0,$P37&gt;=Summary!$C$120),"X"," "),IF(AND($O37&lt;=0,$P37&lt;=-Summary!$C$120),"X"," "))</f>
        <v>X</v>
      </c>
      <c r="V37" t="str">
        <f t="shared" si="5"/>
        <v xml:space="preserve"> </v>
      </c>
      <c r="W37" t="str">
        <f>IF($C$4="High Inventory",IF(O37&gt;Summary!$C$119,"X"," "),IF(O37&lt;-Summary!$C$119,"X"," "))</f>
        <v>X</v>
      </c>
      <c r="X37" t="str">
        <f>IF($C$4="High Inventory",IF(P37&gt;Summary!$C$120,"X"," "),IF(P37&lt;-Summary!$C$120,"X"," "))</f>
        <v>X</v>
      </c>
    </row>
    <row r="38" spans="1:24" x14ac:dyDescent="0.2">
      <c r="A38" s="27">
        <v>2771</v>
      </c>
      <c r="B38" s="55" t="s">
        <v>26</v>
      </c>
      <c r="C38" s="6">
        <v>38137</v>
      </c>
      <c r="D38" s="5">
        <v>38782</v>
      </c>
      <c r="E38" s="5">
        <v>-645</v>
      </c>
      <c r="F38" s="6">
        <v>43416</v>
      </c>
      <c r="G38" s="5">
        <v>28428</v>
      </c>
      <c r="H38" s="5">
        <v>14988</v>
      </c>
      <c r="I38" s="6">
        <v>43081</v>
      </c>
      <c r="J38" s="5">
        <v>26224</v>
      </c>
      <c r="K38" s="5">
        <v>16857</v>
      </c>
      <c r="L38" s="6">
        <v>38448</v>
      </c>
      <c r="M38" s="5">
        <v>37089</v>
      </c>
      <c r="N38" s="5">
        <v>1359</v>
      </c>
      <c r="O38" s="6">
        <f>K38+H38+E38</f>
        <v>31200</v>
      </c>
      <c r="P38" s="70">
        <f>O38/(J38+G38+D38+1)</f>
        <v>0.3339219778455611</v>
      </c>
      <c r="Q38" s="178"/>
      <c r="R38" s="66" t="str">
        <f>IF($C$4="High Inventory",IF(AND(O38&gt;=Summary!$C$119,P38&gt;=Summary!$C$120),"X"," "),IF(AND(O38&lt;=-Summary!$C$119,P38&lt;=-Summary!$C$120),"X"," "))</f>
        <v>X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>X</v>
      </c>
      <c r="U38" s="11" t="str">
        <f>IF($C$4="High Inventory",IF(AND($O38&gt;=0,$P38&gt;=Summary!$C$120),"X"," "),IF(AND($O38&lt;=0,$P38&lt;=-Summary!$C$120),"X"," "))</f>
        <v>X</v>
      </c>
      <c r="V38" t="str">
        <f t="shared" si="5"/>
        <v xml:space="preserve"> </v>
      </c>
      <c r="W38" t="str">
        <f>IF($C$4="High Inventory",IF(O38&gt;Summary!$C$119,"X"," "),IF(O38&lt;-Summary!$C$119,"X"," "))</f>
        <v>X</v>
      </c>
      <c r="X38" t="str">
        <f>IF($C$4="High Inventory",IF(P38&gt;Summary!$C$120,"X"," "),IF(P38&lt;-Summary!$C$120,"X"," "))</f>
        <v>X</v>
      </c>
    </row>
    <row r="39" spans="1:24" x14ac:dyDescent="0.2">
      <c r="A39" s="27">
        <v>2832</v>
      </c>
      <c r="B39" s="55" t="s">
        <v>26</v>
      </c>
      <c r="C39" s="6">
        <v>4100</v>
      </c>
      <c r="D39" s="5">
        <v>3148</v>
      </c>
      <c r="E39" s="5">
        <v>952</v>
      </c>
      <c r="F39" s="6">
        <v>4100</v>
      </c>
      <c r="G39" s="5">
        <v>2440</v>
      </c>
      <c r="H39" s="5">
        <v>1660</v>
      </c>
      <c r="I39" s="6">
        <v>4100</v>
      </c>
      <c r="J39" s="5">
        <v>2227</v>
      </c>
      <c r="K39" s="5">
        <v>1873</v>
      </c>
      <c r="L39" s="6">
        <v>2800</v>
      </c>
      <c r="M39" s="5">
        <v>2808</v>
      </c>
      <c r="N39" s="5">
        <v>-8</v>
      </c>
      <c r="O39" s="6">
        <f t="shared" si="3"/>
        <v>4485</v>
      </c>
      <c r="P39" s="70">
        <f t="shared" si="4"/>
        <v>0.57382292732855678</v>
      </c>
      <c r="Q39" s="176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8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>X</v>
      </c>
      <c r="V39" t="str">
        <f t="shared" si="5"/>
        <v xml:space="preserve"> 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>X</v>
      </c>
    </row>
    <row r="40" spans="1:24" x14ac:dyDescent="0.2">
      <c r="A40" s="27">
        <v>2892</v>
      </c>
      <c r="B40" s="55" t="s">
        <v>26</v>
      </c>
      <c r="C40" s="6">
        <v>289</v>
      </c>
      <c r="D40" s="5">
        <v>216</v>
      </c>
      <c r="E40" s="5">
        <v>73</v>
      </c>
      <c r="F40" s="6">
        <v>290</v>
      </c>
      <c r="G40" s="5">
        <v>202</v>
      </c>
      <c r="H40" s="5">
        <v>88</v>
      </c>
      <c r="I40" s="6">
        <v>290</v>
      </c>
      <c r="J40" s="5">
        <v>180</v>
      </c>
      <c r="K40" s="5">
        <v>110</v>
      </c>
      <c r="L40" s="6">
        <v>214</v>
      </c>
      <c r="M40" s="5">
        <v>199</v>
      </c>
      <c r="N40" s="5">
        <v>15</v>
      </c>
      <c r="O40" s="6">
        <f>K40+H40+E40</f>
        <v>271</v>
      </c>
      <c r="P40" s="70">
        <f t="shared" si="4"/>
        <v>0.45242070116861438</v>
      </c>
      <c r="Q40" s="176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 xml:space="preserve"> </v>
      </c>
      <c r="U40" s="11" t="str">
        <f>IF($C$4="High Inventory",IF(AND($O40&gt;=0,$P40&gt;=Summary!$C$120),"X"," "),IF(AND($O40&lt;=0,$P40&lt;=-Summary!$C$120),"X"," "))</f>
        <v>X</v>
      </c>
      <c r="V40" t="str">
        <f t="shared" si="5"/>
        <v xml:space="preserve"> </v>
      </c>
      <c r="W40" t="str">
        <f>IF($C$4="High Inventory",IF(O40&gt;Summary!$C$119,"X"," "),IF(O40&lt;-Summary!$C$119,"X"," "))</f>
        <v xml:space="preserve"> </v>
      </c>
      <c r="X40" t="str">
        <f>IF($C$4="High Inventory",IF(P40&gt;Summary!$C$120,"X"," "),IF(P40&lt;-Summary!$C$120,"X"," "))</f>
        <v>X</v>
      </c>
    </row>
    <row r="41" spans="1:24" x14ac:dyDescent="0.2">
      <c r="A41" s="27">
        <v>3015</v>
      </c>
      <c r="B41" s="55" t="s">
        <v>26</v>
      </c>
      <c r="C41" s="6">
        <v>20698</v>
      </c>
      <c r="D41" s="5">
        <v>20360</v>
      </c>
      <c r="E41" s="5">
        <v>338</v>
      </c>
      <c r="F41" s="6">
        <v>16784</v>
      </c>
      <c r="G41" s="5">
        <v>16983</v>
      </c>
      <c r="H41" s="5">
        <v>-199</v>
      </c>
      <c r="I41" s="6">
        <v>18270</v>
      </c>
      <c r="J41" s="5">
        <v>15344</v>
      </c>
      <c r="K41" s="5">
        <v>2926</v>
      </c>
      <c r="L41" s="6">
        <v>18270</v>
      </c>
      <c r="M41" s="5">
        <v>18114</v>
      </c>
      <c r="N41" s="5">
        <v>156</v>
      </c>
      <c r="O41" s="6">
        <f t="shared" si="3"/>
        <v>3065</v>
      </c>
      <c r="P41" s="70">
        <f t="shared" si="4"/>
        <v>5.8172638931065897E-2</v>
      </c>
      <c r="Q41" s="176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5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">
      <c r="A42" s="27">
        <v>3550</v>
      </c>
      <c r="B42" s="55" t="s">
        <v>26</v>
      </c>
      <c r="C42" s="6">
        <v>3000</v>
      </c>
      <c r="D42" s="5">
        <v>3077</v>
      </c>
      <c r="E42" s="5">
        <v>-77</v>
      </c>
      <c r="F42" s="6">
        <v>3000</v>
      </c>
      <c r="G42" s="5">
        <v>3054</v>
      </c>
      <c r="H42" s="5">
        <v>-54</v>
      </c>
      <c r="I42" s="6">
        <v>3000</v>
      </c>
      <c r="J42" s="5">
        <v>2935</v>
      </c>
      <c r="K42" s="5">
        <v>65</v>
      </c>
      <c r="L42" s="6">
        <v>0</v>
      </c>
      <c r="M42" s="5">
        <v>3051</v>
      </c>
      <c r="N42" s="5">
        <v>-3051</v>
      </c>
      <c r="O42" s="6">
        <f t="shared" si="3"/>
        <v>-66</v>
      </c>
      <c r="P42" s="70">
        <f>O42/(J42+G42+D42+1)</f>
        <v>-7.2791441491121649E-3</v>
      </c>
      <c r="Q42" s="176"/>
      <c r="R42" s="66" t="str">
        <f>IF($C$4="High Inventory",IF(AND(O42&gt;=Summary!$C$119,P42&gt;=Summary!$C$120),"X"," "),IF(AND(O42&lt;=-Summary!$C$119,P42&lt;=-Summary!$C$120),"X"," "))</f>
        <v xml:space="preserve"> 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 xml:space="preserve"> </v>
      </c>
      <c r="U42" s="11" t="str">
        <f>IF($C$4="High Inventory",IF(AND($O42&gt;=0,$P42&gt;=Summary!$C$120),"X"," "),IF(AND($O42&lt;=0,$P42&lt;=-Summary!$C$120),"X"," "))</f>
        <v xml:space="preserve"> </v>
      </c>
      <c r="V42" t="str">
        <f t="shared" si="5"/>
        <v xml:space="preserve"> </v>
      </c>
      <c r="W42" t="str">
        <f>IF($C$4="High Inventory",IF(O42&gt;Summary!$C$119,"X"," "),IF(O42&lt;-Summary!$C$119,"X"," "))</f>
        <v xml:space="preserve"> </v>
      </c>
      <c r="X42" t="str">
        <f>IF($C$4="High Inventory",IF(P42&gt;Summary!$C$120,"X"," "),IF(P42&lt;-Summary!$C$120,"X"," "))</f>
        <v xml:space="preserve"> </v>
      </c>
    </row>
    <row r="43" spans="1:24" x14ac:dyDescent="0.2">
      <c r="A43" s="27">
        <v>4760</v>
      </c>
      <c r="B43" s="55" t="s">
        <v>26</v>
      </c>
      <c r="C43" s="6">
        <v>455249</v>
      </c>
      <c r="D43" s="5">
        <v>447003</v>
      </c>
      <c r="E43" s="5">
        <v>8246</v>
      </c>
      <c r="F43" s="6">
        <v>387650</v>
      </c>
      <c r="G43" s="5">
        <v>298794</v>
      </c>
      <c r="H43" s="5">
        <v>88856</v>
      </c>
      <c r="I43" s="6">
        <v>387976</v>
      </c>
      <c r="J43" s="5">
        <v>322572</v>
      </c>
      <c r="K43" s="5">
        <v>65404</v>
      </c>
      <c r="L43" s="6">
        <v>413226</v>
      </c>
      <c r="M43" s="5">
        <v>451775</v>
      </c>
      <c r="N43" s="5">
        <v>-38549</v>
      </c>
      <c r="O43" s="6">
        <f t="shared" si="3"/>
        <v>162506</v>
      </c>
      <c r="P43" s="70">
        <f t="shared" ref="P43:P60" si="6">O43/(J43+G43+D43+1)</f>
        <v>0.1521064799648062</v>
      </c>
      <c r="Q43" s="176"/>
      <c r="R43" s="66" t="str">
        <f>IF($C$4="High Inventory",IF(AND(O43&gt;=Summary!$C$119,P43&gt;=Summary!$C$120),"X"," "),IF(AND(O43&lt;=-Summary!$C$119,P43&lt;=-Summary!$C$120),"X"," "))</f>
        <v>X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>X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>X</v>
      </c>
    </row>
    <row r="44" spans="1:24" x14ac:dyDescent="0.2">
      <c r="A44" s="27">
        <v>6084</v>
      </c>
      <c r="B44" s="55" t="s">
        <v>26</v>
      </c>
      <c r="C44" s="6">
        <v>10</v>
      </c>
      <c r="D44" s="5">
        <v>4</v>
      </c>
      <c r="E44" s="5">
        <v>6</v>
      </c>
      <c r="F44" s="6">
        <v>10</v>
      </c>
      <c r="G44" s="5">
        <v>4</v>
      </c>
      <c r="H44" s="5">
        <v>6</v>
      </c>
      <c r="I44" s="6">
        <v>10</v>
      </c>
      <c r="J44" s="5">
        <v>3</v>
      </c>
      <c r="K44" s="5">
        <v>7</v>
      </c>
      <c r="L44" s="6">
        <v>10</v>
      </c>
      <c r="M44" s="5">
        <v>4</v>
      </c>
      <c r="N44" s="5">
        <v>6</v>
      </c>
      <c r="O44" s="6">
        <f t="shared" si="3"/>
        <v>19</v>
      </c>
      <c r="P44" s="70">
        <f>O44/(J44+G44+D44+1)</f>
        <v>1.5833333333333333</v>
      </c>
      <c r="Q44" s="176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>X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>X</v>
      </c>
    </row>
    <row r="45" spans="1:24" x14ac:dyDescent="0.2">
      <c r="A45" s="27">
        <v>6728</v>
      </c>
      <c r="B45" s="55" t="s">
        <v>26</v>
      </c>
      <c r="C45" s="6">
        <v>11000</v>
      </c>
      <c r="D45" s="5">
        <v>11617</v>
      </c>
      <c r="E45" s="5">
        <v>-617</v>
      </c>
      <c r="F45" s="6">
        <v>11000</v>
      </c>
      <c r="G45" s="5">
        <v>11349</v>
      </c>
      <c r="H45" s="5">
        <v>-349</v>
      </c>
      <c r="I45" s="6">
        <v>11000</v>
      </c>
      <c r="J45" s="5">
        <v>11088</v>
      </c>
      <c r="K45" s="5">
        <v>-88</v>
      </c>
      <c r="L45" s="6">
        <v>11000</v>
      </c>
      <c r="M45" s="5">
        <v>10804</v>
      </c>
      <c r="N45" s="5">
        <v>196</v>
      </c>
      <c r="O45" s="6">
        <f t="shared" si="3"/>
        <v>-1054</v>
      </c>
      <c r="P45" s="70">
        <f t="shared" si="4"/>
        <v>-3.0949933930406695E-2</v>
      </c>
      <c r="Q45" s="178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5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">
      <c r="A46" s="27">
        <v>12296</v>
      </c>
      <c r="B46" s="55" t="s">
        <v>26</v>
      </c>
      <c r="C46" s="6">
        <v>6429</v>
      </c>
      <c r="D46" s="5">
        <v>0</v>
      </c>
      <c r="E46" s="5">
        <v>6429</v>
      </c>
      <c r="F46" s="6">
        <v>9680</v>
      </c>
      <c r="G46" s="5">
        <v>0</v>
      </c>
      <c r="H46" s="5">
        <v>9680</v>
      </c>
      <c r="I46" s="6">
        <v>9680</v>
      </c>
      <c r="J46" s="5">
        <v>0</v>
      </c>
      <c r="K46" s="5">
        <v>9680</v>
      </c>
      <c r="L46" s="6">
        <v>9680</v>
      </c>
      <c r="M46" s="5">
        <v>0</v>
      </c>
      <c r="N46" s="5">
        <v>9680</v>
      </c>
      <c r="O46" s="6">
        <f t="shared" ref="O46:O53" si="7">K46+H46+E46</f>
        <v>25789</v>
      </c>
      <c r="P46" s="70">
        <f>O46/(J46+G46+D46+1)</f>
        <v>25789</v>
      </c>
      <c r="Q46" s="178"/>
      <c r="R46" s="66" t="str">
        <f>IF($C$4="High Inventory",IF(AND(O46&gt;=Summary!$C$119,P46&gt;=Summary!$C$120),"X"," "),IF(AND(O46&lt;=-Summary!$C$119,P46&lt;=-Summary!$C$120),"X"," "))</f>
        <v>X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>X</v>
      </c>
      <c r="U46" s="11" t="str">
        <f>IF($C$4="High Inventory",IF(AND($O46&gt;=0,$P46&gt;=Summary!$C$120),"X"," "),IF(AND($O46&lt;=0,$P46&lt;=-Summary!$C$120),"X"," "))</f>
        <v>X</v>
      </c>
      <c r="V46" t="str">
        <f t="shared" si="5"/>
        <v xml:space="preserve"> </v>
      </c>
      <c r="W46" t="str">
        <f>IF($C$4="High Inventory",IF(O46&gt;Summary!$C$119,"X"," "),IF(O46&lt;-Summary!$C$119,"X"," "))</f>
        <v>X</v>
      </c>
      <c r="X46" t="str">
        <f>IF($C$4="High Inventory",IF(P46&gt;Summary!$C$120,"X"," "),IF(P46&lt;-Summary!$C$120,"X"," "))</f>
        <v>X</v>
      </c>
    </row>
    <row r="47" spans="1:24" x14ac:dyDescent="0.2">
      <c r="A47" s="27">
        <v>15966</v>
      </c>
      <c r="B47" s="55" t="s">
        <v>26</v>
      </c>
      <c r="C47" s="6">
        <v>61348</v>
      </c>
      <c r="D47" s="5">
        <v>61207</v>
      </c>
      <c r="E47" s="5">
        <v>141</v>
      </c>
      <c r="F47" s="6">
        <v>61946</v>
      </c>
      <c r="G47" s="5">
        <v>59756</v>
      </c>
      <c r="H47" s="5">
        <v>2190</v>
      </c>
      <c r="I47" s="6">
        <v>61946</v>
      </c>
      <c r="J47" s="5">
        <v>60295</v>
      </c>
      <c r="K47" s="5">
        <v>1651</v>
      </c>
      <c r="L47" s="6">
        <v>57946</v>
      </c>
      <c r="M47" s="5">
        <v>60509</v>
      </c>
      <c r="N47" s="5">
        <v>-2563</v>
      </c>
      <c r="O47" s="6">
        <f t="shared" si="7"/>
        <v>3982</v>
      </c>
      <c r="P47" s="70">
        <f>O47/(J47+G47+D47+1)</f>
        <v>2.1968564319564822E-2</v>
      </c>
      <c r="Q47" s="176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 xml:space="preserve"> </v>
      </c>
      <c r="V47" t="str">
        <f t="shared" si="5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 xml:space="preserve"> </v>
      </c>
    </row>
    <row r="48" spans="1:24" x14ac:dyDescent="0.2">
      <c r="A48" s="27">
        <v>30069</v>
      </c>
      <c r="B48" s="55" t="s">
        <v>26</v>
      </c>
      <c r="C48" s="6">
        <v>9913</v>
      </c>
      <c r="D48" s="5">
        <v>10314</v>
      </c>
      <c r="E48" s="5">
        <v>-401</v>
      </c>
      <c r="F48" s="6">
        <v>10377</v>
      </c>
      <c r="G48" s="5">
        <v>229</v>
      </c>
      <c r="H48" s="5">
        <v>10148</v>
      </c>
      <c r="I48" s="6">
        <v>9456</v>
      </c>
      <c r="J48" s="5">
        <v>0</v>
      </c>
      <c r="K48" s="5">
        <v>9456</v>
      </c>
      <c r="L48" s="6">
        <v>9569</v>
      </c>
      <c r="M48" s="5">
        <v>531</v>
      </c>
      <c r="N48" s="5">
        <v>9038</v>
      </c>
      <c r="O48" s="6">
        <f t="shared" si="7"/>
        <v>19203</v>
      </c>
      <c r="P48" s="70">
        <f t="shared" si="6"/>
        <v>1.8212253414264037</v>
      </c>
      <c r="Q48" s="176"/>
      <c r="R48" s="66" t="str">
        <f>IF($C$4="High Inventory",IF(AND(O48&gt;=Summary!$C$119,P48&gt;=Summary!$C$120),"X"," "),IF(AND(O48&lt;=-Summary!$C$119,P48&lt;=-Summary!$C$120),"X"," "))</f>
        <v>X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>X</v>
      </c>
      <c r="U48" s="11" t="str">
        <f>IF($C$4="High Inventory",IF(AND($O48&gt;=0,$P48&gt;=Summary!$C$120),"X"," "),IF(AND($O48&lt;=0,$P48&lt;=-Summary!$C$120),"X"," "))</f>
        <v>X</v>
      </c>
      <c r="V48" t="str">
        <f t="shared" si="5"/>
        <v xml:space="preserve"> </v>
      </c>
      <c r="W48" t="str">
        <f>IF($C$4="High Inventory",IF(O48&gt;Summary!$C$119,"X"," "),IF(O48&lt;-Summary!$C$119,"X"," "))</f>
        <v>X</v>
      </c>
      <c r="X48" t="str">
        <f>IF($C$4="High Inventory",IF(P48&gt;Summary!$C$120,"X"," "),IF(P48&lt;-Summary!$C$120,"X"," "))</f>
        <v>X</v>
      </c>
    </row>
    <row r="49" spans="1:24" x14ac:dyDescent="0.2">
      <c r="A49" s="27">
        <v>51</v>
      </c>
      <c r="B49" s="55" t="s">
        <v>27</v>
      </c>
      <c r="C49" s="6">
        <v>8240</v>
      </c>
      <c r="D49" s="5">
        <v>8667</v>
      </c>
      <c r="E49" s="5">
        <v>-427</v>
      </c>
      <c r="F49" s="6">
        <v>8240</v>
      </c>
      <c r="G49" s="5">
        <v>6144</v>
      </c>
      <c r="H49" s="5">
        <v>2096</v>
      </c>
      <c r="I49" s="6">
        <v>8240</v>
      </c>
      <c r="J49" s="5">
        <v>5641</v>
      </c>
      <c r="K49" s="5">
        <v>2599</v>
      </c>
      <c r="L49" s="6">
        <v>8240</v>
      </c>
      <c r="M49" s="5">
        <v>7817</v>
      </c>
      <c r="N49" s="5">
        <v>423</v>
      </c>
      <c r="O49" s="6">
        <f t="shared" si="7"/>
        <v>4268</v>
      </c>
      <c r="P49" s="70">
        <f t="shared" si="6"/>
        <v>0.20867354422334131</v>
      </c>
      <c r="Q49" s="74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/>
      <c r="U49" s="11"/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>X</v>
      </c>
    </row>
    <row r="50" spans="1:24" x14ac:dyDescent="0.2">
      <c r="A50" s="27">
        <v>62</v>
      </c>
      <c r="B50" s="55" t="s">
        <v>27</v>
      </c>
      <c r="C50" s="6">
        <v>903</v>
      </c>
      <c r="D50" s="5">
        <v>1231</v>
      </c>
      <c r="E50" s="5">
        <v>-328</v>
      </c>
      <c r="F50" s="6">
        <v>903</v>
      </c>
      <c r="G50" s="5">
        <v>0</v>
      </c>
      <c r="H50" s="5">
        <v>903</v>
      </c>
      <c r="I50" s="6">
        <v>903</v>
      </c>
      <c r="J50" s="5">
        <v>0</v>
      </c>
      <c r="K50" s="5">
        <v>903</v>
      </c>
      <c r="L50" s="6">
        <v>903</v>
      </c>
      <c r="M50" s="5">
        <v>1238</v>
      </c>
      <c r="N50" s="5">
        <v>-335</v>
      </c>
      <c r="O50" s="6">
        <f t="shared" si="7"/>
        <v>1478</v>
      </c>
      <c r="P50" s="70">
        <f t="shared" si="6"/>
        <v>1.1996753246753247</v>
      </c>
      <c r="Q50" s="74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>X</v>
      </c>
      <c r="V50" t="str">
        <f>IF(S50 = "X",L50-I50," ")</f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>X</v>
      </c>
    </row>
    <row r="51" spans="1:24" x14ac:dyDescent="0.2">
      <c r="A51" s="27">
        <v>145</v>
      </c>
      <c r="B51" s="55" t="s">
        <v>27</v>
      </c>
      <c r="C51" s="6">
        <v>544</v>
      </c>
      <c r="D51" s="5">
        <v>686</v>
      </c>
      <c r="E51" s="5">
        <v>-142</v>
      </c>
      <c r="F51" s="6">
        <v>544</v>
      </c>
      <c r="G51" s="5">
        <v>0</v>
      </c>
      <c r="H51" s="5">
        <v>544</v>
      </c>
      <c r="I51" s="6">
        <v>544</v>
      </c>
      <c r="J51" s="5">
        <v>0</v>
      </c>
      <c r="K51" s="5">
        <v>544</v>
      </c>
      <c r="L51" s="6">
        <v>544</v>
      </c>
      <c r="M51" s="5">
        <v>695</v>
      </c>
      <c r="N51" s="5">
        <v>-151</v>
      </c>
      <c r="O51" s="6">
        <f t="shared" si="7"/>
        <v>946</v>
      </c>
      <c r="P51" s="70">
        <f t="shared" si="6"/>
        <v>1.3770014556040757</v>
      </c>
      <c r="Q51" s="74"/>
      <c r="R51" s="66" t="str">
        <f>IF($C$4="High Inventory",IF(AND(O51&gt;=Summary!$C$119,P51&gt;=Summary!$C$120),"X"," "),IF(AND(O51&lt;=-Summary!$C$119,P51&lt;=-Summary!$C$120),"X"," "))</f>
        <v xml:space="preserve"> 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/>
      <c r="U51" s="11"/>
      <c r="W51" t="str">
        <f>IF($C$4="High Inventory",IF(O51&gt;Summary!$C$119,"X"," "),IF(O51&lt;-Summary!$C$119,"X"," "))</f>
        <v xml:space="preserve"> </v>
      </c>
      <c r="X51" t="str">
        <f>IF($C$4="High Inventory",IF(P51&gt;Summary!$C$120,"X"," "),IF(P51&lt;-Summary!$C$120,"X"," "))</f>
        <v>X</v>
      </c>
    </row>
    <row r="52" spans="1:24" x14ac:dyDescent="0.2">
      <c r="A52" s="27">
        <v>254</v>
      </c>
      <c r="B52" s="55" t="s">
        <v>27</v>
      </c>
      <c r="C52" s="6">
        <v>15921</v>
      </c>
      <c r="D52" s="5">
        <v>15554</v>
      </c>
      <c r="E52" s="5">
        <v>367</v>
      </c>
      <c r="F52" s="6">
        <v>15921</v>
      </c>
      <c r="G52" s="5">
        <v>15908</v>
      </c>
      <c r="H52" s="5">
        <v>13</v>
      </c>
      <c r="I52" s="6">
        <v>15921</v>
      </c>
      <c r="J52" s="5">
        <v>15993</v>
      </c>
      <c r="K52" s="5">
        <v>-72</v>
      </c>
      <c r="L52" s="6">
        <v>14921</v>
      </c>
      <c r="M52" s="5">
        <v>16370</v>
      </c>
      <c r="N52" s="5">
        <v>-1449</v>
      </c>
      <c r="O52" s="6">
        <f t="shared" si="7"/>
        <v>308</v>
      </c>
      <c r="P52" s="70">
        <f t="shared" si="6"/>
        <v>6.4902225219150367E-3</v>
      </c>
      <c r="Q52" s="74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>IF(S52 = "X",L52-I52," ")</f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24" x14ac:dyDescent="0.2">
      <c r="A53" s="27">
        <v>326</v>
      </c>
      <c r="B53" s="55" t="s">
        <v>27</v>
      </c>
      <c r="C53" s="6">
        <v>165</v>
      </c>
      <c r="D53" s="5">
        <v>176</v>
      </c>
      <c r="E53" s="5">
        <v>-11</v>
      </c>
      <c r="F53" s="6">
        <v>165</v>
      </c>
      <c r="G53" s="5">
        <v>0</v>
      </c>
      <c r="H53" s="5">
        <v>165</v>
      </c>
      <c r="I53" s="6">
        <v>165</v>
      </c>
      <c r="J53" s="5">
        <v>0</v>
      </c>
      <c r="K53" s="5">
        <v>165</v>
      </c>
      <c r="L53" s="6">
        <v>165</v>
      </c>
      <c r="M53" s="5">
        <v>122</v>
      </c>
      <c r="N53" s="5">
        <v>43</v>
      </c>
      <c r="O53" s="6">
        <f t="shared" si="7"/>
        <v>319</v>
      </c>
      <c r="P53" s="70">
        <f t="shared" si="6"/>
        <v>1.8022598870056497</v>
      </c>
      <c r="Q53" s="74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8"/>
      <c r="U53" s="11"/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>X</v>
      </c>
    </row>
    <row r="54" spans="1:24" x14ac:dyDescent="0.2">
      <c r="A54" s="27">
        <v>375</v>
      </c>
      <c r="B54" s="55" t="s">
        <v>27</v>
      </c>
      <c r="C54" s="6">
        <v>100</v>
      </c>
      <c r="D54" s="5">
        <v>0</v>
      </c>
      <c r="E54" s="5">
        <v>100</v>
      </c>
      <c r="F54" s="6">
        <v>100</v>
      </c>
      <c r="G54" s="5">
        <v>0</v>
      </c>
      <c r="H54" s="5">
        <v>100</v>
      </c>
      <c r="I54" s="6">
        <v>100</v>
      </c>
      <c r="J54" s="5">
        <v>0</v>
      </c>
      <c r="K54" s="5">
        <v>100</v>
      </c>
      <c r="L54" s="6">
        <v>33</v>
      </c>
      <c r="M54" s="5">
        <v>0</v>
      </c>
      <c r="N54" s="5">
        <v>33</v>
      </c>
      <c r="O54" s="6">
        <f t="shared" ref="O54:O62" si="8">K54+H54+E54</f>
        <v>300</v>
      </c>
      <c r="P54" s="70">
        <f t="shared" si="6"/>
        <v>300</v>
      </c>
      <c r="Q54" s="74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>X</v>
      </c>
      <c r="V54" t="str">
        <f>IF(S54 = "X",L54-I54," ")</f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>X</v>
      </c>
    </row>
    <row r="55" spans="1:24" x14ac:dyDescent="0.2">
      <c r="A55" s="27">
        <v>399</v>
      </c>
      <c r="B55" s="55" t="s">
        <v>27</v>
      </c>
      <c r="C55" s="6">
        <v>150</v>
      </c>
      <c r="D55" s="5">
        <v>186</v>
      </c>
      <c r="E55" s="5">
        <v>-36</v>
      </c>
      <c r="F55" s="6">
        <v>150</v>
      </c>
      <c r="G55" s="5">
        <v>148</v>
      </c>
      <c r="H55" s="5">
        <v>2</v>
      </c>
      <c r="I55" s="6">
        <v>150</v>
      </c>
      <c r="J55" s="5">
        <v>128</v>
      </c>
      <c r="K55" s="5">
        <v>22</v>
      </c>
      <c r="L55" s="6">
        <v>100</v>
      </c>
      <c r="M55" s="5">
        <v>151</v>
      </c>
      <c r="N55" s="5">
        <v>-51</v>
      </c>
      <c r="O55" s="6">
        <f t="shared" si="8"/>
        <v>-12</v>
      </c>
      <c r="P55" s="70">
        <f t="shared" si="6"/>
        <v>-2.591792656587473E-2</v>
      </c>
      <c r="Q55" s="74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 xml:space="preserve"> </v>
      </c>
      <c r="V55" t="str">
        <f t="shared" si="5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 xml:space="preserve"> </v>
      </c>
    </row>
    <row r="56" spans="1:24" x14ac:dyDescent="0.2">
      <c r="A56" s="27">
        <v>427</v>
      </c>
      <c r="B56" s="55" t="s">
        <v>27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8"/>
        <v>0</v>
      </c>
      <c r="P56" s="70">
        <f t="shared" si="6"/>
        <v>0</v>
      </c>
      <c r="Q56" s="74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 xml:space="preserve"> </v>
      </c>
      <c r="V56" t="str">
        <f>IF(S56 = "X",L56-I56," ")</f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 xml:space="preserve"> </v>
      </c>
    </row>
    <row r="57" spans="1:24" x14ac:dyDescent="0.2">
      <c r="A57" s="27">
        <v>462</v>
      </c>
      <c r="B57" s="55" t="s">
        <v>27</v>
      </c>
      <c r="C57" s="6">
        <v>0</v>
      </c>
      <c r="D57" s="5">
        <v>138</v>
      </c>
      <c r="E57" s="5">
        <v>-138</v>
      </c>
      <c r="F57" s="6">
        <v>0</v>
      </c>
      <c r="G57" s="5">
        <v>103</v>
      </c>
      <c r="H57" s="5">
        <v>-103</v>
      </c>
      <c r="I57" s="6">
        <v>0</v>
      </c>
      <c r="J57" s="5">
        <v>69</v>
      </c>
      <c r="K57" s="5">
        <v>-69</v>
      </c>
      <c r="L57" s="6">
        <v>0</v>
      </c>
      <c r="M57" s="5">
        <v>99</v>
      </c>
      <c r="N57" s="5">
        <v>-99</v>
      </c>
      <c r="O57" s="6">
        <f t="shared" si="8"/>
        <v>-310</v>
      </c>
      <c r="P57" s="70">
        <f t="shared" si="6"/>
        <v>-0.99678456591639875</v>
      </c>
      <c r="Q57" s="74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/>
      <c r="U57" s="11"/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24" x14ac:dyDescent="0.2">
      <c r="A58" s="27">
        <v>470</v>
      </c>
      <c r="B58" s="55" t="s">
        <v>27</v>
      </c>
      <c r="C58" s="6">
        <v>169</v>
      </c>
      <c r="D58" s="5">
        <v>217</v>
      </c>
      <c r="E58" s="5">
        <v>-48</v>
      </c>
      <c r="F58" s="6">
        <v>169</v>
      </c>
      <c r="G58" s="5">
        <v>43</v>
      </c>
      <c r="H58" s="5">
        <v>126</v>
      </c>
      <c r="I58" s="6">
        <v>169</v>
      </c>
      <c r="J58" s="5">
        <v>1</v>
      </c>
      <c r="K58" s="5">
        <v>168</v>
      </c>
      <c r="L58" s="6">
        <v>169</v>
      </c>
      <c r="M58" s="5">
        <v>131</v>
      </c>
      <c r="N58" s="5">
        <v>38</v>
      </c>
      <c r="O58" s="6">
        <f t="shared" si="8"/>
        <v>246</v>
      </c>
      <c r="P58" s="70">
        <f t="shared" si="6"/>
        <v>0.93893129770992367</v>
      </c>
      <c r="Q58" s="176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/>
      <c r="U58" s="11"/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>X</v>
      </c>
    </row>
    <row r="59" spans="1:24" x14ac:dyDescent="0.2">
      <c r="A59" s="27">
        <v>503</v>
      </c>
      <c r="B59" s="55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8"/>
        <v>0</v>
      </c>
      <c r="P59" s="70">
        <f t="shared" si="6"/>
        <v>0</v>
      </c>
      <c r="Q59" s="74"/>
      <c r="R59" s="66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8"/>
      <c r="U59" s="11"/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24" x14ac:dyDescent="0.2">
      <c r="A60" s="27">
        <v>512</v>
      </c>
      <c r="B60" s="55" t="s">
        <v>27</v>
      </c>
      <c r="C60" s="6">
        <v>800</v>
      </c>
      <c r="D60" s="5">
        <v>829</v>
      </c>
      <c r="E60" s="5">
        <v>-29</v>
      </c>
      <c r="F60" s="6">
        <v>800</v>
      </c>
      <c r="G60" s="5">
        <v>699</v>
      </c>
      <c r="H60" s="5">
        <v>101</v>
      </c>
      <c r="I60" s="6">
        <v>800</v>
      </c>
      <c r="J60" s="5">
        <v>739</v>
      </c>
      <c r="K60" s="5">
        <v>61</v>
      </c>
      <c r="L60" s="6">
        <v>800</v>
      </c>
      <c r="M60" s="5">
        <v>842</v>
      </c>
      <c r="N60" s="5">
        <v>-42</v>
      </c>
      <c r="O60" s="6">
        <f t="shared" si="8"/>
        <v>133</v>
      </c>
      <c r="P60" s="70">
        <f t="shared" si="6"/>
        <v>5.8641975308641972E-2</v>
      </c>
      <c r="Q60" s="74"/>
      <c r="R60" s="66" t="str">
        <f>IF($C$4="High Inventory",IF(AND(O60&gt;=Summary!$C$119,P60&gt;=Summary!$C$120),"X"," "),IF(AND(O60&lt;=-Summary!$C$119,P60&lt;=-Summary!$C$120),"X"," "))</f>
        <v xml:space="preserve"> </v>
      </c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T60" s="8" t="str">
        <f>IF($C$4="High Inventory",IF(AND($O60&gt;=Summary!$C$119,$P60&gt;=0%),"X"," "),IF(AND($O60&lt;=-Summary!$C$119,$P60&lt;=0%),"X"," "))</f>
        <v xml:space="preserve"> </v>
      </c>
      <c r="U60" s="11" t="str">
        <f>IF($C$4="High Inventory",IF(AND($O60&gt;=0,$P60&gt;=Summary!$C$120),"X"," "),IF(AND($O60&lt;=0,$P60&lt;=-Summary!$C$120),"X"," "))</f>
        <v xml:space="preserve"> </v>
      </c>
      <c r="V60" t="str">
        <f>IF(S60 = "X",L60-I60," ")</f>
        <v xml:space="preserve"> </v>
      </c>
      <c r="W60" t="str">
        <f>IF($C$4="High Inventory",IF(O60&gt;Summary!$C$119,"X"," "),IF(O60&lt;-Summary!$C$119,"X"," "))</f>
        <v xml:space="preserve"> </v>
      </c>
      <c r="X60" t="str">
        <f>IF($C$4="High Inventory",IF(P60&gt;Summary!$C$120,"X"," "),IF(P60&lt;-Summary!$C$120,"X"," "))</f>
        <v xml:space="preserve"> </v>
      </c>
    </row>
    <row r="61" spans="1:24" x14ac:dyDescent="0.2">
      <c r="A61" s="27">
        <v>650</v>
      </c>
      <c r="B61" s="55" t="s">
        <v>27</v>
      </c>
      <c r="C61" s="6">
        <v>543</v>
      </c>
      <c r="D61" s="5">
        <v>713</v>
      </c>
      <c r="E61" s="5">
        <v>-170</v>
      </c>
      <c r="F61" s="6">
        <v>543</v>
      </c>
      <c r="G61" s="5">
        <v>0</v>
      </c>
      <c r="H61" s="5">
        <v>543</v>
      </c>
      <c r="I61" s="6">
        <v>543</v>
      </c>
      <c r="J61" s="5">
        <v>0</v>
      </c>
      <c r="K61" s="5">
        <v>543</v>
      </c>
      <c r="L61" s="6">
        <v>543</v>
      </c>
      <c r="M61" s="5">
        <v>718</v>
      </c>
      <c r="N61" s="5">
        <v>-175</v>
      </c>
      <c r="O61" s="6">
        <f t="shared" si="8"/>
        <v>916</v>
      </c>
      <c r="P61" s="70">
        <f t="shared" ref="P61:P67" si="9">O61/(J61+G61+D61+1)</f>
        <v>1.2829131652661065</v>
      </c>
      <c r="Q61" s="176"/>
      <c r="R61" s="66" t="str">
        <f>IF($C$4="High Inventory",IF(AND(O61&gt;=Summary!$C$119,P61&gt;=Summary!$C$120),"X"," "),IF(AND(O61&lt;=-Summary!$C$119,P61&lt;=-Summary!$C$120),"X"," "))</f>
        <v xml:space="preserve"> </v>
      </c>
      <c r="S61" s="81" t="str">
        <f>IF($C$5="System-Wide"," ",IF($C$4="High Inventory",IF(AND(L61-I61&gt;=Summary!$C$123,N61-K61&gt;Summary!$C$123,N61&gt;0),"X"," "),IF(AND(I61-L61&gt;=Summary!$C$123,K61-N61&gt;Summary!$C$123,N61&lt;0),"X"," ")))</f>
        <v xml:space="preserve"> </v>
      </c>
      <c r="T61" s="8"/>
      <c r="U61" s="11"/>
      <c r="W61" t="str">
        <f>IF($C$4="High Inventory",IF(O61&gt;Summary!$C$119,"X"," "),IF(O61&lt;-Summary!$C$119,"X"," "))</f>
        <v xml:space="preserve"> </v>
      </c>
      <c r="X61" t="str">
        <f>IF($C$4="High Inventory",IF(P61&gt;Summary!$C$120,"X"," "),IF(P61&lt;-Summary!$C$120,"X"," "))</f>
        <v>X</v>
      </c>
    </row>
    <row r="62" spans="1:24" x14ac:dyDescent="0.2">
      <c r="A62" s="27">
        <v>779</v>
      </c>
      <c r="B62" s="55" t="s">
        <v>27</v>
      </c>
      <c r="C62" s="6">
        <v>784</v>
      </c>
      <c r="D62" s="5">
        <v>1261</v>
      </c>
      <c r="E62" s="5">
        <v>-477</v>
      </c>
      <c r="F62" s="6">
        <v>800</v>
      </c>
      <c r="G62" s="5">
        <v>328</v>
      </c>
      <c r="H62" s="5">
        <v>472</v>
      </c>
      <c r="I62" s="6">
        <v>800</v>
      </c>
      <c r="J62" s="5">
        <v>0</v>
      </c>
      <c r="K62" s="5">
        <v>800</v>
      </c>
      <c r="L62" s="6">
        <v>800</v>
      </c>
      <c r="M62" s="5">
        <v>0</v>
      </c>
      <c r="N62" s="5">
        <v>800</v>
      </c>
      <c r="O62" s="6">
        <f t="shared" si="8"/>
        <v>795</v>
      </c>
      <c r="P62" s="70">
        <f t="shared" si="9"/>
        <v>0.5</v>
      </c>
      <c r="Q62" s="74"/>
      <c r="R62" s="66" t="str">
        <f>IF($C$4="High Inventory",IF(AND(O62&gt;=Summary!$C$119,P62&gt;=Summary!$C$120),"X"," "),IF(AND(O62&lt;=-Summary!$C$119,P62&lt;=-Summary!$C$120),"X"," "))</f>
        <v xml:space="preserve"> </v>
      </c>
      <c r="S62" s="81" t="str">
        <f>IF($C$5="System-Wide"," ",IF($C$4="High Inventory",IF(AND(L62-I62&gt;=Summary!$C$123,N62-K62&gt;Summary!$C$123,N62&gt;0),"X"," "),IF(AND(I62-L62&gt;=Summary!$C$123,K62-N62&gt;Summary!$C$123,N62&lt;0),"X"," ")))</f>
        <v xml:space="preserve"> </v>
      </c>
      <c r="T62" s="8" t="str">
        <f>IF($C$4="High Inventory",IF(AND($O62&gt;=Summary!$C$119,$P62&gt;=0%),"X"," "),IF(AND($O62&lt;=-Summary!$C$119,$P62&lt;=0%),"X"," "))</f>
        <v xml:space="preserve"> </v>
      </c>
      <c r="U62" s="11" t="str">
        <f>IF($C$4="High Inventory",IF(AND($O62&gt;=0,$P62&gt;=Summary!$C$120),"X"," "),IF(AND($O62&lt;=0,$P62&lt;=-Summary!$C$120),"X"," "))</f>
        <v>X</v>
      </c>
      <c r="V62" t="str">
        <f>IF(S62 = "X",L62-I62," ")</f>
        <v xml:space="preserve"> </v>
      </c>
      <c r="W62" t="str">
        <f>IF($C$4="High Inventory",IF(O62&gt;Summary!$C$119,"X"," "),IF(O62&lt;-Summary!$C$119,"X"," "))</f>
        <v xml:space="preserve"> </v>
      </c>
      <c r="X62" t="str">
        <f>IF($C$4="High Inventory",IF(P62&gt;Summary!$C$120,"X"," "),IF(P62&lt;-Summary!$C$120,"X"," "))</f>
        <v>X</v>
      </c>
    </row>
    <row r="63" spans="1:24" x14ac:dyDescent="0.2">
      <c r="A63" s="27">
        <v>928</v>
      </c>
      <c r="B63" s="55" t="s">
        <v>27</v>
      </c>
      <c r="C63" s="6">
        <v>190</v>
      </c>
      <c r="D63" s="5">
        <v>171</v>
      </c>
      <c r="E63" s="5">
        <v>19</v>
      </c>
      <c r="F63" s="6">
        <v>1520</v>
      </c>
      <c r="G63" s="5">
        <v>175</v>
      </c>
      <c r="H63" s="5">
        <v>1345</v>
      </c>
      <c r="I63" s="6">
        <v>1520</v>
      </c>
      <c r="J63" s="5">
        <v>176</v>
      </c>
      <c r="K63" s="5">
        <v>1344</v>
      </c>
      <c r="L63" s="6">
        <v>506</v>
      </c>
      <c r="M63" s="5">
        <v>175</v>
      </c>
      <c r="N63" s="5">
        <v>331</v>
      </c>
      <c r="O63" s="6">
        <f t="shared" ref="O63:O68" si="10">K63+H63+E63</f>
        <v>2708</v>
      </c>
      <c r="P63" s="70">
        <f t="shared" si="9"/>
        <v>5.1778202676864247</v>
      </c>
      <c r="Q63" s="74"/>
      <c r="R63" s="66" t="str">
        <f>IF($C$4="High Inventory",IF(AND(O63&gt;=Summary!$C$119,P63&gt;=Summary!$C$120),"X"," "),IF(AND(O63&lt;=-Summary!$C$119,P63&lt;=-Summary!$C$120),"X"," "))</f>
        <v xml:space="preserve"> </v>
      </c>
      <c r="S63" s="81" t="str">
        <f>IF($C$5="System-Wide"," ",IF($C$4="High Inventory",IF(AND(L63-I63&gt;=Summary!$C$123,N63-K63&gt;Summary!$C$123,N63&gt;0),"X"," "),IF(AND(I63-L63&gt;=Summary!$C$123,K63-N63&gt;Summary!$C$123,N63&lt;0),"X"," ")))</f>
        <v xml:space="preserve"> </v>
      </c>
      <c r="T63" s="8" t="str">
        <f>IF($C$4="High Inventory",IF(AND($O63&gt;=Summary!$C$119,$P63&gt;=0%),"X"," "),IF(AND($O63&lt;=-Summary!$C$119,$P63&lt;=0%),"X"," "))</f>
        <v xml:space="preserve"> </v>
      </c>
      <c r="U63" s="11" t="str">
        <f>IF($C$4="High Inventory",IF(AND($O63&gt;=0,$P63&gt;=Summary!$C$120),"X"," "),IF(AND($O63&lt;=0,$P63&lt;=-Summary!$C$120),"X"," "))</f>
        <v>X</v>
      </c>
      <c r="V63" t="str">
        <f>IF(S63 = "X",L63-I63," ")</f>
        <v xml:space="preserve"> </v>
      </c>
      <c r="W63" t="str">
        <f>IF($C$4="High Inventory",IF(O63&gt;Summary!$C$119,"X"," "),IF(O63&lt;-Summary!$C$119,"X"," "))</f>
        <v xml:space="preserve"> </v>
      </c>
      <c r="X63" t="str">
        <f>IF($C$4="High Inventory",IF(P63&gt;Summary!$C$120,"X"," "),IF(P63&lt;-Summary!$C$120,"X"," "))</f>
        <v>X</v>
      </c>
    </row>
    <row r="64" spans="1:24" x14ac:dyDescent="0.2">
      <c r="A64" s="27">
        <v>5325</v>
      </c>
      <c r="B64" s="55" t="s">
        <v>27</v>
      </c>
      <c r="C64" s="6">
        <v>182</v>
      </c>
      <c r="D64" s="5">
        <v>328</v>
      </c>
      <c r="E64" s="5">
        <v>-146</v>
      </c>
      <c r="F64" s="6">
        <v>182</v>
      </c>
      <c r="G64" s="5">
        <v>17</v>
      </c>
      <c r="H64" s="5">
        <v>165</v>
      </c>
      <c r="I64" s="6">
        <v>182</v>
      </c>
      <c r="J64" s="5">
        <v>0</v>
      </c>
      <c r="K64" s="5">
        <v>182</v>
      </c>
      <c r="L64" s="6">
        <v>182</v>
      </c>
      <c r="M64" s="5">
        <v>176</v>
      </c>
      <c r="N64" s="5">
        <v>6</v>
      </c>
      <c r="O64" s="6">
        <f t="shared" si="10"/>
        <v>201</v>
      </c>
      <c r="P64" s="70">
        <f t="shared" si="9"/>
        <v>0.58092485549132944</v>
      </c>
      <c r="Q64" s="74"/>
      <c r="R64" s="66" t="str">
        <f>IF($C$4="High Inventory",IF(AND(O64&gt;=Summary!$C$119,P64&gt;=Summary!$C$120),"X"," "),IF(AND(O64&lt;=-Summary!$C$119,P64&lt;=-Summary!$C$120),"X"," "))</f>
        <v xml:space="preserve"> </v>
      </c>
      <c r="S64" s="81" t="str">
        <f>IF($C$5="System-Wide"," ",IF($C$4="High Inventory",IF(AND(L64-I64&gt;=Summary!$C$123,N64-K64&gt;Summary!$C$123,N64&gt;0),"X"," "),IF(AND(I64-L64&gt;=Summary!$C$123,K64-N64&gt;Summary!$C$123,N64&lt;0),"X"," ")))</f>
        <v xml:space="preserve"> </v>
      </c>
      <c r="T64" s="8"/>
      <c r="U64" s="11"/>
      <c r="W64" t="str">
        <f>IF($C$4="High Inventory",IF(O64&gt;Summary!$C$119,"X"," "),IF(O64&lt;-Summary!$C$119,"X"," "))</f>
        <v xml:space="preserve"> </v>
      </c>
      <c r="X64" t="str">
        <f>IF($C$4="High Inventory",IF(P64&gt;Summary!$C$120,"X"," "),IF(P64&lt;-Summary!$C$120,"X"," "))</f>
        <v>X</v>
      </c>
    </row>
    <row r="65" spans="1:42" x14ac:dyDescent="0.2">
      <c r="A65" s="27">
        <v>5382</v>
      </c>
      <c r="B65" s="55" t="s">
        <v>27</v>
      </c>
      <c r="C65" s="6">
        <v>150</v>
      </c>
      <c r="D65" s="5">
        <v>0</v>
      </c>
      <c r="E65" s="5">
        <v>150</v>
      </c>
      <c r="F65" s="6">
        <v>150</v>
      </c>
      <c r="G65" s="5">
        <v>1</v>
      </c>
      <c r="H65" s="5">
        <v>149</v>
      </c>
      <c r="I65" s="6">
        <v>150</v>
      </c>
      <c r="J65" s="5">
        <v>0</v>
      </c>
      <c r="K65" s="5">
        <v>150</v>
      </c>
      <c r="L65" s="6">
        <v>50</v>
      </c>
      <c r="M65" s="5">
        <v>130</v>
      </c>
      <c r="N65" s="5">
        <v>-80</v>
      </c>
      <c r="O65" s="6">
        <f t="shared" si="10"/>
        <v>449</v>
      </c>
      <c r="P65" s="70">
        <f t="shared" si="9"/>
        <v>224.5</v>
      </c>
      <c r="Q65" s="74"/>
      <c r="R65" s="66" t="str">
        <f>IF($C$4="High Inventory",IF(AND(O65&gt;=Summary!$C$119,P65&gt;=Summary!$C$120),"X"," "),IF(AND(O65&lt;=-Summary!$C$119,P65&lt;=-Summary!$C$120),"X"," "))</f>
        <v xml:space="preserve"> </v>
      </c>
      <c r="S65" s="81" t="str">
        <f>IF($C$5="System-Wide"," ",IF($C$4="High Inventory",IF(AND(L65-I65&gt;=Summary!$C$123,N65-K65&gt;Summary!$C$123,N65&gt;0),"X"," "),IF(AND(I65-L65&gt;=Summary!$C$123,K65-N65&gt;Summary!$C$123,N65&lt;0),"X"," ")))</f>
        <v xml:space="preserve"> </v>
      </c>
      <c r="T65" s="8" t="str">
        <f>IF($C$4="High Inventory",IF(AND($O65&gt;=Summary!$C$119,$P65&gt;=0%),"X"," "),IF(AND($O65&lt;=-Summary!$C$119,$P65&lt;=0%),"X"," "))</f>
        <v xml:space="preserve"> </v>
      </c>
      <c r="U65" s="11" t="str">
        <f>IF($C$4="High Inventory",IF(AND($O65&gt;=0,$P65&gt;=Summary!$C$120),"X"," "),IF(AND($O65&lt;=0,$P65&lt;=-Summary!$C$120),"X"," "))</f>
        <v>X</v>
      </c>
      <c r="V65" t="str">
        <f>IF(S65 = "X",L65-I65," ")</f>
        <v xml:space="preserve"> </v>
      </c>
      <c r="W65" t="str">
        <f>IF($C$4="High Inventory",IF(O65&gt;Summary!$C$119,"X"," "),IF(O65&lt;-Summary!$C$119,"X"," "))</f>
        <v xml:space="preserve"> </v>
      </c>
      <c r="X65" t="str">
        <f>IF($C$4="High Inventory",IF(P65&gt;Summary!$C$120,"X"," "),IF(P65&lt;-Summary!$C$120,"X"," "))</f>
        <v>X</v>
      </c>
    </row>
    <row r="66" spans="1:42" x14ac:dyDescent="0.2">
      <c r="A66" s="27">
        <v>6581</v>
      </c>
      <c r="B66" s="55" t="s">
        <v>27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5503</v>
      </c>
      <c r="N66" s="5">
        <v>-5503</v>
      </c>
      <c r="O66" s="6">
        <f t="shared" si="10"/>
        <v>0</v>
      </c>
      <c r="P66" s="70">
        <f t="shared" si="9"/>
        <v>0</v>
      </c>
      <c r="Q66" s="74"/>
      <c r="R66" s="66" t="str">
        <f>IF($C$4="High Inventory",IF(AND(O66&gt;=Summary!$C$119,P66&gt;=Summary!$C$120),"X"," "),IF(AND(O66&lt;=-Summary!$C$119,P66&lt;=-Summary!$C$120),"X"," "))</f>
        <v xml:space="preserve"> </v>
      </c>
      <c r="S66" s="81" t="str">
        <f>IF($C$5="System-Wide"," ",IF($C$4="High Inventory",IF(AND(L66-I66&gt;=Summary!$C$123,N66-K66&gt;Summary!$C$123,N66&gt;0),"X"," "),IF(AND(I66-L66&gt;=Summary!$C$123,K66-N66&gt;Summary!$C$123,N66&lt;0),"X"," ")))</f>
        <v xml:space="preserve"> </v>
      </c>
      <c r="T66" s="8"/>
      <c r="U66" s="11"/>
      <c r="W66" t="str">
        <f>IF($C$4="High Inventory",IF(O66&gt;Summary!$C$119,"X"," "),IF(O66&lt;-Summary!$C$119,"X"," "))</f>
        <v xml:space="preserve"> </v>
      </c>
      <c r="X66" t="str">
        <f>IF($C$4="High Inventory",IF(P66&gt;Summary!$C$120,"X"," "),IF(P66&lt;-Summary!$C$120,"X"," "))</f>
        <v xml:space="preserve"> </v>
      </c>
    </row>
    <row r="67" spans="1:42" x14ac:dyDescent="0.2">
      <c r="A67" s="27">
        <v>7602</v>
      </c>
      <c r="B67" s="55" t="s">
        <v>27</v>
      </c>
      <c r="C67" s="6">
        <v>29584</v>
      </c>
      <c r="D67" s="5">
        <v>10827</v>
      </c>
      <c r="E67" s="5">
        <v>18757</v>
      </c>
      <c r="F67" s="6">
        <v>20309</v>
      </c>
      <c r="G67" s="5">
        <v>10866</v>
      </c>
      <c r="H67" s="5">
        <v>9443</v>
      </c>
      <c r="I67" s="6">
        <v>25069</v>
      </c>
      <c r="J67" s="5">
        <v>10805</v>
      </c>
      <c r="K67" s="5">
        <v>14264</v>
      </c>
      <c r="L67" s="6">
        <v>25000</v>
      </c>
      <c r="M67" s="5">
        <v>10637</v>
      </c>
      <c r="N67" s="5">
        <v>14363</v>
      </c>
      <c r="O67" s="6">
        <f t="shared" si="10"/>
        <v>42464</v>
      </c>
      <c r="P67" s="70">
        <f t="shared" si="9"/>
        <v>1.306624819225207</v>
      </c>
      <c r="Q67" s="74"/>
      <c r="R67" s="66" t="str">
        <f>IF($C$4="High Inventory",IF(AND(O67&gt;=Summary!$C$119,P67&gt;=Summary!$C$120),"X"," "),IF(AND(O67&lt;=-Summary!$C$119,P67&lt;=-Summary!$C$120),"X"," "))</f>
        <v>X</v>
      </c>
      <c r="S67" s="81" t="str">
        <f>IF($C$5="System-Wide"," ",IF($C$4="High Inventory",IF(AND(L67-I67&gt;=Summary!$C$123,N67-K67&gt;Summary!$C$123,N67&gt;0),"X"," "),IF(AND(I67-L67&gt;=Summary!$C$123,K67-N67&gt;Summary!$C$123,N67&lt;0),"X"," ")))</f>
        <v xml:space="preserve"> </v>
      </c>
      <c r="T67" s="8" t="str">
        <f>IF($C$4="High Inventory",IF(AND($O67&gt;=Summary!$C$119,$P67&gt;=0%),"X"," "),IF(AND($O67&lt;=-Summary!$C$119,$P67&lt;=0%),"X"," "))</f>
        <v>X</v>
      </c>
      <c r="U67" s="11" t="str">
        <f>IF($C$4="High Inventory",IF(AND($O67&gt;=0,$P67&gt;=Summary!$C$120),"X"," "),IF(AND($O67&lt;=0,$P67&lt;=-Summary!$C$120),"X"," "))</f>
        <v>X</v>
      </c>
      <c r="V67" t="str">
        <f>IF(S67 = "X",L67-I67," ")</f>
        <v xml:space="preserve"> </v>
      </c>
      <c r="W67" t="str">
        <f>IF($C$4="High Inventory",IF(O67&gt;Summary!$C$119,"X"," "),IF(O67&lt;-Summary!$C$119,"X"," "))</f>
        <v>X</v>
      </c>
      <c r="X67" t="str">
        <f>IF($C$4="High Inventory",IF(P67&gt;Summary!$C$120,"X"," "),IF(P67&lt;-Summary!$C$120,"X"," "))</f>
        <v>X</v>
      </c>
    </row>
    <row r="68" spans="1:42" x14ac:dyDescent="0.2">
      <c r="A68" s="27">
        <v>7604</v>
      </c>
      <c r="B68" s="55" t="s">
        <v>27</v>
      </c>
      <c r="C68" s="6">
        <v>40611</v>
      </c>
      <c r="D68" s="5">
        <v>35831</v>
      </c>
      <c r="E68" s="5">
        <v>4780</v>
      </c>
      <c r="F68" s="6">
        <v>45253</v>
      </c>
      <c r="G68" s="5">
        <v>33321</v>
      </c>
      <c r="H68" s="5">
        <v>11932</v>
      </c>
      <c r="I68" s="6">
        <v>49769</v>
      </c>
      <c r="J68" s="5">
        <v>36214</v>
      </c>
      <c r="K68" s="5">
        <v>13555</v>
      </c>
      <c r="L68" s="6">
        <v>34741</v>
      </c>
      <c r="M68" s="5">
        <v>39623</v>
      </c>
      <c r="N68" s="5">
        <v>-4882</v>
      </c>
      <c r="O68" s="6">
        <f t="shared" si="10"/>
        <v>30267</v>
      </c>
      <c r="P68" s="70">
        <f t="shared" ref="P68:P77" si="11">O68/(J68+G68+D68+1)</f>
        <v>0.28725312479239229</v>
      </c>
      <c r="Q68" s="74"/>
      <c r="R68" s="66" t="str">
        <f>IF($C$4="High Inventory",IF(AND(O68&gt;=Summary!$C$119,P68&gt;=Summary!$C$120),"X"," "),IF(AND(O68&lt;=-Summary!$C$119,P68&lt;=-Summary!$C$120),"X"," "))</f>
        <v>X</v>
      </c>
      <c r="S68" s="81" t="str">
        <f>IF($C$5="System-Wide"," ",IF($C$4="High Inventory",IF(AND(L68-I68&gt;=Summary!$C$123,N68-K68&gt;Summary!$C$123,N68&gt;0),"X"," "),IF(AND(I68-L68&gt;=Summary!$C$123,K68-N68&gt;Summary!$C$123,N68&lt;0),"X"," ")))</f>
        <v xml:space="preserve"> </v>
      </c>
      <c r="T68" s="8"/>
      <c r="U68" s="11"/>
      <c r="W68" t="str">
        <f>IF($C$4="High Inventory",IF(O68&gt;Summary!$C$119,"X"," "),IF(O68&lt;-Summary!$C$119,"X"," "))</f>
        <v>X</v>
      </c>
      <c r="X68" t="str">
        <f>IF($C$4="High Inventory",IF(P68&gt;Summary!$C$120,"X"," "),IF(P68&lt;-Summary!$C$120,"X"," "))</f>
        <v>X</v>
      </c>
    </row>
    <row r="69" spans="1:42" x14ac:dyDescent="0.2">
      <c r="A69" s="27">
        <v>13636</v>
      </c>
      <c r="B69" s="55" t="s">
        <v>27</v>
      </c>
      <c r="C69" s="6"/>
      <c r="D69" s="5"/>
      <c r="E69" s="5"/>
      <c r="F69" s="6">
        <v>100</v>
      </c>
      <c r="G69" s="5">
        <v>43</v>
      </c>
      <c r="H69" s="5">
        <v>57</v>
      </c>
      <c r="I69" s="6">
        <v>100</v>
      </c>
      <c r="J69" s="5">
        <v>60</v>
      </c>
      <c r="K69" s="5">
        <v>40</v>
      </c>
      <c r="L69" s="6">
        <v>33</v>
      </c>
      <c r="M69" s="5">
        <v>120</v>
      </c>
      <c r="N69" s="5">
        <v>-87</v>
      </c>
      <c r="O69" s="6">
        <f t="shared" ref="O69:O77" si="12">K69+H69+E69</f>
        <v>97</v>
      </c>
      <c r="P69" s="70">
        <f t="shared" si="11"/>
        <v>0.93269230769230771</v>
      </c>
      <c r="Q69" s="74"/>
      <c r="R69" s="66" t="str">
        <f>IF($C$4="High Inventory",IF(AND(O69&gt;=Summary!$C$119,P69&gt;=Summary!$C$120),"X"," "),IF(AND(O69&lt;=-Summary!$C$119,P69&lt;=-Summary!$C$120),"X"," "))</f>
        <v xml:space="preserve"> </v>
      </c>
      <c r="S69" s="81" t="str">
        <f>IF($C$5="System-Wide"," ",IF($C$4="High Inventory",IF(AND(L69-I69&gt;=Summary!$C$123,N69-K69&gt;Summary!$C$123,N69&gt;0),"X"," "),IF(AND(I69-L69&gt;=Summary!$C$123,K69-N69&gt;Summary!$C$123,N69&lt;0),"X"," ")))</f>
        <v xml:space="preserve"> </v>
      </c>
      <c r="T69" s="8" t="str">
        <f>IF($C$4="High Inventory",IF(AND($O69&gt;=Summary!$C$119,$P69&gt;=0%),"X"," "),IF(AND($O69&lt;=-Summary!$C$119,$P69&lt;=0%),"X"," "))</f>
        <v xml:space="preserve"> </v>
      </c>
      <c r="U69" s="11" t="str">
        <f>IF($C$4="High Inventory",IF(AND($O69&gt;=0,$P69&gt;=Summary!$C$120),"X"," "),IF(AND($O69&lt;=0,$P69&lt;=-Summary!$C$120),"X"," "))</f>
        <v>X</v>
      </c>
      <c r="V69" t="str">
        <f t="shared" si="5"/>
        <v xml:space="preserve"> </v>
      </c>
      <c r="W69" t="str">
        <f>IF($C$4="High Inventory",IF(O69&gt;Summary!$C$119,"X"," "),IF(O69&lt;-Summary!$C$119,"X"," "))</f>
        <v xml:space="preserve"> </v>
      </c>
      <c r="X69" t="str">
        <f>IF($C$4="High Inventory",IF(P69&gt;Summary!$C$120,"X"," "),IF(P69&lt;-Summary!$C$120,"X"," "))</f>
        <v>X</v>
      </c>
    </row>
    <row r="70" spans="1:42" x14ac:dyDescent="0.2">
      <c r="A70" s="27">
        <v>18586</v>
      </c>
      <c r="B70" s="55" t="s">
        <v>27</v>
      </c>
      <c r="C70" s="6">
        <v>1</v>
      </c>
      <c r="D70" s="5">
        <v>0</v>
      </c>
      <c r="E70" s="5">
        <v>1</v>
      </c>
      <c r="F70" s="6">
        <v>1</v>
      </c>
      <c r="G70" s="5">
        <v>0</v>
      </c>
      <c r="H70" s="5">
        <v>1</v>
      </c>
      <c r="I70" s="6">
        <v>1</v>
      </c>
      <c r="J70" s="5">
        <v>0</v>
      </c>
      <c r="K70" s="5">
        <v>1</v>
      </c>
      <c r="L70" s="6">
        <v>1</v>
      </c>
      <c r="M70" s="5">
        <v>0</v>
      </c>
      <c r="N70" s="5">
        <v>1</v>
      </c>
      <c r="O70" s="6">
        <f t="shared" si="12"/>
        <v>3</v>
      </c>
      <c r="P70" s="70">
        <f t="shared" si="11"/>
        <v>3</v>
      </c>
      <c r="Q70" s="74"/>
      <c r="R70" s="66" t="str">
        <f>IF($C$4="High Inventory",IF(AND(O70&gt;=Summary!$C$119,P70&gt;=Summary!$C$120),"X"," "),IF(AND(O70&lt;=-Summary!$C$119,P70&lt;=-Summary!$C$120),"X"," "))</f>
        <v xml:space="preserve"> </v>
      </c>
      <c r="S70" s="81" t="str">
        <f>IF($C$5="System-Wide"," ",IF($C$4="High Inventory",IF(AND(L70-I70&gt;=Summary!$C$123,N70-K70&gt;Summary!$C$123,N70&gt;0),"X"," "),IF(AND(I70-L70&gt;=Summary!$C$123,K70-N70&gt;Summary!$C$123,N70&lt;0),"X"," ")))</f>
        <v xml:space="preserve"> </v>
      </c>
      <c r="T70" s="8"/>
      <c r="U70" s="11"/>
      <c r="W70" t="str">
        <f>IF($C$4="High Inventory",IF(O70&gt;Summary!$C$119,"X"," "),IF(O70&lt;-Summary!$C$119,"X"," "))</f>
        <v xml:space="preserve"> </v>
      </c>
      <c r="X70" t="str">
        <f>IF($C$4="High Inventory",IF(P70&gt;Summary!$C$120,"X"," "),IF(P70&lt;-Summary!$C$120,"X"," "))</f>
        <v>X</v>
      </c>
    </row>
    <row r="71" spans="1:42" x14ac:dyDescent="0.2">
      <c r="A71" s="27">
        <v>30511</v>
      </c>
      <c r="B71" s="55" t="s">
        <v>27</v>
      </c>
      <c r="C71" s="6">
        <v>500</v>
      </c>
      <c r="D71" s="5">
        <v>501</v>
      </c>
      <c r="E71" s="5">
        <v>-1</v>
      </c>
      <c r="F71" s="6">
        <v>500</v>
      </c>
      <c r="G71" s="5">
        <v>487</v>
      </c>
      <c r="H71" s="5">
        <v>13</v>
      </c>
      <c r="I71" s="6">
        <v>500</v>
      </c>
      <c r="J71" s="5">
        <v>492</v>
      </c>
      <c r="K71" s="5">
        <v>8</v>
      </c>
      <c r="L71" s="6">
        <v>450</v>
      </c>
      <c r="M71" s="5">
        <v>421</v>
      </c>
      <c r="N71" s="5">
        <v>29</v>
      </c>
      <c r="O71" s="6">
        <f t="shared" si="12"/>
        <v>20</v>
      </c>
      <c r="P71" s="70">
        <f t="shared" si="11"/>
        <v>1.350438892640108E-2</v>
      </c>
      <c r="Q71" s="74"/>
      <c r="R71" s="66" t="str">
        <f>IF($C$4="High Inventory",IF(AND(O71&gt;=Summary!$C$119,P71&gt;=Summary!$C$120),"X"," "),IF(AND(O71&lt;=-Summary!$C$119,P71&lt;=-Summary!$C$120),"X"," "))</f>
        <v xml:space="preserve"> </v>
      </c>
      <c r="S71" s="81" t="str">
        <f>IF($C$5="System-Wide"," ",IF($C$4="High Inventory",IF(AND(L71-I71&gt;=Summary!$C$123,N71-K71&gt;Summary!$C$123,N71&gt;0),"X"," "),IF(AND(I71-L71&gt;=Summary!$C$123,K71-N71&gt;Summary!$C$123,N71&lt;0),"X"," ")))</f>
        <v xml:space="preserve"> </v>
      </c>
      <c r="T71" s="8"/>
      <c r="U71" s="11"/>
      <c r="W71" t="str">
        <f>IF($C$4="High Inventory",IF(O71&gt;Summary!$C$119,"X"," "),IF(O71&lt;-Summary!$C$119,"X"," "))</f>
        <v xml:space="preserve"> </v>
      </c>
      <c r="X71" t="str">
        <f>IF($C$4="High Inventory",IF(P71&gt;Summary!$C$120,"X"," "),IF(P71&lt;-Summary!$C$120,"X"," "))</f>
        <v xml:space="preserve"> </v>
      </c>
    </row>
    <row r="72" spans="1:42" x14ac:dyDescent="0.2">
      <c r="A72" s="27">
        <v>35475</v>
      </c>
      <c r="B72" s="55" t="s">
        <v>27</v>
      </c>
      <c r="C72" s="6">
        <v>9228</v>
      </c>
      <c r="D72" s="5">
        <v>5798</v>
      </c>
      <c r="E72" s="5">
        <v>3430</v>
      </c>
      <c r="F72" s="6">
        <v>15588</v>
      </c>
      <c r="G72" s="5">
        <v>13186</v>
      </c>
      <c r="H72" s="5">
        <v>2402</v>
      </c>
      <c r="I72" s="6">
        <v>15588</v>
      </c>
      <c r="J72" s="5">
        <v>15287</v>
      </c>
      <c r="K72" s="5">
        <v>301</v>
      </c>
      <c r="L72" s="6">
        <v>16669</v>
      </c>
      <c r="M72" s="5">
        <v>17000</v>
      </c>
      <c r="N72" s="5">
        <v>-331</v>
      </c>
      <c r="O72" s="6">
        <f t="shared" si="12"/>
        <v>6133</v>
      </c>
      <c r="P72" s="70">
        <f t="shared" si="11"/>
        <v>0.17895074696545285</v>
      </c>
      <c r="Q72" s="74"/>
      <c r="R72" s="66" t="str">
        <f>IF($C$4="High Inventory",IF(AND(O72&gt;=Summary!$C$119,P72&gt;=Summary!$C$120),"X"," "),IF(AND(O72&lt;=-Summary!$C$119,P72&lt;=-Summary!$C$120),"X"," "))</f>
        <v>X</v>
      </c>
      <c r="S72" s="81" t="str">
        <f>IF($C$5="System-Wide"," ",IF($C$4="High Inventory",IF(AND(L72-I72&gt;=Summary!$C$123,N72-K72&gt;Summary!$C$123,N72&gt;0),"X"," "),IF(AND(I72-L72&gt;=Summary!$C$123,K72-N72&gt;Summary!$C$123,N72&lt;0),"X"," ")))</f>
        <v xml:space="preserve"> </v>
      </c>
      <c r="T72" s="8"/>
      <c r="U72" s="11"/>
      <c r="W72" t="str">
        <f>IF($C$4="High Inventory",IF(O72&gt;Summary!$C$119,"X"," "),IF(O72&lt;-Summary!$C$119,"X"," "))</f>
        <v>X</v>
      </c>
      <c r="X72" t="str">
        <f>IF($C$4="High Inventory",IF(P72&gt;Summary!$C$120,"X"," "),IF(P72&lt;-Summary!$C$120,"X"," "))</f>
        <v>X</v>
      </c>
    </row>
    <row r="73" spans="1:42" x14ac:dyDescent="0.2">
      <c r="A73" s="27">
        <v>36570</v>
      </c>
      <c r="B73" s="55" t="s">
        <v>27</v>
      </c>
      <c r="C73" s="6">
        <v>304</v>
      </c>
      <c r="D73" s="5">
        <v>238</v>
      </c>
      <c r="E73" s="5">
        <v>66</v>
      </c>
      <c r="F73" s="6">
        <v>304</v>
      </c>
      <c r="G73" s="5">
        <v>178</v>
      </c>
      <c r="H73" s="5">
        <v>126</v>
      </c>
      <c r="I73" s="6">
        <v>304</v>
      </c>
      <c r="J73" s="5">
        <v>125</v>
      </c>
      <c r="K73" s="5">
        <v>179</v>
      </c>
      <c r="L73" s="6">
        <v>250</v>
      </c>
      <c r="M73" s="5">
        <v>137</v>
      </c>
      <c r="N73" s="5">
        <v>113</v>
      </c>
      <c r="O73" s="6">
        <f t="shared" si="12"/>
        <v>371</v>
      </c>
      <c r="P73" s="70">
        <f t="shared" si="11"/>
        <v>0.68450184501845024</v>
      </c>
      <c r="Q73" s="74"/>
      <c r="R73" s="66" t="str">
        <f>IF($C$4="High Inventory",IF(AND(O73&gt;=Summary!$C$119,P73&gt;=Summary!$C$120),"X"," "),IF(AND(O73&lt;=-Summary!$C$119,P73&lt;=-Summary!$C$120),"X"," "))</f>
        <v xml:space="preserve"> </v>
      </c>
      <c r="S73" s="81" t="str">
        <f>IF($C$5="System-Wide"," ",IF($C$4="High Inventory",IF(AND(L73-I73&gt;=Summary!$C$123,N73-K73&gt;Summary!$C$123,N73&gt;0),"X"," "),IF(AND(I73-L73&gt;=Summary!$C$123,K73-N73&gt;Summary!$C$123,N73&lt;0),"X"," ")))</f>
        <v xml:space="preserve"> </v>
      </c>
      <c r="T73" s="8" t="str">
        <f>IF($C$4="High Inventory",IF(AND($O73&gt;=Summary!$C$119,$P73&gt;=0%),"X"," "),IF(AND($O73&lt;=-Summary!$C$119,$P73&lt;=0%),"X"," "))</f>
        <v xml:space="preserve"> </v>
      </c>
      <c r="U73" s="11" t="str">
        <f>IF($C$4="High Inventory",IF(AND($O73&gt;=0,$P73&gt;=Summary!$C$120),"X"," "),IF(AND($O73&lt;=0,$P73&lt;=-Summary!$C$120),"X"," "))</f>
        <v>X</v>
      </c>
      <c r="V73" t="str">
        <f t="shared" si="5"/>
        <v xml:space="preserve"> </v>
      </c>
      <c r="W73" t="str">
        <f>IF($C$4="High Inventory",IF(O73&gt;Summary!$C$119,"X"," "),IF(O73&lt;-Summary!$C$119,"X"," "))</f>
        <v xml:space="preserve"> </v>
      </c>
      <c r="X73" t="str">
        <f>IF($C$4="High Inventory",IF(P73&gt;Summary!$C$120,"X"," "),IF(P73&lt;-Summary!$C$120,"X"," "))</f>
        <v>X</v>
      </c>
    </row>
    <row r="74" spans="1:42" x14ac:dyDescent="0.2">
      <c r="A74" s="27"/>
      <c r="B74" s="55"/>
      <c r="C74" s="6"/>
      <c r="D74" s="5"/>
      <c r="E74" s="5"/>
      <c r="F74" s="6"/>
      <c r="G74" s="5"/>
      <c r="H74" s="5"/>
      <c r="I74" s="6"/>
      <c r="J74" s="5"/>
      <c r="K74" s="5"/>
      <c r="L74" s="6"/>
      <c r="M74" s="5"/>
      <c r="N74" s="5"/>
      <c r="O74" s="6">
        <f t="shared" si="12"/>
        <v>0</v>
      </c>
      <c r="P74" s="70">
        <f t="shared" si="11"/>
        <v>0</v>
      </c>
      <c r="Q74" s="74"/>
      <c r="R74" s="66" t="str">
        <f>IF($C$4="High Inventory",IF(AND(O74&gt;=Summary!$C$119,P74&gt;=Summary!$C$120),"X"," "),IF(AND(O74&lt;=-Summary!$C$119,P74&lt;=-Summary!$C$120),"X"," "))</f>
        <v xml:space="preserve"> </v>
      </c>
      <c r="S74" s="81" t="str">
        <f>IF($C$5="System-Wide"," ",IF($C$4="High Inventory",IF(AND(L74-I74&gt;=Summary!$C$123,N74-K74&gt;Summary!$C$123,N74&gt;0),"X"," "),IF(AND(I74-L74&gt;=Summary!$C$123,K74-N74&gt;Summary!$C$123,N74&lt;0),"X"," ")))</f>
        <v xml:space="preserve"> </v>
      </c>
      <c r="T74" s="8" t="str">
        <f>IF($C$4="High Inventory",IF(AND($O74&gt;=Summary!$C$119,$P74&gt;=0%),"X"," "),IF(AND($O74&lt;=-Summary!$C$119,$P74&lt;=0%),"X"," "))</f>
        <v xml:space="preserve"> </v>
      </c>
      <c r="U74" s="11" t="str">
        <f>IF($C$4="High Inventory",IF(AND($O74&gt;=0,$P74&gt;=Summary!$C$120),"X"," "),IF(AND($O74&lt;=0,$P74&lt;=-Summary!$C$120),"X"," "))</f>
        <v xml:space="preserve"> </v>
      </c>
      <c r="V74" t="str">
        <f t="shared" si="5"/>
        <v xml:space="preserve"> </v>
      </c>
      <c r="W74" t="str">
        <f>IF($C$4="High Inventory",IF(O74&gt;Summary!$C$119,"X"," "),IF(O74&lt;-Summary!$C$119,"X"," "))</f>
        <v xml:space="preserve"> </v>
      </c>
      <c r="X74" t="str">
        <f>IF($C$4="High Inventory",IF(P74&gt;Summary!$C$120,"X"," "),IF(P74&lt;-Summary!$C$120,"X"," "))</f>
        <v xml:space="preserve"> </v>
      </c>
    </row>
    <row r="75" spans="1:42" x14ac:dyDescent="0.2">
      <c r="A75" s="27"/>
      <c r="B75" s="55"/>
      <c r="C75" s="6"/>
      <c r="D75" s="5"/>
      <c r="E75" s="5"/>
      <c r="F75" s="6"/>
      <c r="G75" s="5"/>
      <c r="H75" s="5"/>
      <c r="I75" s="6"/>
      <c r="J75" s="5"/>
      <c r="K75" s="5"/>
      <c r="L75" s="6"/>
      <c r="M75" s="5"/>
      <c r="N75" s="5"/>
      <c r="O75" s="6">
        <f t="shared" si="12"/>
        <v>0</v>
      </c>
      <c r="P75" s="70">
        <f t="shared" si="11"/>
        <v>0</v>
      </c>
      <c r="Q75" s="74"/>
      <c r="R75" s="66" t="str">
        <f>IF($C$4="High Inventory",IF(AND(O75&gt;=Summary!$C$119,P75&gt;=Summary!$C$120),"X"," "),IF(AND(O75&lt;=-Summary!$C$119,P75&lt;=-Summary!$C$120),"X"," "))</f>
        <v xml:space="preserve"> </v>
      </c>
      <c r="S75" s="81" t="str">
        <f>IF($C$5="System-Wide"," ",IF($C$4="High Inventory",IF(AND(L75-I75&gt;=Summary!$C$123,N75-K75&gt;Summary!$C$123,N75&gt;0),"X"," "),IF(AND(I75-L75&gt;=Summary!$C$123,K75-N75&gt;Summary!$C$123,N75&lt;0),"X"," ")))</f>
        <v xml:space="preserve"> </v>
      </c>
      <c r="T75" s="8" t="str">
        <f>IF($C$4="High Inventory",IF(AND($O75&gt;=Summary!$C$119,$P75&gt;=0%),"X"," "),IF(AND($O75&lt;=-Summary!$C$119,$P75&lt;=0%),"X"," "))</f>
        <v xml:space="preserve"> </v>
      </c>
      <c r="U75" s="11" t="str">
        <f>IF($C$4="High Inventory",IF(AND($O75&gt;=0,$P75&gt;=Summary!$C$120),"X"," "),IF(AND($O75&lt;=0,$P75&lt;=-Summary!$C$120),"X"," "))</f>
        <v xml:space="preserve"> </v>
      </c>
      <c r="V75" t="str">
        <f t="shared" si="5"/>
        <v xml:space="preserve"> </v>
      </c>
      <c r="W75" t="str">
        <f>IF($C$4="High Inventory",IF(O75&gt;Summary!$C$119,"X"," "),IF(O75&lt;-Summary!$C$119,"X"," "))</f>
        <v xml:space="preserve"> </v>
      </c>
      <c r="X75" t="str">
        <f>IF($C$4="High Inventory",IF(P75&gt;Summary!$C$120,"X"," "),IF(P75&lt;-Summary!$C$120,"X"," "))</f>
        <v xml:space="preserve"> </v>
      </c>
    </row>
    <row r="76" spans="1:42" x14ac:dyDescent="0.2">
      <c r="A76" s="27"/>
      <c r="B76" s="55"/>
      <c r="C76" s="6"/>
      <c r="D76" s="5"/>
      <c r="E76" s="5"/>
      <c r="F76" s="6"/>
      <c r="G76" s="5"/>
      <c r="H76" s="5"/>
      <c r="I76" s="6"/>
      <c r="J76" s="5"/>
      <c r="K76" s="5"/>
      <c r="L76" s="6"/>
      <c r="M76" s="5"/>
      <c r="N76" s="5"/>
      <c r="O76" s="6">
        <f t="shared" si="12"/>
        <v>0</v>
      </c>
      <c r="P76" s="70">
        <f t="shared" si="11"/>
        <v>0</v>
      </c>
      <c r="Q76" s="74"/>
      <c r="R76" s="66" t="str">
        <f>IF($C$4="High Inventory",IF(AND(O76&gt;=Summary!$C$119,P76&gt;=Summary!$C$120),"X"," "),IF(AND(O76&lt;=-Summary!$C$119,P76&lt;=-Summary!$C$120),"X"," "))</f>
        <v xml:space="preserve"> </v>
      </c>
      <c r="S76" s="81" t="str">
        <f>IF($C$5="System-Wide"," ",IF($C$4="High Inventory",IF(AND(L76-I76&gt;=Summary!$C$123,N76-K76&gt;Summary!$C$123,N76&gt;0),"X"," "),IF(AND(I76-L76&gt;=Summary!$C$123,K76-N76&gt;Summary!$C$123,N76&lt;0),"X"," ")))</f>
        <v xml:space="preserve"> </v>
      </c>
      <c r="T76" s="8" t="str">
        <f>IF($C$4="High Inventory",IF(AND($O76&gt;=Summary!$C$119,$P76&gt;=0%),"X"," "),IF(AND($O76&lt;=-Summary!$C$119,$P76&lt;=0%),"X"," "))</f>
        <v xml:space="preserve"> </v>
      </c>
      <c r="U76" s="11" t="str">
        <f>IF($C$4="High Inventory",IF(AND($O76&gt;=0,$P76&gt;=Summary!$C$120),"X"," "),IF(AND($O76&lt;=0,$P76&lt;=-Summary!$C$120),"X"," "))</f>
        <v xml:space="preserve"> </v>
      </c>
      <c r="V76" t="str">
        <f>IF(S76 = "X",L76-I76," ")</f>
        <v xml:space="preserve"> </v>
      </c>
      <c r="W76" t="str">
        <f>IF($C$4="High Inventory",IF(O76&gt;Summary!$C$119,"X"," "),IF(O76&lt;-Summary!$C$119,"X"," "))</f>
        <v xml:space="preserve"> </v>
      </c>
      <c r="X76" t="str">
        <f>IF($C$4="High Inventory",IF(P76&gt;Summary!$C$120,"X"," "),IF(P76&lt;-Summary!$C$120,"X"," "))</f>
        <v xml:space="preserve"> </v>
      </c>
    </row>
    <row r="77" spans="1:42" ht="13.5" thickBot="1" x14ac:dyDescent="0.25">
      <c r="A77" s="27"/>
      <c r="B77" s="55"/>
      <c r="C77" s="6"/>
      <c r="D77" s="5"/>
      <c r="E77" s="5"/>
      <c r="F77" s="6"/>
      <c r="G77" s="5"/>
      <c r="H77" s="5"/>
      <c r="I77" s="6"/>
      <c r="J77" s="5"/>
      <c r="K77" s="5"/>
      <c r="L77" s="6"/>
      <c r="M77" s="5"/>
      <c r="N77" s="5"/>
      <c r="O77" s="6">
        <f t="shared" si="12"/>
        <v>0</v>
      </c>
      <c r="P77" s="70">
        <f t="shared" si="11"/>
        <v>0</v>
      </c>
      <c r="Q77" s="87" t="str">
        <f>" "</f>
        <v xml:space="preserve"> </v>
      </c>
      <c r="R77" s="88" t="str">
        <f>IF($C$4="High Inventory",IF(AND(O77&gt;=Summary!$C$119,P77&gt;=Summary!$C$120),"X"," "),IF(AND(O77&lt;=-Summary!$C$119,P77&lt;=-Summary!$C$120),"X"," "))</f>
        <v xml:space="preserve"> </v>
      </c>
      <c r="S77" s="81" t="str">
        <f>IF($C$5="System-Wide"," ",IF($C$4="High Inventory",IF(AND(L77-I77&gt;=Summary!$C$123,N77-K77&gt;Summary!$C$123,N77&gt;0),"X"," "),IF(AND(I77-L77&gt;=Summary!$C$123,K77-N77&gt;Summary!$C$123,N77&lt;0),"X"," ")))</f>
        <v xml:space="preserve"> </v>
      </c>
      <c r="T77" s="90" t="str">
        <f>IF($C$4="High Inventory",IF(AND($O77&gt;=Summary!$C$119,$P77&gt;=0%),"X"," "),IF(AND($O77&lt;=-Summary!$C$119,$P77&lt;=0%),"X"," "))</f>
        <v xml:space="preserve"> </v>
      </c>
      <c r="U77" s="13" t="str">
        <f>IF($C$4="High Inventory",IF(AND($O77&gt;=0,$P77&gt;=Summary!$C$120),"X"," "),IF(AND($O77&lt;=0,$P77&lt;=-Summary!$C$120),"X"," "))</f>
        <v xml:space="preserve"> </v>
      </c>
      <c r="V77" t="str">
        <f>IF(S77 = "X",L77-I77," ")</f>
        <v xml:space="preserve"> </v>
      </c>
    </row>
    <row r="78" spans="1:42" s="3" customFormat="1" x14ac:dyDescent="0.2">
      <c r="A78" s="2" t="s">
        <v>28</v>
      </c>
      <c r="B78" s="2"/>
      <c r="E78" s="3">
        <f>SUM(E10:E77)</f>
        <v>-137010</v>
      </c>
      <c r="H78" s="3">
        <f>SUM(H10:H77)</f>
        <v>331037</v>
      </c>
      <c r="K78" s="3">
        <f>SUM(K10:K77)</f>
        <v>417804</v>
      </c>
      <c r="M78" s="3">
        <f>SUM(M10:M77)</f>
        <v>2437149</v>
      </c>
      <c r="N78" s="3">
        <f>SUM(N10:N77)</f>
        <v>130606</v>
      </c>
      <c r="P78" s="12"/>
      <c r="Q78" s="2">
        <f>COUNTIF(Q10:Q77,"X")</f>
        <v>0</v>
      </c>
      <c r="R78" s="2">
        <f>COUNTIF(R10:R77,"X")</f>
        <v>14</v>
      </c>
      <c r="S78" s="2">
        <f>COUNTIF(S10:S77,"X")</f>
        <v>0</v>
      </c>
      <c r="T78" s="2">
        <f>COUNTIF(T10:T77,"X")</f>
        <v>14</v>
      </c>
      <c r="U78" s="2">
        <f>COUNTIF(U10:U77,"X")</f>
        <v>31</v>
      </c>
      <c r="V78">
        <f>SUM(V$46:V$67)+SUM(V$26:V$42)+SUM(V$10:V$25)</f>
        <v>0</v>
      </c>
      <c r="W78" s="2">
        <f>COUNTIF(W10:W77,"X")</f>
        <v>16</v>
      </c>
      <c r="X78" s="2">
        <f>COUNTIF(X10:X77,"X")</f>
        <v>40</v>
      </c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</row>
    <row r="79" spans="1:42" x14ac:dyDescent="0.2">
      <c r="M79" s="85" t="s">
        <v>51</v>
      </c>
      <c r="N79" s="86">
        <f>N78/M78</f>
        <v>5.3589665629799409E-2</v>
      </c>
      <c r="P79" s="1"/>
      <c r="R79" s="2" t="str">
        <f>IF(AND(O79&gt;=5000,P79&gt;=10%),"X"," ")</f>
        <v xml:space="preserve"> </v>
      </c>
      <c r="S79" s="2" t="str">
        <f>IF(AND(L79-I79&gt;=5000,N79-K79&gt;5000,N79&gt;0),"X"," ")</f>
        <v xml:space="preserve"> </v>
      </c>
    </row>
    <row r="80" spans="1:42" x14ac:dyDescent="0.2">
      <c r="P80" s="1"/>
      <c r="R80" s="2" t="str">
        <f>IF(AND(O80&gt;=5000,P80&gt;=10%),"X"," ")</f>
        <v xml:space="preserve"> </v>
      </c>
      <c r="S80" s="2" t="str">
        <f>IF(AND(L80-I80&gt;=5000,N80-K80&gt;5000,N80&gt;0),"X"," ")</f>
        <v xml:space="preserve"> </v>
      </c>
    </row>
  </sheetData>
  <phoneticPr fontId="0" type="noConversion"/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A6" sqref="A6"/>
    </sheetView>
  </sheetViews>
  <sheetFormatPr defaultColWidth="7.85546875" defaultRowHeight="12.75" x14ac:dyDescent="0.2"/>
  <cols>
    <col min="1" max="1" width="9.42578125" style="28" customWidth="1"/>
    <col min="2" max="2" width="10" style="28" customWidth="1"/>
    <col min="3" max="19" width="10" customWidth="1"/>
    <col min="20" max="22" width="10" hidden="1" customWidth="1"/>
    <col min="23" max="42" width="7.85546875" style="14" customWidth="1"/>
    <col min="43" max="252" width="9.140625" customWidth="1"/>
  </cols>
  <sheetData>
    <row r="1" spans="1:42" ht="18" x14ac:dyDescent="0.25">
      <c r="A1" s="56" t="s">
        <v>0</v>
      </c>
    </row>
    <row r="2" spans="1:42" ht="20.25" customHeight="1" x14ac:dyDescent="0.2">
      <c r="A2" s="83" t="s">
        <v>34</v>
      </c>
    </row>
    <row r="3" spans="1:42" ht="15.75" x14ac:dyDescent="0.25">
      <c r="A3" s="57" t="s">
        <v>35</v>
      </c>
      <c r="C3" s="10">
        <f>L8</f>
        <v>36943</v>
      </c>
      <c r="D3" s="9"/>
    </row>
    <row r="4" spans="1:42" ht="15.75" x14ac:dyDescent="0.25">
      <c r="A4" s="57" t="s">
        <v>36</v>
      </c>
      <c r="C4" s="4" t="s">
        <v>54</v>
      </c>
      <c r="E4" s="91" t="s">
        <v>63</v>
      </c>
      <c r="G4" s="4" t="s">
        <v>55</v>
      </c>
    </row>
    <row r="5" spans="1:42" ht="16.5" thickBot="1" x14ac:dyDescent="0.3">
      <c r="A5" s="57" t="s">
        <v>39</v>
      </c>
      <c r="C5" s="4" t="s">
        <v>53</v>
      </c>
      <c r="E5" s="57"/>
    </row>
    <row r="6" spans="1:42" ht="21.75" customHeight="1" thickBot="1" x14ac:dyDescent="0.25">
      <c r="R6" s="143" t="s">
        <v>41</v>
      </c>
      <c r="S6" s="144"/>
    </row>
    <row r="7" spans="1:42" s="61" customFormat="1" ht="54" customHeight="1" thickBot="1" x14ac:dyDescent="0.25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1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5" customHeight="1" thickBot="1" x14ac:dyDescent="0.25">
      <c r="A8" s="161"/>
      <c r="B8" s="162"/>
      <c r="C8" s="159">
        <f>C9</f>
        <v>36940</v>
      </c>
      <c r="D8" s="163"/>
      <c r="E8" s="164" t="str">
        <f>TEXT(WEEKDAY(C8),"dddd")</f>
        <v>Sunday</v>
      </c>
      <c r="F8" s="157">
        <f>F9</f>
        <v>36941</v>
      </c>
      <c r="G8" s="163"/>
      <c r="H8" s="164" t="str">
        <f>TEXT(WEEKDAY(F8),"dddd")</f>
        <v>Monday</v>
      </c>
      <c r="I8" s="165">
        <f>I9</f>
        <v>36942</v>
      </c>
      <c r="J8" s="163"/>
      <c r="K8" s="164" t="str">
        <f>TEXT(WEEKDAY(I8),"dddd")</f>
        <v>Tuesday</v>
      </c>
      <c r="L8" s="165">
        <f>L9</f>
        <v>36943</v>
      </c>
      <c r="M8" s="163"/>
      <c r="N8" s="164" t="str">
        <f>TEXT(WEEKDAY(L8),"dddd")</f>
        <v>Wednesday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8" hidden="1" x14ac:dyDescent="0.2">
      <c r="A9" s="27"/>
      <c r="B9" s="55"/>
      <c r="C9" s="146">
        <v>36940</v>
      </c>
      <c r="D9" s="148">
        <v>36940</v>
      </c>
      <c r="E9" s="148">
        <v>36940</v>
      </c>
      <c r="F9" s="149">
        <v>36941</v>
      </c>
      <c r="G9" s="148">
        <v>36941</v>
      </c>
      <c r="H9" s="148">
        <v>36941</v>
      </c>
      <c r="I9" s="149">
        <v>36942</v>
      </c>
      <c r="J9" s="148">
        <v>36942</v>
      </c>
      <c r="K9" s="148">
        <v>36942</v>
      </c>
      <c r="L9" s="149">
        <v>36943</v>
      </c>
      <c r="M9" s="148">
        <v>36943</v>
      </c>
      <c r="N9" s="148">
        <v>36943</v>
      </c>
      <c r="O9" s="6">
        <f t="shared" ref="O9:O29" si="0">K9+H9+E9</f>
        <v>110823</v>
      </c>
      <c r="P9" s="68"/>
      <c r="Q9" s="65"/>
      <c r="R9" s="63"/>
      <c r="S9" s="69"/>
      <c r="T9" s="65"/>
      <c r="U9" s="64"/>
    </row>
    <row r="10" spans="1:42" x14ac:dyDescent="0.2">
      <c r="A10" s="27">
        <v>1117</v>
      </c>
      <c r="B10" s="55" t="s">
        <v>25</v>
      </c>
      <c r="C10" s="6">
        <v>479</v>
      </c>
      <c r="D10" s="5">
        <v>384</v>
      </c>
      <c r="E10" s="5">
        <v>95</v>
      </c>
      <c r="F10" s="6">
        <v>479</v>
      </c>
      <c r="G10" s="5">
        <v>418</v>
      </c>
      <c r="H10" s="5">
        <v>61</v>
      </c>
      <c r="I10" s="6">
        <v>479</v>
      </c>
      <c r="J10" s="5">
        <v>435</v>
      </c>
      <c r="K10" s="5">
        <v>44</v>
      </c>
      <c r="L10" s="6">
        <v>479</v>
      </c>
      <c r="M10" s="5">
        <v>428</v>
      </c>
      <c r="N10" s="5">
        <v>51</v>
      </c>
      <c r="O10" s="6">
        <f t="shared" si="0"/>
        <v>200</v>
      </c>
      <c r="P10" s="70">
        <f t="shared" ref="P10:P30" si="1">O10/(J10+G10+D10+1)</f>
        <v>0.16155088852988692</v>
      </c>
      <c r="Q10" s="176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 xml:space="preserve"> </v>
      </c>
      <c r="V10" t="str">
        <f t="shared" ref="V10:V30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 xml:space="preserve"> </v>
      </c>
    </row>
    <row r="11" spans="1:42" x14ac:dyDescent="0.2">
      <c r="A11" s="27">
        <v>1126</v>
      </c>
      <c r="B11" s="55" t="s">
        <v>25</v>
      </c>
      <c r="C11" s="6">
        <v>1750</v>
      </c>
      <c r="D11" s="5">
        <v>1101</v>
      </c>
      <c r="E11" s="5">
        <v>649</v>
      </c>
      <c r="F11" s="6">
        <v>1750</v>
      </c>
      <c r="G11" s="5">
        <v>1176</v>
      </c>
      <c r="H11" s="5">
        <v>574</v>
      </c>
      <c r="I11" s="6">
        <v>1750</v>
      </c>
      <c r="J11" s="5">
        <v>1243</v>
      </c>
      <c r="K11" s="5">
        <v>507</v>
      </c>
      <c r="L11" s="6">
        <v>1750</v>
      </c>
      <c r="M11" s="5">
        <v>1222</v>
      </c>
      <c r="N11" s="5">
        <v>528</v>
      </c>
      <c r="O11" s="6">
        <f t="shared" si="0"/>
        <v>1730</v>
      </c>
      <c r="P11" s="70">
        <f t="shared" si="1"/>
        <v>0.49133768815677364</v>
      </c>
      <c r="Q11" s="176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 xml:space="preserve"> 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 xml:space="preserve"> </v>
      </c>
    </row>
    <row r="12" spans="1:42" x14ac:dyDescent="0.2">
      <c r="A12" s="27">
        <v>1157</v>
      </c>
      <c r="B12" s="55" t="s">
        <v>25</v>
      </c>
      <c r="C12" s="6">
        <v>128</v>
      </c>
      <c r="D12" s="5">
        <v>138</v>
      </c>
      <c r="E12" s="5">
        <v>-10</v>
      </c>
      <c r="F12" s="6">
        <v>128</v>
      </c>
      <c r="G12" s="5">
        <v>157</v>
      </c>
      <c r="H12" s="5">
        <v>-29</v>
      </c>
      <c r="I12" s="6">
        <v>128</v>
      </c>
      <c r="J12" s="5">
        <v>166</v>
      </c>
      <c r="K12" s="5">
        <v>-38</v>
      </c>
      <c r="L12" s="6">
        <v>128</v>
      </c>
      <c r="M12" s="5">
        <v>165</v>
      </c>
      <c r="N12" s="5">
        <v>-37</v>
      </c>
      <c r="O12" s="6">
        <f t="shared" si="0"/>
        <v>-77</v>
      </c>
      <c r="P12" s="70">
        <f t="shared" si="1"/>
        <v>-0.16666666666666666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>X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>X</v>
      </c>
    </row>
    <row r="13" spans="1:42" x14ac:dyDescent="0.2">
      <c r="A13" s="27">
        <v>1780</v>
      </c>
      <c r="B13" s="55" t="s">
        <v>25</v>
      </c>
      <c r="C13" s="6">
        <v>2126</v>
      </c>
      <c r="D13" s="5">
        <v>2278</v>
      </c>
      <c r="E13" s="5">
        <v>-152</v>
      </c>
      <c r="F13" s="6">
        <v>2126</v>
      </c>
      <c r="G13" s="5">
        <v>2587</v>
      </c>
      <c r="H13" s="5">
        <v>-461</v>
      </c>
      <c r="I13" s="6">
        <v>2126</v>
      </c>
      <c r="J13" s="5">
        <v>2691</v>
      </c>
      <c r="K13" s="5">
        <v>-565</v>
      </c>
      <c r="L13" s="6">
        <v>2126</v>
      </c>
      <c r="M13" s="5">
        <v>2650</v>
      </c>
      <c r="N13" s="5">
        <v>-524</v>
      </c>
      <c r="O13" s="6">
        <f t="shared" si="0"/>
        <v>-1178</v>
      </c>
      <c r="P13" s="70">
        <f t="shared" si="1"/>
        <v>-0.15588196374222574</v>
      </c>
      <c r="Q13" s="176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>X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>X</v>
      </c>
    </row>
    <row r="14" spans="1:42" x14ac:dyDescent="0.2">
      <c r="A14" s="27">
        <v>2280</v>
      </c>
      <c r="B14" s="55" t="s">
        <v>25</v>
      </c>
      <c r="C14" s="6">
        <v>746</v>
      </c>
      <c r="D14" s="5">
        <v>489</v>
      </c>
      <c r="E14" s="5">
        <v>257</v>
      </c>
      <c r="F14" s="6">
        <v>746</v>
      </c>
      <c r="G14" s="5">
        <v>507</v>
      </c>
      <c r="H14" s="5">
        <v>239</v>
      </c>
      <c r="I14" s="6">
        <v>746</v>
      </c>
      <c r="J14" s="5">
        <v>524</v>
      </c>
      <c r="K14" s="5">
        <v>222</v>
      </c>
      <c r="L14" s="6">
        <v>746</v>
      </c>
      <c r="M14" s="5">
        <v>518</v>
      </c>
      <c r="N14" s="5">
        <v>228</v>
      </c>
      <c r="O14" s="6">
        <f t="shared" si="0"/>
        <v>718</v>
      </c>
      <c r="P14" s="70">
        <f t="shared" si="1"/>
        <v>0.47205785667324129</v>
      </c>
      <c r="Q14" s="176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">
      <c r="A15" s="27">
        <v>2584</v>
      </c>
      <c r="B15" s="55" t="s">
        <v>25</v>
      </c>
      <c r="C15" s="6">
        <v>6274</v>
      </c>
      <c r="D15" s="5">
        <v>5271</v>
      </c>
      <c r="E15" s="5">
        <v>1003</v>
      </c>
      <c r="F15" s="6">
        <v>6274</v>
      </c>
      <c r="G15" s="5">
        <v>5510</v>
      </c>
      <c r="H15" s="5">
        <v>764</v>
      </c>
      <c r="I15" s="6">
        <v>6274</v>
      </c>
      <c r="J15" s="5">
        <v>5789</v>
      </c>
      <c r="K15" s="5">
        <v>485</v>
      </c>
      <c r="L15" s="6">
        <v>3774</v>
      </c>
      <c r="M15" s="5">
        <v>5697</v>
      </c>
      <c r="N15" s="5">
        <v>-1923</v>
      </c>
      <c r="O15" s="6">
        <f t="shared" si="0"/>
        <v>2252</v>
      </c>
      <c r="P15" s="70">
        <f t="shared" si="1"/>
        <v>0.13590006638102708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2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">
      <c r="A16" s="27">
        <v>2771</v>
      </c>
      <c r="B16" s="55" t="s">
        <v>25</v>
      </c>
      <c r="C16" s="6">
        <v>9999</v>
      </c>
      <c r="D16" s="5">
        <v>8233</v>
      </c>
      <c r="E16" s="5">
        <v>1766</v>
      </c>
      <c r="F16" s="6">
        <v>9999</v>
      </c>
      <c r="G16" s="5">
        <v>8770</v>
      </c>
      <c r="H16" s="5">
        <v>1229</v>
      </c>
      <c r="I16" s="6">
        <v>9999</v>
      </c>
      <c r="J16" s="5">
        <v>9146</v>
      </c>
      <c r="K16" s="5">
        <v>853</v>
      </c>
      <c r="L16" s="6">
        <v>11000</v>
      </c>
      <c r="M16" s="5">
        <v>9005</v>
      </c>
      <c r="N16" s="5">
        <v>1995</v>
      </c>
      <c r="O16" s="6">
        <f t="shared" si="0"/>
        <v>3848</v>
      </c>
      <c r="P16" s="70">
        <f t="shared" si="1"/>
        <v>0.147151051625239</v>
      </c>
      <c r="Q16" s="177"/>
      <c r="R16" s="66" t="str">
        <f>IF($C$4="High Inventory",IF(AND(O16&gt;=Summary!$C$119,P16&gt;=Summary!$C$120),"X"," "),IF(AND(O16&lt;=-Summary!$C$119,P16&lt;=-Summary!$C$120),"X"," "))</f>
        <v xml:space="preserve"> 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 xml:space="preserve"> </v>
      </c>
      <c r="U16" s="11" t="str">
        <f>IF($C$4="High Inventory",IF(AND($O16&gt;=0,$P16&gt;=Summary!$C$120),"X"," "),IF(AND($O16&lt;=0,$P16&lt;=-Summary!$C$120),"X"," "))</f>
        <v xml:space="preserve"> </v>
      </c>
      <c r="V16" t="str">
        <f t="shared" si="2"/>
        <v xml:space="preserve"> </v>
      </c>
      <c r="W16" t="str">
        <f>IF($C$4="High Inventory",IF(O16&gt;Summary!$C$119,"X"," "),IF(O16&lt;-Summary!$C$119,"X"," "))</f>
        <v xml:space="preserve"> </v>
      </c>
      <c r="X16" t="str">
        <f>IF($C$4="High Inventory",IF(P16&gt;Summary!$C$120,"X"," "),IF(P16&lt;-Summary!$C$120,"X"," "))</f>
        <v xml:space="preserve"> </v>
      </c>
    </row>
    <row r="17" spans="1:24" x14ac:dyDescent="0.2">
      <c r="A17" s="27">
        <v>2832</v>
      </c>
      <c r="B17" s="55" t="s">
        <v>25</v>
      </c>
      <c r="C17" s="6">
        <v>800</v>
      </c>
      <c r="D17" s="5">
        <v>511</v>
      </c>
      <c r="E17" s="5">
        <v>289</v>
      </c>
      <c r="F17" s="6">
        <v>800</v>
      </c>
      <c r="G17" s="5">
        <v>537</v>
      </c>
      <c r="H17" s="5">
        <v>263</v>
      </c>
      <c r="I17" s="6">
        <v>800</v>
      </c>
      <c r="J17" s="5">
        <v>561</v>
      </c>
      <c r="K17" s="5">
        <v>239</v>
      </c>
      <c r="L17" s="6">
        <v>800</v>
      </c>
      <c r="M17" s="5">
        <v>552</v>
      </c>
      <c r="N17" s="5">
        <v>248</v>
      </c>
      <c r="O17" s="6">
        <f t="shared" si="0"/>
        <v>791</v>
      </c>
      <c r="P17" s="70">
        <f t="shared" si="1"/>
        <v>0.49130434782608695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 xml:space="preserve"> 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 xml:space="preserve"> </v>
      </c>
    </row>
    <row r="18" spans="1:24" x14ac:dyDescent="0.2">
      <c r="A18" s="27">
        <v>2892</v>
      </c>
      <c r="B18" s="55" t="s">
        <v>25</v>
      </c>
      <c r="C18" s="6">
        <v>6875</v>
      </c>
      <c r="D18" s="5">
        <v>5812</v>
      </c>
      <c r="E18" s="5">
        <v>1063</v>
      </c>
      <c r="F18" s="6">
        <v>6875</v>
      </c>
      <c r="G18" s="5">
        <v>6084</v>
      </c>
      <c r="H18" s="5">
        <v>791</v>
      </c>
      <c r="I18" s="6">
        <v>6875</v>
      </c>
      <c r="J18" s="5">
        <v>6317</v>
      </c>
      <c r="K18" s="5">
        <v>558</v>
      </c>
      <c r="L18" s="6">
        <v>6875</v>
      </c>
      <c r="M18" s="5">
        <v>6235</v>
      </c>
      <c r="N18" s="5">
        <v>640</v>
      </c>
      <c r="O18" s="6">
        <f t="shared" si="0"/>
        <v>2412</v>
      </c>
      <c r="P18" s="70">
        <f t="shared" si="1"/>
        <v>0.13242560667618317</v>
      </c>
      <c r="Q18" s="176"/>
      <c r="R18" s="66" t="str">
        <f>IF($C$4="High Inventory",IF(AND(O18&gt;=Summary!$C$119,P18&gt;=Summary!$C$120),"X"," "),IF(AND(O18&lt;=-Summary!$C$119,P18&lt;=-Summary!$C$120),"X"," "))</f>
        <v xml:space="preserve"> 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 xml:space="preserve"> </v>
      </c>
      <c r="U18" s="11" t="str">
        <f>IF($C$4="High Inventory",IF(AND($O18&gt;=0,$P18&gt;=Summary!$C$120),"X"," "),IF(AND($O18&lt;=0,$P18&lt;=-Summary!$C$120),"X"," "))</f>
        <v xml:space="preserve"> </v>
      </c>
      <c r="V18" t="str">
        <f t="shared" si="2"/>
        <v xml:space="preserve"> </v>
      </c>
      <c r="W18" t="str">
        <f>IF($C$4="High Inventory",IF(O18&gt;Summary!$C$119,"X"," "),IF(O18&lt;-Summary!$C$119,"X"," "))</f>
        <v xml:space="preserve"> </v>
      </c>
      <c r="X18" t="str">
        <f>IF($C$4="High Inventory",IF(P18&gt;Summary!$C$120,"X"," "),IF(P18&lt;-Summary!$C$120,"X"," "))</f>
        <v xml:space="preserve"> </v>
      </c>
    </row>
    <row r="19" spans="1:24" x14ac:dyDescent="0.2">
      <c r="A19" s="27">
        <v>3152</v>
      </c>
      <c r="B19" s="55" t="s">
        <v>25</v>
      </c>
      <c r="C19" s="6">
        <v>13525</v>
      </c>
      <c r="D19" s="5">
        <v>12401</v>
      </c>
      <c r="E19" s="5">
        <v>1124</v>
      </c>
      <c r="F19" s="6">
        <v>13525</v>
      </c>
      <c r="G19" s="5">
        <v>13387</v>
      </c>
      <c r="H19" s="5">
        <v>138</v>
      </c>
      <c r="I19" s="6">
        <v>13525</v>
      </c>
      <c r="J19" s="5">
        <v>14574</v>
      </c>
      <c r="K19" s="5">
        <v>-1049</v>
      </c>
      <c r="L19" s="6">
        <v>13525</v>
      </c>
      <c r="M19" s="5">
        <v>14105</v>
      </c>
      <c r="N19" s="5">
        <v>-580</v>
      </c>
      <c r="O19" s="6">
        <f t="shared" si="0"/>
        <v>213</v>
      </c>
      <c r="P19" s="70">
        <f t="shared" si="1"/>
        <v>5.2771102247107498E-3</v>
      </c>
      <c r="Q19" s="176"/>
      <c r="R19" s="66" t="str">
        <f>IF($C$4="High Inventory",IF(AND(O19&gt;=Summary!$C$119,P19&gt;=Summary!$C$120),"X"," "),IF(AND(O19&lt;=-Summary!$C$119,P19&lt;=-Summary!$C$120),"X"," "))</f>
        <v xml:space="preserve"> 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8" t="str">
        <f>IF($C$4="High Inventory",IF(AND($O19&gt;=Summary!$C$119,$P19&gt;=0%),"X"," "),IF(AND($O19&lt;=-Summary!$C$119,$P19&lt;=0%),"X"," "))</f>
        <v xml:space="preserve"> </v>
      </c>
      <c r="U19" s="11" t="str">
        <f>IF($C$4="High Inventory",IF(AND($O19&gt;=0,$P19&gt;=Summary!$C$120),"X"," "),IF(AND($O19&lt;=0,$P19&lt;=-Summary!$C$120),"X"," "))</f>
        <v xml:space="preserve"> </v>
      </c>
      <c r="V19" t="str">
        <f t="shared" si="2"/>
        <v xml:space="preserve"> </v>
      </c>
      <c r="W19" t="str">
        <f>IF($C$4="High Inventory",IF(O19&gt;Summary!$C$119,"X"," "),IF(O19&lt;-Summary!$C$119,"X"," "))</f>
        <v xml:space="preserve"> </v>
      </c>
      <c r="X19" t="str">
        <f>IF($C$4="High Inventory",IF(P19&gt;Summary!$C$120,"X"," "),IF(P19&lt;-Summary!$C$120,"X"," "))</f>
        <v xml:space="preserve"> </v>
      </c>
    </row>
    <row r="20" spans="1:24" x14ac:dyDescent="0.2">
      <c r="A20" s="27">
        <v>6500</v>
      </c>
      <c r="B20" s="55" t="s">
        <v>25</v>
      </c>
      <c r="C20" s="6">
        <v>1002666</v>
      </c>
      <c r="D20" s="5">
        <v>1034465</v>
      </c>
      <c r="E20" s="5">
        <v>-31799</v>
      </c>
      <c r="F20" s="6">
        <v>1146599</v>
      </c>
      <c r="G20" s="5">
        <v>1165467</v>
      </c>
      <c r="H20" s="5">
        <v>-18868</v>
      </c>
      <c r="I20" s="6">
        <v>1233670</v>
      </c>
      <c r="J20" s="5">
        <v>1261627</v>
      </c>
      <c r="K20" s="5">
        <v>-27957</v>
      </c>
      <c r="L20" s="6">
        <v>1198070</v>
      </c>
      <c r="M20" s="5">
        <v>1225859</v>
      </c>
      <c r="N20" s="5">
        <v>-27789</v>
      </c>
      <c r="O20" s="6">
        <f t="shared" si="0"/>
        <v>-78624</v>
      </c>
      <c r="P20" s="70">
        <f t="shared" si="1"/>
        <v>-2.2713458671812709E-2</v>
      </c>
      <c r="Q20" s="176" t="s">
        <v>65</v>
      </c>
      <c r="R20" s="66" t="str">
        <f>IF($C$4="High Inventory",IF(AND(O20&gt;=Summary!$C$119,P20&gt;=Summary!$C$120),"X"," "),IF(AND(O20&lt;=-Summary!$C$119,P20&lt;=-Summary!$C$120),"X"," "))</f>
        <v xml:space="preserve"> 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 xml:space="preserve"> </v>
      </c>
      <c r="V20" t="str">
        <f t="shared" si="2"/>
        <v xml:space="preserve"> 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 xml:space="preserve"> </v>
      </c>
    </row>
    <row r="21" spans="1:24" x14ac:dyDescent="0.2">
      <c r="A21" s="27">
        <v>10656</v>
      </c>
      <c r="B21" s="55" t="s">
        <v>25</v>
      </c>
      <c r="C21" s="6">
        <v>300</v>
      </c>
      <c r="D21" s="5">
        <v>150</v>
      </c>
      <c r="E21" s="5">
        <v>150</v>
      </c>
      <c r="F21" s="6">
        <v>300</v>
      </c>
      <c r="G21" s="5">
        <v>189</v>
      </c>
      <c r="H21" s="5">
        <v>111</v>
      </c>
      <c r="I21" s="6">
        <v>0</v>
      </c>
      <c r="J21" s="5">
        <v>209</v>
      </c>
      <c r="K21" s="5">
        <v>-209</v>
      </c>
      <c r="L21" s="6">
        <v>0</v>
      </c>
      <c r="M21" s="5">
        <v>206</v>
      </c>
      <c r="N21" s="5">
        <v>-206</v>
      </c>
      <c r="O21" s="6">
        <f t="shared" si="0"/>
        <v>52</v>
      </c>
      <c r="P21" s="70">
        <f t="shared" si="1"/>
        <v>9.4717668488160295E-2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 xml:space="preserve"> 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 xml:space="preserve"> </v>
      </c>
    </row>
    <row r="22" spans="1:24" x14ac:dyDescent="0.2">
      <c r="A22" s="27">
        <v>12296</v>
      </c>
      <c r="B22" s="55" t="s">
        <v>25</v>
      </c>
      <c r="C22" s="6">
        <v>4500</v>
      </c>
      <c r="D22" s="5">
        <v>3117</v>
      </c>
      <c r="E22" s="5">
        <v>1383</v>
      </c>
      <c r="F22" s="6">
        <v>4500</v>
      </c>
      <c r="G22" s="5">
        <v>3200</v>
      </c>
      <c r="H22" s="5">
        <v>1300</v>
      </c>
      <c r="I22" s="6">
        <v>4500</v>
      </c>
      <c r="J22" s="5">
        <v>3388</v>
      </c>
      <c r="K22" s="5">
        <v>1112</v>
      </c>
      <c r="L22" s="6">
        <v>3918</v>
      </c>
      <c r="M22" s="5">
        <v>3343</v>
      </c>
      <c r="N22" s="5">
        <v>575</v>
      </c>
      <c r="O22" s="6">
        <f t="shared" si="0"/>
        <v>3795</v>
      </c>
      <c r="P22" s="70">
        <f t="shared" si="1"/>
        <v>0.39099526066350709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">
      <c r="A23" s="27">
        <v>16786</v>
      </c>
      <c r="B23" s="55" t="s">
        <v>25</v>
      </c>
      <c r="C23" s="6">
        <v>2025</v>
      </c>
      <c r="D23" s="5">
        <v>1791</v>
      </c>
      <c r="E23" s="5">
        <v>234</v>
      </c>
      <c r="F23" s="6">
        <v>2025</v>
      </c>
      <c r="G23" s="5">
        <v>2101</v>
      </c>
      <c r="H23" s="5">
        <v>-76</v>
      </c>
      <c r="I23" s="6">
        <v>2525</v>
      </c>
      <c r="J23" s="5">
        <v>2295</v>
      </c>
      <c r="K23" s="5">
        <v>230</v>
      </c>
      <c r="L23" s="6">
        <v>2525</v>
      </c>
      <c r="M23" s="5">
        <v>2222</v>
      </c>
      <c r="N23" s="5">
        <v>303</v>
      </c>
      <c r="O23" s="6">
        <f t="shared" si="0"/>
        <v>388</v>
      </c>
      <c r="P23" s="70">
        <f t="shared" si="1"/>
        <v>6.2702003878474466E-2</v>
      </c>
      <c r="Q23" s="176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 xml:space="preserve"> 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 xml:space="preserve"> </v>
      </c>
    </row>
    <row r="24" spans="1:24" x14ac:dyDescent="0.2">
      <c r="A24" s="27">
        <v>17791</v>
      </c>
      <c r="B24" s="55" t="s">
        <v>25</v>
      </c>
      <c r="C24" s="6">
        <v>700</v>
      </c>
      <c r="D24" s="5">
        <v>655</v>
      </c>
      <c r="E24" s="5">
        <v>45</v>
      </c>
      <c r="F24" s="6">
        <v>700</v>
      </c>
      <c r="G24" s="5">
        <v>693</v>
      </c>
      <c r="H24" s="5">
        <v>7</v>
      </c>
      <c r="I24" s="6">
        <v>700</v>
      </c>
      <c r="J24" s="5">
        <v>741</v>
      </c>
      <c r="K24" s="5">
        <v>-41</v>
      </c>
      <c r="L24" s="6">
        <v>700</v>
      </c>
      <c r="M24" s="5">
        <v>734</v>
      </c>
      <c r="N24" s="5">
        <v>-34</v>
      </c>
      <c r="O24" s="6">
        <f t="shared" si="0"/>
        <v>11</v>
      </c>
      <c r="P24" s="70">
        <f t="shared" si="1"/>
        <v>5.263157894736842E-3</v>
      </c>
      <c r="Q24" s="176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8" t="str">
        <f>IF($C$4="High Inventory",IF(AND($O24&gt;=Summary!$C$119,$P24&gt;=0%),"X"," "),IF(AND($O24&lt;=-Summary!$C$119,$P24&lt;=0%),"X"," "))</f>
        <v xml:space="preserve"> </v>
      </c>
      <c r="U24" s="11" t="str">
        <f>IF($C$4="High Inventory",IF(AND($O24&gt;=0,$P24&gt;=Summary!$C$120),"X"," "),IF(AND($O24&lt;=0,$P24&lt;=-Summary!$C$120),"X"," "))</f>
        <v xml:space="preserve"> </v>
      </c>
      <c r="V24" t="str">
        <f t="shared" si="2"/>
        <v xml:space="preserve"> </v>
      </c>
      <c r="W24" t="str">
        <f>IF($C$4="High Inventory",IF(O24&gt;Summary!$C$119,"X"," "),IF(O24&lt;-Summary!$C$119,"X"," "))</f>
        <v xml:space="preserve"> </v>
      </c>
      <c r="X24" t="str">
        <f>IF($C$4="High Inventory",IF(P24&gt;Summary!$C$120,"X"," "),IF(P24&lt;-Summary!$C$120,"X"," "))</f>
        <v xml:space="preserve"> </v>
      </c>
    </row>
    <row r="25" spans="1:24" x14ac:dyDescent="0.2">
      <c r="A25" s="27">
        <v>30649</v>
      </c>
      <c r="B25" s="55" t="s">
        <v>25</v>
      </c>
      <c r="C25" s="6">
        <v>1000</v>
      </c>
      <c r="D25" s="5">
        <v>887</v>
      </c>
      <c r="E25" s="5">
        <v>113</v>
      </c>
      <c r="F25" s="6">
        <v>1000</v>
      </c>
      <c r="G25" s="5">
        <v>924</v>
      </c>
      <c r="H25" s="5">
        <v>76</v>
      </c>
      <c r="I25" s="6">
        <v>1000</v>
      </c>
      <c r="J25" s="5">
        <v>952</v>
      </c>
      <c r="K25" s="5">
        <v>48</v>
      </c>
      <c r="L25" s="6">
        <v>10</v>
      </c>
      <c r="M25" s="5">
        <v>941</v>
      </c>
      <c r="N25" s="5">
        <v>-931</v>
      </c>
      <c r="O25" s="6">
        <f t="shared" si="0"/>
        <v>237</v>
      </c>
      <c r="P25" s="70">
        <f t="shared" si="1"/>
        <v>8.5745296671490598E-2</v>
      </c>
      <c r="Q25" s="176"/>
      <c r="R25" s="66" t="str">
        <f>IF($C$4="High Inventory",IF(AND(O25&gt;=Summary!$C$119,P25&gt;=Summary!$C$120),"X"," "),IF(AND(O25&lt;=-Summary!$C$119,P25&lt;=-Summary!$C$120),"X"," "))</f>
        <v xml:space="preserve"> 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 xml:space="preserve"> </v>
      </c>
      <c r="U25" s="11" t="str">
        <f>IF($C$4="High Inventory",IF(AND($O25&gt;=0,$P25&gt;=Summary!$C$120),"X"," "),IF(AND($O25&lt;=0,$P25&lt;=-Summary!$C$120),"X"," "))</f>
        <v xml:space="preserve"> </v>
      </c>
      <c r="V25" t="str">
        <f t="shared" si="2"/>
        <v xml:space="preserve"> </v>
      </c>
      <c r="W25" t="str">
        <f>IF($C$4="High Inventory",IF(O25&gt;Summary!$C$119,"X"," "),IF(O25&lt;-Summary!$C$119,"X"," "))</f>
        <v xml:space="preserve"> </v>
      </c>
      <c r="X25" t="str">
        <f>IF($C$4="High Inventory",IF(P25&gt;Summary!$C$120,"X"," "),IF(P25&lt;-Summary!$C$120,"X"," "))</f>
        <v xml:space="preserve"> </v>
      </c>
    </row>
    <row r="26" spans="1:24" x14ac:dyDescent="0.2">
      <c r="A26" s="27">
        <v>1117</v>
      </c>
      <c r="B26" s="55" t="s">
        <v>26</v>
      </c>
      <c r="C26" s="6">
        <v>48497</v>
      </c>
      <c r="D26" s="5">
        <v>39578</v>
      </c>
      <c r="E26" s="5">
        <v>8919</v>
      </c>
      <c r="F26" s="6">
        <v>48997</v>
      </c>
      <c r="G26" s="5">
        <v>44564</v>
      </c>
      <c r="H26" s="5">
        <v>4433</v>
      </c>
      <c r="I26" s="6">
        <v>45900</v>
      </c>
      <c r="J26" s="5">
        <v>55016</v>
      </c>
      <c r="K26" s="5">
        <v>-9116</v>
      </c>
      <c r="L26" s="6">
        <v>44029</v>
      </c>
      <c r="M26" s="5">
        <v>54219</v>
      </c>
      <c r="N26" s="5">
        <v>-10190</v>
      </c>
      <c r="O26" s="6">
        <f t="shared" si="0"/>
        <v>4236</v>
      </c>
      <c r="P26" s="70">
        <f t="shared" si="1"/>
        <v>3.0440000287440986E-2</v>
      </c>
      <c r="Q26" s="176"/>
      <c r="R26" s="66" t="str">
        <f>IF($C$4="High Inventory",IF(AND(O26&gt;=Summary!$C$119,P26&gt;=Summary!$C$120),"X"," "),IF(AND(O26&lt;=-Summary!$C$119,P26&lt;=-Summary!$C$120),"X"," "))</f>
        <v xml:space="preserve"> 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 xml:space="preserve"> </v>
      </c>
      <c r="U26" s="11" t="str">
        <f>IF($C$4="High Inventory",IF(AND($O26&gt;=0,$P26&gt;=Summary!$C$120),"X"," "),IF(AND($O26&lt;=0,$P26&lt;=-Summary!$C$120),"X"," "))</f>
        <v xml:space="preserve"> </v>
      </c>
      <c r="V26" t="str">
        <f t="shared" si="2"/>
        <v xml:space="preserve"> </v>
      </c>
      <c r="W26" t="str">
        <f>IF($C$4="High Inventory",IF(O26&gt;Summary!$C$119,"X"," "),IF(O26&lt;-Summary!$C$119,"X"," "))</f>
        <v xml:space="preserve"> </v>
      </c>
      <c r="X26" t="str">
        <f>IF($C$4="High Inventory",IF(P26&gt;Summary!$C$120,"X"," "),IF(P26&lt;-Summary!$C$120,"X"," "))</f>
        <v xml:space="preserve"> </v>
      </c>
    </row>
    <row r="27" spans="1:24" x14ac:dyDescent="0.2">
      <c r="A27" s="27">
        <v>1126</v>
      </c>
      <c r="B27" s="55" t="s">
        <v>26</v>
      </c>
      <c r="C27" s="6">
        <v>34422</v>
      </c>
      <c r="D27" s="5">
        <v>32243</v>
      </c>
      <c r="E27" s="5">
        <v>2179</v>
      </c>
      <c r="F27" s="6">
        <v>35922</v>
      </c>
      <c r="G27" s="5">
        <v>33908</v>
      </c>
      <c r="H27" s="5">
        <v>2014</v>
      </c>
      <c r="I27" s="6">
        <v>39340</v>
      </c>
      <c r="J27" s="5">
        <v>37567</v>
      </c>
      <c r="K27" s="5">
        <v>1773</v>
      </c>
      <c r="L27" s="6">
        <v>39268</v>
      </c>
      <c r="M27" s="5">
        <v>36763</v>
      </c>
      <c r="N27" s="5">
        <v>2505</v>
      </c>
      <c r="O27" s="6">
        <f t="shared" si="0"/>
        <v>5966</v>
      </c>
      <c r="P27" s="70">
        <f t="shared" si="1"/>
        <v>5.752080139607979E-2</v>
      </c>
      <c r="Q27" s="176"/>
      <c r="R27" s="66" t="str">
        <f>IF($C$4="High Inventory",IF(AND(O27&gt;=Summary!$C$119,P27&gt;=Summary!$C$120),"X"," "),IF(AND(O27&lt;=-Summary!$C$119,P27&lt;=-Summary!$C$120),"X"," "))</f>
        <v xml:space="preserve"> 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 xml:space="preserve"> </v>
      </c>
      <c r="U27" s="11" t="str">
        <f>IF($C$4="High Inventory",IF(AND($O27&gt;=0,$P27&gt;=Summary!$C$120),"X"," "),IF(AND($O27&lt;=0,$P27&lt;=-Summary!$C$120),"X"," "))</f>
        <v xml:space="preserve"> </v>
      </c>
      <c r="V27" t="str">
        <f t="shared" si="2"/>
        <v xml:space="preserve"> </v>
      </c>
      <c r="W27" t="str">
        <f>IF($C$4="High Inventory",IF(O27&gt;Summary!$C$119,"X"," "),IF(O27&lt;-Summary!$C$119,"X"," "))</f>
        <v xml:space="preserve"> </v>
      </c>
      <c r="X27" t="str">
        <f>IF($C$4="High Inventory",IF(P27&gt;Summary!$C$120,"X"," "),IF(P27&lt;-Summary!$C$120,"X"," "))</f>
        <v xml:space="preserve"> </v>
      </c>
    </row>
    <row r="28" spans="1:24" x14ac:dyDescent="0.2">
      <c r="A28" s="27">
        <v>1157</v>
      </c>
      <c r="B28" s="55" t="s">
        <v>26</v>
      </c>
      <c r="C28" s="6">
        <v>110489</v>
      </c>
      <c r="D28" s="5">
        <v>114114</v>
      </c>
      <c r="E28" s="5">
        <v>-3625</v>
      </c>
      <c r="F28" s="6">
        <v>107627</v>
      </c>
      <c r="G28" s="5">
        <v>115017</v>
      </c>
      <c r="H28" s="5">
        <v>-7390</v>
      </c>
      <c r="I28" s="6">
        <v>122490</v>
      </c>
      <c r="J28" s="5">
        <v>122951</v>
      </c>
      <c r="K28" s="5">
        <v>-461</v>
      </c>
      <c r="L28" s="6">
        <v>125585</v>
      </c>
      <c r="M28" s="5">
        <v>120935</v>
      </c>
      <c r="N28" s="5">
        <v>4650</v>
      </c>
      <c r="O28" s="6">
        <f t="shared" si="0"/>
        <v>-11476</v>
      </c>
      <c r="P28" s="70">
        <f t="shared" si="1"/>
        <v>-3.2594587071798409E-2</v>
      </c>
      <c r="Q28" s="176" t="s">
        <v>65</v>
      </c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>X</v>
      </c>
      <c r="U28" s="11" t="str">
        <f>IF($C$4="High Inventory",IF(AND($O28&gt;=0,$P28&gt;=Summary!$C$120),"X"," "),IF(AND($O28&lt;=0,$P28&lt;=-Summary!$C$120),"X"," "))</f>
        <v xml:space="preserve"> </v>
      </c>
      <c r="V28" t="str">
        <f t="shared" si="2"/>
        <v xml:space="preserve"> </v>
      </c>
      <c r="W28" t="str">
        <f>IF($C$4="High Inventory",IF(O28&gt;Summary!$C$119,"X"," "),IF(O28&lt;-Summary!$C$119,"X"," "))</f>
        <v>X</v>
      </c>
      <c r="X28" t="str">
        <f>IF($C$4="High Inventory",IF(P28&gt;Summary!$C$120,"X"," "),IF(P28&lt;-Summary!$C$120,"X"," "))</f>
        <v xml:space="preserve"> </v>
      </c>
    </row>
    <row r="29" spans="1:24" x14ac:dyDescent="0.2">
      <c r="A29" s="27">
        <v>1281</v>
      </c>
      <c r="B29" s="55" t="s">
        <v>26</v>
      </c>
      <c r="C29" s="6">
        <v>10717</v>
      </c>
      <c r="D29" s="5">
        <v>2764</v>
      </c>
      <c r="E29" s="5">
        <v>7953</v>
      </c>
      <c r="F29" s="6">
        <v>10699</v>
      </c>
      <c r="G29" s="5">
        <v>2866</v>
      </c>
      <c r="H29" s="5">
        <v>7833</v>
      </c>
      <c r="I29" s="6">
        <v>6717</v>
      </c>
      <c r="J29" s="5">
        <v>9416</v>
      </c>
      <c r="K29" s="5">
        <v>-2699</v>
      </c>
      <c r="L29" s="6">
        <v>8363</v>
      </c>
      <c r="M29" s="5">
        <v>10423</v>
      </c>
      <c r="N29" s="5">
        <v>-2060</v>
      </c>
      <c r="O29" s="6">
        <f t="shared" si="0"/>
        <v>13087</v>
      </c>
      <c r="P29" s="70">
        <f t="shared" si="1"/>
        <v>0.86974147670632018</v>
      </c>
      <c r="Q29" s="176"/>
      <c r="R29" s="66" t="str">
        <f>IF($C$4="High Inventory",IF(AND(O29&gt;=Summary!$C$119,P29&gt;=Summary!$C$120),"X"," "),IF(AND(O29&lt;=-Summary!$C$119,P29&lt;=-Summary!$C$120),"X"," "))</f>
        <v xml:space="preserve"> 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8" t="str">
        <f>IF($C$4="High Inventory",IF(AND($O29&gt;=Summary!$C$119,$P29&gt;=0%),"X"," "),IF(AND($O29&lt;=-Summary!$C$119,$P29&lt;=0%),"X"," "))</f>
        <v xml:space="preserve"> </v>
      </c>
      <c r="U29" s="11" t="str">
        <f>IF($C$4="High Inventory",IF(AND($O29&gt;=0,$P29&gt;=Summary!$C$120),"X"," "),IF(AND($O29&lt;=0,$P29&lt;=-Summary!$C$120),"X"," "))</f>
        <v xml:space="preserve"> </v>
      </c>
      <c r="V29" t="str">
        <f t="shared" si="2"/>
        <v xml:space="preserve"> </v>
      </c>
      <c r="W29" t="str">
        <f>IF($C$4="High Inventory",IF(O29&gt;Summary!$C$119,"X"," "),IF(O29&lt;-Summary!$C$119,"X"," "))</f>
        <v xml:space="preserve"> </v>
      </c>
      <c r="X29" t="str">
        <f>IF($C$4="High Inventory",IF(P29&gt;Summary!$C$120,"X"," "),IF(P29&lt;-Summary!$C$120,"X"," "))</f>
        <v xml:space="preserve"> </v>
      </c>
    </row>
    <row r="30" spans="1:24" x14ac:dyDescent="0.2">
      <c r="A30" s="27">
        <v>1340</v>
      </c>
      <c r="B30" s="55" t="s">
        <v>26</v>
      </c>
      <c r="C30" s="6">
        <v>5818</v>
      </c>
      <c r="D30" s="5">
        <v>2429</v>
      </c>
      <c r="E30" s="5">
        <v>3389</v>
      </c>
      <c r="F30" s="6">
        <v>5818</v>
      </c>
      <c r="G30" s="5">
        <v>3164</v>
      </c>
      <c r="H30" s="5">
        <v>2654</v>
      </c>
      <c r="I30" s="6">
        <v>5818</v>
      </c>
      <c r="J30" s="5">
        <v>5107</v>
      </c>
      <c r="K30" s="5">
        <v>711</v>
      </c>
      <c r="L30" s="6">
        <v>5818</v>
      </c>
      <c r="M30" s="5">
        <v>5571</v>
      </c>
      <c r="N30" s="5">
        <v>247</v>
      </c>
      <c r="O30" s="6">
        <f t="shared" ref="O30:O53" si="3">K30+H30+E30</f>
        <v>6754</v>
      </c>
      <c r="P30" s="70">
        <f t="shared" si="1"/>
        <v>0.63115596673208108</v>
      </c>
      <c r="Q30" s="176"/>
      <c r="R30" s="66" t="str">
        <f>IF($C$4="High Inventory",IF(AND(O30&gt;=Summary!$C$119,P30&gt;=Summary!$C$120),"X"," "),IF(AND(O30&lt;=-Summary!$C$119,P30&lt;=-Summary!$C$120),"X"," "))</f>
        <v xml:space="preserve"> 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8" t="str">
        <f>IF($C$4="High Inventory",IF(AND($O30&gt;=Summary!$C$119,$P30&gt;=0%),"X"," "),IF(AND($O30&lt;=-Summary!$C$119,$P30&lt;=0%),"X"," "))</f>
        <v xml:space="preserve"> </v>
      </c>
      <c r="U30" s="11" t="str">
        <f>IF($C$4="High Inventory",IF(AND($O30&gt;=0,$P30&gt;=Summary!$C$120),"X"," "),IF(AND($O30&lt;=0,$P30&lt;=-Summary!$C$120),"X"," "))</f>
        <v xml:space="preserve"> </v>
      </c>
      <c r="V30" t="str">
        <f t="shared" si="2"/>
        <v xml:space="preserve"> </v>
      </c>
      <c r="W30" t="str">
        <f>IF($C$4="High Inventory",IF(O30&gt;Summary!$C$119,"X"," "),IF(O30&lt;-Summary!$C$119,"X"," "))</f>
        <v xml:space="preserve"> </v>
      </c>
      <c r="X30" t="str">
        <f>IF($C$4="High Inventory",IF(P30&gt;Summary!$C$120,"X"," "),IF(P30&lt;-Summary!$C$120,"X"," "))</f>
        <v xml:space="preserve"> </v>
      </c>
    </row>
    <row r="31" spans="1:24" x14ac:dyDescent="0.2">
      <c r="A31" s="27">
        <v>1377</v>
      </c>
      <c r="B31" s="55" t="s">
        <v>26</v>
      </c>
      <c r="C31" s="6">
        <v>126697</v>
      </c>
      <c r="D31" s="5">
        <v>101937</v>
      </c>
      <c r="E31" s="5">
        <v>24760</v>
      </c>
      <c r="F31" s="6">
        <v>126902</v>
      </c>
      <c r="G31" s="5">
        <v>101475</v>
      </c>
      <c r="H31" s="5">
        <v>25427</v>
      </c>
      <c r="I31" s="6">
        <v>126611</v>
      </c>
      <c r="J31" s="5">
        <v>108076</v>
      </c>
      <c r="K31" s="5">
        <v>18535</v>
      </c>
      <c r="L31" s="6">
        <v>130574</v>
      </c>
      <c r="M31" s="5">
        <v>104138</v>
      </c>
      <c r="N31" s="5">
        <v>26436</v>
      </c>
      <c r="O31" s="6">
        <f t="shared" si="3"/>
        <v>68722</v>
      </c>
      <c r="P31" s="70">
        <f t="shared" ref="P31:P54" si="4">O31/(J31+G31+D31+1)</f>
        <v>0.22062416329308579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8" t="str">
        <f>IF($C$4="High Inventory",IF(AND($O31&gt;=Summary!$C$119,$P31&gt;=0%),"X"," "),IF(AND($O31&lt;=-Summary!$C$119,$P31&lt;=0%),"X"," "))</f>
        <v xml:space="preserve"> </v>
      </c>
      <c r="U31" s="11" t="str">
        <f>IF($C$4="High Inventory",IF(AND($O31&gt;=0,$P31&gt;=Summary!$C$120),"X"," "),IF(AND($O31&lt;=0,$P31&lt;=-Summary!$C$120),"X"," "))</f>
        <v xml:space="preserve"> </v>
      </c>
      <c r="V31" t="str">
        <f t="shared" ref="V31:V54" si="5">IF(S31 = "X",L31-I31," ")</f>
        <v xml:space="preserve"> </v>
      </c>
      <c r="W31" t="str">
        <f>IF($C$4="High Inventory",IF(O31&gt;Summary!$C$119,"X"," "),IF(O31&lt;-Summary!$C$119,"X"," "))</f>
        <v xml:space="preserve"> </v>
      </c>
      <c r="X31" t="str">
        <f>IF($C$4="High Inventory",IF(P31&gt;Summary!$C$120,"X"," "),IF(P31&lt;-Summary!$C$120,"X"," "))</f>
        <v xml:space="preserve"> </v>
      </c>
    </row>
    <row r="32" spans="1:24" x14ac:dyDescent="0.2">
      <c r="A32" s="27">
        <v>1830</v>
      </c>
      <c r="B32" s="55" t="s">
        <v>26</v>
      </c>
      <c r="C32" s="6">
        <v>15000</v>
      </c>
      <c r="D32" s="5">
        <v>9077</v>
      </c>
      <c r="E32" s="5">
        <v>5923</v>
      </c>
      <c r="F32" s="6">
        <v>15000</v>
      </c>
      <c r="G32" s="5">
        <v>19352</v>
      </c>
      <c r="H32" s="5">
        <v>-4352</v>
      </c>
      <c r="I32" s="6">
        <v>15000</v>
      </c>
      <c r="J32" s="5">
        <v>19169</v>
      </c>
      <c r="K32" s="5">
        <v>-4169</v>
      </c>
      <c r="L32" s="6">
        <v>10000</v>
      </c>
      <c r="M32" s="5">
        <v>19214</v>
      </c>
      <c r="N32" s="5">
        <v>-9214</v>
      </c>
      <c r="O32" s="6">
        <f t="shared" si="3"/>
        <v>-2598</v>
      </c>
      <c r="P32" s="70">
        <f t="shared" si="4"/>
        <v>-5.4580978591987225E-2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>X</v>
      </c>
      <c r="T32" s="8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 xml:space="preserve"> </v>
      </c>
      <c r="V32">
        <f t="shared" si="5"/>
        <v>-5000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 xml:space="preserve"> </v>
      </c>
    </row>
    <row r="33" spans="1:24" x14ac:dyDescent="0.2">
      <c r="A33" s="27">
        <v>1864</v>
      </c>
      <c r="B33" s="55" t="s">
        <v>26</v>
      </c>
      <c r="C33" s="6">
        <v>371909</v>
      </c>
      <c r="D33" s="5">
        <v>339106</v>
      </c>
      <c r="E33" s="5">
        <v>32803</v>
      </c>
      <c r="F33" s="6">
        <v>376380</v>
      </c>
      <c r="G33" s="5">
        <v>349588</v>
      </c>
      <c r="H33" s="5">
        <v>26792</v>
      </c>
      <c r="I33" s="6">
        <v>363272</v>
      </c>
      <c r="J33" s="5">
        <v>344080</v>
      </c>
      <c r="K33" s="5">
        <v>19192</v>
      </c>
      <c r="L33" s="6">
        <v>335505</v>
      </c>
      <c r="M33" s="5">
        <v>316615</v>
      </c>
      <c r="N33" s="5">
        <v>18890</v>
      </c>
      <c r="O33" s="6">
        <f t="shared" si="3"/>
        <v>78787</v>
      </c>
      <c r="P33" s="70">
        <f t="shared" si="4"/>
        <v>7.6286703299363365E-2</v>
      </c>
      <c r="Q33" s="176" t="s">
        <v>65</v>
      </c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 xml:space="preserve"> 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si="5"/>
        <v xml:space="preserve"> </v>
      </c>
      <c r="W33" t="str">
        <f>IF($C$4="High Inventory",IF(O33&gt;Summary!$C$119,"X"," "),IF(O33&lt;-Summary!$C$119,"X"," "))</f>
        <v xml:space="preserve"> </v>
      </c>
      <c r="X33" t="str">
        <f>IF($C$4="High Inventory",IF(P33&gt;Summary!$C$120,"X"," "),IF(P33&lt;-Summary!$C$120,"X"," "))</f>
        <v xml:space="preserve"> </v>
      </c>
    </row>
    <row r="34" spans="1:24" x14ac:dyDescent="0.2">
      <c r="A34" s="27">
        <v>1922</v>
      </c>
      <c r="B34" s="55" t="s">
        <v>26</v>
      </c>
      <c r="C34" s="6">
        <v>27801</v>
      </c>
      <c r="D34" s="5">
        <v>25332</v>
      </c>
      <c r="E34" s="5">
        <v>2469</v>
      </c>
      <c r="F34" s="6">
        <v>31266</v>
      </c>
      <c r="G34" s="5">
        <v>27060</v>
      </c>
      <c r="H34" s="5">
        <v>4206</v>
      </c>
      <c r="I34" s="6">
        <v>27811</v>
      </c>
      <c r="J34" s="5">
        <v>31794</v>
      </c>
      <c r="K34" s="5">
        <v>-3983</v>
      </c>
      <c r="L34" s="6">
        <v>34995</v>
      </c>
      <c r="M34" s="5">
        <v>32106</v>
      </c>
      <c r="N34" s="5">
        <v>2889</v>
      </c>
      <c r="O34" s="6">
        <f t="shared" si="3"/>
        <v>2692</v>
      </c>
      <c r="P34" s="70">
        <f t="shared" si="4"/>
        <v>3.1976433416085616E-2</v>
      </c>
      <c r="Q34" s="178"/>
      <c r="R34" s="66" t="str">
        <f>IF($C$4="High Inventory",IF(AND(O34&gt;=Summary!$C$119,P34&gt;=Summary!$C$120),"X"," "),IF(AND(O34&lt;=-Summary!$C$119,P34&lt;=-Summary!$C$120),"X"," "))</f>
        <v xml:space="preserve"> 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 xml:space="preserve"> </v>
      </c>
      <c r="U34" s="11" t="str">
        <f>IF($C$4="High Inventory",IF(AND($O34&gt;=0,$P34&gt;=Summary!$C$120),"X"," "),IF(AND($O34&lt;=0,$P34&lt;=-Summary!$C$120),"X"," "))</f>
        <v xml:space="preserve"> </v>
      </c>
      <c r="V34" t="str">
        <f t="shared" si="5"/>
        <v xml:space="preserve"> </v>
      </c>
      <c r="W34" t="str">
        <f>IF($C$4="High Inventory",IF(O34&gt;Summary!$C$119,"X"," "),IF(O34&lt;-Summary!$C$119,"X"," "))</f>
        <v xml:space="preserve"> </v>
      </c>
      <c r="X34" t="str">
        <f>IF($C$4="High Inventory",IF(P34&gt;Summary!$C$120,"X"," "),IF(P34&lt;-Summary!$C$120,"X"," "))</f>
        <v xml:space="preserve"> </v>
      </c>
    </row>
    <row r="35" spans="1:24" x14ac:dyDescent="0.2">
      <c r="A35" s="27">
        <v>2056</v>
      </c>
      <c r="B35" s="55" t="s">
        <v>26</v>
      </c>
      <c r="C35" s="6">
        <v>14641</v>
      </c>
      <c r="D35" s="5">
        <v>13798</v>
      </c>
      <c r="E35" s="5">
        <v>843</v>
      </c>
      <c r="F35" s="6">
        <v>14641</v>
      </c>
      <c r="G35" s="5">
        <v>12622</v>
      </c>
      <c r="H35" s="5">
        <v>2019</v>
      </c>
      <c r="I35" s="6">
        <v>12175</v>
      </c>
      <c r="J35" s="5">
        <v>16537</v>
      </c>
      <c r="K35" s="5">
        <v>-4362</v>
      </c>
      <c r="L35" s="6">
        <v>12175</v>
      </c>
      <c r="M35" s="5">
        <v>14610</v>
      </c>
      <c r="N35" s="5">
        <v>-2435</v>
      </c>
      <c r="O35" s="6">
        <f t="shared" si="3"/>
        <v>-1500</v>
      </c>
      <c r="P35" s="70">
        <f t="shared" si="4"/>
        <v>-3.4917826714465292E-2</v>
      </c>
      <c r="Q35" s="176"/>
      <c r="R35" s="66" t="str">
        <f>IF($C$4="High Inventory",IF(AND(O35&gt;=Summary!$C$119,P35&gt;=Summary!$C$120),"X"," "),IF(AND(O35&lt;=-Summary!$C$119,P35&lt;=-Summary!$C$120),"X"," "))</f>
        <v xml:space="preserve"> 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 xml:space="preserve"> </v>
      </c>
      <c r="U35" s="11" t="str">
        <f>IF($C$4="High Inventory",IF(AND($O35&gt;=0,$P35&gt;=Summary!$C$120),"X"," "),IF(AND($O35&lt;=0,$P35&lt;=-Summary!$C$120),"X"," "))</f>
        <v xml:space="preserve"> </v>
      </c>
      <c r="V35" t="str">
        <f t="shared" si="5"/>
        <v xml:space="preserve"> </v>
      </c>
      <c r="W35" t="str">
        <f>IF($C$4="High Inventory",IF(O35&gt;Summary!$C$119,"X"," "),IF(O35&lt;-Summary!$C$119,"X"," "))</f>
        <v xml:space="preserve"> </v>
      </c>
      <c r="X35" t="str">
        <f>IF($C$4="High Inventory",IF(P35&gt;Summary!$C$120,"X"," "),IF(P35&lt;-Summary!$C$120,"X"," "))</f>
        <v xml:space="preserve"> </v>
      </c>
    </row>
    <row r="36" spans="1:24" x14ac:dyDescent="0.2">
      <c r="A36" s="27">
        <v>2280</v>
      </c>
      <c r="B36" s="55" t="s">
        <v>26</v>
      </c>
      <c r="C36" s="6">
        <v>9833</v>
      </c>
      <c r="D36" s="5">
        <v>715</v>
      </c>
      <c r="E36" s="5">
        <v>9118</v>
      </c>
      <c r="F36" s="6">
        <v>9833</v>
      </c>
      <c r="G36" s="5">
        <v>496</v>
      </c>
      <c r="H36" s="5">
        <v>9337</v>
      </c>
      <c r="I36" s="6">
        <v>9833</v>
      </c>
      <c r="J36" s="5">
        <v>1580</v>
      </c>
      <c r="K36" s="5">
        <v>8253</v>
      </c>
      <c r="L36" s="6">
        <v>9833</v>
      </c>
      <c r="M36" s="5">
        <v>1940</v>
      </c>
      <c r="N36" s="5">
        <v>7893</v>
      </c>
      <c r="O36" s="6">
        <f t="shared" si="3"/>
        <v>26708</v>
      </c>
      <c r="P36" s="70">
        <f t="shared" si="4"/>
        <v>9.5659025787965621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5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">
      <c r="A37" s="27">
        <v>2584</v>
      </c>
      <c r="B37" s="55" t="s">
        <v>26</v>
      </c>
      <c r="C37" s="6">
        <v>61204</v>
      </c>
      <c r="D37" s="5">
        <v>37189</v>
      </c>
      <c r="E37" s="5">
        <v>24015</v>
      </c>
      <c r="F37" s="6">
        <v>61288</v>
      </c>
      <c r="G37" s="5">
        <v>46153</v>
      </c>
      <c r="H37" s="5">
        <v>15135</v>
      </c>
      <c r="I37" s="6">
        <v>61288</v>
      </c>
      <c r="J37" s="5">
        <v>54113</v>
      </c>
      <c r="K37" s="5">
        <v>7175</v>
      </c>
      <c r="L37" s="6">
        <v>64788</v>
      </c>
      <c r="M37" s="5">
        <v>54632</v>
      </c>
      <c r="N37" s="5">
        <v>10156</v>
      </c>
      <c r="O37" s="6">
        <f t="shared" si="3"/>
        <v>46325</v>
      </c>
      <c r="P37" s="70">
        <f t="shared" si="4"/>
        <v>0.3370169363287161</v>
      </c>
      <c r="Q37" s="176"/>
      <c r="R37" s="66" t="str">
        <f>IF($C$4="High Inventory",IF(AND(O37&gt;=Summary!$C$119,P37&gt;=Summary!$C$120),"X"," "),IF(AND(O37&lt;=-Summary!$C$119,P37&lt;=-Summary!$C$120),"X"," "))</f>
        <v xml:space="preserve"> 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 xml:space="preserve"> </v>
      </c>
      <c r="U37" s="11" t="str">
        <f>IF($C$4="High Inventory",IF(AND($O37&gt;=0,$P37&gt;=Summary!$C$120),"X"," "),IF(AND($O37&lt;=0,$P37&lt;=-Summary!$C$120),"X"," "))</f>
        <v xml:space="preserve"> </v>
      </c>
      <c r="V37" t="str">
        <f t="shared" si="5"/>
        <v xml:space="preserve"> </v>
      </c>
      <c r="W37" t="str">
        <f>IF($C$4="High Inventory",IF(O37&gt;Summary!$C$119,"X"," "),IF(O37&lt;-Summary!$C$119,"X"," "))</f>
        <v xml:space="preserve"> </v>
      </c>
      <c r="X37" t="str">
        <f>IF($C$4="High Inventory",IF(P37&gt;Summary!$C$120,"X"," "),IF(P37&lt;-Summary!$C$120,"X"," "))</f>
        <v xml:space="preserve"> </v>
      </c>
    </row>
    <row r="38" spans="1:24" x14ac:dyDescent="0.2">
      <c r="A38" s="27">
        <v>2771</v>
      </c>
      <c r="B38" s="55" t="s">
        <v>26</v>
      </c>
      <c r="C38" s="6">
        <v>20099</v>
      </c>
      <c r="D38" s="5">
        <v>24935</v>
      </c>
      <c r="E38" s="5">
        <v>-4836</v>
      </c>
      <c r="F38" s="6">
        <v>20099</v>
      </c>
      <c r="G38" s="5">
        <v>29722</v>
      </c>
      <c r="H38" s="5">
        <v>-9623</v>
      </c>
      <c r="I38" s="6">
        <v>20099</v>
      </c>
      <c r="J38" s="5">
        <v>35501</v>
      </c>
      <c r="K38" s="5">
        <v>-15402</v>
      </c>
      <c r="L38" s="6">
        <v>48231</v>
      </c>
      <c r="M38" s="5">
        <v>35067</v>
      </c>
      <c r="N38" s="5">
        <v>13164</v>
      </c>
      <c r="O38" s="6">
        <f t="shared" si="3"/>
        <v>-29861</v>
      </c>
      <c r="P38" s="70">
        <f t="shared" si="4"/>
        <v>-0.33120376224226089</v>
      </c>
      <c r="Q38" s="178" t="s">
        <v>65</v>
      </c>
      <c r="R38" s="66" t="str">
        <f>IF($C$4="High Inventory",IF(AND(O38&gt;=Summary!$C$119,P38&gt;=Summary!$C$120),"X"," "),IF(AND(O38&lt;=-Summary!$C$119,P38&lt;=-Summary!$C$120),"X"," "))</f>
        <v>X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>X</v>
      </c>
      <c r="U38" s="11" t="str">
        <f>IF($C$4="High Inventory",IF(AND($O38&gt;=0,$P38&gt;=Summary!$C$120),"X"," "),IF(AND($O38&lt;=0,$P38&lt;=-Summary!$C$120),"X"," "))</f>
        <v>X</v>
      </c>
      <c r="V38" t="str">
        <f t="shared" si="5"/>
        <v xml:space="preserve"> </v>
      </c>
      <c r="W38" t="str">
        <f>IF($C$4="High Inventory",IF(O38&gt;Summary!$C$119,"X"," "),IF(O38&lt;-Summary!$C$119,"X"," "))</f>
        <v>X</v>
      </c>
      <c r="X38" t="str">
        <f>IF($C$4="High Inventory",IF(P38&gt;Summary!$C$120,"X"," "),IF(P38&lt;-Summary!$C$120,"X"," "))</f>
        <v>X</v>
      </c>
    </row>
    <row r="39" spans="1:24" x14ac:dyDescent="0.2">
      <c r="A39" s="27">
        <v>2832</v>
      </c>
      <c r="B39" s="55" t="s">
        <v>26</v>
      </c>
      <c r="C39" s="6">
        <v>4100</v>
      </c>
      <c r="D39" s="5">
        <v>2565</v>
      </c>
      <c r="E39" s="5">
        <v>1535</v>
      </c>
      <c r="F39" s="6">
        <v>4100</v>
      </c>
      <c r="G39" s="5">
        <v>2384</v>
      </c>
      <c r="H39" s="5">
        <v>1716</v>
      </c>
      <c r="I39" s="6">
        <v>4100</v>
      </c>
      <c r="J39" s="5">
        <v>3400</v>
      </c>
      <c r="K39" s="5">
        <v>700</v>
      </c>
      <c r="L39" s="6">
        <v>4100</v>
      </c>
      <c r="M39" s="5">
        <v>3329</v>
      </c>
      <c r="N39" s="5">
        <v>771</v>
      </c>
      <c r="O39" s="6">
        <f t="shared" si="3"/>
        <v>3951</v>
      </c>
      <c r="P39" s="70">
        <f t="shared" si="4"/>
        <v>0.47317365269461076</v>
      </c>
      <c r="Q39" s="176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8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 xml:space="preserve"> </v>
      </c>
      <c r="V39" t="str">
        <f t="shared" si="5"/>
        <v xml:space="preserve"> 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 xml:space="preserve"> </v>
      </c>
    </row>
    <row r="40" spans="1:24" x14ac:dyDescent="0.2">
      <c r="A40" s="27">
        <v>2892</v>
      </c>
      <c r="B40" s="55" t="s">
        <v>26</v>
      </c>
      <c r="C40" s="6">
        <v>290</v>
      </c>
      <c r="D40" s="5">
        <v>190</v>
      </c>
      <c r="E40" s="5">
        <v>100</v>
      </c>
      <c r="F40" s="6">
        <v>290</v>
      </c>
      <c r="G40" s="5">
        <v>180</v>
      </c>
      <c r="H40" s="5">
        <v>110</v>
      </c>
      <c r="I40" s="6">
        <v>290</v>
      </c>
      <c r="J40" s="5">
        <v>194</v>
      </c>
      <c r="K40" s="5">
        <v>96</v>
      </c>
      <c r="L40" s="6">
        <v>290</v>
      </c>
      <c r="M40" s="5">
        <v>198</v>
      </c>
      <c r="N40" s="5">
        <v>92</v>
      </c>
      <c r="O40" s="6">
        <f t="shared" si="3"/>
        <v>306</v>
      </c>
      <c r="P40" s="70">
        <f t="shared" si="4"/>
        <v>0.54159292035398232</v>
      </c>
      <c r="Q40" s="176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 xml:space="preserve"> 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5"/>
        <v xml:space="preserve"> </v>
      </c>
      <c r="W40" t="str">
        <f>IF($C$4="High Inventory",IF(O40&gt;Summary!$C$119,"X"," "),IF(O40&lt;-Summary!$C$119,"X"," "))</f>
        <v xml:space="preserve"> </v>
      </c>
      <c r="X40" t="str">
        <f>IF($C$4="High Inventory",IF(P40&gt;Summary!$C$120,"X"," "),IF(P40&lt;-Summary!$C$120,"X"," "))</f>
        <v xml:space="preserve"> </v>
      </c>
    </row>
    <row r="41" spans="1:24" x14ac:dyDescent="0.2">
      <c r="A41" s="27">
        <v>3015</v>
      </c>
      <c r="B41" s="55" t="s">
        <v>26</v>
      </c>
      <c r="C41" s="6">
        <v>22580</v>
      </c>
      <c r="D41" s="5">
        <v>17795</v>
      </c>
      <c r="E41" s="5">
        <v>4785</v>
      </c>
      <c r="F41" s="6">
        <v>22616</v>
      </c>
      <c r="G41" s="5">
        <v>18707</v>
      </c>
      <c r="H41" s="5">
        <v>3909</v>
      </c>
      <c r="I41" s="6">
        <v>22692</v>
      </c>
      <c r="J41" s="5">
        <v>20514</v>
      </c>
      <c r="K41" s="5">
        <v>2178</v>
      </c>
      <c r="L41" s="6">
        <v>22320</v>
      </c>
      <c r="M41" s="5">
        <v>20581</v>
      </c>
      <c r="N41" s="5">
        <v>1739</v>
      </c>
      <c r="O41" s="6">
        <f t="shared" si="3"/>
        <v>10872</v>
      </c>
      <c r="P41" s="70">
        <f t="shared" si="4"/>
        <v>0.19067997263973901</v>
      </c>
      <c r="Q41" s="178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5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">
      <c r="A42" s="27">
        <v>3550</v>
      </c>
      <c r="B42" s="55" t="s">
        <v>26</v>
      </c>
      <c r="C42" s="6">
        <v>3000</v>
      </c>
      <c r="D42" s="5">
        <v>3080</v>
      </c>
      <c r="E42" s="5">
        <v>-80</v>
      </c>
      <c r="F42" s="6">
        <v>3000</v>
      </c>
      <c r="G42" s="5">
        <v>3774</v>
      </c>
      <c r="H42" s="5">
        <v>-774</v>
      </c>
      <c r="I42" s="6">
        <v>3000</v>
      </c>
      <c r="J42" s="5">
        <v>3598</v>
      </c>
      <c r="K42" s="5">
        <v>-598</v>
      </c>
      <c r="L42" s="6">
        <v>3900</v>
      </c>
      <c r="M42" s="5">
        <v>3364</v>
      </c>
      <c r="N42" s="5">
        <v>536</v>
      </c>
      <c r="O42" s="6">
        <f t="shared" si="3"/>
        <v>-1452</v>
      </c>
      <c r="P42" s="70">
        <f t="shared" si="4"/>
        <v>-0.13890749067253419</v>
      </c>
      <c r="Q42" s="176"/>
      <c r="R42" s="66" t="str">
        <f>IF($C$4="High Inventory",IF(AND(O42&gt;=Summary!$C$119,P42&gt;=Summary!$C$120),"X"," "),IF(AND(O42&lt;=-Summary!$C$119,P42&lt;=-Summary!$C$120),"X"," "))</f>
        <v xml:space="preserve"> 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 xml:space="preserve"> </v>
      </c>
      <c r="U42" s="11" t="str">
        <f>IF($C$4="High Inventory",IF(AND($O42&gt;=0,$P42&gt;=Summary!$C$120),"X"," "),IF(AND($O42&lt;=0,$P42&lt;=-Summary!$C$120),"X"," "))</f>
        <v>X</v>
      </c>
      <c r="V42" t="str">
        <f t="shared" si="5"/>
        <v xml:space="preserve"> </v>
      </c>
      <c r="W42" t="str">
        <f>IF($C$4="High Inventory",IF(O42&gt;Summary!$C$119,"X"," "),IF(O42&lt;-Summary!$C$119,"X"," "))</f>
        <v xml:space="preserve"> </v>
      </c>
      <c r="X42" t="str">
        <f>IF($C$4="High Inventory",IF(P42&gt;Summary!$C$120,"X"," "),IF(P42&lt;-Summary!$C$120,"X"," "))</f>
        <v>X</v>
      </c>
    </row>
    <row r="43" spans="1:24" x14ac:dyDescent="0.2">
      <c r="A43" s="27">
        <v>4760</v>
      </c>
      <c r="B43" s="55" t="s">
        <v>26</v>
      </c>
      <c r="C43" s="6">
        <v>433042</v>
      </c>
      <c r="D43" s="5">
        <v>416933</v>
      </c>
      <c r="E43" s="5">
        <v>16109</v>
      </c>
      <c r="F43" s="6">
        <v>431975</v>
      </c>
      <c r="G43" s="5">
        <v>477378</v>
      </c>
      <c r="H43" s="5">
        <v>-45403</v>
      </c>
      <c r="I43" s="6">
        <v>433656</v>
      </c>
      <c r="J43" s="5">
        <v>550340</v>
      </c>
      <c r="K43" s="5">
        <v>-116684</v>
      </c>
      <c r="L43" s="6">
        <v>531427</v>
      </c>
      <c r="M43" s="5">
        <v>540991</v>
      </c>
      <c r="N43" s="5">
        <v>-9564</v>
      </c>
      <c r="O43" s="6">
        <f t="shared" si="3"/>
        <v>-145978</v>
      </c>
      <c r="P43" s="70">
        <f t="shared" si="4"/>
        <v>-0.10104717260627473</v>
      </c>
      <c r="Q43" s="176" t="s">
        <v>65</v>
      </c>
      <c r="R43" s="66" t="str">
        <f>IF($C$4="High Inventory",IF(AND(O43&gt;=Summary!$C$119,P43&gt;=Summary!$C$120),"X"," "),IF(AND(O43&lt;=-Summary!$C$119,P43&lt;=-Summary!$C$120),"X"," "))</f>
        <v>X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>X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>X</v>
      </c>
    </row>
    <row r="44" spans="1:24" x14ac:dyDescent="0.2">
      <c r="A44" s="27">
        <v>6728</v>
      </c>
      <c r="B44" s="55" t="s">
        <v>26</v>
      </c>
      <c r="C44" s="6">
        <v>11000</v>
      </c>
      <c r="D44" s="5">
        <v>11736</v>
      </c>
      <c r="E44" s="5">
        <v>-736</v>
      </c>
      <c r="F44" s="6">
        <v>11000</v>
      </c>
      <c r="G44" s="5">
        <v>11278</v>
      </c>
      <c r="H44" s="5">
        <v>-278</v>
      </c>
      <c r="I44" s="6">
        <v>11066</v>
      </c>
      <c r="J44" s="5">
        <v>11777</v>
      </c>
      <c r="K44" s="5">
        <v>-711</v>
      </c>
      <c r="L44" s="6">
        <v>11000</v>
      </c>
      <c r="M44" s="5">
        <v>12609</v>
      </c>
      <c r="N44" s="5">
        <v>-1609</v>
      </c>
      <c r="O44" s="6">
        <f t="shared" si="3"/>
        <v>-1725</v>
      </c>
      <c r="P44" s="70">
        <f t="shared" si="4"/>
        <v>-4.9580363301908487E-2</v>
      </c>
      <c r="Q44" s="178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">
      <c r="A45" s="27">
        <v>12296</v>
      </c>
      <c r="B45" s="55" t="s">
        <v>26</v>
      </c>
      <c r="C45" s="6">
        <v>9680</v>
      </c>
      <c r="D45" s="5">
        <v>0</v>
      </c>
      <c r="E45" s="5">
        <v>9680</v>
      </c>
      <c r="F45" s="6">
        <v>9680</v>
      </c>
      <c r="G45" s="5">
        <v>0</v>
      </c>
      <c r="H45" s="5">
        <v>9680</v>
      </c>
      <c r="I45" s="6">
        <v>1389</v>
      </c>
      <c r="J45" s="5">
        <v>0</v>
      </c>
      <c r="K45" s="5">
        <v>1389</v>
      </c>
      <c r="L45" s="6">
        <v>7680</v>
      </c>
      <c r="M45" s="5">
        <v>0</v>
      </c>
      <c r="N45" s="5">
        <v>7680</v>
      </c>
      <c r="O45" s="6">
        <f t="shared" si="3"/>
        <v>20749</v>
      </c>
      <c r="P45" s="70">
        <f t="shared" si="4"/>
        <v>20749</v>
      </c>
      <c r="Q45" s="176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5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">
      <c r="A46" s="27">
        <v>15966</v>
      </c>
      <c r="B46" s="55" t="s">
        <v>26</v>
      </c>
      <c r="C46" s="6">
        <v>64097</v>
      </c>
      <c r="D46" s="5">
        <v>59764</v>
      </c>
      <c r="E46" s="5">
        <v>4333</v>
      </c>
      <c r="F46" s="6">
        <v>64098</v>
      </c>
      <c r="G46" s="5">
        <v>59688</v>
      </c>
      <c r="H46" s="5">
        <v>4410</v>
      </c>
      <c r="I46" s="6">
        <v>64098</v>
      </c>
      <c r="J46" s="5">
        <v>60098</v>
      </c>
      <c r="K46" s="5">
        <v>4000</v>
      </c>
      <c r="L46" s="6">
        <v>63626</v>
      </c>
      <c r="M46" s="5">
        <v>59597</v>
      </c>
      <c r="N46" s="5">
        <v>4029</v>
      </c>
      <c r="O46" s="6">
        <f t="shared" si="3"/>
        <v>12743</v>
      </c>
      <c r="P46" s="70">
        <f t="shared" si="4"/>
        <v>7.097147885558977E-2</v>
      </c>
      <c r="Q46" s="176" t="s">
        <v>65</v>
      </c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5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">
      <c r="A47" s="27">
        <v>30069</v>
      </c>
      <c r="B47" s="55" t="s">
        <v>26</v>
      </c>
      <c r="C47" s="6">
        <v>9375</v>
      </c>
      <c r="D47" s="5">
        <v>10058</v>
      </c>
      <c r="E47" s="5">
        <v>-683</v>
      </c>
      <c r="F47" s="6">
        <v>9374</v>
      </c>
      <c r="G47" s="5">
        <v>10009</v>
      </c>
      <c r="H47" s="5">
        <v>-635</v>
      </c>
      <c r="I47" s="6">
        <v>9377</v>
      </c>
      <c r="J47" s="5">
        <v>4835</v>
      </c>
      <c r="K47" s="5">
        <v>4542</v>
      </c>
      <c r="L47" s="6">
        <v>9377</v>
      </c>
      <c r="M47" s="5">
        <v>1981</v>
      </c>
      <c r="N47" s="5">
        <v>7396</v>
      </c>
      <c r="O47" s="6">
        <f t="shared" si="3"/>
        <v>3224</v>
      </c>
      <c r="P47" s="70">
        <f t="shared" si="4"/>
        <v>0.12946231377745654</v>
      </c>
      <c r="Q47" s="176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 xml:space="preserve"> </v>
      </c>
      <c r="V47" t="str">
        <f t="shared" si="5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 xml:space="preserve"> </v>
      </c>
    </row>
    <row r="48" spans="1:24" x14ac:dyDescent="0.2">
      <c r="A48" s="27">
        <v>51</v>
      </c>
      <c r="B48" s="55" t="s">
        <v>27</v>
      </c>
      <c r="C48" s="6">
        <v>8240</v>
      </c>
      <c r="D48" s="5">
        <v>6209</v>
      </c>
      <c r="E48" s="5">
        <v>2031</v>
      </c>
      <c r="F48" s="6">
        <v>8240</v>
      </c>
      <c r="G48" s="5">
        <v>7121</v>
      </c>
      <c r="H48" s="5">
        <v>1119</v>
      </c>
      <c r="I48" s="6">
        <v>8240</v>
      </c>
      <c r="J48" s="5">
        <v>8034</v>
      </c>
      <c r="K48" s="5">
        <v>206</v>
      </c>
      <c r="L48" s="6">
        <v>8240</v>
      </c>
      <c r="M48" s="5">
        <v>7934</v>
      </c>
      <c r="N48" s="5">
        <v>306</v>
      </c>
      <c r="O48" s="6">
        <f t="shared" si="3"/>
        <v>3356</v>
      </c>
      <c r="P48" s="70">
        <f t="shared" si="4"/>
        <v>0.15707933536157268</v>
      </c>
      <c r="Q48" s="176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 xml:space="preserve"> </v>
      </c>
      <c r="V48" t="str">
        <f t="shared" si="5"/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 xml:space="preserve"> </v>
      </c>
    </row>
    <row r="49" spans="1:24" x14ac:dyDescent="0.2">
      <c r="A49" s="27">
        <v>62</v>
      </c>
      <c r="B49" s="55" t="s">
        <v>27</v>
      </c>
      <c r="C49" s="6">
        <v>0</v>
      </c>
      <c r="D49" s="5">
        <v>0</v>
      </c>
      <c r="E49" s="5">
        <v>0</v>
      </c>
      <c r="F49" s="6">
        <v>0</v>
      </c>
      <c r="G49" s="5">
        <v>0</v>
      </c>
      <c r="H49" s="5">
        <v>0</v>
      </c>
      <c r="I49" s="6">
        <v>0</v>
      </c>
      <c r="J49" s="5">
        <v>0</v>
      </c>
      <c r="K49" s="5">
        <v>0</v>
      </c>
      <c r="L49" s="6">
        <v>0</v>
      </c>
      <c r="M49" s="5">
        <v>0</v>
      </c>
      <c r="N49" s="5">
        <v>0</v>
      </c>
      <c r="O49" s="6">
        <f t="shared" si="3"/>
        <v>0</v>
      </c>
      <c r="P49" s="70">
        <f t="shared" si="4"/>
        <v>0</v>
      </c>
      <c r="Q49" s="176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 t="shared" si="5"/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24" x14ac:dyDescent="0.2">
      <c r="A50" s="27">
        <v>145</v>
      </c>
      <c r="B50" s="55" t="s">
        <v>27</v>
      </c>
      <c r="C50" s="202">
        <v>0</v>
      </c>
      <c r="D50" s="203">
        <v>0</v>
      </c>
      <c r="E50" s="203">
        <v>0</v>
      </c>
      <c r="F50" s="202">
        <v>0</v>
      </c>
      <c r="G50" s="203">
        <v>0</v>
      </c>
      <c r="H50" s="203">
        <v>0</v>
      </c>
      <c r="I50" s="202">
        <v>0</v>
      </c>
      <c r="J50" s="203">
        <v>0</v>
      </c>
      <c r="K50" s="203">
        <v>0</v>
      </c>
      <c r="L50" s="202">
        <v>0</v>
      </c>
      <c r="M50" s="203">
        <v>0</v>
      </c>
      <c r="N50" s="203">
        <v>0</v>
      </c>
      <c r="O50" s="202">
        <f t="shared" si="3"/>
        <v>0</v>
      </c>
      <c r="P50" s="70">
        <f t="shared" si="4"/>
        <v>0</v>
      </c>
      <c r="Q50" s="176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 t="shared" si="5"/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24" x14ac:dyDescent="0.2">
      <c r="A51" s="27">
        <v>254</v>
      </c>
      <c r="B51" s="55" t="s">
        <v>27</v>
      </c>
      <c r="C51" s="6">
        <v>10917</v>
      </c>
      <c r="D51" s="5">
        <v>10844</v>
      </c>
      <c r="E51" s="5">
        <v>73</v>
      </c>
      <c r="F51" s="6">
        <v>10921</v>
      </c>
      <c r="G51" s="5">
        <v>10797</v>
      </c>
      <c r="H51" s="5">
        <v>124</v>
      </c>
      <c r="I51" s="6">
        <v>10921</v>
      </c>
      <c r="J51" s="5">
        <v>11019</v>
      </c>
      <c r="K51" s="5">
        <v>-98</v>
      </c>
      <c r="L51" s="6">
        <v>10921</v>
      </c>
      <c r="M51" s="5">
        <v>12395</v>
      </c>
      <c r="N51" s="5">
        <v>-1474</v>
      </c>
      <c r="O51" s="6">
        <f t="shared" si="3"/>
        <v>99</v>
      </c>
      <c r="P51" s="70">
        <f t="shared" si="4"/>
        <v>3.0311380545604851E-3</v>
      </c>
      <c r="Q51" s="176"/>
      <c r="R51" s="66" t="str">
        <f>IF($C$4="High Inventory",IF(AND(O51&gt;=Summary!$C$119,P51&gt;=Summary!$C$120),"X"," "),IF(AND(O51&lt;=-Summary!$C$119,P51&lt;=-Summary!$C$120),"X"," "))</f>
        <v xml:space="preserve"> 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 t="str">
        <f>IF($C$4="High Inventory",IF(AND($O51&gt;=Summary!$C$119,$P51&gt;=0%),"X"," "),IF(AND($O51&lt;=-Summary!$C$119,$P51&lt;=0%),"X"," "))</f>
        <v xml:space="preserve"> </v>
      </c>
      <c r="U51" s="11" t="str">
        <f>IF($C$4="High Inventory",IF(AND($O51&gt;=0,$P51&gt;=Summary!$C$120),"X"," "),IF(AND($O51&lt;=0,$P51&lt;=-Summary!$C$120),"X"," "))</f>
        <v xml:space="preserve"> </v>
      </c>
      <c r="V51" t="str">
        <f t="shared" si="5"/>
        <v xml:space="preserve"> </v>
      </c>
      <c r="W51" t="str">
        <f>IF($C$4="High Inventory",IF(O51&gt;Summary!$C$119,"X"," "),IF(O51&lt;-Summary!$C$119,"X"," "))</f>
        <v xml:space="preserve"> </v>
      </c>
      <c r="X51" t="str">
        <f>IF($C$4="High Inventory",IF(P51&gt;Summary!$C$120,"X"," "),IF(P51&lt;-Summary!$C$120,"X"," "))</f>
        <v xml:space="preserve"> </v>
      </c>
    </row>
    <row r="52" spans="1:24" x14ac:dyDescent="0.2">
      <c r="A52" s="27">
        <v>326</v>
      </c>
      <c r="B52" s="55" t="s">
        <v>27</v>
      </c>
      <c r="C52" s="6">
        <v>165</v>
      </c>
      <c r="D52" s="5">
        <v>0</v>
      </c>
      <c r="E52" s="5">
        <v>165</v>
      </c>
      <c r="F52" s="6">
        <v>165</v>
      </c>
      <c r="G52" s="5">
        <v>155</v>
      </c>
      <c r="H52" s="5">
        <v>10</v>
      </c>
      <c r="I52" s="6">
        <v>165</v>
      </c>
      <c r="J52" s="5">
        <v>164</v>
      </c>
      <c r="K52" s="5">
        <v>1</v>
      </c>
      <c r="L52" s="6">
        <v>165</v>
      </c>
      <c r="M52" s="5">
        <v>157</v>
      </c>
      <c r="N52" s="5">
        <v>8</v>
      </c>
      <c r="O52" s="6">
        <f t="shared" si="3"/>
        <v>176</v>
      </c>
      <c r="P52" s="70">
        <f t="shared" si="4"/>
        <v>0.55000000000000004</v>
      </c>
      <c r="Q52" s="176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 t="shared" si="5"/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24" x14ac:dyDescent="0.2">
      <c r="A53" s="27">
        <v>375</v>
      </c>
      <c r="B53" s="55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0">
        <f t="shared" si="4"/>
        <v>0</v>
      </c>
      <c r="Q53" s="176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8" t="str">
        <f>IF($C$4="High Inventory",IF(AND($O53&gt;=Summary!$C$119,$P53&gt;=0%),"X"," "),IF(AND($O53&lt;=-Summary!$C$119,$P53&lt;=0%),"X"," "))</f>
        <v xml:space="preserve"> </v>
      </c>
      <c r="U53" s="11" t="str">
        <f>IF($C$4="High Inventory",IF(AND($O53&gt;=0,$P53&gt;=Summary!$C$120),"X"," "),IF(AND($O53&lt;=0,$P53&lt;=-Summary!$C$120),"X"," "))</f>
        <v xml:space="preserve"> </v>
      </c>
      <c r="V53" t="str">
        <f t="shared" si="5"/>
        <v xml:space="preserve"> </v>
      </c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 xml:space="preserve"> </v>
      </c>
    </row>
    <row r="54" spans="1:24" x14ac:dyDescent="0.2">
      <c r="A54" s="27">
        <v>399</v>
      </c>
      <c r="B54" s="55" t="s">
        <v>27</v>
      </c>
      <c r="C54" s="6">
        <v>0</v>
      </c>
      <c r="D54" s="5">
        <v>163</v>
      </c>
      <c r="E54" s="5">
        <v>-163</v>
      </c>
      <c r="F54" s="6">
        <v>0</v>
      </c>
      <c r="G54" s="5">
        <v>176</v>
      </c>
      <c r="H54" s="5">
        <v>-176</v>
      </c>
      <c r="I54" s="6">
        <v>0</v>
      </c>
      <c r="J54" s="5">
        <v>190</v>
      </c>
      <c r="K54" s="5">
        <v>-190</v>
      </c>
      <c r="L54" s="6">
        <v>150</v>
      </c>
      <c r="M54" s="5">
        <v>192</v>
      </c>
      <c r="N54" s="5">
        <v>-42</v>
      </c>
      <c r="O54" s="6">
        <f t="shared" ref="O54:O75" si="6">K54+H54+E54</f>
        <v>-529</v>
      </c>
      <c r="P54" s="70">
        <f t="shared" si="4"/>
        <v>-0.99811320754716981</v>
      </c>
      <c r="Q54" s="176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>X</v>
      </c>
      <c r="V54" t="str">
        <f t="shared" si="5"/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>X</v>
      </c>
    </row>
    <row r="55" spans="1:24" x14ac:dyDescent="0.2">
      <c r="A55" s="27">
        <v>427</v>
      </c>
      <c r="B55" s="55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6"/>
        <v>0</v>
      </c>
      <c r="P55" s="70">
        <f t="shared" ref="P55:P75" si="7">O55/(J55+G55+D55+1)</f>
        <v>0</v>
      </c>
      <c r="Q55" s="176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 xml:space="preserve"> </v>
      </c>
      <c r="V55" t="str">
        <f t="shared" ref="V55:V75" si="8">IF(S55 = "X",L55-I55," ")</f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 xml:space="preserve"> </v>
      </c>
    </row>
    <row r="56" spans="1:24" x14ac:dyDescent="0.2">
      <c r="A56" s="27">
        <v>462</v>
      </c>
      <c r="B56" s="55" t="s">
        <v>27</v>
      </c>
      <c r="C56" s="6">
        <v>78</v>
      </c>
      <c r="D56" s="5">
        <v>105</v>
      </c>
      <c r="E56" s="5">
        <v>-27</v>
      </c>
      <c r="F56" s="6">
        <v>78</v>
      </c>
      <c r="G56" s="5">
        <v>163</v>
      </c>
      <c r="H56" s="5">
        <v>-85</v>
      </c>
      <c r="I56" s="6">
        <v>78</v>
      </c>
      <c r="J56" s="5">
        <v>154</v>
      </c>
      <c r="K56" s="5">
        <v>-76</v>
      </c>
      <c r="L56" s="6">
        <v>150</v>
      </c>
      <c r="M56" s="5">
        <v>152</v>
      </c>
      <c r="N56" s="5">
        <v>-2</v>
      </c>
      <c r="O56" s="6">
        <f t="shared" si="6"/>
        <v>-188</v>
      </c>
      <c r="P56" s="70">
        <f t="shared" si="7"/>
        <v>-0.44444444444444442</v>
      </c>
      <c r="Q56" s="176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>X</v>
      </c>
      <c r="V56" t="str">
        <f t="shared" si="8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>X</v>
      </c>
    </row>
    <row r="57" spans="1:24" x14ac:dyDescent="0.2">
      <c r="A57" s="27">
        <v>470</v>
      </c>
      <c r="B57" s="55" t="s">
        <v>27</v>
      </c>
      <c r="C57" s="6">
        <v>169</v>
      </c>
      <c r="D57" s="5">
        <v>0</v>
      </c>
      <c r="E57" s="5">
        <v>169</v>
      </c>
      <c r="F57" s="6">
        <v>169</v>
      </c>
      <c r="G57" s="5">
        <v>107</v>
      </c>
      <c r="H57" s="5">
        <v>62</v>
      </c>
      <c r="I57" s="6">
        <v>169</v>
      </c>
      <c r="J57" s="5">
        <v>169</v>
      </c>
      <c r="K57" s="5">
        <v>0</v>
      </c>
      <c r="L57" s="6">
        <v>169</v>
      </c>
      <c r="M57" s="5">
        <v>227</v>
      </c>
      <c r="N57" s="5">
        <v>-58</v>
      </c>
      <c r="O57" s="6">
        <f t="shared" si="6"/>
        <v>231</v>
      </c>
      <c r="P57" s="70">
        <f t="shared" si="7"/>
        <v>0.83393501805054149</v>
      </c>
      <c r="Q57" s="176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 t="str">
        <f>IF($C$4="High Inventory",IF(AND($O57&gt;=Summary!$C$119,$P57&gt;=0%),"X"," "),IF(AND($O57&lt;=-Summary!$C$119,$P57&lt;=0%),"X"," "))</f>
        <v xml:space="preserve"> </v>
      </c>
      <c r="U57" s="11" t="str">
        <f>IF($C$4="High Inventory",IF(AND($O57&gt;=0,$P57&gt;=Summary!$C$120),"X"," "),IF(AND($O57&lt;=0,$P57&lt;=-Summary!$C$120),"X"," "))</f>
        <v xml:space="preserve"> </v>
      </c>
      <c r="V57" t="str">
        <f t="shared" si="8"/>
        <v xml:space="preserve"> </v>
      </c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24" x14ac:dyDescent="0.2">
      <c r="A58" s="27">
        <v>503</v>
      </c>
      <c r="B58" s="55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6"/>
        <v>0</v>
      </c>
      <c r="P58" s="70">
        <f t="shared" si="7"/>
        <v>0</v>
      </c>
      <c r="Q58" s="176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8"/>
        <v xml:space="preserve"> </v>
      </c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 xml:space="preserve"> </v>
      </c>
    </row>
    <row r="59" spans="1:24" x14ac:dyDescent="0.2">
      <c r="A59" s="27">
        <v>512</v>
      </c>
      <c r="B59" s="55" t="s">
        <v>27</v>
      </c>
      <c r="C59" s="6">
        <v>800</v>
      </c>
      <c r="D59" s="5">
        <v>744</v>
      </c>
      <c r="E59" s="5">
        <v>56</v>
      </c>
      <c r="F59" s="6">
        <v>800</v>
      </c>
      <c r="G59" s="5">
        <v>606</v>
      </c>
      <c r="H59" s="5">
        <v>194</v>
      </c>
      <c r="I59" s="6">
        <v>800</v>
      </c>
      <c r="J59" s="5">
        <v>700</v>
      </c>
      <c r="K59" s="5">
        <v>100</v>
      </c>
      <c r="L59" s="6">
        <v>800</v>
      </c>
      <c r="M59" s="5">
        <v>768</v>
      </c>
      <c r="N59" s="5">
        <v>32</v>
      </c>
      <c r="O59" s="6">
        <f t="shared" si="6"/>
        <v>350</v>
      </c>
      <c r="P59" s="70">
        <f t="shared" si="7"/>
        <v>0.17064846416382254</v>
      </c>
      <c r="Q59" s="176"/>
      <c r="R59" s="66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8" t="str">
        <f>IF($C$4="High Inventory",IF(AND($O59&gt;=Summary!$C$119,$P59&gt;=0%),"X"," "),IF(AND($O59&lt;=-Summary!$C$119,$P59&lt;=0%),"X"," "))</f>
        <v xml:space="preserve"> </v>
      </c>
      <c r="U59" s="11" t="str">
        <f>IF($C$4="High Inventory",IF(AND($O59&gt;=0,$P59&gt;=Summary!$C$120),"X"," "),IF(AND($O59&lt;=0,$P59&lt;=-Summary!$C$120),"X"," "))</f>
        <v xml:space="preserve"> </v>
      </c>
      <c r="V59" t="str">
        <f t="shared" si="8"/>
        <v xml:space="preserve"> </v>
      </c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24" x14ac:dyDescent="0.2">
      <c r="A60" s="27">
        <v>650</v>
      </c>
      <c r="B60" s="55" t="s">
        <v>27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6"/>
        <v>0</v>
      </c>
      <c r="P60" s="70">
        <f t="shared" si="7"/>
        <v>0</v>
      </c>
      <c r="Q60" s="176"/>
      <c r="R60" s="66" t="str">
        <f>IF($C$4="High Inventory",IF(AND(O60&gt;=Summary!$C$119,P60&gt;=Summary!$C$120),"X"," "),IF(AND(O60&lt;=-Summary!$C$119,P60&lt;=-Summary!$C$120),"X"," "))</f>
        <v xml:space="preserve"> </v>
      </c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T60" s="8" t="str">
        <f>IF($C$4="High Inventory",IF(AND($O60&gt;=Summary!$C$119,$P60&gt;=0%),"X"," "),IF(AND($O60&lt;=-Summary!$C$119,$P60&lt;=0%),"X"," "))</f>
        <v xml:space="preserve"> </v>
      </c>
      <c r="U60" s="11" t="str">
        <f>IF($C$4="High Inventory",IF(AND($O60&gt;=0,$P60&gt;=Summary!$C$120),"X"," "),IF(AND($O60&lt;=0,$P60&lt;=-Summary!$C$120),"X"," "))</f>
        <v xml:space="preserve"> </v>
      </c>
      <c r="V60" t="str">
        <f t="shared" si="8"/>
        <v xml:space="preserve"> </v>
      </c>
      <c r="W60" t="str">
        <f>IF($C$4="High Inventory",IF(O60&gt;Summary!$C$119,"X"," "),IF(O60&lt;-Summary!$C$119,"X"," "))</f>
        <v xml:space="preserve"> </v>
      </c>
      <c r="X60" t="str">
        <f>IF($C$4="High Inventory",IF(P60&gt;Summary!$C$120,"X"," "),IF(P60&lt;-Summary!$C$120,"X"," "))</f>
        <v xml:space="preserve"> </v>
      </c>
    </row>
    <row r="61" spans="1:24" x14ac:dyDescent="0.2">
      <c r="A61" s="27">
        <v>779</v>
      </c>
      <c r="B61" s="55" t="s">
        <v>27</v>
      </c>
      <c r="C61" s="6">
        <v>800</v>
      </c>
      <c r="D61" s="5">
        <v>0</v>
      </c>
      <c r="E61" s="5">
        <v>800</v>
      </c>
      <c r="F61" s="6">
        <v>800</v>
      </c>
      <c r="G61" s="5">
        <v>494</v>
      </c>
      <c r="H61" s="5">
        <v>306</v>
      </c>
      <c r="I61" s="6">
        <v>800</v>
      </c>
      <c r="J61" s="5">
        <v>1289</v>
      </c>
      <c r="K61" s="5">
        <v>-489</v>
      </c>
      <c r="L61" s="6">
        <v>800</v>
      </c>
      <c r="M61" s="5">
        <v>1237</v>
      </c>
      <c r="N61" s="5">
        <v>-437</v>
      </c>
      <c r="O61" s="6">
        <f t="shared" si="6"/>
        <v>617</v>
      </c>
      <c r="P61" s="70">
        <f t="shared" si="7"/>
        <v>0.34585201793721976</v>
      </c>
      <c r="Q61" s="176"/>
      <c r="R61" s="66" t="str">
        <f>IF($C$4="High Inventory",IF(AND(O61&gt;=Summary!$C$119,P61&gt;=Summary!$C$120),"X"," "),IF(AND(O61&lt;=-Summary!$C$119,P61&lt;=-Summary!$C$120),"X"," "))</f>
        <v xml:space="preserve"> </v>
      </c>
      <c r="S61" s="81" t="str">
        <f>IF($C$5="System-Wide"," ",IF($C$4="High Inventory",IF(AND(L61-I61&gt;=Summary!$C$123,N61-K61&gt;Summary!$C$123,N61&gt;0),"X"," "),IF(AND(I61-L61&gt;=Summary!$C$123,K61-N61&gt;Summary!$C$123,N61&lt;0),"X"," ")))</f>
        <v xml:space="preserve"> </v>
      </c>
      <c r="T61" s="8" t="str">
        <f>IF($C$4="High Inventory",IF(AND($O61&gt;=Summary!$C$119,$P61&gt;=0%),"X"," "),IF(AND($O61&lt;=-Summary!$C$119,$P61&lt;=0%),"X"," "))</f>
        <v xml:space="preserve"> </v>
      </c>
      <c r="U61" s="11" t="str">
        <f>IF($C$4="High Inventory",IF(AND($O61&gt;=0,$P61&gt;=Summary!$C$120),"X"," "),IF(AND($O61&lt;=0,$P61&lt;=-Summary!$C$120),"X"," "))</f>
        <v xml:space="preserve"> </v>
      </c>
      <c r="V61" t="str">
        <f t="shared" si="8"/>
        <v xml:space="preserve"> </v>
      </c>
      <c r="W61" t="str">
        <f>IF($C$4="High Inventory",IF(O61&gt;Summary!$C$119,"X"," "),IF(O61&lt;-Summary!$C$119,"X"," "))</f>
        <v xml:space="preserve"> </v>
      </c>
      <c r="X61" t="str">
        <f>IF($C$4="High Inventory",IF(P61&gt;Summary!$C$120,"X"," "),IF(P61&lt;-Summary!$C$120,"X"," "))</f>
        <v xml:space="preserve"> </v>
      </c>
    </row>
    <row r="62" spans="1:24" x14ac:dyDescent="0.2">
      <c r="A62" s="27">
        <v>928</v>
      </c>
      <c r="B62" s="55" t="s">
        <v>27</v>
      </c>
      <c r="C62" s="6">
        <v>0</v>
      </c>
      <c r="D62" s="5">
        <v>174</v>
      </c>
      <c r="E62" s="5">
        <v>-174</v>
      </c>
      <c r="F62" s="6">
        <v>0</v>
      </c>
      <c r="G62" s="5">
        <v>175</v>
      </c>
      <c r="H62" s="5">
        <v>-175</v>
      </c>
      <c r="I62" s="6">
        <v>0</v>
      </c>
      <c r="J62" s="5">
        <v>174</v>
      </c>
      <c r="K62" s="5">
        <v>-174</v>
      </c>
      <c r="L62" s="6">
        <v>0</v>
      </c>
      <c r="M62" s="5">
        <v>172</v>
      </c>
      <c r="N62" s="5">
        <v>-172</v>
      </c>
      <c r="O62" s="6">
        <f t="shared" si="6"/>
        <v>-523</v>
      </c>
      <c r="P62" s="70">
        <f t="shared" si="7"/>
        <v>-0.99809160305343514</v>
      </c>
      <c r="Q62" s="176"/>
      <c r="R62" s="66" t="str">
        <f>IF($C$4="High Inventory",IF(AND(O62&gt;=Summary!$C$119,P62&gt;=Summary!$C$120),"X"," "),IF(AND(O62&lt;=-Summary!$C$119,P62&lt;=-Summary!$C$120),"X"," "))</f>
        <v xml:space="preserve"> </v>
      </c>
      <c r="S62" s="81" t="str">
        <f>IF($C$5="System-Wide"," ",IF($C$4="High Inventory",IF(AND(L62-I62&gt;=Summary!$C$123,N62-K62&gt;Summary!$C$123,N62&gt;0),"X"," "),IF(AND(I62-L62&gt;=Summary!$C$123,K62-N62&gt;Summary!$C$123,N62&lt;0),"X"," ")))</f>
        <v xml:space="preserve"> </v>
      </c>
      <c r="T62" s="8" t="str">
        <f>IF($C$4="High Inventory",IF(AND($O62&gt;=Summary!$C$119,$P62&gt;=0%),"X"," "),IF(AND($O62&lt;=-Summary!$C$119,$P62&lt;=0%),"X"," "))</f>
        <v xml:space="preserve"> </v>
      </c>
      <c r="U62" s="11" t="str">
        <f>IF($C$4="High Inventory",IF(AND($O62&gt;=0,$P62&gt;=Summary!$C$120),"X"," "),IF(AND($O62&lt;=0,$P62&lt;=-Summary!$C$120),"X"," "))</f>
        <v>X</v>
      </c>
      <c r="V62" t="str">
        <f t="shared" si="8"/>
        <v xml:space="preserve"> </v>
      </c>
      <c r="W62" t="str">
        <f>IF($C$4="High Inventory",IF(O62&gt;Summary!$C$119,"X"," "),IF(O62&lt;-Summary!$C$119,"X"," "))</f>
        <v xml:space="preserve"> </v>
      </c>
      <c r="X62" t="str">
        <f>IF($C$4="High Inventory",IF(P62&gt;Summary!$C$120,"X"," "),IF(P62&lt;-Summary!$C$120,"X"," "))</f>
        <v>X</v>
      </c>
    </row>
    <row r="63" spans="1:24" x14ac:dyDescent="0.2">
      <c r="A63" s="27">
        <v>5325</v>
      </c>
      <c r="B63" s="55" t="s">
        <v>27</v>
      </c>
      <c r="C63" s="6">
        <v>182</v>
      </c>
      <c r="D63" s="5">
        <v>0</v>
      </c>
      <c r="E63" s="5">
        <v>182</v>
      </c>
      <c r="F63" s="6">
        <v>182</v>
      </c>
      <c r="G63" s="5">
        <v>0</v>
      </c>
      <c r="H63" s="5">
        <v>182</v>
      </c>
      <c r="I63" s="6">
        <v>182</v>
      </c>
      <c r="J63" s="5">
        <v>220</v>
      </c>
      <c r="K63" s="5">
        <v>-38</v>
      </c>
      <c r="L63" s="6">
        <v>182</v>
      </c>
      <c r="M63" s="5">
        <v>256</v>
      </c>
      <c r="N63" s="5">
        <v>-74</v>
      </c>
      <c r="O63" s="6">
        <f t="shared" si="6"/>
        <v>326</v>
      </c>
      <c r="P63" s="70">
        <f t="shared" si="7"/>
        <v>1.4751131221719458</v>
      </c>
      <c r="Q63" s="176"/>
      <c r="R63" s="66" t="str">
        <f>IF($C$4="High Inventory",IF(AND(O63&gt;=Summary!$C$119,P63&gt;=Summary!$C$120),"X"," "),IF(AND(O63&lt;=-Summary!$C$119,P63&lt;=-Summary!$C$120),"X"," "))</f>
        <v xml:space="preserve"> </v>
      </c>
      <c r="S63" s="81" t="str">
        <f>IF($C$5="System-Wide"," ",IF($C$4="High Inventory",IF(AND(L63-I63&gt;=Summary!$C$123,N63-K63&gt;Summary!$C$123,N63&gt;0),"X"," "),IF(AND(I63-L63&gt;=Summary!$C$123,K63-N63&gt;Summary!$C$123,N63&lt;0),"X"," ")))</f>
        <v xml:space="preserve"> </v>
      </c>
      <c r="T63" s="8" t="str">
        <f>IF($C$4="High Inventory",IF(AND($O63&gt;=Summary!$C$119,$P63&gt;=0%),"X"," "),IF(AND($O63&lt;=-Summary!$C$119,$P63&lt;=0%),"X"," "))</f>
        <v xml:space="preserve"> </v>
      </c>
      <c r="U63" s="11" t="str">
        <f>IF($C$4="High Inventory",IF(AND($O63&gt;=0,$P63&gt;=Summary!$C$120),"X"," "),IF(AND($O63&lt;=0,$P63&lt;=-Summary!$C$120),"X"," "))</f>
        <v xml:space="preserve"> </v>
      </c>
      <c r="V63" t="str">
        <f t="shared" si="8"/>
        <v xml:space="preserve"> </v>
      </c>
      <c r="W63" t="str">
        <f>IF($C$4="High Inventory",IF(O63&gt;Summary!$C$119,"X"," "),IF(O63&lt;-Summary!$C$119,"X"," "))</f>
        <v xml:space="preserve"> </v>
      </c>
      <c r="X63" t="str">
        <f>IF($C$4="High Inventory",IF(P63&gt;Summary!$C$120,"X"," "),IF(P63&lt;-Summary!$C$120,"X"," "))</f>
        <v xml:space="preserve"> </v>
      </c>
    </row>
    <row r="64" spans="1:24" x14ac:dyDescent="0.2">
      <c r="A64" s="27">
        <v>5382</v>
      </c>
      <c r="B64" s="55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100</v>
      </c>
      <c r="M64" s="5">
        <v>1</v>
      </c>
      <c r="N64" s="5">
        <v>99</v>
      </c>
      <c r="O64" s="6">
        <f t="shared" si="6"/>
        <v>0</v>
      </c>
      <c r="P64" s="70">
        <f t="shared" si="7"/>
        <v>0</v>
      </c>
      <c r="Q64" s="176"/>
      <c r="R64" s="66" t="str">
        <f>IF($C$4="High Inventory",IF(AND(O64&gt;=Summary!$C$119,P64&gt;=Summary!$C$120),"X"," "),IF(AND(O64&lt;=-Summary!$C$119,P64&lt;=-Summary!$C$120),"X"," "))</f>
        <v xml:space="preserve"> </v>
      </c>
      <c r="S64" s="81" t="str">
        <f>IF($C$5="System-Wide"," ",IF($C$4="High Inventory",IF(AND(L64-I64&gt;=Summary!$C$123,N64-K64&gt;Summary!$C$123,N64&gt;0),"X"," "),IF(AND(I64-L64&gt;=Summary!$C$123,K64-N64&gt;Summary!$C$123,N64&lt;0),"X"," ")))</f>
        <v xml:space="preserve"> </v>
      </c>
      <c r="T64" s="8" t="str">
        <f>IF($C$4="High Inventory",IF(AND($O64&gt;=Summary!$C$119,$P64&gt;=0%),"X"," "),IF(AND($O64&lt;=-Summary!$C$119,$P64&lt;=0%),"X"," "))</f>
        <v xml:space="preserve"> </v>
      </c>
      <c r="U64" s="11" t="str">
        <f>IF($C$4="High Inventory",IF(AND($O64&gt;=0,$P64&gt;=Summary!$C$120),"X"," "),IF(AND($O64&lt;=0,$P64&lt;=-Summary!$C$120),"X"," "))</f>
        <v xml:space="preserve"> </v>
      </c>
      <c r="V64" t="str">
        <f t="shared" si="8"/>
        <v xml:space="preserve"> </v>
      </c>
      <c r="W64" t="str">
        <f>IF($C$4="High Inventory",IF(O64&gt;Summary!$C$119,"X"," "),IF(O64&lt;-Summary!$C$119,"X"," "))</f>
        <v xml:space="preserve"> </v>
      </c>
      <c r="X64" t="str">
        <f>IF($C$4="High Inventory",IF(P64&gt;Summary!$C$120,"X"," "),IF(P64&lt;-Summary!$C$120,"X"," "))</f>
        <v xml:space="preserve"> </v>
      </c>
    </row>
    <row r="65" spans="1:42" x14ac:dyDescent="0.2">
      <c r="A65" s="27">
        <v>6581</v>
      </c>
      <c r="B65" s="55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6"/>
        <v>0</v>
      </c>
      <c r="P65" s="70">
        <f t="shared" si="7"/>
        <v>0</v>
      </c>
      <c r="Q65" s="176"/>
      <c r="R65" s="66" t="str">
        <f>IF($C$4="High Inventory",IF(AND(O65&gt;=Summary!$C$119,P65&gt;=Summary!$C$120),"X"," "),IF(AND(O65&lt;=-Summary!$C$119,P65&lt;=-Summary!$C$120),"X"," "))</f>
        <v xml:space="preserve"> </v>
      </c>
      <c r="S65" s="81" t="str">
        <f>IF($C$5="System-Wide"," ",IF($C$4="High Inventory",IF(AND(L65-I65&gt;=Summary!$C$123,N65-K65&gt;Summary!$C$123,N65&gt;0),"X"," "),IF(AND(I65-L65&gt;=Summary!$C$123,K65-N65&gt;Summary!$C$123,N65&lt;0),"X"," ")))</f>
        <v xml:space="preserve"> </v>
      </c>
      <c r="T65" s="8" t="str">
        <f>IF($C$4="High Inventory",IF(AND($O65&gt;=Summary!$C$119,$P65&gt;=0%),"X"," "),IF(AND($O65&lt;=-Summary!$C$119,$P65&lt;=0%),"X"," "))</f>
        <v xml:space="preserve"> </v>
      </c>
      <c r="U65" s="11" t="str">
        <f>IF($C$4="High Inventory",IF(AND($O65&gt;=0,$P65&gt;=Summary!$C$120),"X"," "),IF(AND($O65&lt;=0,$P65&lt;=-Summary!$C$120),"X"," "))</f>
        <v xml:space="preserve"> </v>
      </c>
      <c r="V65" t="str">
        <f t="shared" si="8"/>
        <v xml:space="preserve"> </v>
      </c>
      <c r="W65" t="str">
        <f>IF($C$4="High Inventory",IF(O65&gt;Summary!$C$119,"X"," "),IF(O65&lt;-Summary!$C$119,"X"," "))</f>
        <v xml:space="preserve"> </v>
      </c>
      <c r="X65" t="str">
        <f>IF($C$4="High Inventory",IF(P65&gt;Summary!$C$120,"X"," "),IF(P65&lt;-Summary!$C$120,"X"," "))</f>
        <v xml:space="preserve"> </v>
      </c>
    </row>
    <row r="66" spans="1:42" x14ac:dyDescent="0.2">
      <c r="A66" s="27">
        <v>7602</v>
      </c>
      <c r="B66" s="55" t="s">
        <v>27</v>
      </c>
      <c r="C66" s="6">
        <v>28000</v>
      </c>
      <c r="D66" s="5">
        <v>22025</v>
      </c>
      <c r="E66" s="5">
        <v>5975</v>
      </c>
      <c r="F66" s="6">
        <v>28000</v>
      </c>
      <c r="G66" s="5">
        <v>21849</v>
      </c>
      <c r="H66" s="5">
        <v>6151</v>
      </c>
      <c r="I66" s="6">
        <v>28000</v>
      </c>
      <c r="J66" s="5">
        <v>10699</v>
      </c>
      <c r="K66" s="5">
        <v>17301</v>
      </c>
      <c r="L66" s="6">
        <v>2387</v>
      </c>
      <c r="M66" s="5">
        <v>11956</v>
      </c>
      <c r="N66" s="5">
        <v>-9569</v>
      </c>
      <c r="O66" s="6">
        <f t="shared" si="6"/>
        <v>29427</v>
      </c>
      <c r="P66" s="70">
        <f t="shared" si="7"/>
        <v>0.53921281196173998</v>
      </c>
      <c r="Q66" s="176"/>
      <c r="R66" s="66" t="str">
        <f>IF($C$4="High Inventory",IF(AND(O66&gt;=Summary!$C$119,P66&gt;=Summary!$C$120),"X"," "),IF(AND(O66&lt;=-Summary!$C$119,P66&lt;=-Summary!$C$120),"X"," "))</f>
        <v xml:space="preserve"> </v>
      </c>
      <c r="S66" s="81" t="str">
        <f>IF($C$5="System-Wide"," ",IF($C$4="High Inventory",IF(AND(L66-I66&gt;=Summary!$C$123,N66-K66&gt;Summary!$C$123,N66&gt;0),"X"," "),IF(AND(I66-L66&gt;=Summary!$C$123,K66-N66&gt;Summary!$C$123,N66&lt;0),"X"," ")))</f>
        <v>X</v>
      </c>
      <c r="T66" s="8" t="str">
        <f>IF($C$4="High Inventory",IF(AND($O66&gt;=Summary!$C$119,$P66&gt;=0%),"X"," "),IF(AND($O66&lt;=-Summary!$C$119,$P66&lt;=0%),"X"," "))</f>
        <v xml:space="preserve"> </v>
      </c>
      <c r="U66" s="11" t="str">
        <f>IF($C$4="High Inventory",IF(AND($O66&gt;=0,$P66&gt;=Summary!$C$120),"X"," "),IF(AND($O66&lt;=0,$P66&lt;=-Summary!$C$120),"X"," "))</f>
        <v xml:space="preserve"> </v>
      </c>
      <c r="V66">
        <f t="shared" si="8"/>
        <v>-25613</v>
      </c>
      <c r="W66" t="str">
        <f>IF($C$4="High Inventory",IF(O66&gt;Summary!$C$119,"X"," "),IF(O66&lt;-Summary!$C$119,"X"," "))</f>
        <v xml:space="preserve"> </v>
      </c>
      <c r="X66" t="str">
        <f>IF($C$4="High Inventory",IF(P66&gt;Summary!$C$120,"X"," "),IF(P66&lt;-Summary!$C$120,"X"," "))</f>
        <v xml:space="preserve"> </v>
      </c>
    </row>
    <row r="67" spans="1:42" x14ac:dyDescent="0.2">
      <c r="A67" s="27">
        <v>7604</v>
      </c>
      <c r="B67" s="55" t="s">
        <v>27</v>
      </c>
      <c r="C67" s="6">
        <v>28185</v>
      </c>
      <c r="D67" s="5">
        <v>25979</v>
      </c>
      <c r="E67" s="5">
        <v>2206</v>
      </c>
      <c r="F67" s="6">
        <v>23007</v>
      </c>
      <c r="G67" s="5">
        <v>29028</v>
      </c>
      <c r="H67" s="5">
        <v>-6021</v>
      </c>
      <c r="I67" s="6">
        <v>21615</v>
      </c>
      <c r="J67" s="5">
        <v>23600</v>
      </c>
      <c r="K67" s="5">
        <v>-1985</v>
      </c>
      <c r="L67" s="6">
        <v>31969</v>
      </c>
      <c r="M67" s="5">
        <v>23235</v>
      </c>
      <c r="N67" s="5">
        <v>8734</v>
      </c>
      <c r="O67" s="6">
        <f t="shared" si="6"/>
        <v>-5800</v>
      </c>
      <c r="P67" s="70">
        <f t="shared" si="7"/>
        <v>-7.3783838795033585E-2</v>
      </c>
      <c r="Q67" s="176" t="s">
        <v>65</v>
      </c>
      <c r="R67" s="66" t="str">
        <f>IF($C$4="High Inventory",IF(AND(O67&gt;=Summary!$C$119,P67&gt;=Summary!$C$120),"X"," "),IF(AND(O67&lt;=-Summary!$C$119,P67&lt;=-Summary!$C$120),"X"," "))</f>
        <v xml:space="preserve"> </v>
      </c>
      <c r="S67" s="81" t="str">
        <f>IF($C$5="System-Wide"," ",IF($C$4="High Inventory",IF(AND(L67-I67&gt;=Summary!$C$123,N67-K67&gt;Summary!$C$123,N67&gt;0),"X"," "),IF(AND(I67-L67&gt;=Summary!$C$123,K67-N67&gt;Summary!$C$123,N67&lt;0),"X"," ")))</f>
        <v xml:space="preserve"> </v>
      </c>
      <c r="T67" s="8" t="str">
        <f>IF($C$4="High Inventory",IF(AND($O67&gt;=Summary!$C$119,$P67&gt;=0%),"X"," "),IF(AND($O67&lt;=-Summary!$C$119,$P67&lt;=0%),"X"," "))</f>
        <v>X</v>
      </c>
      <c r="U67" s="11" t="str">
        <f>IF($C$4="High Inventory",IF(AND($O67&gt;=0,$P67&gt;=Summary!$C$120),"X"," "),IF(AND($O67&lt;=0,$P67&lt;=-Summary!$C$120),"X"," "))</f>
        <v xml:space="preserve"> </v>
      </c>
      <c r="V67" t="str">
        <f t="shared" si="8"/>
        <v xml:space="preserve"> </v>
      </c>
      <c r="W67" t="str">
        <f>IF($C$4="High Inventory",IF(O67&gt;Summary!$C$119,"X"," "),IF(O67&lt;-Summary!$C$119,"X"," "))</f>
        <v>X</v>
      </c>
      <c r="X67" t="str">
        <f>IF($C$4="High Inventory",IF(P67&gt;Summary!$C$120,"X"," "),IF(P67&lt;-Summary!$C$120,"X"," "))</f>
        <v xml:space="preserve"> </v>
      </c>
    </row>
    <row r="68" spans="1:42" x14ac:dyDescent="0.2">
      <c r="A68" s="27">
        <v>13636</v>
      </c>
      <c r="B68" s="55" t="s">
        <v>27</v>
      </c>
      <c r="C68" s="6">
        <v>0</v>
      </c>
      <c r="D68" s="5">
        <v>138</v>
      </c>
      <c r="E68" s="5">
        <v>-138</v>
      </c>
      <c r="F68" s="6">
        <v>0</v>
      </c>
      <c r="G68" s="5">
        <v>146</v>
      </c>
      <c r="H68" s="5">
        <v>-146</v>
      </c>
      <c r="I68" s="6">
        <v>0</v>
      </c>
      <c r="J68" s="5">
        <v>133</v>
      </c>
      <c r="K68" s="5">
        <v>-133</v>
      </c>
      <c r="L68" s="6">
        <v>0</v>
      </c>
      <c r="M68" s="5">
        <v>95</v>
      </c>
      <c r="N68" s="5">
        <v>-95</v>
      </c>
      <c r="O68" s="6">
        <f t="shared" si="6"/>
        <v>-417</v>
      </c>
      <c r="P68" s="70">
        <f t="shared" si="7"/>
        <v>-0.99760765550239239</v>
      </c>
      <c r="Q68" s="176"/>
      <c r="R68" s="66" t="str">
        <f>IF($C$4="High Inventory",IF(AND(O68&gt;=Summary!$C$119,P68&gt;=Summary!$C$120),"X"," "),IF(AND(O68&lt;=-Summary!$C$119,P68&lt;=-Summary!$C$120),"X"," "))</f>
        <v xml:space="preserve"> </v>
      </c>
      <c r="S68" s="81" t="str">
        <f>IF($C$5="System-Wide"," ",IF($C$4="High Inventory",IF(AND(L68-I68&gt;=Summary!$C$123,N68-K68&gt;Summary!$C$123,N68&gt;0),"X"," "),IF(AND(I68-L68&gt;=Summary!$C$123,K68-N68&gt;Summary!$C$123,N68&lt;0),"X"," ")))</f>
        <v xml:space="preserve"> </v>
      </c>
      <c r="T68" s="8" t="str">
        <f>IF($C$4="High Inventory",IF(AND($O68&gt;=Summary!$C$119,$P68&gt;=0%),"X"," "),IF(AND($O68&lt;=-Summary!$C$119,$P68&lt;=0%),"X"," "))</f>
        <v xml:space="preserve"> </v>
      </c>
      <c r="U68" s="11" t="str">
        <f>IF($C$4="High Inventory",IF(AND($O68&gt;=0,$P68&gt;=Summary!$C$120),"X"," "),IF(AND($O68&lt;=0,$P68&lt;=-Summary!$C$120),"X"," "))</f>
        <v>X</v>
      </c>
      <c r="V68" t="str">
        <f t="shared" si="8"/>
        <v xml:space="preserve"> </v>
      </c>
      <c r="W68" t="str">
        <f>IF($C$4="High Inventory",IF(O68&gt;Summary!$C$119,"X"," "),IF(O68&lt;-Summary!$C$119,"X"," "))</f>
        <v xml:space="preserve"> </v>
      </c>
      <c r="X68" t="str">
        <f>IF($C$4="High Inventory",IF(P68&gt;Summary!$C$120,"X"," "),IF(P68&lt;-Summary!$C$120,"X"," "))</f>
        <v>X</v>
      </c>
    </row>
    <row r="69" spans="1:42" x14ac:dyDescent="0.2">
      <c r="A69" s="27">
        <v>18586</v>
      </c>
      <c r="B69" s="55" t="s">
        <v>27</v>
      </c>
      <c r="C69" s="6">
        <v>1</v>
      </c>
      <c r="D69" s="5">
        <v>0</v>
      </c>
      <c r="E69" s="5">
        <v>1</v>
      </c>
      <c r="F69" s="6">
        <v>1</v>
      </c>
      <c r="G69" s="5">
        <v>0</v>
      </c>
      <c r="H69" s="5">
        <v>1</v>
      </c>
      <c r="I69" s="6">
        <v>1</v>
      </c>
      <c r="J69" s="5">
        <v>0</v>
      </c>
      <c r="K69" s="5">
        <v>1</v>
      </c>
      <c r="L69" s="6">
        <v>1</v>
      </c>
      <c r="M69" s="5">
        <v>0</v>
      </c>
      <c r="N69" s="5">
        <v>1</v>
      </c>
      <c r="O69" s="6">
        <f t="shared" ref="O69:O74" si="9">K69+H69+E69</f>
        <v>3</v>
      </c>
      <c r="P69" s="70">
        <f t="shared" ref="P69:P74" si="10">O69/(J69+G69+D69+1)</f>
        <v>3</v>
      </c>
      <c r="Q69" s="176"/>
      <c r="R69" s="66" t="str">
        <f>IF($C$4="High Inventory",IF(AND(O69&gt;=Summary!$C$119,P69&gt;=Summary!$C$120),"X"," "),IF(AND(O69&lt;=-Summary!$C$119,P69&lt;=-Summary!$C$120),"X"," "))</f>
        <v xml:space="preserve"> </v>
      </c>
      <c r="S69" s="81" t="str">
        <f>IF($C$5="System-Wide"," ",IF($C$4="High Inventory",IF(AND(L69-I69&gt;=Summary!$C$123,N69-K69&gt;Summary!$C$123,N69&gt;0),"X"," "),IF(AND(I69-L69&gt;=Summary!$C$123,K69-N69&gt;Summary!$C$123,N69&lt;0),"X"," ")))</f>
        <v xml:space="preserve"> </v>
      </c>
      <c r="T69" s="8" t="str">
        <f>IF($C$4="High Inventory",IF(AND($O69&gt;=Summary!$C$119,$P69&gt;=0%),"X"," "),IF(AND($O69&lt;=-Summary!$C$119,$P69&lt;=0%),"X"," "))</f>
        <v xml:space="preserve"> </v>
      </c>
      <c r="U69" s="11" t="str">
        <f>IF($C$4="High Inventory",IF(AND($O69&gt;=0,$P69&gt;=Summary!$C$120),"X"," "),IF(AND($O69&lt;=0,$P69&lt;=-Summary!$C$120),"X"," "))</f>
        <v xml:space="preserve"> </v>
      </c>
      <c r="V69" t="str">
        <f t="shared" ref="V69:V74" si="11">IF(S69 = "X",L69-I69," ")</f>
        <v xml:space="preserve"> </v>
      </c>
      <c r="W69" t="str">
        <f>IF($C$4="High Inventory",IF(O69&gt;Summary!$C$119,"X"," "),IF(O69&lt;-Summary!$C$119,"X"," "))</f>
        <v xml:space="preserve"> </v>
      </c>
      <c r="X69" t="str">
        <f>IF($C$4="High Inventory",IF(P69&gt;Summary!$C$120,"X"," "),IF(P69&lt;-Summary!$C$120,"X"," "))</f>
        <v xml:space="preserve"> </v>
      </c>
    </row>
    <row r="70" spans="1:42" x14ac:dyDescent="0.2">
      <c r="A70" s="27">
        <v>30511</v>
      </c>
      <c r="B70" s="55" t="s">
        <v>27</v>
      </c>
      <c r="C70" s="6">
        <v>500</v>
      </c>
      <c r="D70" s="5">
        <v>488</v>
      </c>
      <c r="E70" s="5">
        <v>12</v>
      </c>
      <c r="F70" s="6">
        <v>500</v>
      </c>
      <c r="G70" s="5">
        <v>488</v>
      </c>
      <c r="H70" s="5">
        <v>12</v>
      </c>
      <c r="I70" s="6">
        <v>500</v>
      </c>
      <c r="J70" s="5">
        <v>399</v>
      </c>
      <c r="K70" s="5">
        <v>101</v>
      </c>
      <c r="L70" s="6">
        <v>500</v>
      </c>
      <c r="M70" s="5">
        <v>0</v>
      </c>
      <c r="N70" s="5">
        <v>500</v>
      </c>
      <c r="O70" s="6">
        <f t="shared" si="9"/>
        <v>125</v>
      </c>
      <c r="P70" s="70">
        <f t="shared" si="10"/>
        <v>9.0843023255813948E-2</v>
      </c>
      <c r="Q70" s="176"/>
      <c r="R70" s="66" t="str">
        <f>IF($C$4="High Inventory",IF(AND(O70&gt;=Summary!$C$119,P70&gt;=Summary!$C$120),"X"," "),IF(AND(O70&lt;=-Summary!$C$119,P70&lt;=-Summary!$C$120),"X"," "))</f>
        <v xml:space="preserve"> </v>
      </c>
      <c r="S70" s="81" t="str">
        <f>IF($C$5="System-Wide"," ",IF($C$4="High Inventory",IF(AND(L70-I70&gt;=Summary!$C$123,N70-K70&gt;Summary!$C$123,N70&gt;0),"X"," "),IF(AND(I70-L70&gt;=Summary!$C$123,K70-N70&gt;Summary!$C$123,N70&lt;0),"X"," ")))</f>
        <v xml:space="preserve"> </v>
      </c>
      <c r="T70" s="8" t="str">
        <f>IF($C$4="High Inventory",IF(AND($O70&gt;=Summary!$C$119,$P70&gt;=0%),"X"," "),IF(AND($O70&lt;=-Summary!$C$119,$P70&lt;=0%),"X"," "))</f>
        <v xml:space="preserve"> </v>
      </c>
      <c r="U70" s="11" t="str">
        <f>IF($C$4="High Inventory",IF(AND($O70&gt;=0,$P70&gt;=Summary!$C$120),"X"," "),IF(AND($O70&lt;=0,$P70&lt;=-Summary!$C$120),"X"," "))</f>
        <v xml:space="preserve"> </v>
      </c>
      <c r="V70" t="str">
        <f t="shared" si="11"/>
        <v xml:space="preserve"> </v>
      </c>
      <c r="W70" t="str">
        <f>IF($C$4="High Inventory",IF(O70&gt;Summary!$C$119,"X"," "),IF(O70&lt;-Summary!$C$119,"X"," "))</f>
        <v xml:space="preserve"> </v>
      </c>
      <c r="X70" t="str">
        <f>IF($C$4="High Inventory",IF(P70&gt;Summary!$C$120,"X"," "),IF(P70&lt;-Summary!$C$120,"X"," "))</f>
        <v xml:space="preserve"> </v>
      </c>
    </row>
    <row r="71" spans="1:42" x14ac:dyDescent="0.2">
      <c r="A71" s="27">
        <v>35475</v>
      </c>
      <c r="B71" s="55" t="s">
        <v>27</v>
      </c>
      <c r="C71" s="202">
        <v>10000</v>
      </c>
      <c r="D71" s="203">
        <v>9890</v>
      </c>
      <c r="E71" s="203">
        <v>110</v>
      </c>
      <c r="F71" s="202">
        <v>10000</v>
      </c>
      <c r="G71" s="203">
        <v>11710</v>
      </c>
      <c r="H71" s="203">
        <v>-1710</v>
      </c>
      <c r="I71" s="202">
        <v>10000</v>
      </c>
      <c r="J71" s="203">
        <v>9755</v>
      </c>
      <c r="K71" s="203">
        <v>245</v>
      </c>
      <c r="L71" s="202">
        <v>8000</v>
      </c>
      <c r="M71" s="203">
        <v>9784</v>
      </c>
      <c r="N71" s="203">
        <v>-1784</v>
      </c>
      <c r="O71" s="202">
        <f t="shared" si="9"/>
        <v>-1355</v>
      </c>
      <c r="P71" s="70">
        <f t="shared" si="10"/>
        <v>-4.3213420079091722E-2</v>
      </c>
      <c r="Q71" s="176"/>
      <c r="R71" s="66" t="str">
        <f>IF($C$4="High Inventory",IF(AND(O71&gt;=Summary!$C$119,P71&gt;=Summary!$C$120),"X"," "),IF(AND(O71&lt;=-Summary!$C$119,P71&lt;=-Summary!$C$120),"X"," "))</f>
        <v xml:space="preserve"> </v>
      </c>
      <c r="S71" s="81" t="str">
        <f>IF($C$5="System-Wide"," ",IF($C$4="High Inventory",IF(AND(L71-I71&gt;=Summary!$C$123,N71-K71&gt;Summary!$C$123,N71&gt;0),"X"," "),IF(AND(I71-L71&gt;=Summary!$C$123,K71-N71&gt;Summary!$C$123,N71&lt;0),"X"," ")))</f>
        <v xml:space="preserve"> </v>
      </c>
      <c r="T71" s="8" t="str">
        <f>IF($C$4="High Inventory",IF(AND($O71&gt;=Summary!$C$119,$P71&gt;=0%),"X"," "),IF(AND($O71&lt;=-Summary!$C$119,$P71&lt;=0%),"X"," "))</f>
        <v xml:space="preserve"> </v>
      </c>
      <c r="U71" s="11" t="str">
        <f>IF($C$4="High Inventory",IF(AND($O71&gt;=0,$P71&gt;=Summary!$C$120),"X"," "),IF(AND($O71&lt;=0,$P71&lt;=-Summary!$C$120),"X"," "))</f>
        <v xml:space="preserve"> </v>
      </c>
      <c r="V71" t="str">
        <f t="shared" si="11"/>
        <v xml:space="preserve"> </v>
      </c>
      <c r="W71" t="str">
        <f>IF($C$4="High Inventory",IF(O71&gt;Summary!$C$119,"X"," "),IF(O71&lt;-Summary!$C$119,"X"," "))</f>
        <v xml:space="preserve"> </v>
      </c>
      <c r="X71" t="str">
        <f>IF($C$4="High Inventory",IF(P71&gt;Summary!$C$120,"X"," "),IF(P71&lt;-Summary!$C$120,"X"," "))</f>
        <v xml:space="preserve"> </v>
      </c>
    </row>
    <row r="72" spans="1:42" x14ac:dyDescent="0.2">
      <c r="A72" s="27">
        <v>36570</v>
      </c>
      <c r="B72" s="55" t="s">
        <v>27</v>
      </c>
      <c r="C72" s="6">
        <v>304</v>
      </c>
      <c r="D72" s="5">
        <v>128</v>
      </c>
      <c r="E72" s="5">
        <v>176</v>
      </c>
      <c r="F72" s="6">
        <v>304</v>
      </c>
      <c r="G72" s="5">
        <v>120</v>
      </c>
      <c r="H72" s="5">
        <v>184</v>
      </c>
      <c r="I72" s="6">
        <v>304</v>
      </c>
      <c r="J72" s="5">
        <v>140</v>
      </c>
      <c r="K72" s="5">
        <v>164</v>
      </c>
      <c r="L72" s="6">
        <v>304</v>
      </c>
      <c r="M72" s="5">
        <v>146</v>
      </c>
      <c r="N72" s="5">
        <v>158</v>
      </c>
      <c r="O72" s="6">
        <f t="shared" si="9"/>
        <v>524</v>
      </c>
      <c r="P72" s="70">
        <f t="shared" si="10"/>
        <v>1.3470437017994858</v>
      </c>
      <c r="Q72" s="176"/>
      <c r="R72" s="66" t="str">
        <f>IF($C$4="High Inventory",IF(AND(O72&gt;=Summary!$C$119,P72&gt;=Summary!$C$120),"X"," "),IF(AND(O72&lt;=-Summary!$C$119,P72&lt;=-Summary!$C$120),"X"," "))</f>
        <v xml:space="preserve"> </v>
      </c>
      <c r="S72" s="81" t="str">
        <f>IF($C$5="System-Wide"," ",IF($C$4="High Inventory",IF(AND(L72-I72&gt;=Summary!$C$123,N72-K72&gt;Summary!$C$123,N72&gt;0),"X"," "),IF(AND(I72-L72&gt;=Summary!$C$123,K72-N72&gt;Summary!$C$123,N72&lt;0),"X"," ")))</f>
        <v xml:space="preserve"> </v>
      </c>
      <c r="T72" s="8" t="str">
        <f>IF($C$4="High Inventory",IF(AND($O72&gt;=Summary!$C$119,$P72&gt;=0%),"X"," "),IF(AND($O72&lt;=-Summary!$C$119,$P72&lt;=0%),"X"," "))</f>
        <v xml:space="preserve"> </v>
      </c>
      <c r="U72" s="11" t="str">
        <f>IF($C$4="High Inventory",IF(AND($O72&gt;=0,$P72&gt;=Summary!$C$120),"X"," "),IF(AND($O72&lt;=0,$P72&lt;=-Summary!$C$120),"X"," "))</f>
        <v xml:space="preserve"> </v>
      </c>
      <c r="V72" t="str">
        <f t="shared" si="11"/>
        <v xml:space="preserve"> </v>
      </c>
      <c r="W72" t="str">
        <f>IF($C$4="High Inventory",IF(O72&gt;Summary!$C$119,"X"," "),IF(O72&lt;-Summary!$C$119,"X"," "))</f>
        <v xml:space="preserve"> </v>
      </c>
      <c r="X72" t="str">
        <f>IF($C$4="High Inventory",IF(P72&gt;Summary!$C$120,"X"," "),IF(P72&lt;-Summary!$C$120,"X"," "))</f>
        <v xml:space="preserve"> </v>
      </c>
    </row>
    <row r="73" spans="1:42" x14ac:dyDescent="0.2">
      <c r="A73" s="27"/>
      <c r="B73" s="55"/>
      <c r="C73" s="6"/>
      <c r="D73" s="5"/>
      <c r="E73" s="5"/>
      <c r="F73" s="6"/>
      <c r="G73" s="5"/>
      <c r="H73" s="5"/>
      <c r="I73" s="6"/>
      <c r="J73" s="5"/>
      <c r="K73" s="5"/>
      <c r="L73" s="6"/>
      <c r="M73" s="5"/>
      <c r="N73" s="5"/>
      <c r="O73" s="6">
        <f t="shared" si="9"/>
        <v>0</v>
      </c>
      <c r="P73" s="70">
        <f t="shared" si="10"/>
        <v>0</v>
      </c>
      <c r="Q73" s="176"/>
      <c r="R73" s="66" t="str">
        <f>IF($C$4="High Inventory",IF(AND(O73&gt;=Summary!$C$119,P73&gt;=Summary!$C$120),"X"," "),IF(AND(O73&lt;=-Summary!$C$119,P73&lt;=-Summary!$C$120),"X"," "))</f>
        <v xml:space="preserve"> </v>
      </c>
      <c r="S73" s="81" t="str">
        <f>IF($C$5="System-Wide"," ",IF($C$4="High Inventory",IF(AND(L73-I73&gt;=Summary!$C$123,N73-K73&gt;Summary!$C$123,N73&gt;0),"X"," "),IF(AND(I73-L73&gt;=Summary!$C$123,K73-N73&gt;Summary!$C$123,N73&lt;0),"X"," ")))</f>
        <v xml:space="preserve"> </v>
      </c>
      <c r="T73" s="8" t="str">
        <f>IF($C$4="High Inventory",IF(AND($O73&gt;=Summary!$C$119,$P73&gt;=0%),"X"," "),IF(AND($O73&lt;=-Summary!$C$119,$P73&lt;=0%),"X"," "))</f>
        <v xml:space="preserve"> </v>
      </c>
      <c r="U73" s="11" t="str">
        <f>IF($C$4="High Inventory",IF(AND($O73&gt;=0,$P73&gt;=Summary!$C$120),"X"," "),IF(AND($O73&lt;=0,$P73&lt;=-Summary!$C$120),"X"," "))</f>
        <v xml:space="preserve"> </v>
      </c>
      <c r="V73" t="str">
        <f t="shared" si="11"/>
        <v xml:space="preserve"> </v>
      </c>
      <c r="W73" t="str">
        <f>IF($C$4="High Inventory",IF(O73&gt;Summary!$C$119,"X"," "),IF(O73&lt;-Summary!$C$119,"X"," "))</f>
        <v xml:space="preserve"> </v>
      </c>
      <c r="X73" t="str">
        <f>IF($C$4="High Inventory",IF(P73&gt;Summary!$C$120,"X"," "),IF(P73&lt;-Summary!$C$120,"X"," "))</f>
        <v xml:space="preserve"> </v>
      </c>
    </row>
    <row r="74" spans="1:42" x14ac:dyDescent="0.2">
      <c r="A74" s="27"/>
      <c r="B74" s="55"/>
      <c r="C74" s="6"/>
      <c r="D74" s="5"/>
      <c r="E74" s="5"/>
      <c r="F74" s="6"/>
      <c r="G74" s="5"/>
      <c r="H74" s="5"/>
      <c r="I74" s="6"/>
      <c r="J74" s="5"/>
      <c r="K74" s="5"/>
      <c r="L74" s="6"/>
      <c r="M74" s="5"/>
      <c r="N74" s="5"/>
      <c r="O74" s="6">
        <f t="shared" si="9"/>
        <v>0</v>
      </c>
      <c r="P74" s="70">
        <f t="shared" si="10"/>
        <v>0</v>
      </c>
      <c r="Q74" s="176"/>
      <c r="R74" s="66" t="str">
        <f>IF($C$4="High Inventory",IF(AND(O74&gt;=Summary!$C$119,P74&gt;=Summary!$C$120),"X"," "),IF(AND(O74&lt;=-Summary!$C$119,P74&lt;=-Summary!$C$120),"X"," "))</f>
        <v xml:space="preserve"> </v>
      </c>
      <c r="S74" s="81" t="str">
        <f>IF($C$5="System-Wide"," ",IF($C$4="High Inventory",IF(AND(L74-I74&gt;=Summary!$C$123,N74-K74&gt;Summary!$C$123,N74&gt;0),"X"," "),IF(AND(I74-L74&gt;=Summary!$C$123,K74-N74&gt;Summary!$C$123,N74&lt;0),"X"," ")))</f>
        <v xml:space="preserve"> </v>
      </c>
      <c r="T74" s="8" t="str">
        <f>IF($C$4="High Inventory",IF(AND($O74&gt;=Summary!$C$119,$P74&gt;=0%),"X"," "),IF(AND($O74&lt;=-Summary!$C$119,$P74&lt;=0%),"X"," "))</f>
        <v xml:space="preserve"> </v>
      </c>
      <c r="U74" s="11" t="str">
        <f>IF($C$4="High Inventory",IF(AND($O74&gt;=0,$P74&gt;=Summary!$C$120),"X"," "),IF(AND($O74&lt;=0,$P74&lt;=-Summary!$C$120),"X"," "))</f>
        <v xml:space="preserve"> </v>
      </c>
      <c r="V74" t="str">
        <f t="shared" si="11"/>
        <v xml:space="preserve"> </v>
      </c>
      <c r="W74" t="str">
        <f>IF($C$4="High Inventory",IF(O74&gt;Summary!$C$119,"X"," "),IF(O74&lt;-Summary!$C$119,"X"," "))</f>
        <v xml:space="preserve"> </v>
      </c>
      <c r="X74" t="str">
        <f>IF($C$4="High Inventory",IF(P74&gt;Summary!$C$120,"X"," "),IF(P74&lt;-Summary!$C$120,"X"," "))</f>
        <v xml:space="preserve"> </v>
      </c>
    </row>
    <row r="75" spans="1:42" ht="13.5" thickBot="1" x14ac:dyDescent="0.25">
      <c r="A75" s="27"/>
      <c r="B75" s="55"/>
      <c r="C75" s="6"/>
      <c r="D75" s="5"/>
      <c r="E75" s="5"/>
      <c r="F75" s="6"/>
      <c r="G75" s="5"/>
      <c r="H75" s="5"/>
      <c r="I75" s="6"/>
      <c r="J75" s="5"/>
      <c r="K75" s="5"/>
      <c r="L75" s="6"/>
      <c r="M75" s="5"/>
      <c r="N75" s="5"/>
      <c r="O75" s="6">
        <f t="shared" si="6"/>
        <v>0</v>
      </c>
      <c r="P75" s="70">
        <f t="shared" si="7"/>
        <v>0</v>
      </c>
      <c r="Q75" s="200"/>
      <c r="R75" s="88" t="str">
        <f>IF($C$4="High Inventory",IF(AND(O75&gt;=Summary!$C$119,P75&gt;=Summary!$C$120),"X"," "),IF(AND(O75&lt;=-Summary!$C$119,P75&lt;=-Summary!$C$120),"X"," "))</f>
        <v xml:space="preserve"> </v>
      </c>
      <c r="S75" s="81" t="str">
        <f>IF($C$5="System-Wide"," ",IF($C$4="High Inventory",IF(AND(L75-I75&gt;=Summary!$C$123,N75-K75&gt;Summary!$C$123,N75&gt;0),"X"," "),IF(AND(I75-L75&gt;=Summary!$C$123,K75-N75&gt;Summary!$C$123,N75&lt;0),"X"," ")))</f>
        <v xml:space="preserve"> </v>
      </c>
      <c r="T75" s="90" t="str">
        <f>IF($C$4="High Inventory",IF(AND($O75&gt;=Summary!$C$119,$P75&gt;=0%),"X"," "),IF(AND($O75&lt;=-Summary!$C$119,$P75&lt;=0%),"X"," "))</f>
        <v xml:space="preserve"> </v>
      </c>
      <c r="U75" s="13" t="str">
        <f>IF($C$4="High Inventory",IF(AND($O75&gt;=0,$P75&gt;=Summary!$C$120),"X"," "),IF(AND($O75&lt;=0,$P75&lt;=-Summary!$C$120),"X"," "))</f>
        <v xml:space="preserve"> </v>
      </c>
      <c r="V75" t="str">
        <f t="shared" si="8"/>
        <v xml:space="preserve"> </v>
      </c>
      <c r="W75" t="str">
        <f>IF($C$4="High Inventory",IF(O75&gt;Summary!$C$119,"X"," "),IF(O75&lt;-Summary!$C$119,"X"," "))</f>
        <v xml:space="preserve"> </v>
      </c>
      <c r="X75" t="str">
        <f>IF($C$4="High Inventory",IF(P75&gt;Summary!$C$120,"X"," "),IF(P75&lt;-Summary!$C$120,"X"," "))</f>
        <v xml:space="preserve"> </v>
      </c>
    </row>
    <row r="76" spans="1:42" s="3" customFormat="1" x14ac:dyDescent="0.2">
      <c r="A76" s="2" t="s">
        <v>28</v>
      </c>
      <c r="B76" s="2"/>
      <c r="E76" s="3">
        <f>SUM(E10:E75)</f>
        <v>136617</v>
      </c>
      <c r="H76" s="3">
        <f>SUM(H10:H75)</f>
        <v>37371</v>
      </c>
      <c r="K76" s="3">
        <f>SUM(K10:K75)</f>
        <v>-100266</v>
      </c>
      <c r="M76" s="3">
        <f>SUM(M10:M75)</f>
        <v>2791472</v>
      </c>
      <c r="N76" s="3">
        <f>SUM(N10:N75)</f>
        <v>42676</v>
      </c>
      <c r="P76" s="12"/>
      <c r="Q76" s="2">
        <f>COUNTIF(Q10:Q75,"X")</f>
        <v>7</v>
      </c>
      <c r="R76" s="2">
        <f>COUNTIF(R10:R75,"X")</f>
        <v>2</v>
      </c>
      <c r="S76" s="2">
        <f>COUNTIF(S10:S75,"X")</f>
        <v>2</v>
      </c>
      <c r="T76" s="2">
        <f>COUNTIF(T10:T75,"X")</f>
        <v>5</v>
      </c>
      <c r="U76" s="2">
        <f>COUNTIF(U10:U75,"X")</f>
        <v>9</v>
      </c>
      <c r="V76">
        <f>SUM(V$46:V$66)+SUM(V$26:V$42)+SUM(V$10:V$25)</f>
        <v>-30613</v>
      </c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</row>
    <row r="77" spans="1:42" x14ac:dyDescent="0.2">
      <c r="M77" s="85" t="s">
        <v>51</v>
      </c>
      <c r="N77" s="86">
        <f>N76/M76</f>
        <v>1.5287991425312524E-2</v>
      </c>
      <c r="P77" s="1"/>
      <c r="R77" s="2" t="str">
        <f>IF(AND(O77&gt;=5000,P77&gt;=10%),"X"," ")</f>
        <v xml:space="preserve"> </v>
      </c>
      <c r="S77" s="2" t="str">
        <f>IF(AND(L77-I77&gt;=5000,N77-K77&gt;5000,N77&gt;0),"X"," ")</f>
        <v xml:space="preserve"> </v>
      </c>
    </row>
    <row r="78" spans="1:42" x14ac:dyDescent="0.2">
      <c r="P78" s="1"/>
      <c r="R78" s="2" t="str">
        <f>IF(AND(O78&gt;=5000,P78&gt;=10%),"X"," ")</f>
        <v xml:space="preserve"> </v>
      </c>
      <c r="S78" s="2" t="str">
        <f>IF(AND(L78-I78&gt;=5000,N78-K78&gt;5000,N78&gt;0),"X"," ")</f>
        <v xml:space="preserve"> </v>
      </c>
    </row>
    <row r="79" spans="1:42" x14ac:dyDescent="0.2">
      <c r="Q79" s="182"/>
    </row>
    <row r="80" spans="1:42" x14ac:dyDescent="0.2">
      <c r="Q80" s="182"/>
    </row>
    <row r="81" spans="17:17" x14ac:dyDescent="0.2">
      <c r="Q81" s="182"/>
    </row>
    <row r="82" spans="17:17" x14ac:dyDescent="0.2">
      <c r="Q82" s="182"/>
    </row>
    <row r="83" spans="17:17" x14ac:dyDescent="0.2">
      <c r="Q83" s="182"/>
    </row>
    <row r="84" spans="17:17" x14ac:dyDescent="0.2">
      <c r="Q84" s="182"/>
    </row>
    <row r="85" spans="17:17" x14ac:dyDescent="0.2">
      <c r="Q85" s="182"/>
    </row>
    <row r="86" spans="17:17" x14ac:dyDescent="0.2">
      <c r="Q86" s="182"/>
    </row>
    <row r="87" spans="17:17" x14ac:dyDescent="0.2">
      <c r="Q87" s="182"/>
    </row>
    <row r="88" spans="17:17" x14ac:dyDescent="0.2">
      <c r="Q88" s="182"/>
    </row>
    <row r="89" spans="17:17" x14ac:dyDescent="0.2">
      <c r="Q89" s="182"/>
    </row>
  </sheetData>
  <phoneticPr fontId="0" type="noConversion"/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C7" sqref="C7"/>
    </sheetView>
  </sheetViews>
  <sheetFormatPr defaultColWidth="7.85546875" defaultRowHeight="12.75" x14ac:dyDescent="0.2"/>
  <cols>
    <col min="1" max="1" width="9.42578125" style="28" customWidth="1"/>
    <col min="2" max="2" width="10" style="28" customWidth="1"/>
    <col min="3" max="19" width="10" customWidth="1"/>
    <col min="20" max="22" width="10" hidden="1" customWidth="1"/>
    <col min="23" max="42" width="7.85546875" style="14" customWidth="1"/>
    <col min="43" max="252" width="9.140625" customWidth="1"/>
  </cols>
  <sheetData>
    <row r="1" spans="1:42" ht="18" x14ac:dyDescent="0.25">
      <c r="A1" s="56" t="s">
        <v>0</v>
      </c>
    </row>
    <row r="2" spans="1:42" ht="20.25" customHeight="1" x14ac:dyDescent="0.2">
      <c r="A2" s="83" t="s">
        <v>34</v>
      </c>
    </row>
    <row r="3" spans="1:42" ht="15.75" x14ac:dyDescent="0.25">
      <c r="A3" s="57" t="s">
        <v>35</v>
      </c>
      <c r="C3" s="10">
        <f>L8</f>
        <v>36948</v>
      </c>
      <c r="D3" s="9"/>
    </row>
    <row r="4" spans="1:42" ht="15.75" x14ac:dyDescent="0.25">
      <c r="A4" s="57" t="s">
        <v>36</v>
      </c>
      <c r="C4" s="4" t="s">
        <v>54</v>
      </c>
      <c r="E4" s="91" t="s">
        <v>63</v>
      </c>
      <c r="G4" s="4" t="s">
        <v>55</v>
      </c>
    </row>
    <row r="5" spans="1:42" ht="16.5" thickBot="1" x14ac:dyDescent="0.3">
      <c r="A5" s="57" t="s">
        <v>39</v>
      </c>
      <c r="C5" s="4" t="s">
        <v>53</v>
      </c>
      <c r="E5" s="57"/>
    </row>
    <row r="6" spans="1:42" ht="21.75" customHeight="1" thickBot="1" x14ac:dyDescent="0.25">
      <c r="R6" s="143" t="s">
        <v>41</v>
      </c>
      <c r="S6" s="144"/>
    </row>
    <row r="7" spans="1:42" s="61" customFormat="1" ht="54" customHeight="1" thickBot="1" x14ac:dyDescent="0.25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5" customHeight="1" thickBot="1" x14ac:dyDescent="0.25">
      <c r="A8" s="161"/>
      <c r="B8" s="162"/>
      <c r="C8" s="165">
        <f>C9</f>
        <v>36945</v>
      </c>
      <c r="D8" s="163"/>
      <c r="E8" s="164" t="str">
        <f>TEXT(WEEKDAY(C8),"dddd")</f>
        <v>Friday</v>
      </c>
      <c r="F8" s="165">
        <f>F9</f>
        <v>36946</v>
      </c>
      <c r="G8" s="163"/>
      <c r="H8" s="164" t="str">
        <f>TEXT(WEEKDAY(F8),"dddd")</f>
        <v>Saturday</v>
      </c>
      <c r="I8" s="165">
        <f>I9</f>
        <v>36947</v>
      </c>
      <c r="J8" s="163"/>
      <c r="K8" s="164" t="str">
        <f>TEXT(WEEKDAY(I8),"dddd")</f>
        <v>Sunday</v>
      </c>
      <c r="L8" s="165">
        <f>L9</f>
        <v>36948</v>
      </c>
      <c r="M8" s="163"/>
      <c r="N8" s="164" t="str">
        <f>TEXT(WEEKDAY(L8),"dddd")</f>
        <v>Monday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8" hidden="1" x14ac:dyDescent="0.2">
      <c r="A9" s="27"/>
      <c r="B9" s="55"/>
      <c r="C9" s="146">
        <v>36945</v>
      </c>
      <c r="D9" s="148">
        <v>36945</v>
      </c>
      <c r="E9" s="148">
        <v>36945</v>
      </c>
      <c r="F9" s="149">
        <v>36946</v>
      </c>
      <c r="G9" s="148">
        <v>36946</v>
      </c>
      <c r="H9" s="148">
        <v>36946</v>
      </c>
      <c r="I9" s="149">
        <v>36947</v>
      </c>
      <c r="J9" s="148">
        <v>36947</v>
      </c>
      <c r="K9" s="148">
        <v>36947</v>
      </c>
      <c r="L9" s="149">
        <v>36948</v>
      </c>
      <c r="M9" s="148">
        <v>36948</v>
      </c>
      <c r="N9" s="148">
        <v>36948</v>
      </c>
      <c r="O9" s="6">
        <f t="shared" ref="O9:O25" si="0">K9+H9+E9</f>
        <v>110838</v>
      </c>
      <c r="P9" s="70">
        <f t="shared" ref="P9:P25" si="1">O9/(J9+G9+D9+1)</f>
        <v>0.99999097790488911</v>
      </c>
      <c r="Q9" s="74" t="str">
        <f>" "</f>
        <v xml:space="preserve"> </v>
      </c>
      <c r="R9" s="66" t="str">
        <f>IF($C$4="High Inventory",IF(AND(O9&gt;=Summary!$C$119,P9&gt;=Summary!$C$120),"X"," "),IF(AND(O9&lt;=-Summary!$C$119,P9&lt;=-Summary!$C$120),"X"," "))</f>
        <v xml:space="preserve"> </v>
      </c>
      <c r="S9" s="81" t="str">
        <f>IF($C$4="High Inventory",IF(AND(L9-I9&gt;=Summary!$C$123,N9-K9&gt;Summary!$C$123,N9&gt;0),"X"," "),IF(AND(I9-L9&gt;=Summary!$C$123,K9-N9&gt;Summary!$C$123,N9&lt;0),"X"," "))</f>
        <v xml:space="preserve"> </v>
      </c>
      <c r="T9" s="8" t="str">
        <f>IF($C$4="High Inventory",IF(AND($O9&gt;=Summary!$C$119,$P9&gt;=0%),"X"," "),IF(AND($O9&lt;=-Summary!$C$119,$P9&lt;=0%),"X"," "))</f>
        <v xml:space="preserve"> </v>
      </c>
      <c r="U9" s="11" t="str">
        <f>IF($C$4="High Inventory",IF(AND($O9&gt;=0,$P9&gt;=Summary!$C$120),"X"," "),IF(AND($O9&lt;=0,$P9&lt;=-Summary!$C$120),"X"," "))</f>
        <v xml:space="preserve"> </v>
      </c>
      <c r="V9" t="str">
        <f t="shared" ref="V9:V25" si="2">IF(S9 = "X",L9-I9," ")</f>
        <v xml:space="preserve"> </v>
      </c>
      <c r="W9" t="str">
        <f>IF($C$4="High Inventory",IF(O9&gt;Summary!$C$119,"X"," "),IF(O9&lt;-Summary!$C$119,"X"," "))</f>
        <v xml:space="preserve"> </v>
      </c>
      <c r="X9" t="str">
        <f>IF($C$4="High Inventory",IF(P9&gt;Summary!$C$120,"X"," "),IF(P9&lt;-Summary!$C$120,"X"," "))</f>
        <v xml:space="preserve"> </v>
      </c>
    </row>
    <row r="10" spans="1:42" x14ac:dyDescent="0.2">
      <c r="A10" s="27">
        <v>1117</v>
      </c>
      <c r="B10" s="55" t="s">
        <v>25</v>
      </c>
      <c r="C10" s="6">
        <v>479</v>
      </c>
      <c r="D10" s="5">
        <v>446</v>
      </c>
      <c r="E10" s="5">
        <v>33</v>
      </c>
      <c r="F10" s="6">
        <v>479</v>
      </c>
      <c r="G10" s="5">
        <v>445</v>
      </c>
      <c r="H10" s="5">
        <v>34</v>
      </c>
      <c r="I10" s="6">
        <v>479</v>
      </c>
      <c r="J10" s="5">
        <v>467</v>
      </c>
      <c r="K10" s="5">
        <v>12</v>
      </c>
      <c r="L10" s="6">
        <v>479</v>
      </c>
      <c r="M10" s="5">
        <v>456</v>
      </c>
      <c r="N10" s="5">
        <v>23</v>
      </c>
      <c r="O10" s="6">
        <f t="shared" si="0"/>
        <v>79</v>
      </c>
      <c r="P10" s="70">
        <f t="shared" si="1"/>
        <v>5.8130978660779986E-2</v>
      </c>
      <c r="Q10" s="176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 xml:space="preserve"> </v>
      </c>
      <c r="V10" t="str">
        <f t="shared" si="2"/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 xml:space="preserve"> </v>
      </c>
    </row>
    <row r="11" spans="1:42" x14ac:dyDescent="0.2">
      <c r="A11" s="27">
        <v>1126</v>
      </c>
      <c r="B11" s="55" t="s">
        <v>25</v>
      </c>
      <c r="C11" s="6">
        <v>1750</v>
      </c>
      <c r="D11" s="5">
        <v>1309</v>
      </c>
      <c r="E11" s="5">
        <v>441</v>
      </c>
      <c r="F11" s="6">
        <v>1750</v>
      </c>
      <c r="G11" s="5">
        <v>1262</v>
      </c>
      <c r="H11" s="5">
        <v>488</v>
      </c>
      <c r="I11" s="6">
        <v>1750</v>
      </c>
      <c r="J11" s="5">
        <v>1368</v>
      </c>
      <c r="K11" s="5">
        <v>382</v>
      </c>
      <c r="L11" s="6">
        <v>1750</v>
      </c>
      <c r="M11" s="5">
        <v>1332</v>
      </c>
      <c r="N11" s="5">
        <v>418</v>
      </c>
      <c r="O11" s="6">
        <f t="shared" si="0"/>
        <v>1311</v>
      </c>
      <c r="P11" s="70">
        <f t="shared" si="1"/>
        <v>0.33274111675126905</v>
      </c>
      <c r="Q11" s="176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 xml:space="preserve"> 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 xml:space="preserve"> </v>
      </c>
    </row>
    <row r="12" spans="1:42" x14ac:dyDescent="0.2">
      <c r="A12" s="27">
        <v>1157</v>
      </c>
      <c r="B12" s="55" t="s">
        <v>25</v>
      </c>
      <c r="C12" s="6">
        <v>133</v>
      </c>
      <c r="D12" s="5">
        <v>175</v>
      </c>
      <c r="E12" s="5">
        <v>-42</v>
      </c>
      <c r="F12" s="6">
        <v>128</v>
      </c>
      <c r="G12" s="5">
        <v>174</v>
      </c>
      <c r="H12" s="5">
        <v>-46</v>
      </c>
      <c r="I12" s="6">
        <v>128</v>
      </c>
      <c r="J12" s="5">
        <v>174</v>
      </c>
      <c r="K12" s="5">
        <v>-46</v>
      </c>
      <c r="L12" s="6">
        <v>128</v>
      </c>
      <c r="M12" s="5">
        <v>165</v>
      </c>
      <c r="N12" s="5">
        <v>-37</v>
      </c>
      <c r="O12" s="6">
        <f t="shared" si="0"/>
        <v>-134</v>
      </c>
      <c r="P12" s="70">
        <f t="shared" si="1"/>
        <v>-0.25572519083969464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>X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>X</v>
      </c>
    </row>
    <row r="13" spans="1:42" x14ac:dyDescent="0.2">
      <c r="A13" s="27">
        <v>1780</v>
      </c>
      <c r="B13" s="55" t="s">
        <v>25</v>
      </c>
      <c r="C13" s="6">
        <v>2126</v>
      </c>
      <c r="D13" s="5">
        <v>2729</v>
      </c>
      <c r="E13" s="5">
        <v>-603</v>
      </c>
      <c r="F13" s="6">
        <v>4126</v>
      </c>
      <c r="G13" s="5">
        <v>2767</v>
      </c>
      <c r="H13" s="5">
        <v>1359</v>
      </c>
      <c r="I13" s="6">
        <v>4126</v>
      </c>
      <c r="J13" s="5">
        <v>2849</v>
      </c>
      <c r="K13" s="5">
        <v>1277</v>
      </c>
      <c r="L13" s="6">
        <v>4126</v>
      </c>
      <c r="M13" s="5">
        <v>2748</v>
      </c>
      <c r="N13" s="5">
        <v>1378</v>
      </c>
      <c r="O13" s="6">
        <f t="shared" si="0"/>
        <v>2033</v>
      </c>
      <c r="P13" s="70">
        <f t="shared" si="1"/>
        <v>0.24358974358974358</v>
      </c>
      <c r="Q13" s="74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 xml:space="preserve"> 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 xml:space="preserve"> </v>
      </c>
    </row>
    <row r="14" spans="1:42" x14ac:dyDescent="0.2">
      <c r="A14" s="27">
        <v>2280</v>
      </c>
      <c r="B14" s="55" t="s">
        <v>25</v>
      </c>
      <c r="C14" s="6">
        <v>746</v>
      </c>
      <c r="D14" s="5">
        <v>540</v>
      </c>
      <c r="E14" s="5">
        <v>206</v>
      </c>
      <c r="F14" s="6">
        <v>746</v>
      </c>
      <c r="G14" s="5">
        <v>530</v>
      </c>
      <c r="H14" s="5">
        <v>216</v>
      </c>
      <c r="I14" s="6">
        <v>746</v>
      </c>
      <c r="J14" s="5">
        <v>560</v>
      </c>
      <c r="K14" s="5">
        <v>186</v>
      </c>
      <c r="L14" s="6">
        <v>746</v>
      </c>
      <c r="M14" s="5">
        <v>548</v>
      </c>
      <c r="N14" s="5">
        <v>198</v>
      </c>
      <c r="O14" s="6">
        <f t="shared" si="0"/>
        <v>608</v>
      </c>
      <c r="P14" s="70">
        <f t="shared" si="1"/>
        <v>0.37277743715511957</v>
      </c>
      <c r="Q14" s="176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">
      <c r="A15" s="27">
        <v>2584</v>
      </c>
      <c r="B15" s="55" t="s">
        <v>25</v>
      </c>
      <c r="C15" s="6">
        <v>3774</v>
      </c>
      <c r="D15" s="5">
        <v>6009</v>
      </c>
      <c r="E15" s="5">
        <v>-2235</v>
      </c>
      <c r="F15" s="6">
        <v>9774</v>
      </c>
      <c r="G15" s="5">
        <v>5839</v>
      </c>
      <c r="H15" s="5">
        <v>3935</v>
      </c>
      <c r="I15" s="6">
        <v>9774</v>
      </c>
      <c r="J15" s="5">
        <v>6339</v>
      </c>
      <c r="K15" s="5">
        <v>3435</v>
      </c>
      <c r="L15" s="6">
        <v>9838</v>
      </c>
      <c r="M15" s="5">
        <v>6155</v>
      </c>
      <c r="N15" s="5">
        <v>3683</v>
      </c>
      <c r="O15" s="6">
        <f t="shared" si="0"/>
        <v>5135</v>
      </c>
      <c r="P15" s="70">
        <f t="shared" si="1"/>
        <v>0.28232900813723333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2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">
      <c r="A16" s="27">
        <v>2771</v>
      </c>
      <c r="B16" s="55" t="s">
        <v>25</v>
      </c>
      <c r="C16" s="6">
        <v>9999</v>
      </c>
      <c r="D16" s="5">
        <v>9432</v>
      </c>
      <c r="E16" s="5">
        <v>567</v>
      </c>
      <c r="F16" s="6">
        <v>11000</v>
      </c>
      <c r="G16" s="5">
        <v>9298</v>
      </c>
      <c r="H16" s="5">
        <v>1702</v>
      </c>
      <c r="I16" s="6">
        <v>11000</v>
      </c>
      <c r="J16" s="5">
        <v>9778</v>
      </c>
      <c r="K16" s="5">
        <v>1222</v>
      </c>
      <c r="L16" s="6">
        <v>11000</v>
      </c>
      <c r="M16" s="5">
        <v>9558</v>
      </c>
      <c r="N16" s="5">
        <v>1442</v>
      </c>
      <c r="O16" s="6">
        <f t="shared" si="0"/>
        <v>3491</v>
      </c>
      <c r="P16" s="70">
        <f t="shared" si="1"/>
        <v>0.12245255884106773</v>
      </c>
      <c r="Q16" s="176"/>
      <c r="R16" s="66" t="str">
        <f>IF($C$4="High Inventory",IF(AND(O16&gt;=Summary!$C$119,P16&gt;=Summary!$C$120),"X"," "),IF(AND(O16&lt;=-Summary!$C$119,P16&lt;=-Summary!$C$120),"X"," "))</f>
        <v xml:space="preserve"> 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 xml:space="preserve"> </v>
      </c>
      <c r="U16" s="11" t="str">
        <f>IF($C$4="High Inventory",IF(AND($O16&gt;=0,$P16&gt;=Summary!$C$120),"X"," "),IF(AND($O16&lt;=0,$P16&lt;=-Summary!$C$120),"X"," "))</f>
        <v xml:space="preserve"> </v>
      </c>
      <c r="V16" t="str">
        <f t="shared" si="2"/>
        <v xml:space="preserve"> </v>
      </c>
      <c r="W16" t="str">
        <f>IF($C$4="High Inventory",IF(O16&gt;Summary!$C$119,"X"," "),IF(O16&lt;-Summary!$C$119,"X"," "))</f>
        <v xml:space="preserve"> </v>
      </c>
      <c r="X16" t="str">
        <f>IF($C$4="High Inventory",IF(P16&gt;Summary!$C$120,"X"," "),IF(P16&lt;-Summary!$C$120,"X"," "))</f>
        <v xml:space="preserve"> </v>
      </c>
    </row>
    <row r="17" spans="1:24" x14ac:dyDescent="0.2">
      <c r="A17" s="27">
        <v>2832</v>
      </c>
      <c r="B17" s="55" t="s">
        <v>25</v>
      </c>
      <c r="C17" s="6">
        <v>800</v>
      </c>
      <c r="D17" s="5">
        <v>584</v>
      </c>
      <c r="E17" s="5">
        <v>216</v>
      </c>
      <c r="F17" s="6">
        <v>800</v>
      </c>
      <c r="G17" s="5">
        <v>571</v>
      </c>
      <c r="H17" s="5">
        <v>229</v>
      </c>
      <c r="I17" s="6">
        <v>800</v>
      </c>
      <c r="J17" s="5">
        <v>606</v>
      </c>
      <c r="K17" s="5">
        <v>194</v>
      </c>
      <c r="L17" s="6">
        <v>800</v>
      </c>
      <c r="M17" s="5">
        <v>591</v>
      </c>
      <c r="N17" s="5">
        <v>209</v>
      </c>
      <c r="O17" s="6">
        <f t="shared" si="0"/>
        <v>639</v>
      </c>
      <c r="P17" s="70">
        <f t="shared" si="1"/>
        <v>0.36265607264472188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 xml:space="preserve"> 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 xml:space="preserve"> </v>
      </c>
    </row>
    <row r="18" spans="1:24" x14ac:dyDescent="0.2">
      <c r="A18" s="27">
        <v>2892</v>
      </c>
      <c r="B18" s="55" t="s">
        <v>25</v>
      </c>
      <c r="C18" s="6">
        <v>6875</v>
      </c>
      <c r="D18" s="5">
        <v>6503</v>
      </c>
      <c r="E18" s="5">
        <v>372</v>
      </c>
      <c r="F18" s="6">
        <v>6875</v>
      </c>
      <c r="G18" s="5">
        <v>6392</v>
      </c>
      <c r="H18" s="5">
        <v>483</v>
      </c>
      <c r="I18" s="6">
        <v>6875</v>
      </c>
      <c r="J18" s="5">
        <v>6752</v>
      </c>
      <c r="K18" s="5">
        <v>123</v>
      </c>
      <c r="L18" s="6">
        <v>6875</v>
      </c>
      <c r="M18" s="5">
        <v>6596</v>
      </c>
      <c r="N18" s="5">
        <v>279</v>
      </c>
      <c r="O18" s="6">
        <f t="shared" si="0"/>
        <v>978</v>
      </c>
      <c r="P18" s="70">
        <f t="shared" si="1"/>
        <v>4.9776058631921825E-2</v>
      </c>
      <c r="Q18" s="176"/>
      <c r="R18" s="66" t="str">
        <f>IF($C$4="High Inventory",IF(AND(O18&gt;=Summary!$C$119,P18&gt;=Summary!$C$120),"X"," "),IF(AND(O18&lt;=-Summary!$C$119,P18&lt;=-Summary!$C$120),"X"," "))</f>
        <v xml:space="preserve"> 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 xml:space="preserve"> </v>
      </c>
      <c r="U18" s="11" t="str">
        <f>IF($C$4="High Inventory",IF(AND($O18&gt;=0,$P18&gt;=Summary!$C$120),"X"," "),IF(AND($O18&lt;=0,$P18&lt;=-Summary!$C$120),"X"," "))</f>
        <v xml:space="preserve"> </v>
      </c>
      <c r="V18" t="str">
        <f t="shared" si="2"/>
        <v xml:space="preserve"> </v>
      </c>
      <c r="W18" t="str">
        <f>IF($C$4="High Inventory",IF(O18&gt;Summary!$C$119,"X"," "),IF(O18&lt;-Summary!$C$119,"X"," "))</f>
        <v xml:space="preserve"> </v>
      </c>
      <c r="X18" t="str">
        <f>IF($C$4="High Inventory",IF(P18&gt;Summary!$C$120,"X"," "),IF(P18&lt;-Summary!$C$120,"X"," "))</f>
        <v xml:space="preserve"> </v>
      </c>
    </row>
    <row r="19" spans="1:24" x14ac:dyDescent="0.2">
      <c r="A19" s="27">
        <v>3152</v>
      </c>
      <c r="B19" s="55" t="s">
        <v>25</v>
      </c>
      <c r="C19" s="6">
        <v>13525</v>
      </c>
      <c r="D19" s="5">
        <v>15476</v>
      </c>
      <c r="E19" s="5">
        <v>-1951</v>
      </c>
      <c r="F19" s="6">
        <v>21525</v>
      </c>
      <c r="G19" s="5">
        <v>14830</v>
      </c>
      <c r="H19" s="5">
        <v>6695</v>
      </c>
      <c r="I19" s="6">
        <v>21525</v>
      </c>
      <c r="J19" s="5">
        <v>16109</v>
      </c>
      <c r="K19" s="5">
        <v>5416</v>
      </c>
      <c r="L19" s="6">
        <v>21525</v>
      </c>
      <c r="M19" s="5">
        <v>15705</v>
      </c>
      <c r="N19" s="5">
        <v>5820</v>
      </c>
      <c r="O19" s="6">
        <f t="shared" si="0"/>
        <v>10160</v>
      </c>
      <c r="P19" s="70">
        <f t="shared" si="1"/>
        <v>0.21889003791795933</v>
      </c>
      <c r="Q19" s="176"/>
      <c r="R19" s="66" t="str">
        <f>IF($C$4="High Inventory",IF(AND(O19&gt;=Summary!$C$119,P19&gt;=Summary!$C$120),"X"," "),IF(AND(O19&lt;=-Summary!$C$119,P19&lt;=-Summary!$C$120),"X"," "))</f>
        <v xml:space="preserve"> 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8" t="str">
        <f>IF($C$4="High Inventory",IF(AND($O19&gt;=Summary!$C$119,$P19&gt;=0%),"X"," "),IF(AND($O19&lt;=-Summary!$C$119,$P19&lt;=0%),"X"," "))</f>
        <v xml:space="preserve"> </v>
      </c>
      <c r="U19" s="11" t="str">
        <f>IF($C$4="High Inventory",IF(AND($O19&gt;=0,$P19&gt;=Summary!$C$120),"X"," "),IF(AND($O19&lt;=0,$P19&lt;=-Summary!$C$120),"X"," "))</f>
        <v xml:space="preserve"> </v>
      </c>
      <c r="V19" t="str">
        <f t="shared" si="2"/>
        <v xml:space="preserve"> </v>
      </c>
      <c r="W19" t="str">
        <f>IF($C$4="High Inventory",IF(O19&gt;Summary!$C$119,"X"," "),IF(O19&lt;-Summary!$C$119,"X"," "))</f>
        <v xml:space="preserve"> </v>
      </c>
      <c r="X19" t="str">
        <f>IF($C$4="High Inventory",IF(P19&gt;Summary!$C$120,"X"," "),IF(P19&lt;-Summary!$C$120,"X"," "))</f>
        <v xml:space="preserve"> </v>
      </c>
    </row>
    <row r="20" spans="1:24" x14ac:dyDescent="0.2">
      <c r="A20" s="27">
        <v>6500</v>
      </c>
      <c r="B20" s="55" t="s">
        <v>25</v>
      </c>
      <c r="C20" s="6">
        <v>1277959</v>
      </c>
      <c r="D20" s="5">
        <v>1331462</v>
      </c>
      <c r="E20" s="5">
        <v>-53503</v>
      </c>
      <c r="F20" s="6">
        <v>1274893</v>
      </c>
      <c r="G20" s="5">
        <v>1296061</v>
      </c>
      <c r="H20" s="5">
        <v>-21168</v>
      </c>
      <c r="I20" s="6">
        <v>1453927</v>
      </c>
      <c r="J20" s="5">
        <v>1427759</v>
      </c>
      <c r="K20" s="5">
        <v>26168</v>
      </c>
      <c r="L20" s="6">
        <v>1202651</v>
      </c>
      <c r="M20" s="5">
        <v>1367515</v>
      </c>
      <c r="N20" s="5">
        <v>-164864</v>
      </c>
      <c r="O20" s="6">
        <f t="shared" si="0"/>
        <v>-48503</v>
      </c>
      <c r="P20" s="70">
        <f t="shared" si="1"/>
        <v>-1.1960447643234763E-2</v>
      </c>
      <c r="Q20" s="176"/>
      <c r="R20" s="66" t="str">
        <f>IF($C$4="High Inventory",IF(AND(O20&gt;=Summary!$C$119,P20&gt;=Summary!$C$120),"X"," "),IF(AND(O20&lt;=-Summary!$C$119,P20&lt;=-Summary!$C$120),"X"," "))</f>
        <v xml:space="preserve"> 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>X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 xml:space="preserve"> </v>
      </c>
      <c r="V20">
        <f t="shared" si="2"/>
        <v>-251276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 xml:space="preserve"> </v>
      </c>
    </row>
    <row r="21" spans="1:24" x14ac:dyDescent="0.2">
      <c r="A21" s="27">
        <v>10656</v>
      </c>
      <c r="B21" s="55" t="s">
        <v>25</v>
      </c>
      <c r="C21" s="6">
        <v>300</v>
      </c>
      <c r="D21" s="5">
        <v>226</v>
      </c>
      <c r="E21" s="5">
        <v>74</v>
      </c>
      <c r="F21" s="6">
        <v>300</v>
      </c>
      <c r="G21" s="5">
        <v>223</v>
      </c>
      <c r="H21" s="5">
        <v>77</v>
      </c>
      <c r="I21" s="6">
        <v>300</v>
      </c>
      <c r="J21" s="5">
        <v>225</v>
      </c>
      <c r="K21" s="5">
        <v>75</v>
      </c>
      <c r="L21" s="6">
        <v>300</v>
      </c>
      <c r="M21" s="5">
        <v>208</v>
      </c>
      <c r="N21" s="5">
        <v>92</v>
      </c>
      <c r="O21" s="6">
        <f t="shared" si="0"/>
        <v>226</v>
      </c>
      <c r="P21" s="70">
        <f t="shared" si="1"/>
        <v>0.33481481481481479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 xml:space="preserve"> 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 xml:space="preserve"> </v>
      </c>
    </row>
    <row r="22" spans="1:24" x14ac:dyDescent="0.2">
      <c r="A22" s="27">
        <v>12296</v>
      </c>
      <c r="B22" s="55" t="s">
        <v>25</v>
      </c>
      <c r="C22" s="6">
        <v>3918</v>
      </c>
      <c r="D22" s="5">
        <v>3623</v>
      </c>
      <c r="E22" s="5">
        <v>295</v>
      </c>
      <c r="F22" s="6">
        <v>3918</v>
      </c>
      <c r="G22" s="5">
        <v>3416</v>
      </c>
      <c r="H22" s="5">
        <v>502</v>
      </c>
      <c r="I22" s="6">
        <v>3918</v>
      </c>
      <c r="J22" s="5">
        <v>3918</v>
      </c>
      <c r="K22" s="5">
        <v>0</v>
      </c>
      <c r="L22" s="6">
        <v>3918</v>
      </c>
      <c r="M22" s="5">
        <v>3783</v>
      </c>
      <c r="N22" s="5">
        <v>135</v>
      </c>
      <c r="O22" s="6">
        <f t="shared" si="0"/>
        <v>797</v>
      </c>
      <c r="P22" s="70">
        <f t="shared" si="1"/>
        <v>7.273225041065888E-2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">
      <c r="A23" s="27">
        <v>16786</v>
      </c>
      <c r="B23" s="55" t="s">
        <v>25</v>
      </c>
      <c r="C23" s="6">
        <v>2525</v>
      </c>
      <c r="D23" s="5">
        <v>2438</v>
      </c>
      <c r="E23" s="5">
        <v>87</v>
      </c>
      <c r="F23" s="6">
        <v>2025</v>
      </c>
      <c r="G23" s="5">
        <v>2391</v>
      </c>
      <c r="H23" s="5">
        <v>-366</v>
      </c>
      <c r="I23" s="6">
        <v>2825</v>
      </c>
      <c r="J23" s="5">
        <v>2593</v>
      </c>
      <c r="K23" s="5">
        <v>232</v>
      </c>
      <c r="L23" s="6">
        <v>2025</v>
      </c>
      <c r="M23" s="5">
        <v>2473</v>
      </c>
      <c r="N23" s="5">
        <v>-448</v>
      </c>
      <c r="O23" s="6">
        <f t="shared" si="0"/>
        <v>-47</v>
      </c>
      <c r="P23" s="70">
        <f t="shared" si="1"/>
        <v>-6.3316718307961737E-3</v>
      </c>
      <c r="Q23" s="176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 xml:space="preserve"> 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 xml:space="preserve"> </v>
      </c>
    </row>
    <row r="24" spans="1:24" x14ac:dyDescent="0.2">
      <c r="A24" s="27">
        <v>17791</v>
      </c>
      <c r="B24" s="55" t="s">
        <v>25</v>
      </c>
      <c r="C24" s="6">
        <v>700</v>
      </c>
      <c r="D24" s="5">
        <v>801</v>
      </c>
      <c r="E24" s="5">
        <v>-101</v>
      </c>
      <c r="F24" s="6">
        <v>700</v>
      </c>
      <c r="G24" s="5">
        <v>758</v>
      </c>
      <c r="H24" s="5">
        <v>-58</v>
      </c>
      <c r="I24" s="6">
        <v>700</v>
      </c>
      <c r="J24" s="5">
        <v>848</v>
      </c>
      <c r="K24" s="5">
        <v>-148</v>
      </c>
      <c r="L24" s="6">
        <v>706</v>
      </c>
      <c r="M24" s="5">
        <v>810</v>
      </c>
      <c r="N24" s="5">
        <v>-104</v>
      </c>
      <c r="O24" s="6">
        <f t="shared" si="0"/>
        <v>-307</v>
      </c>
      <c r="P24" s="70">
        <f t="shared" si="1"/>
        <v>-0.12749169435215946</v>
      </c>
      <c r="Q24" s="176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8" t="str">
        <f>IF($C$4="High Inventory",IF(AND($O24&gt;=Summary!$C$119,$P24&gt;=0%),"X"," "),IF(AND($O24&lt;=-Summary!$C$119,$P24&lt;=0%),"X"," "))</f>
        <v xml:space="preserve"> </v>
      </c>
      <c r="U24" s="11" t="str">
        <f>IF($C$4="High Inventory",IF(AND($O24&gt;=0,$P24&gt;=Summary!$C$120),"X"," "),IF(AND($O24&lt;=0,$P24&lt;=-Summary!$C$120),"X"," "))</f>
        <v>X</v>
      </c>
      <c r="V24" t="str">
        <f t="shared" si="2"/>
        <v xml:space="preserve"> </v>
      </c>
      <c r="W24" t="str">
        <f>IF($C$4="High Inventory",IF(O24&gt;Summary!$C$119,"X"," "),IF(O24&lt;-Summary!$C$119,"X"," "))</f>
        <v xml:space="preserve"> </v>
      </c>
      <c r="X24" t="str">
        <f>IF($C$4="High Inventory",IF(P24&gt;Summary!$C$120,"X"," "),IF(P24&lt;-Summary!$C$120,"X"," "))</f>
        <v>X</v>
      </c>
    </row>
    <row r="25" spans="1:24" x14ac:dyDescent="0.2">
      <c r="A25" s="27">
        <v>30649</v>
      </c>
      <c r="B25" s="55" t="s">
        <v>25</v>
      </c>
      <c r="C25" s="6">
        <v>10</v>
      </c>
      <c r="D25" s="5">
        <v>972</v>
      </c>
      <c r="E25" s="5">
        <v>-962</v>
      </c>
      <c r="F25" s="6">
        <v>0</v>
      </c>
      <c r="G25" s="5">
        <v>962</v>
      </c>
      <c r="H25" s="5">
        <v>-962</v>
      </c>
      <c r="I25" s="6">
        <v>0</v>
      </c>
      <c r="J25" s="5">
        <v>1004</v>
      </c>
      <c r="K25" s="5">
        <v>-1004</v>
      </c>
      <c r="L25" s="6">
        <v>10</v>
      </c>
      <c r="M25" s="5">
        <v>984</v>
      </c>
      <c r="N25" s="5">
        <v>-974</v>
      </c>
      <c r="O25" s="6">
        <f t="shared" si="0"/>
        <v>-2928</v>
      </c>
      <c r="P25" s="70">
        <f t="shared" si="1"/>
        <v>-0.99625723035045932</v>
      </c>
      <c r="Q25" s="176"/>
      <c r="R25" s="66" t="str">
        <f>IF($C$4="High Inventory",IF(AND(O25&gt;=Summary!$C$119,P25&gt;=Summary!$C$120),"X"," "),IF(AND(O25&lt;=-Summary!$C$119,P25&lt;=-Summary!$C$120),"X"," "))</f>
        <v xml:space="preserve"> 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 xml:space="preserve"> </v>
      </c>
      <c r="U25" s="11" t="str">
        <f>IF($C$4="High Inventory",IF(AND($O25&gt;=0,$P25&gt;=Summary!$C$120),"X"," "),IF(AND($O25&lt;=0,$P25&lt;=-Summary!$C$120),"X"," "))</f>
        <v>X</v>
      </c>
      <c r="V25" t="str">
        <f t="shared" si="2"/>
        <v xml:space="preserve"> </v>
      </c>
      <c r="W25" t="str">
        <f>IF($C$4="High Inventory",IF(O25&gt;Summary!$C$119,"X"," "),IF(O25&lt;-Summary!$C$119,"X"," "))</f>
        <v xml:space="preserve"> </v>
      </c>
      <c r="X25" t="str">
        <f>IF($C$4="High Inventory",IF(P25&gt;Summary!$C$120,"X"," "),IF(P25&lt;-Summary!$C$120,"X"," "))</f>
        <v>X</v>
      </c>
    </row>
    <row r="26" spans="1:24" x14ac:dyDescent="0.2">
      <c r="A26" s="27">
        <v>1117</v>
      </c>
      <c r="B26" s="55" t="s">
        <v>26</v>
      </c>
      <c r="C26" s="6">
        <v>91779</v>
      </c>
      <c r="D26" s="5">
        <v>57791</v>
      </c>
      <c r="E26" s="5">
        <v>33988</v>
      </c>
      <c r="F26" s="6">
        <v>70094</v>
      </c>
      <c r="G26" s="5">
        <v>48788</v>
      </c>
      <c r="H26" s="5">
        <v>21306</v>
      </c>
      <c r="I26" s="6">
        <v>71369</v>
      </c>
      <c r="J26" s="5">
        <v>45582</v>
      </c>
      <c r="K26" s="5">
        <v>25787</v>
      </c>
      <c r="L26" s="6">
        <v>66642</v>
      </c>
      <c r="M26" s="5">
        <v>53214</v>
      </c>
      <c r="N26" s="5">
        <v>13428</v>
      </c>
      <c r="O26" s="6">
        <f>K26+H26+E26</f>
        <v>81081</v>
      </c>
      <c r="P26" s="70">
        <f>O26/(J26+G26+D26+1)</f>
        <v>0.53285971530342657</v>
      </c>
      <c r="Q26" s="176"/>
      <c r="R26" s="66" t="str">
        <f>IF($C$4="High Inventory",IF(AND(O26&gt;=Summary!$C$119,P26&gt;=Summary!$C$120),"X"," "),IF(AND(O26&lt;=-Summary!$C$119,P26&lt;=-Summary!$C$120),"X"," "))</f>
        <v xml:space="preserve"> 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 xml:space="preserve"> </v>
      </c>
      <c r="U26" s="11" t="str">
        <f>IF($C$4="High Inventory",IF(AND($O26&gt;=0,$P26&gt;=Summary!$C$120),"X"," "),IF(AND($O26&lt;=0,$P26&lt;=-Summary!$C$120),"X"," "))</f>
        <v xml:space="preserve"> </v>
      </c>
      <c r="V26" t="str">
        <f>IF(S26 = "X",L26-I26," ")</f>
        <v xml:space="preserve"> </v>
      </c>
      <c r="W26" t="str">
        <f>IF($C$4="High Inventory",IF(O26&gt;Summary!$C$119,"X"," "),IF(O26&lt;-Summary!$C$119,"X"," "))</f>
        <v xml:space="preserve"> </v>
      </c>
      <c r="X26" t="str">
        <f>IF($C$4="High Inventory",IF(P26&gt;Summary!$C$120,"X"," "),IF(P26&lt;-Summary!$C$120,"X"," "))</f>
        <v xml:space="preserve"> </v>
      </c>
    </row>
    <row r="27" spans="1:24" x14ac:dyDescent="0.2">
      <c r="A27" s="27">
        <v>1126</v>
      </c>
      <c r="B27" s="55" t="s">
        <v>26</v>
      </c>
      <c r="C27" s="6">
        <v>39268</v>
      </c>
      <c r="D27" s="5">
        <v>39073</v>
      </c>
      <c r="E27" s="5">
        <v>195</v>
      </c>
      <c r="F27" s="6">
        <v>39268</v>
      </c>
      <c r="G27" s="5">
        <v>36504</v>
      </c>
      <c r="H27" s="5">
        <v>2764</v>
      </c>
      <c r="I27" s="6">
        <v>24768</v>
      </c>
      <c r="J27" s="5">
        <v>33703</v>
      </c>
      <c r="K27" s="5">
        <v>-8935</v>
      </c>
      <c r="L27" s="6">
        <v>39268</v>
      </c>
      <c r="M27" s="5">
        <v>35718</v>
      </c>
      <c r="N27" s="5">
        <v>3550</v>
      </c>
      <c r="O27" s="6">
        <f>K27+H27+E27</f>
        <v>-5976</v>
      </c>
      <c r="P27" s="70">
        <f>O27/(J27+G27+D27+1)</f>
        <v>-5.4684711889532486E-2</v>
      </c>
      <c r="Q27" s="176"/>
      <c r="R27" s="66" t="str">
        <f>IF($C$4="High Inventory",IF(AND(O27&gt;=Summary!$C$119,P27&gt;=Summary!$C$120),"X"," "),IF(AND(O27&lt;=-Summary!$C$119,P27&lt;=-Summary!$C$120),"X"," "))</f>
        <v xml:space="preserve"> 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>X</v>
      </c>
      <c r="U27" s="11" t="str">
        <f>IF($C$4="High Inventory",IF(AND($O27&gt;=0,$P27&gt;=Summary!$C$120),"X"," "),IF(AND($O27&lt;=0,$P27&lt;=-Summary!$C$120),"X"," "))</f>
        <v xml:space="preserve"> </v>
      </c>
      <c r="V27" t="str">
        <f>IF(S27 = "X",L27-I27," ")</f>
        <v xml:space="preserve"> </v>
      </c>
      <c r="W27" t="str">
        <f>IF($C$4="High Inventory",IF(O27&gt;Summary!$C$119,"X"," "),IF(O27&lt;-Summary!$C$119,"X"," "))</f>
        <v>X</v>
      </c>
      <c r="X27" t="str">
        <f>IF($C$4="High Inventory",IF(P27&gt;Summary!$C$120,"X"," "),IF(P27&lt;-Summary!$C$120,"X"," "))</f>
        <v xml:space="preserve"> </v>
      </c>
    </row>
    <row r="28" spans="1:24" x14ac:dyDescent="0.2">
      <c r="A28" s="27">
        <v>1157</v>
      </c>
      <c r="B28" s="55" t="s">
        <v>26</v>
      </c>
      <c r="C28" s="6">
        <v>61035</v>
      </c>
      <c r="D28" s="5">
        <v>126486</v>
      </c>
      <c r="E28" s="5">
        <v>-65451</v>
      </c>
      <c r="F28" s="6">
        <v>127627</v>
      </c>
      <c r="G28" s="5">
        <v>118998</v>
      </c>
      <c r="H28" s="5">
        <v>8629</v>
      </c>
      <c r="I28" s="6">
        <v>127596</v>
      </c>
      <c r="J28" s="5">
        <v>119331</v>
      </c>
      <c r="K28" s="5">
        <v>8265</v>
      </c>
      <c r="L28" s="6">
        <v>127627</v>
      </c>
      <c r="M28" s="5">
        <v>132210</v>
      </c>
      <c r="N28" s="5">
        <v>-4583</v>
      </c>
      <c r="O28" s="6">
        <f>K28+H28+E28</f>
        <v>-48557</v>
      </c>
      <c r="P28" s="70">
        <f>O28/(J28+G28+D28+1)</f>
        <v>-0.13309997368536466</v>
      </c>
      <c r="Q28" s="176"/>
      <c r="R28" s="66" t="str">
        <f>IF($C$4="High Inventory",IF(AND(O28&gt;=Summary!$C$119,P28&gt;=Summary!$C$120),"X"," "),IF(AND(O28&lt;=-Summary!$C$119,P28&lt;=-Summary!$C$120),"X"," "))</f>
        <v>X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>X</v>
      </c>
      <c r="U28" s="11" t="str">
        <f>IF($C$4="High Inventory",IF(AND($O28&gt;=0,$P28&gt;=Summary!$C$120),"X"," "),IF(AND($O28&lt;=0,$P28&lt;=-Summary!$C$120),"X"," "))</f>
        <v>X</v>
      </c>
      <c r="V28" t="str">
        <f>IF(S28 = "X",L28-I28," ")</f>
        <v xml:space="preserve"> </v>
      </c>
      <c r="W28" t="str">
        <f>IF($C$4="High Inventory",IF(O28&gt;Summary!$C$119,"X"," "),IF(O28&lt;-Summary!$C$119,"X"," "))</f>
        <v>X</v>
      </c>
      <c r="X28" t="str">
        <f>IF($C$4="High Inventory",IF(P28&gt;Summary!$C$120,"X"," "),IF(P28&lt;-Summary!$C$120,"X"," "))</f>
        <v>X</v>
      </c>
    </row>
    <row r="29" spans="1:24" x14ac:dyDescent="0.2">
      <c r="A29" s="27">
        <v>1281</v>
      </c>
      <c r="B29" s="55" t="s">
        <v>26</v>
      </c>
      <c r="C29" s="6">
        <v>7541</v>
      </c>
      <c r="D29" s="5">
        <v>12082</v>
      </c>
      <c r="E29" s="5">
        <v>-4541</v>
      </c>
      <c r="F29" s="6">
        <v>10331</v>
      </c>
      <c r="G29" s="5">
        <v>10175</v>
      </c>
      <c r="H29" s="5">
        <v>156</v>
      </c>
      <c r="I29" s="6">
        <v>24850</v>
      </c>
      <c r="J29" s="5">
        <v>6362</v>
      </c>
      <c r="K29" s="5">
        <v>18488</v>
      </c>
      <c r="L29" s="6">
        <v>9910</v>
      </c>
      <c r="M29" s="5">
        <v>10908</v>
      </c>
      <c r="N29" s="5">
        <v>-998</v>
      </c>
      <c r="O29" s="6">
        <f>K29+H29+E29</f>
        <v>14103</v>
      </c>
      <c r="P29" s="70">
        <f>O29/(J29+G29+D29+1)</f>
        <v>0.49276729559748428</v>
      </c>
      <c r="Q29" s="176"/>
      <c r="R29" s="66" t="str">
        <f>IF($C$4="High Inventory",IF(AND(O29&gt;=Summary!$C$119,P29&gt;=Summary!$C$120),"X"," "),IF(AND(O29&lt;=-Summary!$C$119,P29&lt;=-Summary!$C$120),"X"," "))</f>
        <v xml:space="preserve"> 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>X</v>
      </c>
      <c r="T29" s="8" t="str">
        <f>IF($C$4="High Inventory",IF(AND($O29&gt;=Summary!$C$119,$P29&gt;=0%),"X"," "),IF(AND($O29&lt;=-Summary!$C$119,$P29&lt;=0%),"X"," "))</f>
        <v xml:space="preserve"> </v>
      </c>
      <c r="U29" s="11" t="str">
        <f>IF($C$4="High Inventory",IF(AND($O29&gt;=0,$P29&gt;=Summary!$C$120),"X"," "),IF(AND($O29&lt;=0,$P29&lt;=-Summary!$C$120),"X"," "))</f>
        <v xml:space="preserve"> </v>
      </c>
      <c r="V29">
        <f>IF(S29 = "X",L29-I29," ")</f>
        <v>-14940</v>
      </c>
      <c r="W29" t="str">
        <f>IF($C$4="High Inventory",IF(O29&gt;Summary!$C$119,"X"," "),IF(O29&lt;-Summary!$C$119,"X"," "))</f>
        <v xml:space="preserve"> </v>
      </c>
      <c r="X29" t="str">
        <f>IF($C$4="High Inventory",IF(P29&gt;Summary!$C$120,"X"," "),IF(P29&lt;-Summary!$C$120,"X"," "))</f>
        <v xml:space="preserve"> </v>
      </c>
    </row>
    <row r="30" spans="1:24" x14ac:dyDescent="0.2">
      <c r="A30" s="27">
        <v>1340</v>
      </c>
      <c r="B30" s="55" t="s">
        <v>26</v>
      </c>
      <c r="C30" s="6">
        <v>5818</v>
      </c>
      <c r="D30" s="5">
        <v>3855</v>
      </c>
      <c r="E30" s="5">
        <v>1963</v>
      </c>
      <c r="F30" s="6">
        <v>3318</v>
      </c>
      <c r="G30" s="5">
        <v>2857</v>
      </c>
      <c r="H30" s="5">
        <v>461</v>
      </c>
      <c r="I30" s="6">
        <v>3318</v>
      </c>
      <c r="J30" s="5">
        <v>2808</v>
      </c>
      <c r="K30" s="5">
        <v>510</v>
      </c>
      <c r="L30" s="6">
        <v>3318</v>
      </c>
      <c r="M30" s="5">
        <v>4047</v>
      </c>
      <c r="N30" s="5">
        <v>-729</v>
      </c>
      <c r="O30" s="6">
        <f t="shared" ref="O30:O50" si="3">K30+H30+E30</f>
        <v>2934</v>
      </c>
      <c r="P30" s="70">
        <f>O30/(J30+G30+D30+1)</f>
        <v>0.30816090746770297</v>
      </c>
      <c r="Q30" s="176"/>
      <c r="R30" s="66" t="str">
        <f>IF($C$4="High Inventory",IF(AND(O30&gt;=Summary!$C$119,P30&gt;=Summary!$C$120),"X"," "),IF(AND(O30&lt;=-Summary!$C$119,P30&lt;=-Summary!$C$120),"X"," "))</f>
        <v xml:space="preserve"> 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8" t="str">
        <f>IF($C$4="High Inventory",IF(AND($O30&gt;=Summary!$C$119,$P30&gt;=0%),"X"," "),IF(AND($O30&lt;=-Summary!$C$119,$P30&lt;=0%),"X"," "))</f>
        <v xml:space="preserve"> </v>
      </c>
      <c r="U30" s="11" t="str">
        <f>IF($C$4="High Inventory",IF(AND($O30&gt;=0,$P30&gt;=Summary!$C$120),"X"," "),IF(AND($O30&lt;=0,$P30&lt;=-Summary!$C$120),"X"," "))</f>
        <v xml:space="preserve"> </v>
      </c>
      <c r="V30" t="str">
        <f>IF(S30 = "X",L30-I30," ")</f>
        <v xml:space="preserve"> </v>
      </c>
      <c r="W30" t="str">
        <f>IF($C$4="High Inventory",IF(O30&gt;Summary!$C$119,"X"," "),IF(O30&lt;-Summary!$C$119,"X"," "))</f>
        <v xml:space="preserve"> </v>
      </c>
      <c r="X30" t="str">
        <f>IF($C$4="High Inventory",IF(P30&gt;Summary!$C$120,"X"," "),IF(P30&lt;-Summary!$C$120,"X"," "))</f>
        <v xml:space="preserve"> </v>
      </c>
    </row>
    <row r="31" spans="1:24" x14ac:dyDescent="0.2">
      <c r="A31" s="27">
        <v>1377</v>
      </c>
      <c r="B31" s="55" t="s">
        <v>26</v>
      </c>
      <c r="C31" s="6">
        <v>101038</v>
      </c>
      <c r="D31" s="5">
        <v>110073</v>
      </c>
      <c r="E31" s="5">
        <v>-9035</v>
      </c>
      <c r="F31" s="6">
        <v>102027</v>
      </c>
      <c r="G31" s="5">
        <v>107288</v>
      </c>
      <c r="H31" s="5">
        <v>-5261</v>
      </c>
      <c r="I31" s="6">
        <v>102027</v>
      </c>
      <c r="J31" s="5">
        <v>100660</v>
      </c>
      <c r="K31" s="5">
        <v>1367</v>
      </c>
      <c r="L31" s="6">
        <v>102027</v>
      </c>
      <c r="M31" s="5">
        <v>101850</v>
      </c>
      <c r="N31" s="5">
        <v>177</v>
      </c>
      <c r="O31" s="6">
        <f t="shared" si="3"/>
        <v>-12929</v>
      </c>
      <c r="P31" s="70">
        <f t="shared" ref="P31:P51" si="4">O31/(J31+G31+D31+1)</f>
        <v>-4.065442013445611E-2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8" t="str">
        <f>IF($C$4="High Inventory",IF(AND($O31&gt;=Summary!$C$119,$P31&gt;=0%),"X"," "),IF(AND($O31&lt;=-Summary!$C$119,$P31&lt;=0%),"X"," "))</f>
        <v>X</v>
      </c>
      <c r="U31" s="11" t="str">
        <f>IF($C$4="High Inventory",IF(AND($O31&gt;=0,$P31&gt;=Summary!$C$120),"X"," "),IF(AND($O31&lt;=0,$P31&lt;=-Summary!$C$120),"X"," "))</f>
        <v xml:space="preserve"> </v>
      </c>
      <c r="V31" t="str">
        <f t="shared" ref="V31:V51" si="5">IF(S31 = "X",L31-I31," ")</f>
        <v xml:space="preserve"> </v>
      </c>
      <c r="W31" t="str">
        <f>IF($C$4="High Inventory",IF(O31&gt;Summary!$C$119,"X"," "),IF(O31&lt;-Summary!$C$119,"X"," "))</f>
        <v>X</v>
      </c>
      <c r="X31" t="str">
        <f>IF($C$4="High Inventory",IF(P31&gt;Summary!$C$120,"X"," "),IF(P31&lt;-Summary!$C$120,"X"," "))</f>
        <v xml:space="preserve"> </v>
      </c>
    </row>
    <row r="32" spans="1:24" x14ac:dyDescent="0.2">
      <c r="A32" s="27">
        <v>1830</v>
      </c>
      <c r="B32" s="55" t="s">
        <v>26</v>
      </c>
      <c r="C32" s="6">
        <v>15000</v>
      </c>
      <c r="D32" s="5">
        <v>18308</v>
      </c>
      <c r="E32" s="5">
        <v>-3308</v>
      </c>
      <c r="F32" s="6">
        <v>10069</v>
      </c>
      <c r="G32" s="5">
        <v>9077</v>
      </c>
      <c r="H32" s="5">
        <v>992</v>
      </c>
      <c r="I32" s="6">
        <v>10069</v>
      </c>
      <c r="J32" s="5">
        <v>9077</v>
      </c>
      <c r="K32" s="5">
        <v>992</v>
      </c>
      <c r="L32" s="6">
        <v>10069</v>
      </c>
      <c r="M32" s="5">
        <v>19188</v>
      </c>
      <c r="N32" s="5">
        <v>-9119</v>
      </c>
      <c r="O32" s="6">
        <f t="shared" si="3"/>
        <v>-1324</v>
      </c>
      <c r="P32" s="70">
        <f t="shared" si="4"/>
        <v>-3.6310780791487259E-2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8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 xml:space="preserve"> </v>
      </c>
      <c r="V32" t="str">
        <f t="shared" si="5"/>
        <v xml:space="preserve"> 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 xml:space="preserve"> </v>
      </c>
    </row>
    <row r="33" spans="1:24" x14ac:dyDescent="0.2">
      <c r="A33" s="27">
        <v>1864</v>
      </c>
      <c r="B33" s="55" t="s">
        <v>26</v>
      </c>
      <c r="C33" s="6">
        <v>307697</v>
      </c>
      <c r="D33" s="5">
        <v>308600</v>
      </c>
      <c r="E33" s="5">
        <v>-903</v>
      </c>
      <c r="F33" s="6">
        <v>305559</v>
      </c>
      <c r="G33" s="5">
        <v>323620</v>
      </c>
      <c r="H33" s="5">
        <v>-18061</v>
      </c>
      <c r="I33" s="6">
        <v>310257</v>
      </c>
      <c r="J33" s="5">
        <v>324600</v>
      </c>
      <c r="K33" s="5">
        <v>-14343</v>
      </c>
      <c r="L33" s="6">
        <v>312950</v>
      </c>
      <c r="M33" s="5">
        <v>325817</v>
      </c>
      <c r="N33" s="5">
        <v>-12867</v>
      </c>
      <c r="O33" s="6">
        <f t="shared" si="3"/>
        <v>-33307</v>
      </c>
      <c r="P33" s="70">
        <f t="shared" si="4"/>
        <v>-3.4810063742330068E-2</v>
      </c>
      <c r="Q33" s="176"/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>X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si="5"/>
        <v xml:space="preserve"> </v>
      </c>
      <c r="W33" t="str">
        <f>IF($C$4="High Inventory",IF(O33&gt;Summary!$C$119,"X"," "),IF(O33&lt;-Summary!$C$119,"X"," "))</f>
        <v>X</v>
      </c>
      <c r="X33" t="str">
        <f>IF($C$4="High Inventory",IF(P33&gt;Summary!$C$120,"X"," "),IF(P33&lt;-Summary!$C$120,"X"," "))</f>
        <v xml:space="preserve"> </v>
      </c>
    </row>
    <row r="34" spans="1:24" x14ac:dyDescent="0.2">
      <c r="A34" s="27">
        <v>1922</v>
      </c>
      <c r="B34" s="55" t="s">
        <v>26</v>
      </c>
      <c r="C34" s="6">
        <v>28011</v>
      </c>
      <c r="D34" s="5">
        <v>31939</v>
      </c>
      <c r="E34" s="5">
        <v>-3928</v>
      </c>
      <c r="F34" s="6">
        <v>34102</v>
      </c>
      <c r="G34" s="5">
        <v>29513</v>
      </c>
      <c r="H34" s="5">
        <v>4589</v>
      </c>
      <c r="I34" s="6">
        <v>36941</v>
      </c>
      <c r="J34" s="5">
        <v>26628</v>
      </c>
      <c r="K34" s="5">
        <v>10313</v>
      </c>
      <c r="L34" s="6">
        <v>36129</v>
      </c>
      <c r="M34" s="5">
        <v>29773</v>
      </c>
      <c r="N34" s="5">
        <v>6356</v>
      </c>
      <c r="O34" s="6">
        <f t="shared" si="3"/>
        <v>10974</v>
      </c>
      <c r="P34" s="70">
        <f t="shared" si="4"/>
        <v>0.12458986614593386</v>
      </c>
      <c r="Q34" s="178"/>
      <c r="R34" s="66" t="str">
        <f>IF($C$4="High Inventory",IF(AND(O34&gt;=Summary!$C$119,P34&gt;=Summary!$C$120),"X"," "),IF(AND(O34&lt;=-Summary!$C$119,P34&lt;=-Summary!$C$120),"X"," "))</f>
        <v xml:space="preserve"> 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 xml:space="preserve"> </v>
      </c>
      <c r="U34" s="11" t="str">
        <f>IF($C$4="High Inventory",IF(AND($O34&gt;=0,$P34&gt;=Summary!$C$120),"X"," "),IF(AND($O34&lt;=0,$P34&lt;=-Summary!$C$120),"X"," "))</f>
        <v xml:space="preserve"> </v>
      </c>
      <c r="V34" t="str">
        <f t="shared" si="5"/>
        <v xml:space="preserve"> </v>
      </c>
      <c r="W34" t="str">
        <f>IF($C$4="High Inventory",IF(O34&gt;Summary!$C$119,"X"," "),IF(O34&lt;-Summary!$C$119,"X"," "))</f>
        <v xml:space="preserve"> </v>
      </c>
      <c r="X34" t="str">
        <f>IF($C$4="High Inventory",IF(P34&gt;Summary!$C$120,"X"," "),IF(P34&lt;-Summary!$C$120,"X"," "))</f>
        <v xml:space="preserve"> </v>
      </c>
    </row>
    <row r="35" spans="1:24" x14ac:dyDescent="0.2">
      <c r="A35" s="27">
        <v>2056</v>
      </c>
      <c r="B35" s="55" t="s">
        <v>26</v>
      </c>
      <c r="C35" s="6">
        <v>12175</v>
      </c>
      <c r="D35" s="5">
        <v>15815</v>
      </c>
      <c r="E35" s="5">
        <v>-3640</v>
      </c>
      <c r="F35" s="6">
        <v>12175</v>
      </c>
      <c r="G35" s="5">
        <v>16727</v>
      </c>
      <c r="H35" s="5">
        <v>-4552</v>
      </c>
      <c r="I35" s="6">
        <v>15331</v>
      </c>
      <c r="J35" s="5">
        <v>15100</v>
      </c>
      <c r="K35" s="5">
        <v>231</v>
      </c>
      <c r="L35" s="6">
        <v>15331</v>
      </c>
      <c r="M35" s="5">
        <v>14431</v>
      </c>
      <c r="N35" s="5">
        <v>900</v>
      </c>
      <c r="O35" s="6">
        <f t="shared" si="3"/>
        <v>-7961</v>
      </c>
      <c r="P35" s="70">
        <f t="shared" si="4"/>
        <v>-0.16709695023403229</v>
      </c>
      <c r="Q35" s="176"/>
      <c r="R35" s="66" t="str">
        <f>IF($C$4="High Inventory",IF(AND(O35&gt;=Summary!$C$119,P35&gt;=Summary!$C$120),"X"," "),IF(AND(O35&lt;=-Summary!$C$119,P35&lt;=-Summary!$C$120),"X"," "))</f>
        <v>X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>X</v>
      </c>
      <c r="U35" s="11" t="str">
        <f>IF($C$4="High Inventory",IF(AND($O35&gt;=0,$P35&gt;=Summary!$C$120),"X"," "),IF(AND($O35&lt;=0,$P35&lt;=-Summary!$C$120),"X"," "))</f>
        <v>X</v>
      </c>
      <c r="V35" t="str">
        <f t="shared" si="5"/>
        <v xml:space="preserve"> </v>
      </c>
      <c r="W35" t="str">
        <f>IF($C$4="High Inventory",IF(O35&gt;Summary!$C$119,"X"," "),IF(O35&lt;-Summary!$C$119,"X"," "))</f>
        <v>X</v>
      </c>
      <c r="X35" t="str">
        <f>IF($C$4="High Inventory",IF(P35&gt;Summary!$C$120,"X"," "),IF(P35&lt;-Summary!$C$120,"X"," "))</f>
        <v>X</v>
      </c>
    </row>
    <row r="36" spans="1:24" x14ac:dyDescent="0.2">
      <c r="A36" s="27">
        <v>2280</v>
      </c>
      <c r="B36" s="55" t="s">
        <v>26</v>
      </c>
      <c r="C36" s="6">
        <v>8917</v>
      </c>
      <c r="D36" s="5">
        <v>2084</v>
      </c>
      <c r="E36" s="5">
        <v>6833</v>
      </c>
      <c r="F36" s="6">
        <v>9833</v>
      </c>
      <c r="G36" s="5">
        <v>2088</v>
      </c>
      <c r="H36" s="5">
        <v>7745</v>
      </c>
      <c r="I36" s="6">
        <v>9833</v>
      </c>
      <c r="J36" s="5">
        <v>2008</v>
      </c>
      <c r="K36" s="5">
        <v>7825</v>
      </c>
      <c r="L36" s="6">
        <v>9833</v>
      </c>
      <c r="M36" s="5">
        <v>1924</v>
      </c>
      <c r="N36" s="5">
        <v>7909</v>
      </c>
      <c r="O36" s="6">
        <f t="shared" si="3"/>
        <v>22403</v>
      </c>
      <c r="P36" s="70">
        <f t="shared" si="4"/>
        <v>3.624494418378903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5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">
      <c r="A37" s="27">
        <v>2584</v>
      </c>
      <c r="B37" s="55" t="s">
        <v>26</v>
      </c>
      <c r="C37" s="6">
        <v>47771</v>
      </c>
      <c r="D37" s="5">
        <v>60582</v>
      </c>
      <c r="E37" s="5">
        <v>-12811</v>
      </c>
      <c r="F37" s="6">
        <v>57185</v>
      </c>
      <c r="G37" s="5">
        <v>52615</v>
      </c>
      <c r="H37" s="5">
        <v>4570</v>
      </c>
      <c r="I37" s="6">
        <v>57236</v>
      </c>
      <c r="J37" s="5">
        <v>44774</v>
      </c>
      <c r="K37" s="5">
        <v>12462</v>
      </c>
      <c r="L37" s="6">
        <v>60185</v>
      </c>
      <c r="M37" s="5">
        <v>51042</v>
      </c>
      <c r="N37" s="5">
        <v>9143</v>
      </c>
      <c r="O37" s="6">
        <f t="shared" si="3"/>
        <v>4221</v>
      </c>
      <c r="P37" s="70">
        <f t="shared" si="4"/>
        <v>2.6719925050008864E-2</v>
      </c>
      <c r="Q37" s="176"/>
      <c r="R37" s="66" t="str">
        <f>IF($C$4="High Inventory",IF(AND(O37&gt;=Summary!$C$119,P37&gt;=Summary!$C$120),"X"," "),IF(AND(O37&lt;=-Summary!$C$119,P37&lt;=-Summary!$C$120),"X"," "))</f>
        <v xml:space="preserve"> 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 xml:space="preserve"> </v>
      </c>
      <c r="U37" s="11" t="str">
        <f>IF($C$4="High Inventory",IF(AND($O37&gt;=0,$P37&gt;=Summary!$C$120),"X"," "),IF(AND($O37&lt;=0,$P37&lt;=-Summary!$C$120),"X"," "))</f>
        <v xml:space="preserve"> </v>
      </c>
      <c r="V37" t="str">
        <f t="shared" si="5"/>
        <v xml:space="preserve"> </v>
      </c>
      <c r="W37" t="str">
        <f>IF($C$4="High Inventory",IF(O37&gt;Summary!$C$119,"X"," "),IF(O37&lt;-Summary!$C$119,"X"," "))</f>
        <v xml:space="preserve"> </v>
      </c>
      <c r="X37" t="str">
        <f>IF($C$4="High Inventory",IF(P37&gt;Summary!$C$120,"X"," "),IF(P37&lt;-Summary!$C$120,"X"," "))</f>
        <v xml:space="preserve"> </v>
      </c>
    </row>
    <row r="38" spans="1:24" x14ac:dyDescent="0.2">
      <c r="A38" s="27">
        <v>2771</v>
      </c>
      <c r="B38" s="55" t="s">
        <v>26</v>
      </c>
      <c r="C38" s="6">
        <v>19482</v>
      </c>
      <c r="D38" s="5">
        <v>36429</v>
      </c>
      <c r="E38" s="5">
        <v>-16947</v>
      </c>
      <c r="F38" s="6">
        <v>24669</v>
      </c>
      <c r="G38" s="5">
        <v>30807</v>
      </c>
      <c r="H38" s="5">
        <v>-6138</v>
      </c>
      <c r="I38" s="6">
        <v>29941</v>
      </c>
      <c r="J38" s="5">
        <v>27231</v>
      </c>
      <c r="K38" s="5">
        <v>2710</v>
      </c>
      <c r="L38" s="6">
        <v>38231</v>
      </c>
      <c r="M38" s="5">
        <v>35548</v>
      </c>
      <c r="N38" s="5">
        <v>2683</v>
      </c>
      <c r="O38" s="6">
        <f t="shared" si="3"/>
        <v>-20375</v>
      </c>
      <c r="P38" s="70">
        <f t="shared" si="4"/>
        <v>-0.21568150061396452</v>
      </c>
      <c r="Q38" s="178"/>
      <c r="R38" s="66" t="str">
        <f>IF($C$4="High Inventory",IF(AND(O38&gt;=Summary!$C$119,P38&gt;=Summary!$C$120),"X"," "),IF(AND(O38&lt;=-Summary!$C$119,P38&lt;=-Summary!$C$120),"X"," "))</f>
        <v>X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>X</v>
      </c>
      <c r="U38" s="11" t="str">
        <f>IF($C$4="High Inventory",IF(AND($O38&gt;=0,$P38&gt;=Summary!$C$120),"X"," "),IF(AND($O38&lt;=0,$P38&lt;=-Summary!$C$120),"X"," "))</f>
        <v>X</v>
      </c>
      <c r="V38" t="str">
        <f t="shared" si="5"/>
        <v xml:space="preserve"> </v>
      </c>
      <c r="W38" t="str">
        <f>IF($C$4="High Inventory",IF(O38&gt;Summary!$C$119,"X"," "),IF(O38&lt;-Summary!$C$119,"X"," "))</f>
        <v>X</v>
      </c>
      <c r="X38" t="str">
        <f>IF($C$4="High Inventory",IF(P38&gt;Summary!$C$120,"X"," "),IF(P38&lt;-Summary!$C$120,"X"," "))</f>
        <v>X</v>
      </c>
    </row>
    <row r="39" spans="1:24" x14ac:dyDescent="0.2">
      <c r="A39" s="27">
        <v>2832</v>
      </c>
      <c r="B39" s="55" t="s">
        <v>26</v>
      </c>
      <c r="C39" s="6">
        <v>4100</v>
      </c>
      <c r="D39" s="5">
        <v>3097</v>
      </c>
      <c r="E39" s="5">
        <v>1003</v>
      </c>
      <c r="F39" s="6">
        <v>4100</v>
      </c>
      <c r="G39" s="5">
        <v>2985</v>
      </c>
      <c r="H39" s="5">
        <v>1115</v>
      </c>
      <c r="I39" s="6">
        <v>4100</v>
      </c>
      <c r="J39" s="5">
        <v>2572</v>
      </c>
      <c r="K39" s="5">
        <v>1528</v>
      </c>
      <c r="L39" s="6">
        <v>4100</v>
      </c>
      <c r="M39" s="5">
        <v>3064</v>
      </c>
      <c r="N39" s="5">
        <v>1036</v>
      </c>
      <c r="O39" s="6">
        <f t="shared" si="3"/>
        <v>3646</v>
      </c>
      <c r="P39" s="70">
        <f t="shared" si="4"/>
        <v>0.42125938763720394</v>
      </c>
      <c r="Q39" s="176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8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 xml:space="preserve"> </v>
      </c>
      <c r="V39" t="str">
        <f t="shared" si="5"/>
        <v xml:space="preserve"> 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 xml:space="preserve"> </v>
      </c>
    </row>
    <row r="40" spans="1:24" x14ac:dyDescent="0.2">
      <c r="A40" s="27">
        <v>2892</v>
      </c>
      <c r="B40" s="55" t="s">
        <v>26</v>
      </c>
      <c r="C40" s="6">
        <v>290</v>
      </c>
      <c r="D40" s="5">
        <v>233</v>
      </c>
      <c r="E40" s="5">
        <v>57</v>
      </c>
      <c r="F40" s="6">
        <v>290</v>
      </c>
      <c r="G40" s="5">
        <v>238</v>
      </c>
      <c r="H40" s="5">
        <v>52</v>
      </c>
      <c r="I40" s="6">
        <v>290</v>
      </c>
      <c r="J40" s="5">
        <v>225</v>
      </c>
      <c r="K40" s="5">
        <v>65</v>
      </c>
      <c r="L40" s="6">
        <v>290</v>
      </c>
      <c r="M40" s="5">
        <v>221</v>
      </c>
      <c r="N40" s="5">
        <v>69</v>
      </c>
      <c r="O40" s="6">
        <f t="shared" si="3"/>
        <v>174</v>
      </c>
      <c r="P40" s="70">
        <f t="shared" si="4"/>
        <v>0.24964131994261118</v>
      </c>
      <c r="Q40" s="176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 xml:space="preserve"> 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5"/>
        <v xml:space="preserve"> </v>
      </c>
      <c r="W40" t="str">
        <f>IF($C$4="High Inventory",IF(O40&gt;Summary!$C$119,"X"," "),IF(O40&lt;-Summary!$C$119,"X"," "))</f>
        <v xml:space="preserve"> </v>
      </c>
      <c r="X40" t="str">
        <f>IF($C$4="High Inventory",IF(P40&gt;Summary!$C$120,"X"," "),IF(P40&lt;-Summary!$C$120,"X"," "))</f>
        <v xml:space="preserve"> </v>
      </c>
    </row>
    <row r="41" spans="1:24" x14ac:dyDescent="0.2">
      <c r="A41" s="27">
        <v>3015</v>
      </c>
      <c r="B41" s="55" t="s">
        <v>26</v>
      </c>
      <c r="C41" s="6">
        <v>23105</v>
      </c>
      <c r="D41" s="5">
        <v>22071</v>
      </c>
      <c r="E41" s="5">
        <v>1034</v>
      </c>
      <c r="F41" s="6">
        <v>24914</v>
      </c>
      <c r="G41" s="5">
        <v>20469</v>
      </c>
      <c r="H41" s="5">
        <v>4445</v>
      </c>
      <c r="I41" s="6">
        <v>24920</v>
      </c>
      <c r="J41" s="5">
        <v>18750</v>
      </c>
      <c r="K41" s="5">
        <v>6170</v>
      </c>
      <c r="L41" s="6">
        <v>16687</v>
      </c>
      <c r="M41" s="5">
        <v>20451</v>
      </c>
      <c r="N41" s="5">
        <v>-3764</v>
      </c>
      <c r="O41" s="6">
        <f t="shared" si="3"/>
        <v>11649</v>
      </c>
      <c r="P41" s="70">
        <f t="shared" si="4"/>
        <v>0.19006053090992153</v>
      </c>
      <c r="Q41" s="176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>X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>
        <f t="shared" si="5"/>
        <v>-8233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">
      <c r="A42" s="27">
        <v>3550</v>
      </c>
      <c r="B42" s="55" t="s">
        <v>26</v>
      </c>
      <c r="C42" s="6">
        <v>3000</v>
      </c>
      <c r="D42" s="5">
        <v>2844</v>
      </c>
      <c r="E42" s="5">
        <v>156</v>
      </c>
      <c r="F42" s="6">
        <v>3000</v>
      </c>
      <c r="G42" s="5">
        <v>2173</v>
      </c>
      <c r="H42" s="5">
        <v>827</v>
      </c>
      <c r="I42" s="6">
        <v>3000</v>
      </c>
      <c r="J42" s="5">
        <v>2383</v>
      </c>
      <c r="K42" s="5">
        <v>617</v>
      </c>
      <c r="L42" s="6">
        <v>3000</v>
      </c>
      <c r="M42" s="5">
        <v>2234</v>
      </c>
      <c r="N42" s="5">
        <v>766</v>
      </c>
      <c r="O42" s="6">
        <f t="shared" si="3"/>
        <v>1600</v>
      </c>
      <c r="P42" s="70">
        <f t="shared" si="4"/>
        <v>0.21618700175651939</v>
      </c>
      <c r="Q42" s="176"/>
      <c r="R42" s="66" t="str">
        <f>IF($C$4="High Inventory",IF(AND(O42&gt;=Summary!$C$119,P42&gt;=Summary!$C$120),"X"," "),IF(AND(O42&lt;=-Summary!$C$119,P42&lt;=-Summary!$C$120),"X"," "))</f>
        <v xml:space="preserve"> 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 xml:space="preserve"> </v>
      </c>
      <c r="U42" s="11" t="str">
        <f>IF($C$4="High Inventory",IF(AND($O42&gt;=0,$P42&gt;=Summary!$C$120),"X"," "),IF(AND($O42&lt;=0,$P42&lt;=-Summary!$C$120),"X"," "))</f>
        <v xml:space="preserve"> </v>
      </c>
      <c r="V42" t="str">
        <f t="shared" si="5"/>
        <v xml:space="preserve"> </v>
      </c>
      <c r="W42" t="str">
        <f>IF($C$4="High Inventory",IF(O42&gt;Summary!$C$119,"X"," "),IF(O42&lt;-Summary!$C$119,"X"," "))</f>
        <v xml:space="preserve"> </v>
      </c>
      <c r="X42" t="str">
        <f>IF($C$4="High Inventory",IF(P42&gt;Summary!$C$120,"X"," "),IF(P42&lt;-Summary!$C$120,"X"," "))</f>
        <v xml:space="preserve"> </v>
      </c>
    </row>
    <row r="43" spans="1:24" x14ac:dyDescent="0.2">
      <c r="A43" s="27">
        <v>4760</v>
      </c>
      <c r="B43" s="55" t="s">
        <v>26</v>
      </c>
      <c r="C43" s="6">
        <v>484138</v>
      </c>
      <c r="D43" s="5">
        <v>525402</v>
      </c>
      <c r="E43" s="5">
        <v>-41264</v>
      </c>
      <c r="F43" s="6">
        <v>495638</v>
      </c>
      <c r="G43" s="5">
        <v>529697</v>
      </c>
      <c r="H43" s="5">
        <v>-34059</v>
      </c>
      <c r="I43" s="6">
        <v>495638</v>
      </c>
      <c r="J43" s="5">
        <v>543128</v>
      </c>
      <c r="K43" s="5">
        <v>-47490</v>
      </c>
      <c r="L43" s="6">
        <v>495638</v>
      </c>
      <c r="M43" s="5">
        <v>521726</v>
      </c>
      <c r="N43" s="5">
        <v>-26088</v>
      </c>
      <c r="O43" s="6">
        <f t="shared" si="3"/>
        <v>-122813</v>
      </c>
      <c r="P43" s="70">
        <f t="shared" si="4"/>
        <v>-7.6843228875980149E-2</v>
      </c>
      <c r="Q43" s="176"/>
      <c r="R43" s="66" t="str">
        <f>IF($C$4="High Inventory",IF(AND(O43&gt;=Summary!$C$119,P43&gt;=Summary!$C$120),"X"," "),IF(AND(O43&lt;=-Summary!$C$119,P43&lt;=-Summary!$C$120),"X"," "))</f>
        <v xml:space="preserve"> 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 xml:space="preserve"> 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 xml:space="preserve"> </v>
      </c>
    </row>
    <row r="44" spans="1:24" x14ac:dyDescent="0.2">
      <c r="A44" s="27">
        <v>6084</v>
      </c>
      <c r="B44" s="55" t="s">
        <v>26</v>
      </c>
      <c r="C44" s="6"/>
      <c r="D44" s="5"/>
      <c r="E44" s="5"/>
      <c r="F44" s="6">
        <v>500</v>
      </c>
      <c r="G44" s="5">
        <v>9</v>
      </c>
      <c r="H44" s="5">
        <v>491</v>
      </c>
      <c r="I44" s="6">
        <v>500</v>
      </c>
      <c r="J44" s="5">
        <v>25</v>
      </c>
      <c r="K44" s="5">
        <v>475</v>
      </c>
      <c r="L44" s="6">
        <v>500</v>
      </c>
      <c r="M44" s="5">
        <v>10</v>
      </c>
      <c r="N44" s="5">
        <v>490</v>
      </c>
      <c r="O44" s="6">
        <f t="shared" si="3"/>
        <v>966</v>
      </c>
      <c r="P44" s="70">
        <f t="shared" si="4"/>
        <v>27.6</v>
      </c>
      <c r="Q44" s="176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">
      <c r="A45" s="27">
        <v>6728</v>
      </c>
      <c r="B45" s="55" t="s">
        <v>26</v>
      </c>
      <c r="C45" s="6">
        <v>11000</v>
      </c>
      <c r="D45" s="5">
        <v>12112</v>
      </c>
      <c r="E45" s="5">
        <v>-1112</v>
      </c>
      <c r="F45" s="6">
        <v>11000</v>
      </c>
      <c r="G45" s="5">
        <v>13767</v>
      </c>
      <c r="H45" s="5">
        <v>-2767</v>
      </c>
      <c r="I45" s="6">
        <v>11000</v>
      </c>
      <c r="J45" s="5">
        <v>12398</v>
      </c>
      <c r="K45" s="5">
        <v>-1398</v>
      </c>
      <c r="L45" s="6">
        <v>11000</v>
      </c>
      <c r="M45" s="5">
        <v>9628</v>
      </c>
      <c r="N45" s="5">
        <v>1372</v>
      </c>
      <c r="O45" s="6">
        <f t="shared" si="3"/>
        <v>-5277</v>
      </c>
      <c r="P45" s="70">
        <f t="shared" si="4"/>
        <v>-0.13785986728669208</v>
      </c>
      <c r="Q45" s="178"/>
      <c r="R45" s="66" t="str">
        <f>IF($C$4="High Inventory",IF(AND(O45&gt;=Summary!$C$119,P45&gt;=Summary!$C$120),"X"," "),IF(AND(O45&lt;=-Summary!$C$119,P45&lt;=-Summary!$C$120),"X"," "))</f>
        <v>X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>X</v>
      </c>
      <c r="U45" s="11" t="str">
        <f>IF($C$4="High Inventory",IF(AND($O45&gt;=0,$P45&gt;=Summary!$C$120),"X"," "),IF(AND($O45&lt;=0,$P45&lt;=-Summary!$C$120),"X"," "))</f>
        <v>X</v>
      </c>
      <c r="V45" t="str">
        <f t="shared" si="5"/>
        <v xml:space="preserve"> </v>
      </c>
      <c r="W45" t="str">
        <f>IF($C$4="High Inventory",IF(O45&gt;Summary!$C$119,"X"," "),IF(O45&lt;-Summary!$C$119,"X"," "))</f>
        <v>X</v>
      </c>
      <c r="X45" t="str">
        <f>IF($C$4="High Inventory",IF(P45&gt;Summary!$C$120,"X"," "),IF(P45&lt;-Summary!$C$120,"X"," "))</f>
        <v>X</v>
      </c>
    </row>
    <row r="46" spans="1:24" x14ac:dyDescent="0.2">
      <c r="A46" s="27">
        <v>12296</v>
      </c>
      <c r="B46" s="55" t="s">
        <v>26</v>
      </c>
      <c r="C46" s="6">
        <v>7680</v>
      </c>
      <c r="D46" s="5">
        <v>0</v>
      </c>
      <c r="E46" s="5">
        <v>7680</v>
      </c>
      <c r="F46" s="6">
        <v>7680</v>
      </c>
      <c r="G46" s="5">
        <v>0</v>
      </c>
      <c r="H46" s="5">
        <v>7680</v>
      </c>
      <c r="I46" s="6">
        <v>7680</v>
      </c>
      <c r="J46" s="5">
        <v>0</v>
      </c>
      <c r="K46" s="5">
        <v>7680</v>
      </c>
      <c r="L46" s="6">
        <v>7680</v>
      </c>
      <c r="M46" s="5">
        <v>0</v>
      </c>
      <c r="N46" s="5">
        <v>7680</v>
      </c>
      <c r="O46" s="6">
        <f t="shared" si="3"/>
        <v>23040</v>
      </c>
      <c r="P46" s="70">
        <f t="shared" si="4"/>
        <v>23040</v>
      </c>
      <c r="Q46" s="178"/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5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">
      <c r="A47" s="27">
        <v>15966</v>
      </c>
      <c r="B47" s="55" t="s">
        <v>26</v>
      </c>
      <c r="C47" s="6">
        <v>56420</v>
      </c>
      <c r="D47" s="5">
        <v>60783</v>
      </c>
      <c r="E47" s="5">
        <v>-4363</v>
      </c>
      <c r="F47" s="6">
        <v>58654</v>
      </c>
      <c r="G47" s="5">
        <v>57995</v>
      </c>
      <c r="H47" s="5">
        <v>659</v>
      </c>
      <c r="I47" s="6">
        <v>54568</v>
      </c>
      <c r="J47" s="5">
        <v>52618</v>
      </c>
      <c r="K47" s="5">
        <v>1950</v>
      </c>
      <c r="L47" s="6">
        <v>61506</v>
      </c>
      <c r="M47" s="5">
        <v>60034</v>
      </c>
      <c r="N47" s="5">
        <v>1472</v>
      </c>
      <c r="O47" s="6">
        <f t="shared" si="3"/>
        <v>-1754</v>
      </c>
      <c r="P47" s="70">
        <f t="shared" si="4"/>
        <v>-1.0233551345706167E-2</v>
      </c>
      <c r="Q47" s="176" t="s">
        <v>65</v>
      </c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 xml:space="preserve"> </v>
      </c>
      <c r="V47" t="str">
        <f t="shared" si="5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 xml:space="preserve"> </v>
      </c>
    </row>
    <row r="48" spans="1:24" x14ac:dyDescent="0.2">
      <c r="A48" s="27">
        <v>30069</v>
      </c>
      <c r="B48" s="55" t="s">
        <v>26</v>
      </c>
      <c r="C48" s="6">
        <v>12377</v>
      </c>
      <c r="D48" s="5">
        <v>10094</v>
      </c>
      <c r="E48" s="5">
        <v>2283</v>
      </c>
      <c r="F48" s="6">
        <v>7377</v>
      </c>
      <c r="G48" s="5">
        <v>10064</v>
      </c>
      <c r="H48" s="5">
        <v>-2687</v>
      </c>
      <c r="I48" s="6">
        <v>7377</v>
      </c>
      <c r="J48" s="5">
        <v>10100</v>
      </c>
      <c r="K48" s="5">
        <v>-2723</v>
      </c>
      <c r="L48" s="6">
        <v>7377</v>
      </c>
      <c r="M48" s="5">
        <v>10055</v>
      </c>
      <c r="N48" s="5">
        <v>-2678</v>
      </c>
      <c r="O48" s="6">
        <f t="shared" si="3"/>
        <v>-3127</v>
      </c>
      <c r="P48" s="70">
        <f t="shared" si="4"/>
        <v>-0.10334115469777587</v>
      </c>
      <c r="Q48" s="176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>X</v>
      </c>
      <c r="V48" t="str">
        <f t="shared" si="5"/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>X</v>
      </c>
    </row>
    <row r="49" spans="1:24" x14ac:dyDescent="0.2">
      <c r="A49" s="27">
        <v>51</v>
      </c>
      <c r="B49" s="55" t="s">
        <v>27</v>
      </c>
      <c r="C49" s="6">
        <v>8240</v>
      </c>
      <c r="D49" s="5">
        <v>8180</v>
      </c>
      <c r="E49" s="5">
        <v>60</v>
      </c>
      <c r="F49" s="6">
        <v>8240</v>
      </c>
      <c r="G49" s="5">
        <v>6857</v>
      </c>
      <c r="H49" s="5">
        <v>1383</v>
      </c>
      <c r="I49" s="6">
        <v>8240</v>
      </c>
      <c r="J49" s="5">
        <v>6418</v>
      </c>
      <c r="K49" s="5">
        <v>1822</v>
      </c>
      <c r="L49" s="6">
        <v>8240</v>
      </c>
      <c r="M49" s="5">
        <v>7825</v>
      </c>
      <c r="N49" s="5">
        <v>415</v>
      </c>
      <c r="O49" s="6">
        <f t="shared" si="3"/>
        <v>3265</v>
      </c>
      <c r="P49" s="70">
        <f t="shared" si="4"/>
        <v>0.15217188665175244</v>
      </c>
      <c r="Q49" s="74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 t="shared" si="5"/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24" x14ac:dyDescent="0.2">
      <c r="A50" s="27">
        <v>62</v>
      </c>
      <c r="B50" s="55" t="s">
        <v>27</v>
      </c>
      <c r="C50" s="6">
        <v>0</v>
      </c>
      <c r="D50" s="5">
        <v>0</v>
      </c>
      <c r="E50" s="5">
        <v>0</v>
      </c>
      <c r="F50" s="6">
        <v>0</v>
      </c>
      <c r="G50" s="5">
        <v>0</v>
      </c>
      <c r="H50" s="5">
        <v>0</v>
      </c>
      <c r="I50" s="6">
        <v>0</v>
      </c>
      <c r="J50" s="5">
        <v>0</v>
      </c>
      <c r="K50" s="5">
        <v>0</v>
      </c>
      <c r="L50" s="6">
        <v>0</v>
      </c>
      <c r="M50" s="5">
        <v>0</v>
      </c>
      <c r="N50" s="5">
        <v>0</v>
      </c>
      <c r="O50" s="6">
        <f t="shared" si="3"/>
        <v>0</v>
      </c>
      <c r="P50" s="70">
        <f t="shared" si="4"/>
        <v>0</v>
      </c>
      <c r="Q50" s="74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 t="shared" si="5"/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24" x14ac:dyDescent="0.2">
      <c r="A51" s="27">
        <v>145</v>
      </c>
      <c r="B51" s="55" t="s">
        <v>27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ref="O51:O76" si="6">K51+H51+E51</f>
        <v>0</v>
      </c>
      <c r="P51" s="70">
        <f t="shared" si="4"/>
        <v>0</v>
      </c>
      <c r="Q51" s="74"/>
      <c r="R51" s="66" t="str">
        <f>IF($C$4="High Inventory",IF(AND(O51&gt;=Summary!$C$119,P51&gt;=Summary!$C$120),"X"," "),IF(AND(O51&lt;=-Summary!$C$119,P51&lt;=-Summary!$C$120),"X"," "))</f>
        <v xml:space="preserve"> 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 t="str">
        <f>IF($C$4="High Inventory",IF(AND($O51&gt;=Summary!$C$119,$P51&gt;=0%),"X"," "),IF(AND($O51&lt;=-Summary!$C$119,$P51&lt;=0%),"X"," "))</f>
        <v xml:space="preserve"> </v>
      </c>
      <c r="U51" s="11" t="str">
        <f>IF($C$4="High Inventory",IF(AND($O51&gt;=0,$P51&gt;=Summary!$C$120),"X"," "),IF(AND($O51&lt;=0,$P51&lt;=-Summary!$C$120),"X"," "))</f>
        <v xml:space="preserve"> </v>
      </c>
      <c r="V51" t="str">
        <f t="shared" si="5"/>
        <v xml:space="preserve"> </v>
      </c>
      <c r="W51" t="str">
        <f>IF($C$4="High Inventory",IF(O51&gt;Summary!$C$119,"X"," "),IF(O51&lt;-Summary!$C$119,"X"," "))</f>
        <v xml:space="preserve"> </v>
      </c>
      <c r="X51" t="str">
        <f>IF($C$4="High Inventory",IF(P51&gt;Summary!$C$120,"X"," "),IF(P51&lt;-Summary!$C$120,"X"," "))</f>
        <v xml:space="preserve"> </v>
      </c>
    </row>
    <row r="52" spans="1:24" x14ac:dyDescent="0.2">
      <c r="A52" s="27">
        <v>254</v>
      </c>
      <c r="B52" s="55" t="s">
        <v>27</v>
      </c>
      <c r="C52" s="6">
        <v>10921</v>
      </c>
      <c r="D52" s="5">
        <v>10839</v>
      </c>
      <c r="E52" s="5">
        <v>82</v>
      </c>
      <c r="F52" s="6">
        <v>10921</v>
      </c>
      <c r="G52" s="5">
        <v>10942</v>
      </c>
      <c r="H52" s="5">
        <v>-21</v>
      </c>
      <c r="I52" s="6">
        <v>10921</v>
      </c>
      <c r="J52" s="5">
        <v>10428</v>
      </c>
      <c r="K52" s="5">
        <v>493</v>
      </c>
      <c r="L52" s="6">
        <v>10921</v>
      </c>
      <c r="M52" s="5">
        <v>10195</v>
      </c>
      <c r="N52" s="5">
        <v>726</v>
      </c>
      <c r="O52" s="6">
        <f t="shared" si="6"/>
        <v>554</v>
      </c>
      <c r="P52" s="70">
        <f t="shared" ref="P52:P76" si="7">O52/(J52+G52+D52+1)</f>
        <v>1.7199627444892892E-2</v>
      </c>
      <c r="Q52" s="74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 t="shared" ref="V52:V76" si="8">IF(S52 = "X",L52-I52," ")</f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24" x14ac:dyDescent="0.2">
      <c r="A53" s="27">
        <v>326</v>
      </c>
      <c r="B53" s="55" t="s">
        <v>27</v>
      </c>
      <c r="C53" s="6">
        <v>165</v>
      </c>
      <c r="D53" s="5">
        <v>157</v>
      </c>
      <c r="E53" s="5">
        <v>8</v>
      </c>
      <c r="F53" s="6">
        <v>165</v>
      </c>
      <c r="G53" s="5">
        <v>0</v>
      </c>
      <c r="H53" s="5">
        <v>165</v>
      </c>
      <c r="I53" s="6">
        <v>165</v>
      </c>
      <c r="J53" s="5">
        <v>0</v>
      </c>
      <c r="K53" s="5">
        <v>165</v>
      </c>
      <c r="L53" s="6">
        <v>165</v>
      </c>
      <c r="M53" s="5">
        <v>116</v>
      </c>
      <c r="N53" s="5">
        <v>49</v>
      </c>
      <c r="O53" s="6">
        <f t="shared" si="6"/>
        <v>338</v>
      </c>
      <c r="P53" s="70">
        <f t="shared" si="7"/>
        <v>2.1392405063291138</v>
      </c>
      <c r="Q53" s="74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8" t="str">
        <f>IF($C$4="High Inventory",IF(AND($O53&gt;=Summary!$C$119,$P53&gt;=0%),"X"," "),IF(AND($O53&lt;=-Summary!$C$119,$P53&lt;=0%),"X"," "))</f>
        <v xml:space="preserve"> </v>
      </c>
      <c r="U53" s="11" t="str">
        <f>IF($C$4="High Inventory",IF(AND($O53&gt;=0,$P53&gt;=Summary!$C$120),"X"," "),IF(AND($O53&lt;=0,$P53&lt;=-Summary!$C$120),"X"," "))</f>
        <v xml:space="preserve"> </v>
      </c>
      <c r="V53" t="str">
        <f t="shared" si="8"/>
        <v xml:space="preserve"> </v>
      </c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 xml:space="preserve"> </v>
      </c>
    </row>
    <row r="54" spans="1:24" x14ac:dyDescent="0.2">
      <c r="A54" s="27">
        <v>375</v>
      </c>
      <c r="B54" s="55" t="s">
        <v>27</v>
      </c>
      <c r="C54" s="6">
        <v>0</v>
      </c>
      <c r="D54" s="5">
        <v>0</v>
      </c>
      <c r="E54" s="5">
        <v>0</v>
      </c>
      <c r="F54" s="6">
        <v>0</v>
      </c>
      <c r="G54" s="5">
        <v>0</v>
      </c>
      <c r="H54" s="5">
        <v>0</v>
      </c>
      <c r="I54" s="6">
        <v>0</v>
      </c>
      <c r="J54" s="5">
        <v>0</v>
      </c>
      <c r="K54" s="5">
        <v>0</v>
      </c>
      <c r="L54" s="6">
        <v>0</v>
      </c>
      <c r="M54" s="5">
        <v>0</v>
      </c>
      <c r="N54" s="5">
        <v>0</v>
      </c>
      <c r="O54" s="6">
        <f t="shared" si="6"/>
        <v>0</v>
      </c>
      <c r="P54" s="70">
        <f t="shared" si="7"/>
        <v>0</v>
      </c>
      <c r="Q54" s="74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 xml:space="preserve"> </v>
      </c>
      <c r="V54" t="str">
        <f t="shared" si="8"/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 xml:space="preserve"> </v>
      </c>
    </row>
    <row r="55" spans="1:24" x14ac:dyDescent="0.2">
      <c r="A55" s="27">
        <v>399</v>
      </c>
      <c r="B55" s="55" t="s">
        <v>27</v>
      </c>
      <c r="C55" s="6">
        <v>0</v>
      </c>
      <c r="D55" s="5">
        <v>227</v>
      </c>
      <c r="E55" s="5">
        <v>-227</v>
      </c>
      <c r="F55" s="6">
        <v>150</v>
      </c>
      <c r="G55" s="5">
        <v>186</v>
      </c>
      <c r="H55" s="5">
        <v>-36</v>
      </c>
      <c r="I55" s="6">
        <v>150</v>
      </c>
      <c r="J55" s="5">
        <v>172</v>
      </c>
      <c r="K55" s="5">
        <v>-22</v>
      </c>
      <c r="L55" s="6">
        <v>150</v>
      </c>
      <c r="M55" s="5">
        <v>188</v>
      </c>
      <c r="N55" s="5">
        <v>-38</v>
      </c>
      <c r="O55" s="6">
        <f t="shared" si="6"/>
        <v>-285</v>
      </c>
      <c r="P55" s="70">
        <f t="shared" si="7"/>
        <v>-0.48634812286689422</v>
      </c>
      <c r="Q55" s="74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>X</v>
      </c>
      <c r="V55" t="str">
        <f t="shared" si="8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>X</v>
      </c>
    </row>
    <row r="56" spans="1:24" x14ac:dyDescent="0.2">
      <c r="A56" s="27">
        <v>427</v>
      </c>
      <c r="B56" s="55" t="s">
        <v>27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6"/>
        <v>0</v>
      </c>
      <c r="P56" s="70">
        <f t="shared" si="7"/>
        <v>0</v>
      </c>
      <c r="Q56" s="74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 xml:space="preserve"> </v>
      </c>
      <c r="V56" t="str">
        <f t="shared" si="8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 xml:space="preserve"> </v>
      </c>
    </row>
    <row r="57" spans="1:24" x14ac:dyDescent="0.2">
      <c r="A57" s="27">
        <v>462</v>
      </c>
      <c r="B57" s="55" t="s">
        <v>27</v>
      </c>
      <c r="C57" s="6">
        <v>150</v>
      </c>
      <c r="D57" s="5">
        <v>161</v>
      </c>
      <c r="E57" s="5">
        <v>-11</v>
      </c>
      <c r="F57" s="6">
        <v>150</v>
      </c>
      <c r="G57" s="5">
        <v>146</v>
      </c>
      <c r="H57" s="5">
        <v>4</v>
      </c>
      <c r="I57" s="6">
        <v>150</v>
      </c>
      <c r="J57" s="5">
        <v>100</v>
      </c>
      <c r="K57" s="5">
        <v>50</v>
      </c>
      <c r="L57" s="6">
        <v>150</v>
      </c>
      <c r="M57" s="5">
        <v>144</v>
      </c>
      <c r="N57" s="5">
        <v>6</v>
      </c>
      <c r="O57" s="6">
        <f t="shared" si="6"/>
        <v>43</v>
      </c>
      <c r="P57" s="70">
        <f t="shared" si="7"/>
        <v>0.1053921568627451</v>
      </c>
      <c r="Q57" s="74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 t="str">
        <f>IF($C$4="High Inventory",IF(AND($O57&gt;=Summary!$C$119,$P57&gt;=0%),"X"," "),IF(AND($O57&lt;=-Summary!$C$119,$P57&lt;=0%),"X"," "))</f>
        <v xml:space="preserve"> </v>
      </c>
      <c r="U57" s="11" t="str">
        <f>IF($C$4="High Inventory",IF(AND($O57&gt;=0,$P57&gt;=Summary!$C$120),"X"," "),IF(AND($O57&lt;=0,$P57&lt;=-Summary!$C$120),"X"," "))</f>
        <v xml:space="preserve"> </v>
      </c>
      <c r="V57" t="str">
        <f t="shared" si="8"/>
        <v xml:space="preserve"> </v>
      </c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24" x14ac:dyDescent="0.2">
      <c r="A58" s="27">
        <v>470</v>
      </c>
      <c r="B58" s="55" t="s">
        <v>27</v>
      </c>
      <c r="C58" s="6">
        <v>169</v>
      </c>
      <c r="D58" s="5">
        <v>164</v>
      </c>
      <c r="E58" s="5">
        <v>5</v>
      </c>
      <c r="F58" s="6">
        <v>169</v>
      </c>
      <c r="G58" s="5">
        <v>47</v>
      </c>
      <c r="H58" s="5">
        <v>122</v>
      </c>
      <c r="I58" s="6">
        <v>169</v>
      </c>
      <c r="J58" s="5">
        <v>0</v>
      </c>
      <c r="K58" s="5">
        <v>169</v>
      </c>
      <c r="L58" s="6">
        <v>169</v>
      </c>
      <c r="M58" s="5">
        <v>101</v>
      </c>
      <c r="N58" s="5">
        <v>68</v>
      </c>
      <c r="O58" s="6">
        <f t="shared" si="6"/>
        <v>296</v>
      </c>
      <c r="P58" s="70">
        <f t="shared" si="7"/>
        <v>1.3962264150943395</v>
      </c>
      <c r="Q58" s="74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8"/>
        <v xml:space="preserve"> </v>
      </c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 xml:space="preserve"> </v>
      </c>
    </row>
    <row r="59" spans="1:24" x14ac:dyDescent="0.2">
      <c r="A59" s="27">
        <v>503</v>
      </c>
      <c r="B59" s="55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6"/>
        <v>0</v>
      </c>
      <c r="P59" s="70">
        <f t="shared" si="7"/>
        <v>0</v>
      </c>
      <c r="Q59" s="74"/>
      <c r="R59" s="66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8" t="str">
        <f>IF($C$4="High Inventory",IF(AND($O59&gt;=Summary!$C$119,$P59&gt;=0%),"X"," "),IF(AND($O59&lt;=-Summary!$C$119,$P59&lt;=0%),"X"," "))</f>
        <v xml:space="preserve"> </v>
      </c>
      <c r="U59" s="11" t="str">
        <f>IF($C$4="High Inventory",IF(AND($O59&gt;=0,$P59&gt;=Summary!$C$120),"X"," "),IF(AND($O59&lt;=0,$P59&lt;=-Summary!$C$120),"X"," "))</f>
        <v xml:space="preserve"> </v>
      </c>
      <c r="V59" t="str">
        <f t="shared" si="8"/>
        <v xml:space="preserve"> </v>
      </c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24" x14ac:dyDescent="0.2">
      <c r="A60" s="27">
        <v>512</v>
      </c>
      <c r="B60" s="55" t="s">
        <v>27</v>
      </c>
      <c r="C60" s="6">
        <v>300</v>
      </c>
      <c r="D60" s="5">
        <v>442</v>
      </c>
      <c r="E60" s="5">
        <v>-142</v>
      </c>
      <c r="F60" s="6">
        <v>800</v>
      </c>
      <c r="G60" s="5">
        <v>441</v>
      </c>
      <c r="H60" s="5">
        <v>359</v>
      </c>
      <c r="I60" s="6">
        <v>800</v>
      </c>
      <c r="J60" s="5">
        <v>513</v>
      </c>
      <c r="K60" s="5">
        <v>287</v>
      </c>
      <c r="L60" s="6">
        <v>800</v>
      </c>
      <c r="M60" s="5">
        <v>653</v>
      </c>
      <c r="N60" s="5">
        <v>147</v>
      </c>
      <c r="O60" s="6">
        <f t="shared" si="6"/>
        <v>504</v>
      </c>
      <c r="P60" s="70">
        <f t="shared" si="7"/>
        <v>0.36077308518253398</v>
      </c>
      <c r="Q60" s="74"/>
      <c r="R60" s="66" t="str">
        <f>IF($C$4="High Inventory",IF(AND(O60&gt;=Summary!$C$119,P60&gt;=Summary!$C$120),"X"," "),IF(AND(O60&lt;=-Summary!$C$119,P60&lt;=-Summary!$C$120),"X"," "))</f>
        <v xml:space="preserve"> </v>
      </c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T60" s="8" t="str">
        <f>IF($C$4="High Inventory",IF(AND($O60&gt;=Summary!$C$119,$P60&gt;=0%),"X"," "),IF(AND($O60&lt;=-Summary!$C$119,$P60&lt;=0%),"X"," "))</f>
        <v xml:space="preserve"> </v>
      </c>
      <c r="U60" s="11" t="str">
        <f>IF($C$4="High Inventory",IF(AND($O60&gt;=0,$P60&gt;=Summary!$C$120),"X"," "),IF(AND($O60&lt;=0,$P60&lt;=-Summary!$C$120),"X"," "))</f>
        <v xml:space="preserve"> </v>
      </c>
      <c r="V60" t="str">
        <f t="shared" si="8"/>
        <v xml:space="preserve"> </v>
      </c>
      <c r="W60" t="str">
        <f>IF($C$4="High Inventory",IF(O60&gt;Summary!$C$119,"X"," "),IF(O60&lt;-Summary!$C$119,"X"," "))</f>
        <v xml:space="preserve"> </v>
      </c>
      <c r="X60" t="str">
        <f>IF($C$4="High Inventory",IF(P60&gt;Summary!$C$120,"X"," "),IF(P60&lt;-Summary!$C$120,"X"," "))</f>
        <v xml:space="preserve"> </v>
      </c>
    </row>
    <row r="61" spans="1:24" x14ac:dyDescent="0.2">
      <c r="A61" s="27">
        <v>650</v>
      </c>
      <c r="B61" s="55" t="s">
        <v>27</v>
      </c>
      <c r="C61" s="6">
        <v>0</v>
      </c>
      <c r="D61" s="5">
        <v>0</v>
      </c>
      <c r="E61" s="5">
        <v>0</v>
      </c>
      <c r="F61" s="6">
        <v>0</v>
      </c>
      <c r="G61" s="5">
        <v>0</v>
      </c>
      <c r="H61" s="5">
        <v>0</v>
      </c>
      <c r="I61" s="6">
        <v>0</v>
      </c>
      <c r="J61" s="5">
        <v>0</v>
      </c>
      <c r="K61" s="5">
        <v>0</v>
      </c>
      <c r="L61" s="6">
        <v>0</v>
      </c>
      <c r="M61" s="5">
        <v>0</v>
      </c>
      <c r="N61" s="5">
        <v>0</v>
      </c>
      <c r="O61" s="6">
        <f t="shared" si="6"/>
        <v>0</v>
      </c>
      <c r="P61" s="70">
        <f t="shared" si="7"/>
        <v>0</v>
      </c>
      <c r="Q61" s="74"/>
      <c r="R61" s="66" t="str">
        <f>IF($C$4="High Inventory",IF(AND(O61&gt;=Summary!$C$119,P61&gt;=Summary!$C$120),"X"," "),IF(AND(O61&lt;=-Summary!$C$119,P61&lt;=-Summary!$C$120),"X"," "))</f>
        <v xml:space="preserve"> </v>
      </c>
      <c r="S61" s="81" t="str">
        <f>IF($C$5="System-Wide"," ",IF($C$4="High Inventory",IF(AND(L61-I61&gt;=Summary!$C$123,N61-K61&gt;Summary!$C$123,N61&gt;0),"X"," "),IF(AND(I61-L61&gt;=Summary!$C$123,K61-N61&gt;Summary!$C$123,N61&lt;0),"X"," ")))</f>
        <v xml:space="preserve"> </v>
      </c>
      <c r="T61" s="8" t="str">
        <f>IF($C$4="High Inventory",IF(AND($O61&gt;=Summary!$C$119,$P61&gt;=0%),"X"," "),IF(AND($O61&lt;=-Summary!$C$119,$P61&lt;=0%),"X"," "))</f>
        <v xml:space="preserve"> </v>
      </c>
      <c r="U61" s="11" t="str">
        <f>IF($C$4="High Inventory",IF(AND($O61&gt;=0,$P61&gt;=Summary!$C$120),"X"," "),IF(AND($O61&lt;=0,$P61&lt;=-Summary!$C$120),"X"," "))</f>
        <v xml:space="preserve"> </v>
      </c>
      <c r="V61" t="str">
        <f t="shared" si="8"/>
        <v xml:space="preserve"> </v>
      </c>
      <c r="W61" t="str">
        <f>IF($C$4="High Inventory",IF(O61&gt;Summary!$C$119,"X"," "),IF(O61&lt;-Summary!$C$119,"X"," "))</f>
        <v xml:space="preserve"> </v>
      </c>
      <c r="X61" t="str">
        <f>IF($C$4="High Inventory",IF(P61&gt;Summary!$C$120,"X"," "),IF(P61&lt;-Summary!$C$120,"X"," "))</f>
        <v xml:space="preserve"> </v>
      </c>
    </row>
    <row r="62" spans="1:24" x14ac:dyDescent="0.2">
      <c r="A62" s="27">
        <v>779</v>
      </c>
      <c r="B62" s="55" t="s">
        <v>27</v>
      </c>
      <c r="C62" s="6">
        <v>800</v>
      </c>
      <c r="D62" s="5">
        <v>1107</v>
      </c>
      <c r="E62" s="5">
        <v>-307</v>
      </c>
      <c r="F62" s="6">
        <v>800</v>
      </c>
      <c r="G62" s="5">
        <v>315</v>
      </c>
      <c r="H62" s="5">
        <v>485</v>
      </c>
      <c r="I62" s="6">
        <v>800</v>
      </c>
      <c r="J62" s="5">
        <v>2</v>
      </c>
      <c r="K62" s="5">
        <v>798</v>
      </c>
      <c r="L62" s="6">
        <v>800</v>
      </c>
      <c r="M62" s="5">
        <v>475</v>
      </c>
      <c r="N62" s="5">
        <v>325</v>
      </c>
      <c r="O62" s="6">
        <f t="shared" si="6"/>
        <v>976</v>
      </c>
      <c r="P62" s="70">
        <f t="shared" si="7"/>
        <v>0.68491228070175436</v>
      </c>
      <c r="Q62" s="74"/>
      <c r="R62" s="66" t="str">
        <f>IF($C$4="High Inventory",IF(AND(O62&gt;=Summary!$C$119,P62&gt;=Summary!$C$120),"X"," "),IF(AND(O62&lt;=-Summary!$C$119,P62&lt;=-Summary!$C$120),"X"," "))</f>
        <v xml:space="preserve"> </v>
      </c>
      <c r="S62" s="81" t="str">
        <f>IF($C$5="System-Wide"," ",IF($C$4="High Inventory",IF(AND(L62-I62&gt;=Summary!$C$123,N62-K62&gt;Summary!$C$123,N62&gt;0),"X"," "),IF(AND(I62-L62&gt;=Summary!$C$123,K62-N62&gt;Summary!$C$123,N62&lt;0),"X"," ")))</f>
        <v xml:space="preserve"> </v>
      </c>
      <c r="T62" s="8" t="str">
        <f>IF($C$4="High Inventory",IF(AND($O62&gt;=Summary!$C$119,$P62&gt;=0%),"X"," "),IF(AND($O62&lt;=-Summary!$C$119,$P62&lt;=0%),"X"," "))</f>
        <v xml:space="preserve"> </v>
      </c>
      <c r="U62" s="11" t="str">
        <f>IF($C$4="High Inventory",IF(AND($O62&gt;=0,$P62&gt;=Summary!$C$120),"X"," "),IF(AND($O62&lt;=0,$P62&lt;=-Summary!$C$120),"X"," "))</f>
        <v xml:space="preserve"> </v>
      </c>
      <c r="V62" t="str">
        <f t="shared" si="8"/>
        <v xml:space="preserve"> </v>
      </c>
      <c r="W62" t="str">
        <f>IF($C$4="High Inventory",IF(O62&gt;Summary!$C$119,"X"," "),IF(O62&lt;-Summary!$C$119,"X"," "))</f>
        <v xml:space="preserve"> </v>
      </c>
      <c r="X62" t="str">
        <f>IF($C$4="High Inventory",IF(P62&gt;Summary!$C$120,"X"," "),IF(P62&lt;-Summary!$C$120,"X"," "))</f>
        <v xml:space="preserve"> </v>
      </c>
    </row>
    <row r="63" spans="1:24" x14ac:dyDescent="0.2">
      <c r="A63" s="27">
        <v>928</v>
      </c>
      <c r="B63" s="55" t="s">
        <v>27</v>
      </c>
      <c r="C63" s="6">
        <v>0</v>
      </c>
      <c r="D63" s="5">
        <v>178</v>
      </c>
      <c r="E63" s="5">
        <v>-178</v>
      </c>
      <c r="F63" s="6">
        <v>0</v>
      </c>
      <c r="G63" s="5">
        <v>180</v>
      </c>
      <c r="H63" s="5">
        <v>-180</v>
      </c>
      <c r="I63" s="6">
        <v>0</v>
      </c>
      <c r="J63" s="5">
        <v>180</v>
      </c>
      <c r="K63" s="5">
        <v>-180</v>
      </c>
      <c r="L63" s="6">
        <v>0</v>
      </c>
      <c r="M63" s="5">
        <v>179</v>
      </c>
      <c r="N63" s="5">
        <v>-179</v>
      </c>
      <c r="O63" s="6">
        <f t="shared" si="6"/>
        <v>-538</v>
      </c>
      <c r="P63" s="70">
        <f t="shared" si="7"/>
        <v>-0.99814471243042668</v>
      </c>
      <c r="Q63" s="74"/>
      <c r="R63" s="66" t="str">
        <f>IF($C$4="High Inventory",IF(AND(O63&gt;=Summary!$C$119,P63&gt;=Summary!$C$120),"X"," "),IF(AND(O63&lt;=-Summary!$C$119,P63&lt;=-Summary!$C$120),"X"," "))</f>
        <v xml:space="preserve"> </v>
      </c>
      <c r="S63" s="81" t="str">
        <f>IF($C$5="System-Wide"," ",IF($C$4="High Inventory",IF(AND(L63-I63&gt;=Summary!$C$123,N63-K63&gt;Summary!$C$123,N63&gt;0),"X"," "),IF(AND(I63-L63&gt;=Summary!$C$123,K63-N63&gt;Summary!$C$123,N63&lt;0),"X"," ")))</f>
        <v xml:space="preserve"> </v>
      </c>
      <c r="T63" s="8" t="str">
        <f>IF($C$4="High Inventory",IF(AND($O63&gt;=Summary!$C$119,$P63&gt;=0%),"X"," "),IF(AND($O63&lt;=-Summary!$C$119,$P63&lt;=0%),"X"," "))</f>
        <v xml:space="preserve"> </v>
      </c>
      <c r="U63" s="11" t="str">
        <f>IF($C$4="High Inventory",IF(AND($O63&gt;=0,$P63&gt;=Summary!$C$120),"X"," "),IF(AND($O63&lt;=0,$P63&lt;=-Summary!$C$120),"X"," "))</f>
        <v>X</v>
      </c>
      <c r="V63" t="str">
        <f t="shared" si="8"/>
        <v xml:space="preserve"> </v>
      </c>
      <c r="W63" t="str">
        <f>IF($C$4="High Inventory",IF(O63&gt;Summary!$C$119,"X"," "),IF(O63&lt;-Summary!$C$119,"X"," "))</f>
        <v xml:space="preserve"> </v>
      </c>
      <c r="X63" t="str">
        <f>IF($C$4="High Inventory",IF(P63&gt;Summary!$C$120,"X"," "),IF(P63&lt;-Summary!$C$120,"X"," "))</f>
        <v>X</v>
      </c>
    </row>
    <row r="64" spans="1:24" x14ac:dyDescent="0.2">
      <c r="A64" s="27">
        <v>5325</v>
      </c>
      <c r="B64" s="55" t="s">
        <v>27</v>
      </c>
      <c r="C64" s="6">
        <v>182</v>
      </c>
      <c r="D64" s="5">
        <v>324</v>
      </c>
      <c r="E64" s="5">
        <v>-142</v>
      </c>
      <c r="F64" s="6">
        <v>182</v>
      </c>
      <c r="G64" s="5">
        <v>37</v>
      </c>
      <c r="H64" s="5">
        <v>145</v>
      </c>
      <c r="I64" s="6">
        <v>182</v>
      </c>
      <c r="J64" s="5">
        <v>0</v>
      </c>
      <c r="K64" s="5">
        <v>182</v>
      </c>
      <c r="L64" s="6">
        <v>182</v>
      </c>
      <c r="M64" s="5">
        <v>232</v>
      </c>
      <c r="N64" s="5">
        <v>-50</v>
      </c>
      <c r="O64" s="6">
        <f t="shared" si="6"/>
        <v>185</v>
      </c>
      <c r="P64" s="70">
        <f t="shared" si="7"/>
        <v>0.51104972375690605</v>
      </c>
      <c r="Q64" s="74"/>
      <c r="R64" s="66" t="str">
        <f>IF($C$4="High Inventory",IF(AND(O64&gt;=Summary!$C$119,P64&gt;=Summary!$C$120),"X"," "),IF(AND(O64&lt;=-Summary!$C$119,P64&lt;=-Summary!$C$120),"X"," "))</f>
        <v xml:space="preserve"> </v>
      </c>
      <c r="S64" s="81" t="str">
        <f>IF($C$5="System-Wide"," ",IF($C$4="High Inventory",IF(AND(L64-I64&gt;=Summary!$C$123,N64-K64&gt;Summary!$C$123,N64&gt;0),"X"," "),IF(AND(I64-L64&gt;=Summary!$C$123,K64-N64&gt;Summary!$C$123,N64&lt;0),"X"," ")))</f>
        <v xml:space="preserve"> </v>
      </c>
      <c r="T64" s="8" t="str">
        <f>IF($C$4="High Inventory",IF(AND($O64&gt;=Summary!$C$119,$P64&gt;=0%),"X"," "),IF(AND($O64&lt;=-Summary!$C$119,$P64&lt;=0%),"X"," "))</f>
        <v xml:space="preserve"> </v>
      </c>
      <c r="U64" s="11" t="str">
        <f>IF($C$4="High Inventory",IF(AND($O64&gt;=0,$P64&gt;=Summary!$C$120),"X"," "),IF(AND($O64&lt;=0,$P64&lt;=-Summary!$C$120),"X"," "))</f>
        <v xml:space="preserve"> </v>
      </c>
      <c r="V64" t="str">
        <f t="shared" si="8"/>
        <v xml:space="preserve"> </v>
      </c>
      <c r="W64" t="str">
        <f>IF($C$4="High Inventory",IF(O64&gt;Summary!$C$119,"X"," "),IF(O64&lt;-Summary!$C$119,"X"," "))</f>
        <v xml:space="preserve"> </v>
      </c>
      <c r="X64" t="str">
        <f>IF($C$4="High Inventory",IF(P64&gt;Summary!$C$120,"X"," "),IF(P64&lt;-Summary!$C$120,"X"," "))</f>
        <v xml:space="preserve"> </v>
      </c>
    </row>
    <row r="65" spans="1:42" x14ac:dyDescent="0.2">
      <c r="A65" s="27">
        <v>5382</v>
      </c>
      <c r="B65" s="55" t="s">
        <v>27</v>
      </c>
      <c r="C65" s="6">
        <v>0</v>
      </c>
      <c r="D65" s="5">
        <v>0</v>
      </c>
      <c r="E65" s="5">
        <v>0</v>
      </c>
      <c r="F65" s="6">
        <v>100</v>
      </c>
      <c r="G65" s="5">
        <v>1</v>
      </c>
      <c r="H65" s="5">
        <v>99</v>
      </c>
      <c r="I65" s="6">
        <v>100</v>
      </c>
      <c r="J65" s="5">
        <v>0</v>
      </c>
      <c r="K65" s="5">
        <v>100</v>
      </c>
      <c r="L65" s="6">
        <v>100</v>
      </c>
      <c r="M65" s="5">
        <v>131</v>
      </c>
      <c r="N65" s="5">
        <v>-31</v>
      </c>
      <c r="O65" s="6">
        <f t="shared" si="6"/>
        <v>199</v>
      </c>
      <c r="P65" s="70">
        <f t="shared" si="7"/>
        <v>99.5</v>
      </c>
      <c r="Q65" s="74"/>
      <c r="R65" s="66" t="str">
        <f>IF($C$4="High Inventory",IF(AND(O65&gt;=Summary!$C$119,P65&gt;=Summary!$C$120),"X"," "),IF(AND(O65&lt;=-Summary!$C$119,P65&lt;=-Summary!$C$120),"X"," "))</f>
        <v xml:space="preserve"> </v>
      </c>
      <c r="S65" s="81" t="str">
        <f>IF($C$5="System-Wide"," ",IF($C$4="High Inventory",IF(AND(L65-I65&gt;=Summary!$C$123,N65-K65&gt;Summary!$C$123,N65&gt;0),"X"," "),IF(AND(I65-L65&gt;=Summary!$C$123,K65-N65&gt;Summary!$C$123,N65&lt;0),"X"," ")))</f>
        <v xml:space="preserve"> </v>
      </c>
      <c r="T65" s="8" t="str">
        <f>IF($C$4="High Inventory",IF(AND($O65&gt;=Summary!$C$119,$P65&gt;=0%),"X"," "),IF(AND($O65&lt;=-Summary!$C$119,$P65&lt;=0%),"X"," "))</f>
        <v xml:space="preserve"> </v>
      </c>
      <c r="U65" s="11" t="str">
        <f>IF($C$4="High Inventory",IF(AND($O65&gt;=0,$P65&gt;=Summary!$C$120),"X"," "),IF(AND($O65&lt;=0,$P65&lt;=-Summary!$C$120),"X"," "))</f>
        <v xml:space="preserve"> </v>
      </c>
      <c r="V65" t="str">
        <f t="shared" si="8"/>
        <v xml:space="preserve"> </v>
      </c>
      <c r="W65" t="str">
        <f>IF($C$4="High Inventory",IF(O65&gt;Summary!$C$119,"X"," "),IF(O65&lt;-Summary!$C$119,"X"," "))</f>
        <v xml:space="preserve"> </v>
      </c>
      <c r="X65" t="str">
        <f>IF($C$4="High Inventory",IF(P65&gt;Summary!$C$120,"X"," "),IF(P65&lt;-Summary!$C$120,"X"," "))</f>
        <v xml:space="preserve"> </v>
      </c>
    </row>
    <row r="66" spans="1:42" x14ac:dyDescent="0.2">
      <c r="A66" s="27">
        <v>6581</v>
      </c>
      <c r="B66" s="55" t="s">
        <v>27</v>
      </c>
      <c r="C66" s="6">
        <v>0</v>
      </c>
      <c r="D66" s="5">
        <v>1920</v>
      </c>
      <c r="E66" s="5">
        <v>-1920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-1920</v>
      </c>
      <c r="P66" s="70">
        <f t="shared" si="7"/>
        <v>-0.99947943779281623</v>
      </c>
      <c r="Q66" s="74"/>
      <c r="R66" s="66" t="str">
        <f>IF($C$4="High Inventory",IF(AND(O66&gt;=Summary!$C$119,P66&gt;=Summary!$C$120),"X"," "),IF(AND(O66&lt;=-Summary!$C$119,P66&lt;=-Summary!$C$120),"X"," "))</f>
        <v xml:space="preserve"> </v>
      </c>
      <c r="S66" s="81" t="str">
        <f>IF($C$5="System-Wide"," ",IF($C$4="High Inventory",IF(AND(L66-I66&gt;=Summary!$C$123,N66-K66&gt;Summary!$C$123,N66&gt;0),"X"," "),IF(AND(I66-L66&gt;=Summary!$C$123,K66-N66&gt;Summary!$C$123,N66&lt;0),"X"," ")))</f>
        <v xml:space="preserve"> </v>
      </c>
      <c r="T66" s="8" t="str">
        <f>IF($C$4="High Inventory",IF(AND($O66&gt;=Summary!$C$119,$P66&gt;=0%),"X"," "),IF(AND($O66&lt;=-Summary!$C$119,$P66&lt;=0%),"X"," "))</f>
        <v xml:space="preserve"> </v>
      </c>
      <c r="U66" s="11" t="str">
        <f>IF($C$4="High Inventory",IF(AND($O66&gt;=0,$P66&gt;=Summary!$C$120),"X"," "),IF(AND($O66&lt;=0,$P66&lt;=-Summary!$C$120),"X"," "))</f>
        <v>X</v>
      </c>
      <c r="V66" t="str">
        <f t="shared" si="8"/>
        <v xml:space="preserve"> </v>
      </c>
      <c r="W66" t="str">
        <f>IF($C$4="High Inventory",IF(O66&gt;Summary!$C$119,"X"," "),IF(O66&lt;-Summary!$C$119,"X"," "))</f>
        <v xml:space="preserve"> </v>
      </c>
      <c r="X66" t="str">
        <f>IF($C$4="High Inventory",IF(P66&gt;Summary!$C$120,"X"," "),IF(P66&lt;-Summary!$C$120,"X"," "))</f>
        <v>X</v>
      </c>
    </row>
    <row r="67" spans="1:42" x14ac:dyDescent="0.2">
      <c r="A67" s="27">
        <v>7602</v>
      </c>
      <c r="B67" s="55" t="s">
        <v>27</v>
      </c>
      <c r="C67" s="6">
        <v>3000</v>
      </c>
      <c r="D67" s="5">
        <v>15467</v>
      </c>
      <c r="E67" s="5">
        <v>-12467</v>
      </c>
      <c r="F67" s="6">
        <v>3000</v>
      </c>
      <c r="G67" s="5">
        <v>18644</v>
      </c>
      <c r="H67" s="5">
        <v>-15644</v>
      </c>
      <c r="I67" s="6">
        <v>3000</v>
      </c>
      <c r="J67" s="5">
        <v>2728</v>
      </c>
      <c r="K67" s="5">
        <v>272</v>
      </c>
      <c r="L67" s="6">
        <v>3000</v>
      </c>
      <c r="M67" s="5">
        <v>2691</v>
      </c>
      <c r="N67" s="5">
        <v>309</v>
      </c>
      <c r="O67" s="6">
        <f t="shared" si="6"/>
        <v>-27839</v>
      </c>
      <c r="P67" s="70">
        <f t="shared" si="7"/>
        <v>-0.75567318132464711</v>
      </c>
      <c r="Q67" s="74"/>
      <c r="R67" s="66" t="str">
        <f>IF($C$4="High Inventory",IF(AND(O67&gt;=Summary!$C$119,P67&gt;=Summary!$C$120),"X"," "),IF(AND(O67&lt;=-Summary!$C$119,P67&lt;=-Summary!$C$120),"X"," "))</f>
        <v>X</v>
      </c>
      <c r="S67" s="81" t="str">
        <f>IF($C$5="System-Wide"," ",IF($C$4="High Inventory",IF(AND(L67-I67&gt;=Summary!$C$123,N67-K67&gt;Summary!$C$123,N67&gt;0),"X"," "),IF(AND(I67-L67&gt;=Summary!$C$123,K67-N67&gt;Summary!$C$123,N67&lt;0),"X"," ")))</f>
        <v xml:space="preserve"> </v>
      </c>
      <c r="T67" s="8" t="str">
        <f>IF($C$4="High Inventory",IF(AND($O67&gt;=Summary!$C$119,$P67&gt;=0%),"X"," "),IF(AND($O67&lt;=-Summary!$C$119,$P67&lt;=0%),"X"," "))</f>
        <v>X</v>
      </c>
      <c r="U67" s="11" t="str">
        <f>IF($C$4="High Inventory",IF(AND($O67&gt;=0,$P67&gt;=Summary!$C$120),"X"," "),IF(AND($O67&lt;=0,$P67&lt;=-Summary!$C$120),"X"," "))</f>
        <v>X</v>
      </c>
      <c r="V67" t="str">
        <f t="shared" si="8"/>
        <v xml:space="preserve"> </v>
      </c>
      <c r="W67" t="str">
        <f>IF($C$4="High Inventory",IF(O67&gt;Summary!$C$119,"X"," "),IF(O67&lt;-Summary!$C$119,"X"," "))</f>
        <v>X</v>
      </c>
      <c r="X67" t="str">
        <f>IF($C$4="High Inventory",IF(P67&gt;Summary!$C$120,"X"," "),IF(P67&lt;-Summary!$C$120,"X"," "))</f>
        <v>X</v>
      </c>
    </row>
    <row r="68" spans="1:42" x14ac:dyDescent="0.2">
      <c r="A68" s="27">
        <v>7604</v>
      </c>
      <c r="B68" s="55" t="s">
        <v>27</v>
      </c>
      <c r="C68" s="6">
        <v>11877</v>
      </c>
      <c r="D68" s="5">
        <v>32398</v>
      </c>
      <c r="E68" s="5">
        <v>-20521</v>
      </c>
      <c r="F68" s="6">
        <v>13606</v>
      </c>
      <c r="G68" s="5">
        <v>30638</v>
      </c>
      <c r="H68" s="5">
        <v>-17032</v>
      </c>
      <c r="I68" s="6">
        <v>12639</v>
      </c>
      <c r="J68" s="5">
        <v>28355</v>
      </c>
      <c r="K68" s="5">
        <v>-15716</v>
      </c>
      <c r="L68" s="6">
        <v>12418</v>
      </c>
      <c r="M68" s="5">
        <v>29218</v>
      </c>
      <c r="N68" s="5">
        <v>-16800</v>
      </c>
      <c r="O68" s="6">
        <f t="shared" ref="O68:O75" si="9">K68+H68+E68</f>
        <v>-53269</v>
      </c>
      <c r="P68" s="70">
        <f t="shared" ref="P68:P75" si="10">O68/(J68+G68+D68+1)</f>
        <v>-0.58286283263305327</v>
      </c>
      <c r="Q68" s="74"/>
      <c r="R68" s="66" t="str">
        <f>IF($C$4="High Inventory",IF(AND(O68&gt;=Summary!$C$119,P68&gt;=Summary!$C$120),"X"," "),IF(AND(O68&lt;=-Summary!$C$119,P68&lt;=-Summary!$C$120),"X"," "))</f>
        <v>X</v>
      </c>
      <c r="S68" s="81" t="str">
        <f>IF($C$5="System-Wide"," ",IF($C$4="High Inventory",IF(AND(L68-I68&gt;=Summary!$C$123,N68-K68&gt;Summary!$C$123,N68&gt;0),"X"," "),IF(AND(I68-L68&gt;=Summary!$C$123,K68-N68&gt;Summary!$C$123,N68&lt;0),"X"," ")))</f>
        <v xml:space="preserve"> </v>
      </c>
      <c r="T68" s="8" t="str">
        <f>IF($C$4="High Inventory",IF(AND($O68&gt;=Summary!$C$119,$P68&gt;=0%),"X"," "),IF(AND($O68&lt;=-Summary!$C$119,$P68&lt;=0%),"X"," "))</f>
        <v>X</v>
      </c>
      <c r="U68" s="11" t="str">
        <f>IF($C$4="High Inventory",IF(AND($O68&gt;=0,$P68&gt;=Summary!$C$120),"X"," "),IF(AND($O68&lt;=0,$P68&lt;=-Summary!$C$120),"X"," "))</f>
        <v>X</v>
      </c>
      <c r="V68" t="str">
        <f t="shared" ref="V68:V75" si="11">IF(S68 = "X",L68-I68," ")</f>
        <v xml:space="preserve"> </v>
      </c>
      <c r="W68" t="str">
        <f>IF($C$4="High Inventory",IF(O68&gt;Summary!$C$119,"X"," "),IF(O68&lt;-Summary!$C$119,"X"," "))</f>
        <v>X</v>
      </c>
      <c r="X68" t="str">
        <f>IF($C$4="High Inventory",IF(P68&gt;Summary!$C$120,"X"," "),IF(P68&lt;-Summary!$C$120,"X"," "))</f>
        <v>X</v>
      </c>
    </row>
    <row r="69" spans="1:42" x14ac:dyDescent="0.2">
      <c r="A69" s="27">
        <v>13636</v>
      </c>
      <c r="B69" s="55" t="s">
        <v>27</v>
      </c>
      <c r="C69" s="6">
        <v>0</v>
      </c>
      <c r="D69" s="5">
        <v>68</v>
      </c>
      <c r="E69" s="5">
        <v>-68</v>
      </c>
      <c r="F69" s="6">
        <v>0</v>
      </c>
      <c r="G69" s="5">
        <v>157</v>
      </c>
      <c r="H69" s="5">
        <v>-157</v>
      </c>
      <c r="I69" s="6">
        <v>0</v>
      </c>
      <c r="J69" s="5">
        <v>146</v>
      </c>
      <c r="K69" s="5">
        <v>-146</v>
      </c>
      <c r="L69" s="6">
        <v>0</v>
      </c>
      <c r="M69" s="5">
        <v>51</v>
      </c>
      <c r="N69" s="5">
        <v>-51</v>
      </c>
      <c r="O69" s="6">
        <f t="shared" si="9"/>
        <v>-371</v>
      </c>
      <c r="P69" s="70">
        <f t="shared" si="10"/>
        <v>-0.99731182795698925</v>
      </c>
      <c r="Q69" s="74"/>
      <c r="R69" s="66" t="str">
        <f>IF($C$4="High Inventory",IF(AND(O69&gt;=Summary!$C$119,P69&gt;=Summary!$C$120),"X"," "),IF(AND(O69&lt;=-Summary!$C$119,P69&lt;=-Summary!$C$120),"X"," "))</f>
        <v xml:space="preserve"> </v>
      </c>
      <c r="S69" s="81" t="str">
        <f>IF($C$5="System-Wide"," ",IF($C$4="High Inventory",IF(AND(L69-I69&gt;=Summary!$C$123,N69-K69&gt;Summary!$C$123,N69&gt;0),"X"," "),IF(AND(I69-L69&gt;=Summary!$C$123,K69-N69&gt;Summary!$C$123,N69&lt;0),"X"," ")))</f>
        <v xml:space="preserve"> </v>
      </c>
      <c r="T69" s="8" t="str">
        <f>IF($C$4="High Inventory",IF(AND($O69&gt;=Summary!$C$119,$P69&gt;=0%),"X"," "),IF(AND($O69&lt;=-Summary!$C$119,$P69&lt;=0%),"X"," "))</f>
        <v xml:space="preserve"> </v>
      </c>
      <c r="U69" s="11" t="str">
        <f>IF($C$4="High Inventory",IF(AND($O69&gt;=0,$P69&gt;=Summary!$C$120),"X"," "),IF(AND($O69&lt;=0,$P69&lt;=-Summary!$C$120),"X"," "))</f>
        <v>X</v>
      </c>
      <c r="V69" t="str">
        <f t="shared" si="11"/>
        <v xml:space="preserve"> </v>
      </c>
      <c r="W69" t="str">
        <f>IF($C$4="High Inventory",IF(O69&gt;Summary!$C$119,"X"," "),IF(O69&lt;-Summary!$C$119,"X"," "))</f>
        <v xml:space="preserve"> </v>
      </c>
      <c r="X69" t="str">
        <f>IF($C$4="High Inventory",IF(P69&gt;Summary!$C$120,"X"," "),IF(P69&lt;-Summary!$C$120,"X"," "))</f>
        <v>X</v>
      </c>
    </row>
    <row r="70" spans="1:42" x14ac:dyDescent="0.2">
      <c r="A70" s="27">
        <v>18586</v>
      </c>
      <c r="B70" s="55" t="s">
        <v>27</v>
      </c>
      <c r="C70" s="6">
        <v>1</v>
      </c>
      <c r="D70" s="5">
        <v>0</v>
      </c>
      <c r="E70" s="5">
        <v>1</v>
      </c>
      <c r="F70" s="6">
        <v>1</v>
      </c>
      <c r="G70" s="5">
        <v>0</v>
      </c>
      <c r="H70" s="5">
        <v>1</v>
      </c>
      <c r="I70" s="6">
        <v>1</v>
      </c>
      <c r="J70" s="5">
        <v>0</v>
      </c>
      <c r="K70" s="5">
        <v>1</v>
      </c>
      <c r="L70" s="6">
        <v>1</v>
      </c>
      <c r="M70" s="5">
        <v>0</v>
      </c>
      <c r="N70" s="5">
        <v>1</v>
      </c>
      <c r="O70" s="6">
        <f t="shared" si="9"/>
        <v>3</v>
      </c>
      <c r="P70" s="70">
        <f t="shared" si="10"/>
        <v>3</v>
      </c>
      <c r="Q70" s="74"/>
      <c r="R70" s="66" t="str">
        <f>IF($C$4="High Inventory",IF(AND(O70&gt;=Summary!$C$119,P70&gt;=Summary!$C$120),"X"," "),IF(AND(O70&lt;=-Summary!$C$119,P70&lt;=-Summary!$C$120),"X"," "))</f>
        <v xml:space="preserve"> </v>
      </c>
      <c r="S70" s="81" t="str">
        <f>IF($C$5="System-Wide"," ",IF($C$4="High Inventory",IF(AND(L70-I70&gt;=Summary!$C$123,N70-K70&gt;Summary!$C$123,N70&gt;0),"X"," "),IF(AND(I70-L70&gt;=Summary!$C$123,K70-N70&gt;Summary!$C$123,N70&lt;0),"X"," ")))</f>
        <v xml:space="preserve"> </v>
      </c>
      <c r="T70" s="8" t="str">
        <f>IF($C$4="High Inventory",IF(AND($O70&gt;=Summary!$C$119,$P70&gt;=0%),"X"," "),IF(AND($O70&lt;=-Summary!$C$119,$P70&lt;=0%),"X"," "))</f>
        <v xml:space="preserve"> </v>
      </c>
      <c r="U70" s="11" t="str">
        <f>IF($C$4="High Inventory",IF(AND($O70&gt;=0,$P70&gt;=Summary!$C$120),"X"," "),IF(AND($O70&lt;=0,$P70&lt;=-Summary!$C$120),"X"," "))</f>
        <v xml:space="preserve"> </v>
      </c>
      <c r="V70" t="str">
        <f t="shared" si="11"/>
        <v xml:space="preserve"> </v>
      </c>
      <c r="W70" t="str">
        <f>IF($C$4="High Inventory",IF(O70&gt;Summary!$C$119,"X"," "),IF(O70&lt;-Summary!$C$119,"X"," "))</f>
        <v xml:space="preserve"> </v>
      </c>
      <c r="X70" t="str">
        <f>IF($C$4="High Inventory",IF(P70&gt;Summary!$C$120,"X"," "),IF(P70&lt;-Summary!$C$120,"X"," "))</f>
        <v xml:space="preserve"> </v>
      </c>
    </row>
    <row r="71" spans="1:42" x14ac:dyDescent="0.2">
      <c r="A71" s="27">
        <v>30511</v>
      </c>
      <c r="B71" s="55" t="s">
        <v>27</v>
      </c>
      <c r="C71" s="6">
        <v>500</v>
      </c>
      <c r="D71" s="5">
        <v>232</v>
      </c>
      <c r="E71" s="5">
        <v>268</v>
      </c>
      <c r="F71" s="6">
        <v>500</v>
      </c>
      <c r="G71" s="5">
        <v>493</v>
      </c>
      <c r="H71" s="5">
        <v>7</v>
      </c>
      <c r="I71" s="6">
        <v>500</v>
      </c>
      <c r="J71" s="5">
        <v>491</v>
      </c>
      <c r="K71" s="5">
        <v>9</v>
      </c>
      <c r="L71" s="6">
        <v>500</v>
      </c>
      <c r="M71" s="5">
        <v>458</v>
      </c>
      <c r="N71" s="5">
        <v>42</v>
      </c>
      <c r="O71" s="6">
        <f t="shared" si="9"/>
        <v>284</v>
      </c>
      <c r="P71" s="70">
        <f t="shared" si="10"/>
        <v>0.23336072308956451</v>
      </c>
      <c r="Q71" s="74"/>
      <c r="R71" s="66" t="str">
        <f>IF($C$4="High Inventory",IF(AND(O71&gt;=Summary!$C$119,P71&gt;=Summary!$C$120),"X"," "),IF(AND(O71&lt;=-Summary!$C$119,P71&lt;=-Summary!$C$120),"X"," "))</f>
        <v xml:space="preserve"> </v>
      </c>
      <c r="S71" s="81" t="str">
        <f>IF($C$5="System-Wide"," ",IF($C$4="High Inventory",IF(AND(L71-I71&gt;=Summary!$C$123,N71-K71&gt;Summary!$C$123,N71&gt;0),"X"," "),IF(AND(I71-L71&gt;=Summary!$C$123,K71-N71&gt;Summary!$C$123,N71&lt;0),"X"," ")))</f>
        <v xml:space="preserve"> </v>
      </c>
      <c r="T71" s="8" t="str">
        <f>IF($C$4="High Inventory",IF(AND($O71&gt;=Summary!$C$119,$P71&gt;=0%),"X"," "),IF(AND($O71&lt;=-Summary!$C$119,$P71&lt;=0%),"X"," "))</f>
        <v xml:space="preserve"> </v>
      </c>
      <c r="U71" s="11" t="str">
        <f>IF($C$4="High Inventory",IF(AND($O71&gt;=0,$P71&gt;=Summary!$C$120),"X"," "),IF(AND($O71&lt;=0,$P71&lt;=-Summary!$C$120),"X"," "))</f>
        <v xml:space="preserve"> </v>
      </c>
      <c r="V71" t="str">
        <f t="shared" si="11"/>
        <v xml:space="preserve"> </v>
      </c>
      <c r="W71" t="str">
        <f>IF($C$4="High Inventory",IF(O71&gt;Summary!$C$119,"X"," "),IF(O71&lt;-Summary!$C$119,"X"," "))</f>
        <v xml:space="preserve"> </v>
      </c>
      <c r="X71" t="str">
        <f>IF($C$4="High Inventory",IF(P71&gt;Summary!$C$120,"X"," "),IF(P71&lt;-Summary!$C$120,"X"," "))</f>
        <v xml:space="preserve"> </v>
      </c>
    </row>
    <row r="72" spans="1:42" x14ac:dyDescent="0.2">
      <c r="A72" s="27">
        <v>35475</v>
      </c>
      <c r="B72" s="55" t="s">
        <v>27</v>
      </c>
      <c r="C72" s="6">
        <v>5000</v>
      </c>
      <c r="D72" s="5">
        <v>12312</v>
      </c>
      <c r="E72" s="5">
        <v>-7312</v>
      </c>
      <c r="F72" s="6">
        <v>6667</v>
      </c>
      <c r="G72" s="5">
        <v>9964</v>
      </c>
      <c r="H72" s="5">
        <v>-3297</v>
      </c>
      <c r="I72" s="6">
        <v>6667</v>
      </c>
      <c r="J72" s="5">
        <v>9958</v>
      </c>
      <c r="K72" s="5">
        <v>-3291</v>
      </c>
      <c r="L72" s="6">
        <v>6669</v>
      </c>
      <c r="M72" s="5">
        <v>10693</v>
      </c>
      <c r="N72" s="5">
        <v>-4024</v>
      </c>
      <c r="O72" s="6">
        <f t="shared" si="9"/>
        <v>-13900</v>
      </c>
      <c r="P72" s="70">
        <f t="shared" si="10"/>
        <v>-0.43120831394447029</v>
      </c>
      <c r="Q72" s="74"/>
      <c r="R72" s="66" t="str">
        <f>IF($C$4="High Inventory",IF(AND(O72&gt;=Summary!$C$119,P72&gt;=Summary!$C$120),"X"," "),IF(AND(O72&lt;=-Summary!$C$119,P72&lt;=-Summary!$C$120),"X"," "))</f>
        <v>X</v>
      </c>
      <c r="S72" s="81" t="str">
        <f>IF($C$5="System-Wide"," ",IF($C$4="High Inventory",IF(AND(L72-I72&gt;=Summary!$C$123,N72-K72&gt;Summary!$C$123,N72&gt;0),"X"," "),IF(AND(I72-L72&gt;=Summary!$C$123,K72-N72&gt;Summary!$C$123,N72&lt;0),"X"," ")))</f>
        <v xml:space="preserve"> </v>
      </c>
      <c r="T72" s="8" t="str">
        <f>IF($C$4="High Inventory",IF(AND($O72&gt;=Summary!$C$119,$P72&gt;=0%),"X"," "),IF(AND($O72&lt;=-Summary!$C$119,$P72&lt;=0%),"X"," "))</f>
        <v>X</v>
      </c>
      <c r="U72" s="11" t="str">
        <f>IF($C$4="High Inventory",IF(AND($O72&gt;=0,$P72&gt;=Summary!$C$120),"X"," "),IF(AND($O72&lt;=0,$P72&lt;=-Summary!$C$120),"X"," "))</f>
        <v>X</v>
      </c>
      <c r="V72" t="str">
        <f t="shared" si="11"/>
        <v xml:space="preserve"> </v>
      </c>
      <c r="W72" t="str">
        <f>IF($C$4="High Inventory",IF(O72&gt;Summary!$C$119,"X"," "),IF(O72&lt;-Summary!$C$119,"X"," "))</f>
        <v>X</v>
      </c>
      <c r="X72" t="str">
        <f>IF($C$4="High Inventory",IF(P72&gt;Summary!$C$120,"X"," "),IF(P72&lt;-Summary!$C$120,"X"," "))</f>
        <v>X</v>
      </c>
    </row>
    <row r="73" spans="1:42" x14ac:dyDescent="0.2">
      <c r="A73" s="27">
        <v>36570</v>
      </c>
      <c r="B73" s="55" t="s">
        <v>27</v>
      </c>
      <c r="C73" s="6">
        <v>304</v>
      </c>
      <c r="D73" s="5">
        <v>153</v>
      </c>
      <c r="E73" s="5">
        <v>151</v>
      </c>
      <c r="F73" s="6">
        <v>304</v>
      </c>
      <c r="G73" s="5">
        <v>172</v>
      </c>
      <c r="H73" s="5">
        <v>132</v>
      </c>
      <c r="I73" s="6">
        <v>304</v>
      </c>
      <c r="J73" s="5">
        <v>126</v>
      </c>
      <c r="K73" s="5">
        <v>178</v>
      </c>
      <c r="L73" s="6">
        <v>304</v>
      </c>
      <c r="M73" s="5">
        <v>130</v>
      </c>
      <c r="N73" s="5">
        <v>174</v>
      </c>
      <c r="O73" s="6">
        <f t="shared" si="9"/>
        <v>461</v>
      </c>
      <c r="P73" s="70">
        <f t="shared" si="10"/>
        <v>1.0199115044247788</v>
      </c>
      <c r="Q73" s="74"/>
      <c r="R73" s="66" t="str">
        <f>IF($C$4="High Inventory",IF(AND(O73&gt;=Summary!$C$119,P73&gt;=Summary!$C$120),"X"," "),IF(AND(O73&lt;=-Summary!$C$119,P73&lt;=-Summary!$C$120),"X"," "))</f>
        <v xml:space="preserve"> </v>
      </c>
      <c r="S73" s="81" t="str">
        <f>IF($C$5="System-Wide"," ",IF($C$4="High Inventory",IF(AND(L73-I73&gt;=Summary!$C$123,N73-K73&gt;Summary!$C$123,N73&gt;0),"X"," "),IF(AND(I73-L73&gt;=Summary!$C$123,K73-N73&gt;Summary!$C$123,N73&lt;0),"X"," ")))</f>
        <v xml:space="preserve"> </v>
      </c>
      <c r="T73" s="8" t="str">
        <f>IF($C$4="High Inventory",IF(AND($O73&gt;=Summary!$C$119,$P73&gt;=0%),"X"," "),IF(AND($O73&lt;=-Summary!$C$119,$P73&lt;=0%),"X"," "))</f>
        <v xml:space="preserve"> </v>
      </c>
      <c r="U73" s="11" t="str">
        <f>IF($C$4="High Inventory",IF(AND($O73&gt;=0,$P73&gt;=Summary!$C$120),"X"," "),IF(AND($O73&lt;=0,$P73&lt;=-Summary!$C$120),"X"," "))</f>
        <v xml:space="preserve"> </v>
      </c>
      <c r="V73" t="str">
        <f t="shared" si="11"/>
        <v xml:space="preserve"> </v>
      </c>
      <c r="W73" t="str">
        <f>IF($C$4="High Inventory",IF(O73&gt;Summary!$C$119,"X"," "),IF(O73&lt;-Summary!$C$119,"X"," "))</f>
        <v xml:space="preserve"> </v>
      </c>
      <c r="X73" t="str">
        <f>IF($C$4="High Inventory",IF(P73&gt;Summary!$C$120,"X"," "),IF(P73&lt;-Summary!$C$120,"X"," "))</f>
        <v xml:space="preserve"> </v>
      </c>
    </row>
    <row r="74" spans="1:42" x14ac:dyDescent="0.2">
      <c r="A74" s="27"/>
      <c r="B74" s="55"/>
      <c r="C74" s="6"/>
      <c r="D74" s="5"/>
      <c r="E74" s="5"/>
      <c r="F74" s="6"/>
      <c r="G74" s="5"/>
      <c r="H74" s="5"/>
      <c r="I74" s="6"/>
      <c r="J74" s="5"/>
      <c r="K74" s="5"/>
      <c r="L74" s="6"/>
      <c r="M74" s="5"/>
      <c r="N74" s="5"/>
      <c r="O74" s="6">
        <f t="shared" si="9"/>
        <v>0</v>
      </c>
      <c r="P74" s="70">
        <f t="shared" si="10"/>
        <v>0</v>
      </c>
      <c r="Q74" s="74"/>
      <c r="R74" s="66" t="str">
        <f>IF($C$4="High Inventory",IF(AND(O74&gt;=Summary!$C$119,P74&gt;=Summary!$C$120),"X"," "),IF(AND(O74&lt;=-Summary!$C$119,P74&lt;=-Summary!$C$120),"X"," "))</f>
        <v xml:space="preserve"> </v>
      </c>
      <c r="S74" s="81" t="str">
        <f>IF($C$5="System-Wide"," ",IF($C$4="High Inventory",IF(AND(L74-I74&gt;=Summary!$C$123,N74-K74&gt;Summary!$C$123,N74&gt;0),"X"," "),IF(AND(I74-L74&gt;=Summary!$C$123,K74-N74&gt;Summary!$C$123,N74&lt;0),"X"," ")))</f>
        <v xml:space="preserve"> </v>
      </c>
      <c r="T74" s="8" t="str">
        <f>IF($C$4="High Inventory",IF(AND($O74&gt;=Summary!$C$119,$P74&gt;=0%),"X"," "),IF(AND($O74&lt;=-Summary!$C$119,$P74&lt;=0%),"X"," "))</f>
        <v xml:space="preserve"> </v>
      </c>
      <c r="U74" s="11" t="str">
        <f>IF($C$4="High Inventory",IF(AND($O74&gt;=0,$P74&gt;=Summary!$C$120),"X"," "),IF(AND($O74&lt;=0,$P74&lt;=-Summary!$C$120),"X"," "))</f>
        <v xml:space="preserve"> </v>
      </c>
      <c r="V74" t="str">
        <f t="shared" si="11"/>
        <v xml:space="preserve"> </v>
      </c>
      <c r="W74" t="str">
        <f>IF($C$4="High Inventory",IF(O74&gt;Summary!$C$119,"X"," "),IF(O74&lt;-Summary!$C$119,"X"," "))</f>
        <v xml:space="preserve"> </v>
      </c>
      <c r="X74" t="str">
        <f>IF($C$4="High Inventory",IF(P74&gt;Summary!$C$120,"X"," "),IF(P74&lt;-Summary!$C$120,"X"," "))</f>
        <v xml:space="preserve"> </v>
      </c>
    </row>
    <row r="75" spans="1:42" x14ac:dyDescent="0.2">
      <c r="A75" s="27"/>
      <c r="B75" s="55"/>
      <c r="C75" s="6"/>
      <c r="D75" s="5"/>
      <c r="E75" s="5"/>
      <c r="F75" s="6"/>
      <c r="G75" s="5"/>
      <c r="H75" s="5"/>
      <c r="I75" s="6"/>
      <c r="J75" s="5"/>
      <c r="K75" s="5"/>
      <c r="L75" s="6"/>
      <c r="M75" s="5"/>
      <c r="N75" s="5"/>
      <c r="O75" s="6">
        <f t="shared" si="9"/>
        <v>0</v>
      </c>
      <c r="P75" s="70">
        <f t="shared" si="10"/>
        <v>0</v>
      </c>
      <c r="Q75" s="74"/>
      <c r="R75" s="66" t="str">
        <f>IF($C$4="High Inventory",IF(AND(O75&gt;=Summary!$C$119,P75&gt;=Summary!$C$120),"X"," "),IF(AND(O75&lt;=-Summary!$C$119,P75&lt;=-Summary!$C$120),"X"," "))</f>
        <v xml:space="preserve"> </v>
      </c>
      <c r="S75" s="81" t="str">
        <f>IF($C$5="System-Wide"," ",IF($C$4="High Inventory",IF(AND(L75-I75&gt;=Summary!$C$123,N75-K75&gt;Summary!$C$123,N75&gt;0),"X"," "),IF(AND(I75-L75&gt;=Summary!$C$123,K75-N75&gt;Summary!$C$123,N75&lt;0),"X"," ")))</f>
        <v xml:space="preserve"> </v>
      </c>
      <c r="T75" s="8" t="str">
        <f>IF($C$4="High Inventory",IF(AND($O75&gt;=Summary!$C$119,$P75&gt;=0%),"X"," "),IF(AND($O75&lt;=-Summary!$C$119,$P75&lt;=0%),"X"," "))</f>
        <v xml:space="preserve"> </v>
      </c>
      <c r="U75" s="11" t="str">
        <f>IF($C$4="High Inventory",IF(AND($O75&gt;=0,$P75&gt;=Summary!$C$120),"X"," "),IF(AND($O75&lt;=0,$P75&lt;=-Summary!$C$120),"X"," "))</f>
        <v xml:space="preserve"> </v>
      </c>
      <c r="V75" t="str">
        <f t="shared" si="11"/>
        <v xml:space="preserve"> </v>
      </c>
      <c r="W75" t="str">
        <f>IF($C$4="High Inventory",IF(O75&gt;Summary!$C$119,"X"," "),IF(O75&lt;-Summary!$C$119,"X"," "))</f>
        <v xml:space="preserve"> </v>
      </c>
      <c r="X75" t="str">
        <f>IF($C$4="High Inventory",IF(P75&gt;Summary!$C$120,"X"," "),IF(P75&lt;-Summary!$C$120,"X"," "))</f>
        <v xml:space="preserve"> </v>
      </c>
    </row>
    <row r="76" spans="1:42" ht="13.5" thickBot="1" x14ac:dyDescent="0.25">
      <c r="A76" s="27"/>
      <c r="B76" s="55"/>
      <c r="C76" s="6"/>
      <c r="D76" s="5"/>
      <c r="E76" s="5"/>
      <c r="F76" s="6"/>
      <c r="G76" s="5"/>
      <c r="H76" s="5"/>
      <c r="I76" s="6"/>
      <c r="J76" s="5"/>
      <c r="K76" s="5"/>
      <c r="L76" s="6"/>
      <c r="M76" s="5"/>
      <c r="N76" s="5"/>
      <c r="O76" s="6">
        <f t="shared" si="6"/>
        <v>0</v>
      </c>
      <c r="P76" s="70">
        <f t="shared" si="7"/>
        <v>0</v>
      </c>
      <c r="Q76" s="87"/>
      <c r="R76" s="88" t="str">
        <f>IF($C$4="High Inventory",IF(AND(O76&gt;=Summary!$C$119,P76&gt;=Summary!$C$120),"X"," "),IF(AND(O76&lt;=-Summary!$C$119,P76&lt;=-Summary!$C$120),"X"," "))</f>
        <v xml:space="preserve"> </v>
      </c>
      <c r="S76" s="81" t="str">
        <f>IF($C$5="System-Wide"," ",IF($C$4="High Inventory",IF(AND(L76-I76&gt;=Summary!$C$123,N76-K76&gt;Summary!$C$123,N76&gt;0),"X"," "),IF(AND(I76-L76&gt;=Summary!$C$123,K76-N76&gt;Summary!$C$123,N76&lt;0),"X"," ")))</f>
        <v xml:space="preserve"> </v>
      </c>
      <c r="T76" s="90" t="str">
        <f>IF($C$4="High Inventory",IF(AND($O76&gt;=Summary!$C$119,$P76&gt;=0%),"X"," "),IF(AND($O76&lt;=-Summary!$C$119,$P76&lt;=0%),"X"," "))</f>
        <v xml:space="preserve"> </v>
      </c>
      <c r="U76" s="13" t="str">
        <f>IF($C$4="High Inventory",IF(AND($O76&gt;=0,$P76&gt;=Summary!$C$120),"X"," "),IF(AND($O76&lt;=0,$P76&lt;=-Summary!$C$120),"X"," "))</f>
        <v xml:space="preserve"> </v>
      </c>
      <c r="V76" t="str">
        <f t="shared" si="8"/>
        <v xml:space="preserve"> </v>
      </c>
    </row>
    <row r="77" spans="1:42" s="3" customFormat="1" x14ac:dyDescent="0.2">
      <c r="A77" s="2" t="s">
        <v>28</v>
      </c>
      <c r="B77" s="2"/>
      <c r="E77" s="3">
        <f>SUM(E10:E76)</f>
        <v>-211937</v>
      </c>
      <c r="H77" s="3">
        <f>SUM(H10:H76)</f>
        <v>-47389</v>
      </c>
      <c r="K77" s="3">
        <f>SUM(K10:K76)</f>
        <v>55241</v>
      </c>
      <c r="M77" s="3">
        <f>SUM(M10:M76)</f>
        <v>2926200</v>
      </c>
      <c r="N77" s="3">
        <f>SUM(N10:N76)</f>
        <v>-175456</v>
      </c>
      <c r="P77" s="12"/>
      <c r="Q77" s="2">
        <f>COUNTIF(Q10:Q76,"X")</f>
        <v>1</v>
      </c>
      <c r="R77" s="2">
        <f>COUNTIF(R10:R76,"X")</f>
        <v>7</v>
      </c>
      <c r="S77" s="2">
        <f>COUNTIF(S10:S76,"X")</f>
        <v>3</v>
      </c>
      <c r="T77" s="2">
        <f>COUNTIF(T10:T76,"X")</f>
        <v>12</v>
      </c>
      <c r="U77" s="2">
        <f>COUNTIF(U10:U76,"X")</f>
        <v>15</v>
      </c>
      <c r="V77">
        <f>SUM(V$46:V$64)+SUM(V$26:V$42)+SUM(V$10:V$25)</f>
        <v>-274449</v>
      </c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</row>
    <row r="78" spans="1:42" x14ac:dyDescent="0.2">
      <c r="M78" s="85" t="s">
        <v>51</v>
      </c>
      <c r="N78" s="86">
        <f>N77/M77</f>
        <v>-5.9960358143667555E-2</v>
      </c>
      <c r="P78" s="1"/>
      <c r="R78" s="2" t="str">
        <f>IF(AND(O78&gt;=5000,P78&gt;=10%),"X"," ")</f>
        <v xml:space="preserve"> </v>
      </c>
      <c r="S78" s="2" t="str">
        <f>IF(AND(L78-I78&gt;=5000,N78-K78&gt;5000,N78&gt;0),"X"," ")</f>
        <v xml:space="preserve"> </v>
      </c>
    </row>
    <row r="79" spans="1:42" x14ac:dyDescent="0.2">
      <c r="P79" s="1"/>
      <c r="R79" s="2" t="str">
        <f>IF(AND(O79&gt;=5000,P79&gt;=10%),"X"," ")</f>
        <v xml:space="preserve"> </v>
      </c>
      <c r="S79" s="2" t="str">
        <f>IF(AND(L79-I79&gt;=5000,N79-K79&gt;5000,N79&gt;0),"X"," ")</f>
        <v xml:space="preserve"> </v>
      </c>
    </row>
  </sheetData>
  <phoneticPr fontId="0" type="noConversion"/>
  <pageMargins left="0.25" right="0.25" top="0.47" bottom="0.54" header="0.46" footer="0.2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6" sqref="B6"/>
    </sheetView>
  </sheetViews>
  <sheetFormatPr defaultColWidth="7.85546875" defaultRowHeight="12.75" x14ac:dyDescent="0.2"/>
  <cols>
    <col min="1" max="1" width="9.42578125" style="28" customWidth="1"/>
    <col min="2" max="2" width="10" style="28" customWidth="1"/>
    <col min="3" max="19" width="10" customWidth="1"/>
    <col min="20" max="22" width="10" hidden="1" customWidth="1"/>
    <col min="23" max="42" width="7.85546875" style="14" customWidth="1"/>
    <col min="43" max="252" width="9.140625" customWidth="1"/>
  </cols>
  <sheetData>
    <row r="1" spans="1:42" ht="18" x14ac:dyDescent="0.25">
      <c r="A1" s="56" t="s">
        <v>0</v>
      </c>
      <c r="S1" s="2" t="str">
        <f>IF(AND(L62-I62&gt;=5000,N62-K62&gt;5000,N62&gt;0),"X"," ")</f>
        <v xml:space="preserve"> </v>
      </c>
    </row>
    <row r="2" spans="1:42" ht="20.25" customHeight="1" x14ac:dyDescent="0.2">
      <c r="A2" s="83" t="s">
        <v>34</v>
      </c>
    </row>
    <row r="3" spans="1:42" ht="15.75" x14ac:dyDescent="0.25">
      <c r="A3" s="57" t="s">
        <v>35</v>
      </c>
      <c r="C3" s="10">
        <f>L8</f>
        <v>36970</v>
      </c>
      <c r="D3" s="9"/>
    </row>
    <row r="4" spans="1:42" ht="15.75" x14ac:dyDescent="0.25">
      <c r="A4" s="57" t="s">
        <v>36</v>
      </c>
      <c r="C4" s="4" t="s">
        <v>37</v>
      </c>
      <c r="E4" s="91" t="s">
        <v>38</v>
      </c>
      <c r="G4" s="4" t="s">
        <v>55</v>
      </c>
    </row>
    <row r="5" spans="1:42" ht="16.5" thickBot="1" x14ac:dyDescent="0.3">
      <c r="A5" s="57" t="s">
        <v>39</v>
      </c>
      <c r="C5" s="4" t="s">
        <v>53</v>
      </c>
      <c r="E5" s="57"/>
    </row>
    <row r="6" spans="1:42" ht="21.75" customHeight="1" thickBot="1" x14ac:dyDescent="0.25">
      <c r="R6" s="143" t="s">
        <v>41</v>
      </c>
      <c r="S6" s="144"/>
    </row>
    <row r="7" spans="1:42" s="61" customFormat="1" ht="54" customHeight="1" thickBot="1" x14ac:dyDescent="0.25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5" customHeight="1" thickBot="1" x14ac:dyDescent="0.25">
      <c r="A8" s="161"/>
      <c r="B8" s="162"/>
      <c r="C8" s="165">
        <f>C9</f>
        <v>36967</v>
      </c>
      <c r="D8" s="163"/>
      <c r="E8" s="164" t="str">
        <f>TEXT(WEEKDAY(C8),"dddd")</f>
        <v>Saturday</v>
      </c>
      <c r="F8" s="165">
        <f>F9</f>
        <v>36968</v>
      </c>
      <c r="G8" s="163"/>
      <c r="H8" s="164" t="str">
        <f>TEXT(WEEKDAY(F8),"dddd")</f>
        <v>Sunday</v>
      </c>
      <c r="I8" s="165">
        <f>I9</f>
        <v>36969</v>
      </c>
      <c r="J8" s="163"/>
      <c r="K8" s="164" t="str">
        <f>TEXT(WEEKDAY(I8),"dddd")</f>
        <v>Monday</v>
      </c>
      <c r="L8" s="165">
        <f>L9</f>
        <v>36970</v>
      </c>
      <c r="M8" s="163"/>
      <c r="N8" s="164" t="str">
        <f>TEXT(WEEKDAY(L8),"dddd")</f>
        <v>Tuesday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8" hidden="1" x14ac:dyDescent="0.2">
      <c r="A9" s="27"/>
      <c r="B9" s="55"/>
      <c r="C9" s="146">
        <v>36967</v>
      </c>
      <c r="D9" s="148">
        <v>36967</v>
      </c>
      <c r="E9" s="148">
        <v>36967</v>
      </c>
      <c r="F9" s="149">
        <v>36968</v>
      </c>
      <c r="G9" s="148">
        <v>36968</v>
      </c>
      <c r="H9" s="148">
        <v>36968</v>
      </c>
      <c r="I9" s="149">
        <v>36969</v>
      </c>
      <c r="J9" s="148">
        <v>36969</v>
      </c>
      <c r="K9" s="148">
        <v>36969</v>
      </c>
      <c r="L9" s="149">
        <v>36970</v>
      </c>
      <c r="M9" s="148">
        <v>36970</v>
      </c>
      <c r="N9" s="148">
        <v>36970</v>
      </c>
      <c r="O9" s="6">
        <f t="shared" ref="O9:O31" si="0">K9+H9+E9</f>
        <v>110904</v>
      </c>
      <c r="P9" s="68"/>
      <c r="Q9" s="65"/>
      <c r="R9" s="63"/>
      <c r="S9" s="69"/>
      <c r="T9" s="65"/>
      <c r="U9" s="64"/>
    </row>
    <row r="10" spans="1:42" x14ac:dyDescent="0.2">
      <c r="A10" s="27">
        <v>1117</v>
      </c>
      <c r="B10" s="55" t="s">
        <v>25</v>
      </c>
      <c r="C10" s="6">
        <v>375</v>
      </c>
      <c r="D10" s="5">
        <v>356</v>
      </c>
      <c r="E10" s="5">
        <v>19</v>
      </c>
      <c r="F10" s="6">
        <v>375</v>
      </c>
      <c r="G10" s="5">
        <v>319</v>
      </c>
      <c r="H10" s="5">
        <v>56</v>
      </c>
      <c r="I10" s="6">
        <v>375</v>
      </c>
      <c r="J10" s="5">
        <v>313</v>
      </c>
      <c r="K10" s="5">
        <v>62</v>
      </c>
      <c r="L10" s="6">
        <v>375</v>
      </c>
      <c r="M10" s="5">
        <v>324</v>
      </c>
      <c r="N10" s="5">
        <v>51</v>
      </c>
      <c r="O10" s="6">
        <f t="shared" si="0"/>
        <v>137</v>
      </c>
      <c r="P10" s="70">
        <f t="shared" ref="P10:P32" si="1">O10/(J10+G10+D10+1)</f>
        <v>0.1385237613751264</v>
      </c>
      <c r="Q10" s="74" t="str">
        <f>" "</f>
        <v xml:space="preserve"> </v>
      </c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>X</v>
      </c>
      <c r="V10" t="str">
        <f t="shared" ref="V10:V32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>X</v>
      </c>
    </row>
    <row r="11" spans="1:42" x14ac:dyDescent="0.2">
      <c r="A11" s="27">
        <v>1126</v>
      </c>
      <c r="B11" s="55" t="s">
        <v>25</v>
      </c>
      <c r="C11" s="6">
        <v>1400</v>
      </c>
      <c r="D11" s="5">
        <v>1067</v>
      </c>
      <c r="E11" s="5">
        <v>333</v>
      </c>
      <c r="F11" s="6">
        <v>1400</v>
      </c>
      <c r="G11" s="5">
        <v>901</v>
      </c>
      <c r="H11" s="5">
        <v>499</v>
      </c>
      <c r="I11" s="6">
        <v>1400</v>
      </c>
      <c r="J11" s="5">
        <v>920</v>
      </c>
      <c r="K11" s="5">
        <v>480</v>
      </c>
      <c r="L11" s="6">
        <v>1400</v>
      </c>
      <c r="M11" s="5">
        <v>990</v>
      </c>
      <c r="N11" s="5">
        <v>410</v>
      </c>
      <c r="O11" s="6">
        <f t="shared" si="0"/>
        <v>1312</v>
      </c>
      <c r="P11" s="70">
        <f t="shared" si="1"/>
        <v>0.45413637937002421</v>
      </c>
      <c r="Q11" s="74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>X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>X</v>
      </c>
    </row>
    <row r="12" spans="1:42" x14ac:dyDescent="0.2">
      <c r="A12" s="27">
        <v>1157</v>
      </c>
      <c r="B12" s="55" t="s">
        <v>25</v>
      </c>
      <c r="C12" s="6">
        <v>100</v>
      </c>
      <c r="D12" s="5">
        <v>145</v>
      </c>
      <c r="E12" s="5">
        <v>-45</v>
      </c>
      <c r="F12" s="6">
        <v>100</v>
      </c>
      <c r="G12" s="5">
        <v>137</v>
      </c>
      <c r="H12" s="5">
        <v>-37</v>
      </c>
      <c r="I12" s="6">
        <v>100</v>
      </c>
      <c r="J12" s="5">
        <v>131</v>
      </c>
      <c r="K12" s="5">
        <v>-31</v>
      </c>
      <c r="L12" s="6">
        <v>100</v>
      </c>
      <c r="M12" s="5">
        <v>143</v>
      </c>
      <c r="N12" s="5">
        <v>-43</v>
      </c>
      <c r="O12" s="6">
        <f t="shared" si="0"/>
        <v>-113</v>
      </c>
      <c r="P12" s="70">
        <f t="shared" si="1"/>
        <v>-0.27294685990338163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 xml:space="preserve"> 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 xml:space="preserve"> </v>
      </c>
    </row>
    <row r="13" spans="1:42" x14ac:dyDescent="0.2">
      <c r="A13" s="27">
        <v>1780</v>
      </c>
      <c r="B13" s="55" t="s">
        <v>25</v>
      </c>
      <c r="C13" s="6">
        <v>1963</v>
      </c>
      <c r="D13" s="5">
        <v>1874</v>
      </c>
      <c r="E13" s="5">
        <v>89</v>
      </c>
      <c r="F13" s="6">
        <v>1963</v>
      </c>
      <c r="G13" s="5">
        <v>1679</v>
      </c>
      <c r="H13" s="5">
        <v>284</v>
      </c>
      <c r="I13" s="6">
        <v>1963</v>
      </c>
      <c r="J13" s="5">
        <v>1613</v>
      </c>
      <c r="K13" s="5">
        <v>350</v>
      </c>
      <c r="L13" s="6">
        <v>1963</v>
      </c>
      <c r="M13" s="5">
        <v>1761</v>
      </c>
      <c r="N13" s="5">
        <v>202</v>
      </c>
      <c r="O13" s="6">
        <f t="shared" si="0"/>
        <v>723</v>
      </c>
      <c r="P13" s="70">
        <f t="shared" si="1"/>
        <v>0.13992645635765436</v>
      </c>
      <c r="Q13" s="176" t="str">
        <f>" "</f>
        <v xml:space="preserve"> </v>
      </c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>X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>X</v>
      </c>
    </row>
    <row r="14" spans="1:42" x14ac:dyDescent="0.2">
      <c r="A14" s="27">
        <v>2280</v>
      </c>
      <c r="B14" s="55" t="s">
        <v>25</v>
      </c>
      <c r="C14" s="6">
        <v>238</v>
      </c>
      <c r="D14" s="5">
        <v>454</v>
      </c>
      <c r="E14" s="5">
        <v>-216</v>
      </c>
      <c r="F14" s="6">
        <v>238</v>
      </c>
      <c r="G14" s="5">
        <v>427</v>
      </c>
      <c r="H14" s="5">
        <v>-189</v>
      </c>
      <c r="I14" s="6">
        <v>238</v>
      </c>
      <c r="J14" s="5">
        <v>423</v>
      </c>
      <c r="K14" s="5">
        <v>-185</v>
      </c>
      <c r="L14" s="6">
        <v>220</v>
      </c>
      <c r="M14" s="5">
        <v>433</v>
      </c>
      <c r="N14" s="5">
        <v>-213</v>
      </c>
      <c r="O14" s="6">
        <f t="shared" si="0"/>
        <v>-590</v>
      </c>
      <c r="P14" s="70">
        <f t="shared" si="1"/>
        <v>-0.45210727969348657</v>
      </c>
      <c r="Q14" s="176" t="str">
        <f>" "</f>
        <v xml:space="preserve"> </v>
      </c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">
      <c r="A15" s="27">
        <v>2584</v>
      </c>
      <c r="B15" s="55" t="s">
        <v>25</v>
      </c>
      <c r="C15" s="6">
        <v>4000</v>
      </c>
      <c r="D15" s="5">
        <v>4315</v>
      </c>
      <c r="E15" s="5">
        <v>-315</v>
      </c>
      <c r="F15" s="6">
        <v>4000</v>
      </c>
      <c r="G15" s="5">
        <v>3853</v>
      </c>
      <c r="H15" s="5">
        <v>147</v>
      </c>
      <c r="I15" s="6">
        <v>1333</v>
      </c>
      <c r="J15" s="5">
        <v>3832</v>
      </c>
      <c r="K15" s="5">
        <v>-2499</v>
      </c>
      <c r="L15" s="6">
        <v>6667</v>
      </c>
      <c r="M15" s="5">
        <v>3995</v>
      </c>
      <c r="N15" s="5">
        <v>2672</v>
      </c>
      <c r="O15" s="6">
        <f t="shared" si="0"/>
        <v>-2667</v>
      </c>
      <c r="P15" s="70">
        <f t="shared" si="1"/>
        <v>-0.22223148070994084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>X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>
        <f t="shared" si="2"/>
        <v>5334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">
      <c r="A16" s="27">
        <v>2771</v>
      </c>
      <c r="B16" s="55" t="s">
        <v>25</v>
      </c>
      <c r="C16" s="6">
        <v>10000</v>
      </c>
      <c r="D16" s="5">
        <v>7173</v>
      </c>
      <c r="E16" s="5">
        <v>2827</v>
      </c>
      <c r="F16" s="6">
        <v>10000</v>
      </c>
      <c r="G16" s="5">
        <v>6596</v>
      </c>
      <c r="H16" s="5">
        <v>3404</v>
      </c>
      <c r="I16" s="6">
        <v>10000</v>
      </c>
      <c r="J16" s="5">
        <v>6534</v>
      </c>
      <c r="K16" s="5">
        <v>3466</v>
      </c>
      <c r="L16" s="6">
        <v>866</v>
      </c>
      <c r="M16" s="5">
        <v>6797</v>
      </c>
      <c r="N16" s="5">
        <v>-5931</v>
      </c>
      <c r="O16" s="6">
        <f t="shared" si="0"/>
        <v>9697</v>
      </c>
      <c r="P16" s="70">
        <f t="shared" si="1"/>
        <v>0.47759062253743106</v>
      </c>
      <c r="Q16" s="177"/>
      <c r="R16" s="66" t="str">
        <f>IF($C$4="High Inventory",IF(AND(O16&gt;=Summary!$C$119,P16&gt;=Summary!$C$120),"X"," "),IF(AND(O16&lt;=-Summary!$C$119,P16&lt;=-Summary!$C$120),"X"," "))</f>
        <v>X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>X</v>
      </c>
      <c r="U16" s="11" t="str">
        <f>IF($C$4="High Inventory",IF(AND($O16&gt;=0,$P16&gt;=Summary!$C$120),"X"," "),IF(AND($O16&lt;=0,$P16&lt;=-Summary!$C$120),"X"," "))</f>
        <v>X</v>
      </c>
      <c r="V16" t="str">
        <f t="shared" si="2"/>
        <v xml:space="preserve"> </v>
      </c>
      <c r="W16" t="str">
        <f>IF($C$4="High Inventory",IF(O16&gt;Summary!$C$119,"X"," "),IF(O16&lt;-Summary!$C$119,"X"," "))</f>
        <v>X</v>
      </c>
      <c r="X16" t="str">
        <f>IF($C$4="High Inventory",IF(P16&gt;Summary!$C$120,"X"," "),IF(P16&lt;-Summary!$C$120,"X"," "))</f>
        <v>X</v>
      </c>
    </row>
    <row r="17" spans="1:24" x14ac:dyDescent="0.2">
      <c r="A17" s="27">
        <v>2832</v>
      </c>
      <c r="B17" s="55" t="s">
        <v>25</v>
      </c>
      <c r="C17" s="6">
        <v>800</v>
      </c>
      <c r="D17" s="5">
        <v>446</v>
      </c>
      <c r="E17" s="5">
        <v>354</v>
      </c>
      <c r="F17" s="6">
        <v>800</v>
      </c>
      <c r="G17" s="5">
        <v>419</v>
      </c>
      <c r="H17" s="5">
        <v>381</v>
      </c>
      <c r="I17" s="6">
        <v>800</v>
      </c>
      <c r="J17" s="5">
        <v>414</v>
      </c>
      <c r="K17" s="5">
        <v>386</v>
      </c>
      <c r="L17" s="6">
        <v>800</v>
      </c>
      <c r="M17" s="5">
        <v>426</v>
      </c>
      <c r="N17" s="5">
        <v>374</v>
      </c>
      <c r="O17" s="6">
        <f t="shared" si="0"/>
        <v>1121</v>
      </c>
      <c r="P17" s="70">
        <f t="shared" si="1"/>
        <v>0.87578124999999996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>X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>X</v>
      </c>
    </row>
    <row r="18" spans="1:24" x14ac:dyDescent="0.2">
      <c r="A18" s="27">
        <v>2892</v>
      </c>
      <c r="B18" s="55" t="s">
        <v>25</v>
      </c>
      <c r="C18" s="6">
        <v>6402</v>
      </c>
      <c r="D18" s="5">
        <v>4955</v>
      </c>
      <c r="E18" s="5">
        <v>1447</v>
      </c>
      <c r="F18" s="6">
        <v>6402</v>
      </c>
      <c r="G18" s="5">
        <v>4618</v>
      </c>
      <c r="H18" s="5">
        <v>1784</v>
      </c>
      <c r="I18" s="6">
        <v>6402</v>
      </c>
      <c r="J18" s="5">
        <v>4582</v>
      </c>
      <c r="K18" s="5">
        <v>1820</v>
      </c>
      <c r="L18" s="6">
        <v>6245</v>
      </c>
      <c r="M18" s="5">
        <v>4727</v>
      </c>
      <c r="N18" s="5">
        <v>1518</v>
      </c>
      <c r="O18" s="6">
        <f t="shared" si="0"/>
        <v>5051</v>
      </c>
      <c r="P18" s="70">
        <f t="shared" si="1"/>
        <v>0.35680983328623905</v>
      </c>
      <c r="Q18" s="176"/>
      <c r="R18" s="66" t="str">
        <f>IF($C$4="High Inventory",IF(AND(O18&gt;=Summary!$C$119,P18&gt;=Summary!$C$120),"X"," "),IF(AND(O18&lt;=-Summary!$C$119,P18&lt;=-Summary!$C$120),"X"," "))</f>
        <v>X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>X</v>
      </c>
      <c r="U18" s="11" t="str">
        <f>IF($C$4="High Inventory",IF(AND($O18&gt;=0,$P18&gt;=Summary!$C$120),"X"," "),IF(AND($O18&lt;=0,$P18&lt;=-Summary!$C$120),"X"," "))</f>
        <v>X</v>
      </c>
      <c r="V18" t="str">
        <f t="shared" si="2"/>
        <v xml:space="preserve"> </v>
      </c>
      <c r="W18" t="str">
        <f>IF($C$4="High Inventory",IF(O18&gt;Summary!$C$119,"X"," "),IF(O18&lt;-Summary!$C$119,"X"," "))</f>
        <v>X</v>
      </c>
      <c r="X18" t="str">
        <f>IF($C$4="High Inventory",IF(P18&gt;Summary!$C$120,"X"," "),IF(P18&lt;-Summary!$C$120,"X"," "))</f>
        <v>X</v>
      </c>
    </row>
    <row r="19" spans="1:24" x14ac:dyDescent="0.2">
      <c r="A19" s="27">
        <v>3152</v>
      </c>
      <c r="B19" s="55" t="s">
        <v>25</v>
      </c>
      <c r="C19" s="6">
        <v>11561</v>
      </c>
      <c r="D19" s="5">
        <v>9120</v>
      </c>
      <c r="E19" s="5">
        <v>2441</v>
      </c>
      <c r="F19" s="6">
        <v>11561</v>
      </c>
      <c r="G19" s="5">
        <v>7919</v>
      </c>
      <c r="H19" s="5">
        <v>3642</v>
      </c>
      <c r="I19" s="6">
        <v>4228</v>
      </c>
      <c r="J19" s="5">
        <v>7829</v>
      </c>
      <c r="K19" s="5">
        <v>-3601</v>
      </c>
      <c r="L19" s="6">
        <v>19269</v>
      </c>
      <c r="M19" s="5">
        <v>8452</v>
      </c>
      <c r="N19" s="5">
        <v>10817</v>
      </c>
      <c r="O19" s="6">
        <f t="shared" si="0"/>
        <v>2482</v>
      </c>
      <c r="P19" s="70">
        <f t="shared" si="1"/>
        <v>9.9802967549961805E-2</v>
      </c>
      <c r="Q19" s="176" t="str">
        <f>" "</f>
        <v xml:space="preserve"> </v>
      </c>
      <c r="R19" s="66" t="str">
        <f>IF($C$4="High Inventory",IF(AND(O19&gt;=Summary!$C$119,P19&gt;=Summary!$C$120),"X"," "),IF(AND(O19&lt;=-Summary!$C$119,P19&lt;=-Summary!$C$120),"X"," "))</f>
        <v xml:space="preserve"> 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>X</v>
      </c>
      <c r="T19" s="8" t="str">
        <f>IF($C$4="High Inventory",IF(AND($O19&gt;=Summary!$C$119,$P19&gt;=0%),"X"," "),IF(AND($O19&lt;=-Summary!$C$119,$P19&lt;=0%),"X"," "))</f>
        <v xml:space="preserve"> </v>
      </c>
      <c r="U19" s="11" t="str">
        <f>IF($C$4="High Inventory",IF(AND($O19&gt;=0,$P19&gt;=Summary!$C$120),"X"," "),IF(AND($O19&lt;=0,$P19&lt;=-Summary!$C$120),"X"," "))</f>
        <v xml:space="preserve"> </v>
      </c>
      <c r="V19">
        <f t="shared" si="2"/>
        <v>15041</v>
      </c>
      <c r="W19" t="str">
        <f>IF($C$4="High Inventory",IF(O19&gt;Summary!$C$119,"X"," "),IF(O19&lt;-Summary!$C$119,"X"," "))</f>
        <v xml:space="preserve"> </v>
      </c>
      <c r="X19" t="str">
        <f>IF($C$4="High Inventory",IF(P19&gt;Summary!$C$120,"X"," "),IF(P19&lt;-Summary!$C$120,"X"," "))</f>
        <v xml:space="preserve"> </v>
      </c>
    </row>
    <row r="20" spans="1:24" x14ac:dyDescent="0.2">
      <c r="A20" s="27">
        <v>6500</v>
      </c>
      <c r="B20" s="55" t="s">
        <v>25</v>
      </c>
      <c r="C20" s="6">
        <v>891018</v>
      </c>
      <c r="D20" s="5">
        <v>797415</v>
      </c>
      <c r="E20" s="5">
        <v>93603</v>
      </c>
      <c r="F20" s="6">
        <v>877269</v>
      </c>
      <c r="G20" s="5">
        <v>657277</v>
      </c>
      <c r="H20" s="5">
        <v>219992</v>
      </c>
      <c r="I20" s="6">
        <v>1029020</v>
      </c>
      <c r="J20" s="5">
        <v>637750</v>
      </c>
      <c r="K20" s="5">
        <v>391270</v>
      </c>
      <c r="L20" s="6">
        <v>548285</v>
      </c>
      <c r="M20" s="5">
        <v>707023</v>
      </c>
      <c r="N20" s="5">
        <v>-158738</v>
      </c>
      <c r="O20" s="6">
        <f t="shared" si="0"/>
        <v>704865</v>
      </c>
      <c r="P20" s="70">
        <f t="shared" si="1"/>
        <v>0.33686222277022598</v>
      </c>
      <c r="Q20" s="176" t="s">
        <v>65</v>
      </c>
      <c r="R20" s="66" t="str">
        <f>IF($C$4="High Inventory",IF(AND(O20&gt;=Summary!$C$119,P20&gt;=Summary!$C$120),"X"," "),IF(AND(O20&lt;=-Summary!$C$119,P20&lt;=-Summary!$C$120),"X"," "))</f>
        <v>X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>X</v>
      </c>
      <c r="V20" t="str">
        <f t="shared" si="2"/>
        <v xml:space="preserve"> 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>X</v>
      </c>
    </row>
    <row r="21" spans="1:24" x14ac:dyDescent="0.2">
      <c r="A21" s="27">
        <v>12296</v>
      </c>
      <c r="B21" s="55" t="s">
        <v>25</v>
      </c>
      <c r="C21" s="6">
        <v>2235</v>
      </c>
      <c r="D21" s="5">
        <v>2235</v>
      </c>
      <c r="E21" s="5">
        <v>0</v>
      </c>
      <c r="F21" s="6">
        <v>2235</v>
      </c>
      <c r="G21" s="5">
        <v>1883</v>
      </c>
      <c r="H21" s="5">
        <v>352</v>
      </c>
      <c r="I21" s="6">
        <v>2235</v>
      </c>
      <c r="J21" s="5">
        <v>1895</v>
      </c>
      <c r="K21" s="5">
        <v>340</v>
      </c>
      <c r="L21" s="6">
        <v>2235</v>
      </c>
      <c r="M21" s="5">
        <v>1987</v>
      </c>
      <c r="N21" s="5">
        <v>248</v>
      </c>
      <c r="O21" s="6">
        <f t="shared" si="0"/>
        <v>692</v>
      </c>
      <c r="P21" s="70">
        <f t="shared" si="1"/>
        <v>0.11506484868639841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>X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>X</v>
      </c>
    </row>
    <row r="22" spans="1:24" x14ac:dyDescent="0.2">
      <c r="A22" s="27">
        <v>16786</v>
      </c>
      <c r="B22" s="55" t="s">
        <v>25</v>
      </c>
      <c r="C22" s="6">
        <v>1375</v>
      </c>
      <c r="D22" s="5">
        <v>1286</v>
      </c>
      <c r="E22" s="5">
        <v>89</v>
      </c>
      <c r="F22" s="6">
        <v>925</v>
      </c>
      <c r="G22" s="5">
        <v>1064</v>
      </c>
      <c r="H22" s="5">
        <v>-139</v>
      </c>
      <c r="I22" s="6">
        <v>925</v>
      </c>
      <c r="J22" s="5">
        <v>1012</v>
      </c>
      <c r="K22" s="5">
        <v>-87</v>
      </c>
      <c r="L22" s="6">
        <v>790</v>
      </c>
      <c r="M22" s="5">
        <v>1145</v>
      </c>
      <c r="N22" s="5">
        <v>-355</v>
      </c>
      <c r="O22" s="6">
        <f t="shared" si="0"/>
        <v>-137</v>
      </c>
      <c r="P22" s="70">
        <f t="shared" si="1"/>
        <v>-4.0737436812369909E-2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">
      <c r="A23" s="27">
        <v>17791</v>
      </c>
      <c r="B23" s="55" t="s">
        <v>25</v>
      </c>
      <c r="C23" s="6">
        <v>600</v>
      </c>
      <c r="D23" s="5">
        <v>444</v>
      </c>
      <c r="E23" s="5">
        <v>156</v>
      </c>
      <c r="F23" s="6">
        <v>600</v>
      </c>
      <c r="G23" s="5">
        <v>380</v>
      </c>
      <c r="H23" s="5">
        <v>220</v>
      </c>
      <c r="I23" s="6">
        <v>600</v>
      </c>
      <c r="J23" s="5">
        <v>376</v>
      </c>
      <c r="K23" s="5">
        <v>224</v>
      </c>
      <c r="L23" s="6">
        <v>600</v>
      </c>
      <c r="M23" s="5">
        <v>404</v>
      </c>
      <c r="N23" s="5">
        <v>196</v>
      </c>
      <c r="O23" s="6">
        <f t="shared" si="0"/>
        <v>600</v>
      </c>
      <c r="P23" s="70">
        <f t="shared" si="1"/>
        <v>0.49958368026644462</v>
      </c>
      <c r="Q23" s="176" t="str">
        <f>" "</f>
        <v xml:space="preserve"> </v>
      </c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>X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>X</v>
      </c>
    </row>
    <row r="24" spans="1:24" x14ac:dyDescent="0.2">
      <c r="A24" s="27">
        <v>1117</v>
      </c>
      <c r="B24" s="55" t="s">
        <v>26</v>
      </c>
      <c r="C24" s="6">
        <v>37326</v>
      </c>
      <c r="D24" s="5">
        <v>43438</v>
      </c>
      <c r="E24" s="5">
        <v>-6112</v>
      </c>
      <c r="F24" s="6">
        <v>37319</v>
      </c>
      <c r="G24" s="5">
        <v>37708</v>
      </c>
      <c r="H24" s="5">
        <v>-389</v>
      </c>
      <c r="I24" s="6">
        <v>37056</v>
      </c>
      <c r="J24" s="5">
        <v>49544</v>
      </c>
      <c r="K24" s="5">
        <v>-12488</v>
      </c>
      <c r="L24" s="6">
        <v>77003</v>
      </c>
      <c r="M24" s="5">
        <v>51064</v>
      </c>
      <c r="N24" s="5">
        <v>25939</v>
      </c>
      <c r="O24" s="6">
        <f t="shared" si="0"/>
        <v>-18989</v>
      </c>
      <c r="P24" s="70">
        <f t="shared" si="1"/>
        <v>-0.14529692174671555</v>
      </c>
      <c r="Q24" s="178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>X</v>
      </c>
      <c r="T24" s="8" t="str">
        <f>IF($C$4="High Inventory",IF(AND($O24&gt;=Summary!$C$119,$P24&gt;=0%),"X"," "),IF(AND($O24&lt;=-Summary!$C$119,$P24&lt;=0%),"X"," "))</f>
        <v xml:space="preserve"> </v>
      </c>
      <c r="U24" s="11" t="str">
        <f>IF($C$4="High Inventory",IF(AND($O24&gt;=0,$P24&gt;=Summary!$C$120),"X"," "),IF(AND($O24&lt;=0,$P24&lt;=-Summary!$C$120),"X"," "))</f>
        <v xml:space="preserve"> </v>
      </c>
      <c r="V24">
        <f t="shared" si="2"/>
        <v>39947</v>
      </c>
      <c r="W24" t="str">
        <f>IF($C$4="High Inventory",IF(O24&gt;Summary!$C$119,"X"," "),IF(O24&lt;-Summary!$C$119,"X"," "))</f>
        <v xml:space="preserve"> </v>
      </c>
      <c r="X24" t="str">
        <f>IF($C$4="High Inventory",IF(P24&gt;Summary!$C$120,"X"," "),IF(P24&lt;-Summary!$C$120,"X"," "))</f>
        <v xml:space="preserve"> </v>
      </c>
    </row>
    <row r="25" spans="1:24" x14ac:dyDescent="0.2">
      <c r="A25" s="27">
        <v>1126</v>
      </c>
      <c r="B25" s="55" t="s">
        <v>26</v>
      </c>
      <c r="C25" s="6">
        <v>33290</v>
      </c>
      <c r="D25" s="5">
        <v>28077</v>
      </c>
      <c r="E25" s="5">
        <v>5213</v>
      </c>
      <c r="F25" s="6">
        <v>33290</v>
      </c>
      <c r="G25" s="5">
        <v>26125</v>
      </c>
      <c r="H25" s="5">
        <v>7165</v>
      </c>
      <c r="I25" s="6">
        <v>33290</v>
      </c>
      <c r="J25" s="5">
        <v>26892</v>
      </c>
      <c r="K25" s="5">
        <v>6398</v>
      </c>
      <c r="L25" s="6">
        <v>35368</v>
      </c>
      <c r="M25" s="5">
        <v>26383</v>
      </c>
      <c r="N25" s="5">
        <v>8985</v>
      </c>
      <c r="O25" s="6">
        <f t="shared" si="0"/>
        <v>18776</v>
      </c>
      <c r="P25" s="70">
        <f t="shared" si="1"/>
        <v>0.23153092052530982</v>
      </c>
      <c r="Q25" s="176"/>
      <c r="R25" s="66" t="str">
        <f>IF($C$4="High Inventory",IF(AND(O25&gt;=Summary!$C$119,P25&gt;=Summary!$C$120),"X"," "),IF(AND(O25&lt;=-Summary!$C$119,P25&lt;=-Summary!$C$120),"X"," "))</f>
        <v>X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>X</v>
      </c>
      <c r="U25" s="11" t="str">
        <f>IF($C$4="High Inventory",IF(AND($O25&gt;=0,$P25&gt;=Summary!$C$120),"X"," "),IF(AND($O25&lt;=0,$P25&lt;=-Summary!$C$120),"X"," "))</f>
        <v>X</v>
      </c>
      <c r="V25" t="str">
        <f t="shared" si="2"/>
        <v xml:space="preserve"> </v>
      </c>
      <c r="W25" t="str">
        <f>IF($C$4="High Inventory",IF(O25&gt;Summary!$C$119,"X"," "),IF(O25&lt;-Summary!$C$119,"X"," "))</f>
        <v>X</v>
      </c>
      <c r="X25" t="str">
        <f>IF($C$4="High Inventory",IF(P25&gt;Summary!$C$120,"X"," "),IF(P25&lt;-Summary!$C$120,"X"," "))</f>
        <v>X</v>
      </c>
    </row>
    <row r="26" spans="1:24" x14ac:dyDescent="0.2">
      <c r="A26" s="27">
        <v>1157</v>
      </c>
      <c r="B26" s="55" t="s">
        <v>26</v>
      </c>
      <c r="C26" s="6">
        <v>136708</v>
      </c>
      <c r="D26" s="5">
        <v>115642</v>
      </c>
      <c r="E26" s="5">
        <v>21066</v>
      </c>
      <c r="F26" s="6">
        <v>137924</v>
      </c>
      <c r="G26" s="5">
        <v>100346</v>
      </c>
      <c r="H26" s="5">
        <v>37578</v>
      </c>
      <c r="I26" s="6">
        <v>137847</v>
      </c>
      <c r="J26" s="5">
        <v>104018</v>
      </c>
      <c r="K26" s="5">
        <v>33829</v>
      </c>
      <c r="L26" s="6">
        <v>89417</v>
      </c>
      <c r="M26" s="5">
        <v>99342</v>
      </c>
      <c r="N26" s="5">
        <v>-9925</v>
      </c>
      <c r="O26" s="6">
        <f t="shared" si="0"/>
        <v>92473</v>
      </c>
      <c r="P26" s="70">
        <f t="shared" si="1"/>
        <v>0.28897180374179315</v>
      </c>
      <c r="Q26" s="176" t="s">
        <v>65</v>
      </c>
      <c r="R26" s="66" t="str">
        <f>IF($C$4="High Inventory",IF(AND(O26&gt;=Summary!$C$119,P26&gt;=Summary!$C$120),"X"," "),IF(AND(O26&lt;=-Summary!$C$119,P26&lt;=-Summary!$C$120),"X"," "))</f>
        <v>X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>X</v>
      </c>
      <c r="U26" s="11" t="str">
        <f>IF($C$4="High Inventory",IF(AND($O26&gt;=0,$P26&gt;=Summary!$C$120),"X"," "),IF(AND($O26&lt;=0,$P26&lt;=-Summary!$C$120),"X"," "))</f>
        <v>X</v>
      </c>
      <c r="V26" t="str">
        <f t="shared" si="2"/>
        <v xml:space="preserve"> </v>
      </c>
      <c r="W26" t="str">
        <f>IF($C$4="High Inventory",IF(O26&gt;Summary!$C$119,"X"," "),IF(O26&lt;-Summary!$C$119,"X"," "))</f>
        <v>X</v>
      </c>
      <c r="X26" t="str">
        <f>IF($C$4="High Inventory",IF(P26&gt;Summary!$C$120,"X"," "),IF(P26&lt;-Summary!$C$120,"X"," "))</f>
        <v>X</v>
      </c>
    </row>
    <row r="27" spans="1:24" x14ac:dyDescent="0.2">
      <c r="A27" s="204">
        <v>1281</v>
      </c>
      <c r="B27" s="205" t="s">
        <v>26</v>
      </c>
      <c r="C27" s="202">
        <v>233</v>
      </c>
      <c r="D27" s="203">
        <v>3691</v>
      </c>
      <c r="E27" s="203">
        <v>-3458</v>
      </c>
      <c r="F27" s="202">
        <v>233</v>
      </c>
      <c r="G27" s="203">
        <v>2788</v>
      </c>
      <c r="H27" s="203">
        <v>-2555</v>
      </c>
      <c r="I27" s="202">
        <v>233</v>
      </c>
      <c r="J27" s="203">
        <v>8172</v>
      </c>
      <c r="K27" s="203">
        <v>-7939</v>
      </c>
      <c r="L27" s="202">
        <v>1220</v>
      </c>
      <c r="M27" s="203">
        <v>8889</v>
      </c>
      <c r="N27" s="203">
        <v>-7669</v>
      </c>
      <c r="O27" s="202">
        <f t="shared" si="0"/>
        <v>-13952</v>
      </c>
      <c r="P27" s="70">
        <f t="shared" si="1"/>
        <v>-0.95222495222495218</v>
      </c>
      <c r="Q27" s="176"/>
      <c r="R27" s="66" t="str">
        <f>IF($C$4="High Inventory",IF(AND(O27&gt;=Summary!$C$119,P27&gt;=Summary!$C$120),"X"," "),IF(AND(O27&lt;=-Summary!$C$119,P27&lt;=-Summary!$C$120),"X"," "))</f>
        <v xml:space="preserve"> 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 xml:space="preserve"> </v>
      </c>
      <c r="U27" s="11" t="str">
        <f>IF($C$4="High Inventory",IF(AND($O27&gt;=0,$P27&gt;=Summary!$C$120),"X"," "),IF(AND($O27&lt;=0,$P27&lt;=-Summary!$C$120),"X"," "))</f>
        <v xml:space="preserve"> </v>
      </c>
      <c r="V27" t="str">
        <f t="shared" si="2"/>
        <v xml:space="preserve"> </v>
      </c>
      <c r="W27" t="str">
        <f>IF($C$4="High Inventory",IF(O27&gt;Summary!$C$119,"X"," "),IF(O27&lt;-Summary!$C$119,"X"," "))</f>
        <v xml:space="preserve"> </v>
      </c>
      <c r="X27" t="str">
        <f>IF($C$4="High Inventory",IF(P27&gt;Summary!$C$120,"X"," "),IF(P27&lt;-Summary!$C$120,"X"," "))</f>
        <v xml:space="preserve"> </v>
      </c>
    </row>
    <row r="28" spans="1:24" x14ac:dyDescent="0.2">
      <c r="A28" s="27">
        <v>1340</v>
      </c>
      <c r="B28" s="55" t="s">
        <v>26</v>
      </c>
      <c r="C28" s="6">
        <v>3818</v>
      </c>
      <c r="D28" s="5">
        <v>2178</v>
      </c>
      <c r="E28" s="5">
        <v>1640</v>
      </c>
      <c r="F28" s="6">
        <v>3818</v>
      </c>
      <c r="G28" s="5">
        <v>2509</v>
      </c>
      <c r="H28" s="5">
        <v>1309</v>
      </c>
      <c r="I28" s="6">
        <v>3818</v>
      </c>
      <c r="J28" s="5">
        <v>4359</v>
      </c>
      <c r="K28" s="5">
        <v>-541</v>
      </c>
      <c r="L28" s="6">
        <v>3335</v>
      </c>
      <c r="M28" s="5">
        <v>4725</v>
      </c>
      <c r="N28" s="5">
        <v>-1390</v>
      </c>
      <c r="O28" s="6">
        <f t="shared" si="0"/>
        <v>2408</v>
      </c>
      <c r="P28" s="70">
        <f t="shared" si="1"/>
        <v>0.26616557975019345</v>
      </c>
      <c r="Q28" s="178"/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 xml:space="preserve"> </v>
      </c>
      <c r="U28" s="11" t="str">
        <f>IF($C$4="High Inventory",IF(AND($O28&gt;=0,$P28&gt;=Summary!$C$120),"X"," "),IF(AND($O28&lt;=0,$P28&lt;=-Summary!$C$120),"X"," "))</f>
        <v>X</v>
      </c>
      <c r="V28" t="str">
        <f t="shared" si="2"/>
        <v xml:space="preserve"> </v>
      </c>
      <c r="W28" t="str">
        <f>IF($C$4="High Inventory",IF(O28&gt;Summary!$C$119,"X"," "),IF(O28&lt;-Summary!$C$119,"X"," "))</f>
        <v xml:space="preserve"> </v>
      </c>
      <c r="X28" t="str">
        <f>IF($C$4="High Inventory",IF(P28&gt;Summary!$C$120,"X"," "),IF(P28&lt;-Summary!$C$120,"X"," "))</f>
        <v>X</v>
      </c>
    </row>
    <row r="29" spans="1:24" x14ac:dyDescent="0.2">
      <c r="A29" s="27">
        <v>1377</v>
      </c>
      <c r="B29" s="55" t="s">
        <v>26</v>
      </c>
      <c r="C29" s="6">
        <v>101709</v>
      </c>
      <c r="D29" s="5">
        <v>85453</v>
      </c>
      <c r="E29" s="5">
        <v>16256</v>
      </c>
      <c r="F29" s="6">
        <v>102069</v>
      </c>
      <c r="G29" s="5">
        <v>85638</v>
      </c>
      <c r="H29" s="5">
        <v>16431</v>
      </c>
      <c r="I29" s="6">
        <v>100611</v>
      </c>
      <c r="J29" s="5">
        <v>82965</v>
      </c>
      <c r="K29" s="5">
        <v>17646</v>
      </c>
      <c r="L29" s="6">
        <v>74203</v>
      </c>
      <c r="M29" s="5">
        <v>87365</v>
      </c>
      <c r="N29" s="5">
        <v>-13162</v>
      </c>
      <c r="O29" s="6">
        <f t="shared" si="0"/>
        <v>50333</v>
      </c>
      <c r="P29" s="70">
        <f t="shared" si="1"/>
        <v>0.19811695800548695</v>
      </c>
      <c r="Q29" s="176"/>
      <c r="R29" s="66" t="str">
        <f>IF($C$4="High Inventory",IF(AND(O29&gt;=Summary!$C$119,P29&gt;=Summary!$C$120),"X"," "),IF(AND(O29&lt;=-Summary!$C$119,P29&lt;=-Summary!$C$120),"X"," "))</f>
        <v>X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8" t="str">
        <f>IF($C$4="High Inventory",IF(AND($O29&gt;=Summary!$C$119,$P29&gt;=0%),"X"," "),IF(AND($O29&lt;=-Summary!$C$119,$P29&lt;=0%),"X"," "))</f>
        <v>X</v>
      </c>
      <c r="U29" s="11" t="str">
        <f>IF($C$4="High Inventory",IF(AND($O29&gt;=0,$P29&gt;=Summary!$C$120),"X"," "),IF(AND($O29&lt;=0,$P29&lt;=-Summary!$C$120),"X"," "))</f>
        <v>X</v>
      </c>
      <c r="V29" t="str">
        <f t="shared" si="2"/>
        <v xml:space="preserve"> </v>
      </c>
      <c r="W29" t="str">
        <f>IF($C$4="High Inventory",IF(O29&gt;Summary!$C$119,"X"," "),IF(O29&lt;-Summary!$C$119,"X"," "))</f>
        <v>X</v>
      </c>
      <c r="X29" t="str">
        <f>IF($C$4="High Inventory",IF(P29&gt;Summary!$C$120,"X"," "),IF(P29&lt;-Summary!$C$120,"X"," "))</f>
        <v>X</v>
      </c>
    </row>
    <row r="30" spans="1:24" x14ac:dyDescent="0.2">
      <c r="A30" s="27">
        <v>1830</v>
      </c>
      <c r="B30" s="55" t="s">
        <v>26</v>
      </c>
      <c r="C30" s="6">
        <v>9229</v>
      </c>
      <c r="D30" s="5">
        <v>5507</v>
      </c>
      <c r="E30" s="5">
        <v>3722</v>
      </c>
      <c r="F30" s="6">
        <v>8625</v>
      </c>
      <c r="G30" s="5">
        <v>5507</v>
      </c>
      <c r="H30" s="5">
        <v>3118</v>
      </c>
      <c r="I30" s="6">
        <v>10145</v>
      </c>
      <c r="J30" s="5">
        <v>18163</v>
      </c>
      <c r="K30" s="5">
        <v>-8018</v>
      </c>
      <c r="L30" s="6">
        <v>24000</v>
      </c>
      <c r="M30" s="5">
        <v>5507</v>
      </c>
      <c r="N30" s="5">
        <v>18493</v>
      </c>
      <c r="O30" s="6">
        <f t="shared" si="0"/>
        <v>-1178</v>
      </c>
      <c r="P30" s="70">
        <f t="shared" si="1"/>
        <v>-4.0372883679484543E-2</v>
      </c>
      <c r="Q30" s="176"/>
      <c r="R30" s="66" t="str">
        <f>IF($C$4="High Inventory",IF(AND(O30&gt;=Summary!$C$119,P30&gt;=Summary!$C$120),"X"," "),IF(AND(O30&lt;=-Summary!$C$119,P30&lt;=-Summary!$C$120),"X"," "))</f>
        <v xml:space="preserve"> 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>X</v>
      </c>
      <c r="T30" s="8" t="str">
        <f>IF($C$4="High Inventory",IF(AND($O30&gt;=Summary!$C$119,$P30&gt;=0%),"X"," "),IF(AND($O30&lt;=-Summary!$C$119,$P30&lt;=0%),"X"," "))</f>
        <v xml:space="preserve"> </v>
      </c>
      <c r="U30" s="11" t="str">
        <f>IF($C$4="High Inventory",IF(AND($O30&gt;=0,$P30&gt;=Summary!$C$120),"X"," "),IF(AND($O30&lt;=0,$P30&lt;=-Summary!$C$120),"X"," "))</f>
        <v xml:space="preserve"> </v>
      </c>
      <c r="V30">
        <f t="shared" si="2"/>
        <v>13855</v>
      </c>
      <c r="W30" t="str">
        <f>IF($C$4="High Inventory",IF(O30&gt;Summary!$C$119,"X"," "),IF(O30&lt;-Summary!$C$119,"X"," "))</f>
        <v xml:space="preserve"> </v>
      </c>
      <c r="X30" t="str">
        <f>IF($C$4="High Inventory",IF(P30&gt;Summary!$C$120,"X"," "),IF(P30&lt;-Summary!$C$120,"X"," "))</f>
        <v xml:space="preserve"> </v>
      </c>
    </row>
    <row r="31" spans="1:24" x14ac:dyDescent="0.2">
      <c r="A31" s="27">
        <v>1864</v>
      </c>
      <c r="B31" s="55" t="s">
        <v>26</v>
      </c>
      <c r="C31" s="6">
        <v>401114</v>
      </c>
      <c r="D31" s="5">
        <v>442103</v>
      </c>
      <c r="E31" s="5">
        <v>-40989</v>
      </c>
      <c r="F31" s="6">
        <v>405628</v>
      </c>
      <c r="G31" s="5">
        <v>415596</v>
      </c>
      <c r="H31" s="5">
        <v>-9968</v>
      </c>
      <c r="I31" s="6">
        <v>400933</v>
      </c>
      <c r="J31" s="5">
        <v>426675</v>
      </c>
      <c r="K31" s="5">
        <v>-25742</v>
      </c>
      <c r="L31" s="6">
        <v>480015</v>
      </c>
      <c r="M31" s="5">
        <v>453555</v>
      </c>
      <c r="N31" s="5">
        <v>26460</v>
      </c>
      <c r="O31" s="6">
        <f t="shared" si="0"/>
        <v>-76699</v>
      </c>
      <c r="P31" s="70">
        <f t="shared" si="1"/>
        <v>-5.9716982968369831E-2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>X</v>
      </c>
      <c r="T31" s="8" t="str">
        <f>IF($C$4="High Inventory",IF(AND($O31&gt;=Summary!$C$119,$P31&gt;=0%),"X"," "),IF(AND($O31&lt;=-Summary!$C$119,$P31&lt;=0%),"X"," "))</f>
        <v xml:space="preserve"> </v>
      </c>
      <c r="U31" s="11" t="str">
        <f>IF($C$4="High Inventory",IF(AND($O31&gt;=0,$P31&gt;=Summary!$C$120),"X"," "),IF(AND($O31&lt;=0,$P31&lt;=-Summary!$C$120),"X"," "))</f>
        <v xml:space="preserve"> </v>
      </c>
      <c r="V31">
        <f t="shared" si="2"/>
        <v>79082</v>
      </c>
      <c r="W31" t="str">
        <f>IF($C$4="High Inventory",IF(O31&gt;Summary!$C$119,"X"," "),IF(O31&lt;-Summary!$C$119,"X"," "))</f>
        <v xml:space="preserve"> </v>
      </c>
      <c r="X31" t="str">
        <f>IF($C$4="High Inventory",IF(P31&gt;Summary!$C$120,"X"," "),IF(P31&lt;-Summary!$C$120,"X"," "))</f>
        <v xml:space="preserve"> </v>
      </c>
    </row>
    <row r="32" spans="1:24" x14ac:dyDescent="0.2">
      <c r="A32" s="27">
        <v>1922</v>
      </c>
      <c r="B32" s="55" t="s">
        <v>26</v>
      </c>
      <c r="C32" s="6">
        <v>27837</v>
      </c>
      <c r="D32" s="5">
        <v>26203</v>
      </c>
      <c r="E32" s="5">
        <v>1634</v>
      </c>
      <c r="F32" s="6">
        <v>27837</v>
      </c>
      <c r="G32" s="5">
        <v>24043</v>
      </c>
      <c r="H32" s="5">
        <v>3794</v>
      </c>
      <c r="I32" s="6">
        <v>27837</v>
      </c>
      <c r="J32" s="5">
        <v>26942</v>
      </c>
      <c r="K32" s="5">
        <v>895</v>
      </c>
      <c r="L32" s="6">
        <v>26797</v>
      </c>
      <c r="M32" s="5">
        <v>29390</v>
      </c>
      <c r="N32" s="5">
        <v>-2593</v>
      </c>
      <c r="O32" s="6">
        <f t="shared" ref="O32:O49" si="3">K32+H32+E32</f>
        <v>6323</v>
      </c>
      <c r="P32" s="70">
        <f t="shared" si="1"/>
        <v>8.1915817020559931E-2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8" t="str">
        <f>IF($C$4="High Inventory",IF(AND($O32&gt;=Summary!$C$119,$P32&gt;=0%),"X"," "),IF(AND($O32&lt;=-Summary!$C$119,$P32&lt;=0%),"X"," "))</f>
        <v>X</v>
      </c>
      <c r="U32" s="11" t="str">
        <f>IF($C$4="High Inventory",IF(AND($O32&gt;=0,$P32&gt;=Summary!$C$120),"X"," "),IF(AND($O32&lt;=0,$P32&lt;=-Summary!$C$120),"X"," "))</f>
        <v xml:space="preserve"> </v>
      </c>
      <c r="V32" t="str">
        <f t="shared" si="2"/>
        <v xml:space="preserve"> </v>
      </c>
      <c r="W32" t="str">
        <f>IF($C$4="High Inventory",IF(O32&gt;Summary!$C$119,"X"," "),IF(O32&lt;-Summary!$C$119,"X"," "))</f>
        <v>X</v>
      </c>
      <c r="X32" t="str">
        <f>IF($C$4="High Inventory",IF(P32&gt;Summary!$C$120,"X"," "),IF(P32&lt;-Summary!$C$120,"X"," "))</f>
        <v xml:space="preserve"> </v>
      </c>
    </row>
    <row r="33" spans="1:24" x14ac:dyDescent="0.2">
      <c r="A33" s="27">
        <v>2056</v>
      </c>
      <c r="B33" s="55" t="s">
        <v>26</v>
      </c>
      <c r="C33" s="6">
        <v>34400</v>
      </c>
      <c r="D33" s="5">
        <v>31399</v>
      </c>
      <c r="E33" s="5">
        <v>3001</v>
      </c>
      <c r="F33" s="6">
        <v>29610</v>
      </c>
      <c r="G33" s="5">
        <v>29320</v>
      </c>
      <c r="H33" s="5">
        <v>290</v>
      </c>
      <c r="I33" s="6">
        <v>21618</v>
      </c>
      <c r="J33" s="5">
        <v>32404</v>
      </c>
      <c r="K33" s="5">
        <v>-10786</v>
      </c>
      <c r="L33" s="6">
        <v>24118</v>
      </c>
      <c r="M33" s="5">
        <v>34765</v>
      </c>
      <c r="N33" s="5">
        <v>-10647</v>
      </c>
      <c r="O33" s="6">
        <f t="shared" si="3"/>
        <v>-7495</v>
      </c>
      <c r="P33" s="70">
        <f t="shared" ref="P33:P49" si="4">O33/(J33+G33+D33+1)</f>
        <v>-8.0484085735148828E-2</v>
      </c>
      <c r="Q33" s="178"/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 xml:space="preserve"> 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ref="V33:V49" si="5">IF(S33 = "X",L33-I33," ")</f>
        <v xml:space="preserve"> </v>
      </c>
      <c r="W33" t="str">
        <f>IF($C$4="High Inventory",IF(O33&gt;Summary!$C$119,"X"," "),IF(O33&lt;-Summary!$C$119,"X"," "))</f>
        <v xml:space="preserve"> </v>
      </c>
      <c r="X33" t="str">
        <f>IF($C$4="High Inventory",IF(P33&gt;Summary!$C$120,"X"," "),IF(P33&lt;-Summary!$C$120,"X"," "))</f>
        <v xml:space="preserve"> </v>
      </c>
    </row>
    <row r="34" spans="1:24" x14ac:dyDescent="0.2">
      <c r="A34" s="27">
        <v>2280</v>
      </c>
      <c r="B34" s="55" t="s">
        <v>26</v>
      </c>
      <c r="C34" s="6">
        <v>13000</v>
      </c>
      <c r="D34" s="5">
        <v>0</v>
      </c>
      <c r="E34" s="5">
        <v>13000</v>
      </c>
      <c r="F34" s="6">
        <v>13000</v>
      </c>
      <c r="G34" s="5">
        <v>0</v>
      </c>
      <c r="H34" s="5">
        <v>13000</v>
      </c>
      <c r="I34" s="6">
        <v>13000</v>
      </c>
      <c r="J34" s="5">
        <v>0</v>
      </c>
      <c r="K34" s="5">
        <v>13000</v>
      </c>
      <c r="L34" s="6">
        <v>5000</v>
      </c>
      <c r="M34" s="5">
        <v>0</v>
      </c>
      <c r="N34" s="5">
        <v>5000</v>
      </c>
      <c r="O34" s="6">
        <f t="shared" si="3"/>
        <v>39000</v>
      </c>
      <c r="P34" s="70">
        <f t="shared" si="4"/>
        <v>39000</v>
      </c>
      <c r="Q34" s="176"/>
      <c r="R34" s="66" t="str">
        <f>IF($C$4="High Inventory",IF(AND(O34&gt;=Summary!$C$119,P34&gt;=Summary!$C$120),"X"," "),IF(AND(O34&lt;=-Summary!$C$119,P34&lt;=-Summary!$C$120),"X"," "))</f>
        <v>X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>X</v>
      </c>
      <c r="U34" s="11" t="str">
        <f>IF($C$4="High Inventory",IF(AND($O34&gt;=0,$P34&gt;=Summary!$C$120),"X"," "),IF(AND($O34&lt;=0,$P34&lt;=-Summary!$C$120),"X"," "))</f>
        <v>X</v>
      </c>
      <c r="V34" t="str">
        <f t="shared" si="5"/>
        <v xml:space="preserve"> </v>
      </c>
      <c r="W34" t="str">
        <f>IF($C$4="High Inventory",IF(O34&gt;Summary!$C$119,"X"," "),IF(O34&lt;-Summary!$C$119,"X"," "))</f>
        <v>X</v>
      </c>
      <c r="X34" t="str">
        <f>IF($C$4="High Inventory",IF(P34&gt;Summary!$C$120,"X"," "),IF(P34&lt;-Summary!$C$120,"X"," "))</f>
        <v>X</v>
      </c>
    </row>
    <row r="35" spans="1:24" x14ac:dyDescent="0.2">
      <c r="A35" s="27">
        <v>2584</v>
      </c>
      <c r="B35" s="55" t="s">
        <v>26</v>
      </c>
      <c r="C35" s="6">
        <v>57983</v>
      </c>
      <c r="D35" s="5">
        <v>46113</v>
      </c>
      <c r="E35" s="5">
        <v>11870</v>
      </c>
      <c r="F35" s="6">
        <v>57983</v>
      </c>
      <c r="G35" s="5">
        <v>38327</v>
      </c>
      <c r="H35" s="5">
        <v>19656</v>
      </c>
      <c r="I35" s="6">
        <v>57982</v>
      </c>
      <c r="J35" s="5">
        <v>39737</v>
      </c>
      <c r="K35" s="5">
        <v>18245</v>
      </c>
      <c r="L35" s="6">
        <v>43966</v>
      </c>
      <c r="M35" s="5">
        <v>41868</v>
      </c>
      <c r="N35" s="5">
        <v>2098</v>
      </c>
      <c r="O35" s="6">
        <f t="shared" si="3"/>
        <v>49771</v>
      </c>
      <c r="P35" s="70">
        <f t="shared" si="4"/>
        <v>0.40080368503277553</v>
      </c>
      <c r="Q35" s="176"/>
      <c r="R35" s="66" t="str">
        <f>IF($C$4="High Inventory",IF(AND(O35&gt;=Summary!$C$119,P35&gt;=Summary!$C$120),"X"," "),IF(AND(O35&lt;=-Summary!$C$119,P35&lt;=-Summary!$C$120),"X"," "))</f>
        <v>X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>X</v>
      </c>
      <c r="U35" s="11" t="str">
        <f>IF($C$4="High Inventory",IF(AND($O35&gt;=0,$P35&gt;=Summary!$C$120),"X"," "),IF(AND($O35&lt;=0,$P35&lt;=-Summary!$C$120),"X"," "))</f>
        <v>X</v>
      </c>
      <c r="V35" t="str">
        <f t="shared" si="5"/>
        <v xml:space="preserve"> </v>
      </c>
      <c r="W35" t="str">
        <f>IF($C$4="High Inventory",IF(O35&gt;Summary!$C$119,"X"," "),IF(O35&lt;-Summary!$C$119,"X"," "))</f>
        <v>X</v>
      </c>
      <c r="X35" t="str">
        <f>IF($C$4="High Inventory",IF(P35&gt;Summary!$C$120,"X"," "),IF(P35&lt;-Summary!$C$120,"X"," "))</f>
        <v>X</v>
      </c>
    </row>
    <row r="36" spans="1:24" x14ac:dyDescent="0.2">
      <c r="A36" s="27">
        <v>2771</v>
      </c>
      <c r="B36" s="55" t="s">
        <v>26</v>
      </c>
      <c r="C36" s="6">
        <v>16579</v>
      </c>
      <c r="D36" s="5">
        <v>28451</v>
      </c>
      <c r="E36" s="5">
        <v>-11872</v>
      </c>
      <c r="F36" s="6">
        <v>14981</v>
      </c>
      <c r="G36" s="5">
        <v>26136</v>
      </c>
      <c r="H36" s="5">
        <v>-11155</v>
      </c>
      <c r="I36" s="6">
        <v>17868</v>
      </c>
      <c r="J36" s="5">
        <v>35535</v>
      </c>
      <c r="K36" s="5">
        <v>-17667</v>
      </c>
      <c r="L36" s="6">
        <v>4543</v>
      </c>
      <c r="M36" s="5">
        <v>32645</v>
      </c>
      <c r="N36" s="5">
        <v>-28102</v>
      </c>
      <c r="O36" s="6">
        <f t="shared" si="3"/>
        <v>-40694</v>
      </c>
      <c r="P36" s="70">
        <f t="shared" si="4"/>
        <v>-0.45153845300311796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5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">
      <c r="A37" s="27">
        <v>2832</v>
      </c>
      <c r="B37" s="55" t="s">
        <v>26</v>
      </c>
      <c r="C37" s="6">
        <v>4100</v>
      </c>
      <c r="D37" s="5">
        <v>1316</v>
      </c>
      <c r="E37" s="5">
        <v>2784</v>
      </c>
      <c r="F37" s="6">
        <v>4100</v>
      </c>
      <c r="G37" s="5">
        <v>1300</v>
      </c>
      <c r="H37" s="5">
        <v>2800</v>
      </c>
      <c r="I37" s="6">
        <v>4100</v>
      </c>
      <c r="J37" s="5">
        <v>1540</v>
      </c>
      <c r="K37" s="5">
        <v>2560</v>
      </c>
      <c r="L37" s="6">
        <v>2100</v>
      </c>
      <c r="M37" s="5">
        <v>1559</v>
      </c>
      <c r="N37" s="5">
        <v>541</v>
      </c>
      <c r="O37" s="6">
        <f t="shared" si="3"/>
        <v>8144</v>
      </c>
      <c r="P37" s="70">
        <f t="shared" si="4"/>
        <v>1.9591051238874189</v>
      </c>
      <c r="Q37" s="176"/>
      <c r="R37" s="66" t="str">
        <f>IF($C$4="High Inventory",IF(AND(O37&gt;=Summary!$C$119,P37&gt;=Summary!$C$120),"X"," "),IF(AND(O37&lt;=-Summary!$C$119,P37&lt;=-Summary!$C$120),"X"," "))</f>
        <v>X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>X</v>
      </c>
      <c r="U37" s="11" t="str">
        <f>IF($C$4="High Inventory",IF(AND($O37&gt;=0,$P37&gt;=Summary!$C$120),"X"," "),IF(AND($O37&lt;=0,$P37&lt;=-Summary!$C$120),"X"," "))</f>
        <v>X</v>
      </c>
      <c r="V37" t="str">
        <f t="shared" si="5"/>
        <v xml:space="preserve"> </v>
      </c>
      <c r="W37" t="str">
        <f>IF($C$4="High Inventory",IF(O37&gt;Summary!$C$119,"X"," "),IF(O37&lt;-Summary!$C$119,"X"," "))</f>
        <v>X</v>
      </c>
      <c r="X37" t="str">
        <f>IF($C$4="High Inventory",IF(P37&gt;Summary!$C$120,"X"," "),IF(P37&lt;-Summary!$C$120,"X"," "))</f>
        <v>X</v>
      </c>
    </row>
    <row r="38" spans="1:24" x14ac:dyDescent="0.2">
      <c r="A38" s="27">
        <v>2892</v>
      </c>
      <c r="B38" s="55" t="s">
        <v>26</v>
      </c>
      <c r="C38" s="6">
        <v>416</v>
      </c>
      <c r="D38" s="5">
        <v>234</v>
      </c>
      <c r="E38" s="5">
        <v>182</v>
      </c>
      <c r="F38" s="6">
        <v>416</v>
      </c>
      <c r="G38" s="5">
        <v>224</v>
      </c>
      <c r="H38" s="5">
        <v>192</v>
      </c>
      <c r="I38" s="6">
        <v>416</v>
      </c>
      <c r="J38" s="5">
        <v>394</v>
      </c>
      <c r="K38" s="5">
        <v>22</v>
      </c>
      <c r="L38" s="6">
        <v>405</v>
      </c>
      <c r="M38" s="5">
        <v>397</v>
      </c>
      <c r="N38" s="5">
        <v>8</v>
      </c>
      <c r="O38" s="6">
        <f t="shared" si="3"/>
        <v>396</v>
      </c>
      <c r="P38" s="70">
        <f t="shared" si="4"/>
        <v>0.46424384525205159</v>
      </c>
      <c r="Q38" s="74"/>
      <c r="R38" s="66" t="str">
        <f>IF($C$4="High Inventory",IF(AND(O38&gt;=Summary!$C$119,P38&gt;=Summary!$C$120),"X"," "),IF(AND(O38&lt;=-Summary!$C$119,P38&lt;=-Summary!$C$120),"X"," "))</f>
        <v xml:space="preserve"> 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 xml:space="preserve"> </v>
      </c>
      <c r="U38" s="11" t="str">
        <f>IF($C$4="High Inventory",IF(AND($O38&gt;=0,$P38&gt;=Summary!$C$120),"X"," "),IF(AND($O38&lt;=0,$P38&lt;=-Summary!$C$120),"X"," "))</f>
        <v>X</v>
      </c>
      <c r="V38" t="str">
        <f t="shared" si="5"/>
        <v xml:space="preserve"> </v>
      </c>
      <c r="W38" t="str">
        <f>IF($C$4="High Inventory",IF(O38&gt;Summary!$C$119,"X"," "),IF(O38&lt;-Summary!$C$119,"X"," "))</f>
        <v xml:space="preserve"> </v>
      </c>
      <c r="X38" t="str">
        <f>IF($C$4="High Inventory",IF(P38&gt;Summary!$C$120,"X"," "),IF(P38&lt;-Summary!$C$120,"X"," "))</f>
        <v>X</v>
      </c>
    </row>
    <row r="39" spans="1:24" x14ac:dyDescent="0.2">
      <c r="A39" s="27">
        <v>3015</v>
      </c>
      <c r="B39" s="55" t="s">
        <v>26</v>
      </c>
      <c r="C39" s="6">
        <v>5742</v>
      </c>
      <c r="D39" s="5">
        <v>14748</v>
      </c>
      <c r="E39" s="5">
        <v>-9006</v>
      </c>
      <c r="F39" s="6">
        <v>5742</v>
      </c>
      <c r="G39" s="5">
        <v>13766</v>
      </c>
      <c r="H39" s="5">
        <v>-8024</v>
      </c>
      <c r="I39" s="6">
        <v>10519</v>
      </c>
      <c r="J39" s="5">
        <v>13868</v>
      </c>
      <c r="K39" s="5">
        <v>-3349</v>
      </c>
      <c r="L39" s="6">
        <v>22503</v>
      </c>
      <c r="M39" s="5">
        <v>13739</v>
      </c>
      <c r="N39" s="5">
        <v>8764</v>
      </c>
      <c r="O39" s="6">
        <f t="shared" si="3"/>
        <v>-20379</v>
      </c>
      <c r="P39" s="70">
        <f t="shared" si="4"/>
        <v>-0.48082957789679825</v>
      </c>
      <c r="Q39" s="74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>X</v>
      </c>
      <c r="T39" s="8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 xml:space="preserve"> </v>
      </c>
      <c r="V39">
        <f t="shared" si="5"/>
        <v>11984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 xml:space="preserve"> </v>
      </c>
    </row>
    <row r="40" spans="1:24" x14ac:dyDescent="0.2">
      <c r="A40" s="27">
        <v>4760</v>
      </c>
      <c r="B40" s="55" t="s">
        <v>26</v>
      </c>
      <c r="C40" s="6">
        <v>416439</v>
      </c>
      <c r="D40" s="5">
        <v>457300</v>
      </c>
      <c r="E40" s="5">
        <v>-40861</v>
      </c>
      <c r="F40" s="6">
        <v>416439</v>
      </c>
      <c r="G40" s="5">
        <v>445724</v>
      </c>
      <c r="H40" s="5">
        <v>-29285</v>
      </c>
      <c r="I40" s="6">
        <v>416437</v>
      </c>
      <c r="J40" s="5">
        <v>323147</v>
      </c>
      <c r="K40" s="5">
        <v>93290</v>
      </c>
      <c r="L40" s="6">
        <v>273975</v>
      </c>
      <c r="M40" s="5">
        <v>331864</v>
      </c>
      <c r="N40" s="5">
        <v>-57889</v>
      </c>
      <c r="O40" s="6">
        <f t="shared" si="3"/>
        <v>23144</v>
      </c>
      <c r="P40" s="70">
        <f t="shared" si="4"/>
        <v>1.8875002854411942E-2</v>
      </c>
      <c r="Q40" s="8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>X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5"/>
        <v xml:space="preserve"> </v>
      </c>
      <c r="W40" t="str">
        <f>IF($C$4="High Inventory",IF(O40&gt;Summary!$C$119,"X"," "),IF(O40&lt;-Summary!$C$119,"X"," "))</f>
        <v>X</v>
      </c>
      <c r="X40" t="str">
        <f>IF($C$4="High Inventory",IF(P40&gt;Summary!$C$120,"X"," "),IF(P40&lt;-Summary!$C$120,"X"," "))</f>
        <v xml:space="preserve"> </v>
      </c>
    </row>
    <row r="41" spans="1:24" x14ac:dyDescent="0.2">
      <c r="A41" s="27">
        <v>6728</v>
      </c>
      <c r="B41" s="55" t="s">
        <v>26</v>
      </c>
      <c r="C41" s="6">
        <v>11000</v>
      </c>
      <c r="D41" s="5">
        <v>11287</v>
      </c>
      <c r="E41" s="5">
        <v>-287</v>
      </c>
      <c r="F41" s="6">
        <v>11000</v>
      </c>
      <c r="G41" s="5">
        <v>11512</v>
      </c>
      <c r="H41" s="5">
        <v>-512</v>
      </c>
      <c r="I41" s="6">
        <v>11000</v>
      </c>
      <c r="J41" s="5">
        <v>11540</v>
      </c>
      <c r="K41" s="5">
        <v>-540</v>
      </c>
      <c r="L41" s="6">
        <v>10089</v>
      </c>
      <c r="M41" s="5">
        <v>11350</v>
      </c>
      <c r="N41" s="5">
        <v>-1261</v>
      </c>
      <c r="O41" s="6">
        <f t="shared" si="3"/>
        <v>-1339</v>
      </c>
      <c r="P41" s="70">
        <f t="shared" si="4"/>
        <v>-3.8992428654630172E-2</v>
      </c>
      <c r="Q41" s="74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5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">
      <c r="A42" s="27">
        <v>12296</v>
      </c>
      <c r="B42" s="55" t="s">
        <v>26</v>
      </c>
      <c r="C42" s="6">
        <v>5842</v>
      </c>
      <c r="D42" s="5">
        <v>0</v>
      </c>
      <c r="E42" s="5">
        <v>5842</v>
      </c>
      <c r="F42" s="6">
        <v>6652</v>
      </c>
      <c r="G42" s="5">
        <v>0</v>
      </c>
      <c r="H42" s="5">
        <v>6652</v>
      </c>
      <c r="I42" s="6">
        <v>10516</v>
      </c>
      <c r="J42" s="5">
        <v>0</v>
      </c>
      <c r="K42" s="5">
        <v>10516</v>
      </c>
      <c r="L42" s="6">
        <v>6480</v>
      </c>
      <c r="M42" s="5">
        <v>0</v>
      </c>
      <c r="N42" s="5">
        <v>6480</v>
      </c>
      <c r="O42" s="6">
        <f t="shared" si="3"/>
        <v>23010</v>
      </c>
      <c r="P42" s="70">
        <f t="shared" si="4"/>
        <v>23010</v>
      </c>
      <c r="Q42" s="8"/>
      <c r="R42" s="66" t="str">
        <f>IF($C$4="High Inventory",IF(AND(O42&gt;=Summary!$C$119,P42&gt;=Summary!$C$120),"X"," "),IF(AND(O42&lt;=-Summary!$C$119,P42&lt;=-Summary!$C$120),"X"," "))</f>
        <v>X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>X</v>
      </c>
      <c r="U42" s="11" t="str">
        <f>IF($C$4="High Inventory",IF(AND($O42&gt;=0,$P42&gt;=Summary!$C$120),"X"," "),IF(AND($O42&lt;=0,$P42&lt;=-Summary!$C$120),"X"," "))</f>
        <v>X</v>
      </c>
      <c r="V42" t="str">
        <f t="shared" si="5"/>
        <v xml:space="preserve"> </v>
      </c>
      <c r="W42" t="str">
        <f>IF($C$4="High Inventory",IF(O42&gt;Summary!$C$119,"X"," "),IF(O42&lt;-Summary!$C$119,"X"," "))</f>
        <v>X</v>
      </c>
      <c r="X42" t="str">
        <f>IF($C$4="High Inventory",IF(P42&gt;Summary!$C$120,"X"," "),IF(P42&lt;-Summary!$C$120,"X"," "))</f>
        <v>X</v>
      </c>
    </row>
    <row r="43" spans="1:24" x14ac:dyDescent="0.2">
      <c r="A43" s="27">
        <v>15966</v>
      </c>
      <c r="B43" s="55" t="s">
        <v>26</v>
      </c>
      <c r="C43" s="6">
        <v>49245</v>
      </c>
      <c r="D43" s="5">
        <v>34719</v>
      </c>
      <c r="E43" s="5">
        <v>14526</v>
      </c>
      <c r="F43" s="6">
        <v>49245</v>
      </c>
      <c r="G43" s="5">
        <v>36424</v>
      </c>
      <c r="H43" s="5">
        <v>12821</v>
      </c>
      <c r="I43" s="6">
        <v>49245</v>
      </c>
      <c r="J43" s="5">
        <v>35875</v>
      </c>
      <c r="K43" s="5">
        <v>13370</v>
      </c>
      <c r="L43" s="6">
        <v>33490</v>
      </c>
      <c r="M43" s="5">
        <v>36299</v>
      </c>
      <c r="N43" s="5">
        <v>-2809</v>
      </c>
      <c r="O43" s="6">
        <f t="shared" si="3"/>
        <v>40717</v>
      </c>
      <c r="P43" s="70">
        <f t="shared" si="4"/>
        <v>0.38046515104794476</v>
      </c>
      <c r="Q43" s="74"/>
      <c r="R43" s="66" t="str">
        <f>IF($C$4="High Inventory",IF(AND(O43&gt;=Summary!$C$119,P43&gt;=Summary!$C$120),"X"," "),IF(AND(O43&lt;=-Summary!$C$119,P43&lt;=-Summary!$C$120),"X"," "))</f>
        <v>X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>X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>X</v>
      </c>
    </row>
    <row r="44" spans="1:24" x14ac:dyDescent="0.2">
      <c r="A44" s="27">
        <v>30069</v>
      </c>
      <c r="B44" s="55" t="s">
        <v>26</v>
      </c>
      <c r="C44" s="6">
        <v>9335</v>
      </c>
      <c r="D44" s="5">
        <v>10084</v>
      </c>
      <c r="E44" s="5">
        <v>-749</v>
      </c>
      <c r="F44" s="6">
        <v>9377</v>
      </c>
      <c r="G44" s="5">
        <v>10136</v>
      </c>
      <c r="H44" s="5">
        <v>-759</v>
      </c>
      <c r="I44" s="6">
        <v>8750</v>
      </c>
      <c r="J44" s="5">
        <v>10137</v>
      </c>
      <c r="K44" s="5">
        <v>-1387</v>
      </c>
      <c r="L44" s="6">
        <v>8351</v>
      </c>
      <c r="M44" s="5">
        <v>10015</v>
      </c>
      <c r="N44" s="5">
        <v>-1664</v>
      </c>
      <c r="O44" s="6">
        <f t="shared" si="3"/>
        <v>-2895</v>
      </c>
      <c r="P44" s="70">
        <f t="shared" si="4"/>
        <v>-9.5362013307859539E-2</v>
      </c>
      <c r="Q44" s="74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">
      <c r="A45" s="27">
        <v>254</v>
      </c>
      <c r="B45" s="55" t="s">
        <v>27</v>
      </c>
      <c r="C45" s="6">
        <v>11934</v>
      </c>
      <c r="D45" s="5">
        <v>10887</v>
      </c>
      <c r="E45" s="5">
        <v>1047</v>
      </c>
      <c r="F45" s="6">
        <v>11934</v>
      </c>
      <c r="G45" s="5">
        <v>11174</v>
      </c>
      <c r="H45" s="5">
        <v>760</v>
      </c>
      <c r="I45" s="6">
        <v>11934</v>
      </c>
      <c r="J45" s="5">
        <v>11885</v>
      </c>
      <c r="K45" s="5">
        <v>49</v>
      </c>
      <c r="L45" s="6">
        <v>11598</v>
      </c>
      <c r="M45" s="5">
        <v>12401</v>
      </c>
      <c r="N45" s="5">
        <v>-803</v>
      </c>
      <c r="O45" s="6">
        <f t="shared" si="3"/>
        <v>1856</v>
      </c>
      <c r="P45" s="70">
        <f t="shared" si="4"/>
        <v>5.4673461572451176E-2</v>
      </c>
      <c r="Q45" s="74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5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">
      <c r="A46" s="27">
        <v>399</v>
      </c>
      <c r="B46" s="55" t="s">
        <v>27</v>
      </c>
      <c r="C46" s="6">
        <v>150</v>
      </c>
      <c r="D46" s="5">
        <v>167</v>
      </c>
      <c r="E46" s="5">
        <v>-17</v>
      </c>
      <c r="F46" s="6">
        <v>150</v>
      </c>
      <c r="G46" s="5">
        <v>159</v>
      </c>
      <c r="H46" s="5">
        <v>-9</v>
      </c>
      <c r="I46" s="6">
        <v>150</v>
      </c>
      <c r="J46" s="5">
        <v>131</v>
      </c>
      <c r="K46" s="5">
        <v>19</v>
      </c>
      <c r="L46" s="6">
        <v>0</v>
      </c>
      <c r="M46" s="5">
        <v>125</v>
      </c>
      <c r="N46" s="5">
        <v>-125</v>
      </c>
      <c r="O46" s="6">
        <f t="shared" si="3"/>
        <v>-7</v>
      </c>
      <c r="P46" s="70">
        <f t="shared" si="4"/>
        <v>-1.5283842794759825E-2</v>
      </c>
      <c r="Q46" s="74"/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5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">
      <c r="A47" s="27">
        <v>512</v>
      </c>
      <c r="B47" s="55" t="s">
        <v>27</v>
      </c>
      <c r="C47" s="6">
        <v>800</v>
      </c>
      <c r="D47" s="5">
        <v>674</v>
      </c>
      <c r="E47" s="5">
        <v>126</v>
      </c>
      <c r="F47" s="6">
        <v>800</v>
      </c>
      <c r="G47" s="5">
        <v>621</v>
      </c>
      <c r="H47" s="5">
        <v>179</v>
      </c>
      <c r="I47" s="6">
        <v>800</v>
      </c>
      <c r="J47" s="5">
        <v>693</v>
      </c>
      <c r="K47" s="5">
        <v>107</v>
      </c>
      <c r="L47" s="6">
        <v>800</v>
      </c>
      <c r="M47" s="5">
        <v>650</v>
      </c>
      <c r="N47" s="5">
        <v>150</v>
      </c>
      <c r="O47" s="6">
        <f t="shared" si="3"/>
        <v>412</v>
      </c>
      <c r="P47" s="70">
        <f t="shared" si="4"/>
        <v>0.20713926596279539</v>
      </c>
      <c r="Q47" s="74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>X</v>
      </c>
      <c r="V47" t="str">
        <f t="shared" si="5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>X</v>
      </c>
    </row>
    <row r="48" spans="1:24" x14ac:dyDescent="0.2">
      <c r="A48" s="27">
        <v>779</v>
      </c>
      <c r="B48" s="55" t="s">
        <v>27</v>
      </c>
      <c r="C48" s="6">
        <v>800</v>
      </c>
      <c r="D48" s="5">
        <v>301</v>
      </c>
      <c r="E48" s="5">
        <v>499</v>
      </c>
      <c r="F48" s="6">
        <v>800</v>
      </c>
      <c r="G48" s="5">
        <v>0</v>
      </c>
      <c r="H48" s="5">
        <v>800</v>
      </c>
      <c r="I48" s="6">
        <v>800</v>
      </c>
      <c r="J48" s="5">
        <v>508</v>
      </c>
      <c r="K48" s="5">
        <v>292</v>
      </c>
      <c r="L48" s="6">
        <v>743</v>
      </c>
      <c r="M48" s="5">
        <v>1183</v>
      </c>
      <c r="N48" s="5">
        <v>-440</v>
      </c>
      <c r="O48" s="6">
        <f t="shared" si="3"/>
        <v>1591</v>
      </c>
      <c r="P48" s="70">
        <f t="shared" si="4"/>
        <v>1.9641975308641975</v>
      </c>
      <c r="Q48" s="74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>X</v>
      </c>
      <c r="V48" t="str">
        <f t="shared" si="5"/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>X</v>
      </c>
    </row>
    <row r="49" spans="1:42" x14ac:dyDescent="0.2">
      <c r="A49" s="27">
        <v>928</v>
      </c>
      <c r="B49" s="55" t="s">
        <v>27</v>
      </c>
      <c r="C49" s="6">
        <v>190</v>
      </c>
      <c r="D49" s="5">
        <v>214</v>
      </c>
      <c r="E49" s="5">
        <v>-24</v>
      </c>
      <c r="F49" s="6">
        <v>190</v>
      </c>
      <c r="G49" s="5">
        <v>216</v>
      </c>
      <c r="H49" s="5">
        <v>-26</v>
      </c>
      <c r="I49" s="6">
        <v>190</v>
      </c>
      <c r="J49" s="5">
        <v>214</v>
      </c>
      <c r="K49" s="5">
        <v>-24</v>
      </c>
      <c r="L49" s="6">
        <v>190</v>
      </c>
      <c r="M49" s="5">
        <v>221</v>
      </c>
      <c r="N49" s="5">
        <v>-31</v>
      </c>
      <c r="O49" s="6">
        <f t="shared" si="3"/>
        <v>-74</v>
      </c>
      <c r="P49" s="70">
        <f t="shared" si="4"/>
        <v>-0.11472868217054263</v>
      </c>
      <c r="Q49" s="74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 t="shared" si="5"/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42" x14ac:dyDescent="0.2">
      <c r="A50" s="27">
        <v>7602</v>
      </c>
      <c r="B50" s="55" t="s">
        <v>27</v>
      </c>
      <c r="C50" s="6">
        <v>2054</v>
      </c>
      <c r="D50" s="5">
        <v>2179</v>
      </c>
      <c r="E50" s="5">
        <v>-125</v>
      </c>
      <c r="F50" s="6">
        <v>2237</v>
      </c>
      <c r="G50" s="5">
        <v>2700</v>
      </c>
      <c r="H50" s="5">
        <v>-463</v>
      </c>
      <c r="I50" s="6">
        <v>2124</v>
      </c>
      <c r="J50" s="5">
        <v>9943</v>
      </c>
      <c r="K50" s="5">
        <v>-7819</v>
      </c>
      <c r="L50" s="6">
        <v>7864</v>
      </c>
      <c r="M50" s="5">
        <v>10245</v>
      </c>
      <c r="N50" s="5">
        <v>-2381</v>
      </c>
      <c r="O50" s="6">
        <f t="shared" ref="O50:O58" si="6">K50+H50+E50</f>
        <v>-8407</v>
      </c>
      <c r="P50" s="70">
        <f t="shared" ref="P50:P58" si="7">O50/(J50+G50+D50+1)</f>
        <v>-0.56715914457262362</v>
      </c>
      <c r="Q50" s="74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 t="shared" ref="V50:V58" si="8">IF(S50 = "X",L50-I50," ")</f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42" x14ac:dyDescent="0.2">
      <c r="A51" s="27">
        <v>7604</v>
      </c>
      <c r="B51" s="55" t="s">
        <v>27</v>
      </c>
      <c r="C51" s="6">
        <v>23881</v>
      </c>
      <c r="D51" s="5">
        <v>19095</v>
      </c>
      <c r="E51" s="5">
        <v>4786</v>
      </c>
      <c r="F51" s="6">
        <v>30598</v>
      </c>
      <c r="G51" s="5">
        <v>22286</v>
      </c>
      <c r="H51" s="5">
        <v>8312</v>
      </c>
      <c r="I51" s="6">
        <v>36539</v>
      </c>
      <c r="J51" s="5">
        <v>21506</v>
      </c>
      <c r="K51" s="5">
        <v>15033</v>
      </c>
      <c r="L51" s="6">
        <v>24165</v>
      </c>
      <c r="M51" s="5">
        <v>22532</v>
      </c>
      <c r="N51" s="5">
        <v>1633</v>
      </c>
      <c r="O51" s="6">
        <f t="shared" si="6"/>
        <v>28131</v>
      </c>
      <c r="P51" s="70">
        <f t="shared" si="7"/>
        <v>0.44731904337870498</v>
      </c>
      <c r="Q51" s="74"/>
      <c r="R51" s="66" t="str">
        <f>IF($C$4="High Inventory",IF(AND(O51&gt;=Summary!$C$119,P51&gt;=Summary!$C$120),"X"," "),IF(AND(O51&lt;=-Summary!$C$119,P51&lt;=-Summary!$C$120),"X"," "))</f>
        <v>X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 t="str">
        <f>IF($C$4="High Inventory",IF(AND($O51&gt;=Summary!$C$119,$P51&gt;=0%),"X"," "),IF(AND($O51&lt;=-Summary!$C$119,$P51&lt;=0%),"X"," "))</f>
        <v>X</v>
      </c>
      <c r="U51" s="11" t="str">
        <f>IF($C$4="High Inventory",IF(AND($O51&gt;=0,$P51&gt;=Summary!$C$120),"X"," "),IF(AND($O51&lt;=0,$P51&lt;=-Summary!$C$120),"X"," "))</f>
        <v>X</v>
      </c>
      <c r="V51" t="str">
        <f t="shared" si="8"/>
        <v xml:space="preserve"> </v>
      </c>
      <c r="W51" t="str">
        <f>IF($C$4="High Inventory",IF(O51&gt;Summary!$C$119,"X"," "),IF(O51&lt;-Summary!$C$119,"X"," "))</f>
        <v>X</v>
      </c>
      <c r="X51" t="str">
        <f>IF($C$4="High Inventory",IF(P51&gt;Summary!$C$120,"X"," "),IF(P51&lt;-Summary!$C$120,"X"," "))</f>
        <v>X</v>
      </c>
    </row>
    <row r="52" spans="1:42" x14ac:dyDescent="0.2">
      <c r="A52" s="27">
        <v>13636</v>
      </c>
      <c r="B52" s="55" t="s">
        <v>27</v>
      </c>
      <c r="C52" s="6">
        <v>0</v>
      </c>
      <c r="D52" s="5">
        <v>62</v>
      </c>
      <c r="E52" s="5">
        <v>-62</v>
      </c>
      <c r="F52" s="6">
        <v>0</v>
      </c>
      <c r="G52" s="5">
        <v>86</v>
      </c>
      <c r="H52" s="5">
        <v>-86</v>
      </c>
      <c r="I52" s="6">
        <v>0</v>
      </c>
      <c r="J52" s="5">
        <v>40</v>
      </c>
      <c r="K52" s="5">
        <v>-40</v>
      </c>
      <c r="L52" s="6">
        <v>0</v>
      </c>
      <c r="M52" s="5">
        <v>29</v>
      </c>
      <c r="N52" s="5">
        <v>-29</v>
      </c>
      <c r="O52" s="6">
        <f t="shared" si="6"/>
        <v>-188</v>
      </c>
      <c r="P52" s="70">
        <f t="shared" si="7"/>
        <v>-0.99470899470899465</v>
      </c>
      <c r="Q52" s="74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 t="shared" si="8"/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42" x14ac:dyDescent="0.2">
      <c r="A53" s="27">
        <v>20566</v>
      </c>
      <c r="B53" s="55" t="s">
        <v>27</v>
      </c>
      <c r="C53" s="6">
        <v>3904</v>
      </c>
      <c r="D53" s="5">
        <v>0</v>
      </c>
      <c r="E53" s="5">
        <v>3904</v>
      </c>
      <c r="F53" s="6">
        <v>3904</v>
      </c>
      <c r="G53" s="5">
        <v>0</v>
      </c>
      <c r="H53" s="5">
        <v>3904</v>
      </c>
      <c r="I53" s="6">
        <v>0</v>
      </c>
      <c r="J53" s="5">
        <v>4441</v>
      </c>
      <c r="K53" s="5">
        <v>-4441</v>
      </c>
      <c r="L53" s="6">
        <v>6500</v>
      </c>
      <c r="M53" s="5">
        <v>5478</v>
      </c>
      <c r="N53" s="5">
        <v>1022</v>
      </c>
      <c r="O53" s="6">
        <f t="shared" si="6"/>
        <v>3367</v>
      </c>
      <c r="P53" s="70">
        <f t="shared" si="7"/>
        <v>0.75799189554254842</v>
      </c>
      <c r="Q53" s="74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>X</v>
      </c>
      <c r="T53" s="8" t="str">
        <f>IF($C$4="High Inventory",IF(AND($O53&gt;=Summary!$C$119,$P53&gt;=0%),"X"," "),IF(AND($O53&lt;=-Summary!$C$119,$P53&lt;=0%),"X"," "))</f>
        <v xml:space="preserve"> </v>
      </c>
      <c r="U53" s="11" t="str">
        <f>IF($C$4="High Inventory",IF(AND($O53&gt;=0,$P53&gt;=Summary!$C$120),"X"," "),IF(AND($O53&lt;=0,$P53&lt;=-Summary!$C$120),"X"," "))</f>
        <v>X</v>
      </c>
      <c r="V53">
        <f t="shared" si="8"/>
        <v>6500</v>
      </c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>X</v>
      </c>
    </row>
    <row r="54" spans="1:42" x14ac:dyDescent="0.2">
      <c r="A54" s="27">
        <v>30511</v>
      </c>
      <c r="B54" s="55" t="s">
        <v>27</v>
      </c>
      <c r="C54" s="202">
        <v>500</v>
      </c>
      <c r="D54" s="203">
        <v>490</v>
      </c>
      <c r="E54" s="203">
        <v>10</v>
      </c>
      <c r="F54" s="202">
        <v>500</v>
      </c>
      <c r="G54" s="203">
        <v>489</v>
      </c>
      <c r="H54" s="203">
        <v>11</v>
      </c>
      <c r="I54" s="202">
        <v>500</v>
      </c>
      <c r="J54" s="203">
        <v>404</v>
      </c>
      <c r="K54" s="203">
        <v>96</v>
      </c>
      <c r="L54" s="202">
        <v>500</v>
      </c>
      <c r="M54" s="203">
        <v>486</v>
      </c>
      <c r="N54" s="203">
        <v>14</v>
      </c>
      <c r="O54" s="202">
        <f t="shared" si="6"/>
        <v>117</v>
      </c>
      <c r="P54" s="70">
        <f t="shared" si="7"/>
        <v>8.4537572254335266E-2</v>
      </c>
      <c r="Q54" s="74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 xml:space="preserve"> </v>
      </c>
      <c r="V54" t="str">
        <f t="shared" si="8"/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 xml:space="preserve"> </v>
      </c>
    </row>
    <row r="55" spans="1:42" x14ac:dyDescent="0.2">
      <c r="A55" s="27">
        <v>35475</v>
      </c>
      <c r="B55" s="55" t="s">
        <v>27</v>
      </c>
      <c r="C55" s="6">
        <v>0</v>
      </c>
      <c r="D55" s="5">
        <v>6623</v>
      </c>
      <c r="E55" s="5">
        <v>-6623</v>
      </c>
      <c r="F55" s="6">
        <v>0</v>
      </c>
      <c r="G55" s="5">
        <v>6625</v>
      </c>
      <c r="H55" s="5">
        <v>-6625</v>
      </c>
      <c r="I55" s="6">
        <v>3904</v>
      </c>
      <c r="J55" s="5">
        <v>10787</v>
      </c>
      <c r="K55" s="5">
        <v>-6883</v>
      </c>
      <c r="L55" s="6">
        <v>3904</v>
      </c>
      <c r="M55" s="5">
        <v>13563</v>
      </c>
      <c r="N55" s="5">
        <v>-9659</v>
      </c>
      <c r="O55" s="6">
        <f t="shared" si="6"/>
        <v>-20131</v>
      </c>
      <c r="P55" s="70">
        <f t="shared" si="7"/>
        <v>-0.83753536362123482</v>
      </c>
      <c r="Q55" s="74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 xml:space="preserve"> </v>
      </c>
      <c r="V55" t="str">
        <f t="shared" si="8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 xml:space="preserve"> </v>
      </c>
    </row>
    <row r="56" spans="1:42" x14ac:dyDescent="0.2">
      <c r="A56" s="27"/>
      <c r="B56" s="55"/>
      <c r="C56" s="6"/>
      <c r="D56" s="5"/>
      <c r="E56" s="5"/>
      <c r="F56" s="6"/>
      <c r="G56" s="5"/>
      <c r="H56" s="5"/>
      <c r="I56" s="6"/>
      <c r="J56" s="5"/>
      <c r="K56" s="5"/>
      <c r="L56" s="6"/>
      <c r="M56" s="5"/>
      <c r="N56" s="5"/>
      <c r="O56" s="6">
        <f t="shared" si="6"/>
        <v>0</v>
      </c>
      <c r="P56" s="70">
        <f t="shared" si="7"/>
        <v>0</v>
      </c>
      <c r="Q56" s="74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 xml:space="preserve"> </v>
      </c>
      <c r="V56" t="str">
        <f t="shared" si="8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 xml:space="preserve"> </v>
      </c>
    </row>
    <row r="57" spans="1:42" x14ac:dyDescent="0.2">
      <c r="A57" s="27"/>
      <c r="B57" s="55"/>
      <c r="C57" s="6"/>
      <c r="D57" s="5"/>
      <c r="E57" s="5"/>
      <c r="F57" s="6"/>
      <c r="G57" s="5"/>
      <c r="H57" s="5"/>
      <c r="I57" s="6"/>
      <c r="J57" s="5"/>
      <c r="K57" s="5"/>
      <c r="L57" s="6"/>
      <c r="M57" s="5"/>
      <c r="N57" s="5"/>
      <c r="O57" s="6">
        <f t="shared" si="6"/>
        <v>0</v>
      </c>
      <c r="P57" s="70">
        <f t="shared" si="7"/>
        <v>0</v>
      </c>
      <c r="Q57" s="74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 t="str">
        <f>IF($C$4="High Inventory",IF(AND($O57&gt;=Summary!$C$119,$P57&gt;=0%),"X"," "),IF(AND($O57&lt;=-Summary!$C$119,$P57&lt;=0%),"X"," "))</f>
        <v xml:space="preserve"> </v>
      </c>
      <c r="U57" s="11" t="str">
        <f>IF($C$4="High Inventory",IF(AND($O57&gt;=0,$P57&gt;=Summary!$C$120),"X"," "),IF(AND($O57&lt;=0,$P57&lt;=-Summary!$C$120),"X"," "))</f>
        <v xml:space="preserve"> </v>
      </c>
      <c r="V57" t="str">
        <f t="shared" si="8"/>
        <v xml:space="preserve"> </v>
      </c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42" x14ac:dyDescent="0.2">
      <c r="A58" s="27"/>
      <c r="B58" s="55"/>
      <c r="C58" s="6"/>
      <c r="D58" s="5"/>
      <c r="E58" s="5"/>
      <c r="F58" s="6"/>
      <c r="G58" s="5"/>
      <c r="H58" s="5"/>
      <c r="I58" s="6"/>
      <c r="J58" s="5"/>
      <c r="K58" s="5"/>
      <c r="L58" s="6"/>
      <c r="M58" s="5"/>
      <c r="N58" s="5"/>
      <c r="O58" s="6">
        <f t="shared" si="6"/>
        <v>0</v>
      </c>
      <c r="P58" s="70">
        <f t="shared" si="7"/>
        <v>0</v>
      </c>
      <c r="Q58" s="74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8"/>
        <v xml:space="preserve"> </v>
      </c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 xml:space="preserve"> </v>
      </c>
    </row>
    <row r="59" spans="1:42" ht="13.5" thickBot="1" x14ac:dyDescent="0.25">
      <c r="A59" s="27"/>
      <c r="B59" s="55"/>
      <c r="C59" s="6"/>
      <c r="D59" s="5"/>
      <c r="E59" s="5"/>
      <c r="F59" s="6"/>
      <c r="G59" s="5"/>
      <c r="H59" s="5"/>
      <c r="I59" s="6"/>
      <c r="J59" s="5"/>
      <c r="K59" s="5"/>
      <c r="L59" s="6"/>
      <c r="M59" s="5"/>
      <c r="N59" s="5"/>
      <c r="O59" s="6">
        <f>K59+H59+E59</f>
        <v>0</v>
      </c>
      <c r="P59" s="70">
        <f>O59/(J59+G59+D59+1)</f>
        <v>0</v>
      </c>
      <c r="Q59" s="87"/>
      <c r="R59" s="88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90" t="str">
        <f>IF($C$4="High Inventory",IF(AND($O59&gt;=Summary!$C$119,$P59&gt;=0%),"X"," "),IF(AND($O59&lt;=-Summary!$C$119,$P59&lt;=0%),"X"," "))</f>
        <v xml:space="preserve"> </v>
      </c>
      <c r="U59" s="13" t="str">
        <f>IF($C$4="High Inventory",IF(AND($O59&gt;=0,$P59&gt;=Summary!$C$120),"X"," "),IF(AND($O59&lt;=0,$P59&lt;=-Summary!$C$120),"X"," "))</f>
        <v xml:space="preserve"> </v>
      </c>
      <c r="V59" t="str">
        <f>IF(S59 = "X",L59-I59," ")</f>
        <v xml:space="preserve"> </v>
      </c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42" s="3" customFormat="1" x14ac:dyDescent="0.2">
      <c r="A60" s="2" t="s">
        <v>28</v>
      </c>
      <c r="B60" s="2"/>
      <c r="E60" s="3">
        <f>SUM(E10:E59)</f>
        <v>91705</v>
      </c>
      <c r="H60" s="3">
        <f>SUM(H10:H59)</f>
        <v>299312</v>
      </c>
      <c r="K60" s="3">
        <f>SUM(K10:K59)</f>
        <v>509698</v>
      </c>
      <c r="M60" s="3">
        <f>SUM(M10:M59)</f>
        <v>2086241</v>
      </c>
      <c r="N60" s="3">
        <f>SUM(N10:N59)</f>
        <v>-193784</v>
      </c>
      <c r="P60" s="12"/>
      <c r="Q60" s="2">
        <f>COUNTIF(Q10:Q59,"X")</f>
        <v>2</v>
      </c>
      <c r="R60" s="2">
        <f>COUNTIF(R10:R59,"X")</f>
        <v>12</v>
      </c>
      <c r="S60" s="2">
        <f>COUNTIF(S10:S59,"X")</f>
        <v>7</v>
      </c>
      <c r="T60" s="2">
        <f>COUNTIF(T10:T59,"X")</f>
        <v>14</v>
      </c>
      <c r="U60" s="2">
        <f>COUNTIF(U10:U59,"X")</f>
        <v>23</v>
      </c>
      <c r="V60">
        <f>SUM(V$45:V$58)+SUM(V$24:V$44)+SUM(V$10:V$23)</f>
        <v>171743</v>
      </c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</row>
    <row r="61" spans="1:42" x14ac:dyDescent="0.2">
      <c r="M61" s="85" t="s">
        <v>51</v>
      </c>
      <c r="N61" s="86">
        <f>N60/M60</f>
        <v>-9.2886679918571247E-2</v>
      </c>
      <c r="P61" s="1"/>
      <c r="R61" s="2" t="str">
        <f>IF(AND(O61&gt;=5000,P61&gt;=10%),"X"," ")</f>
        <v xml:space="preserve"> </v>
      </c>
      <c r="S61" s="2" t="str">
        <f>IF(AND(L61-I61&gt;=5000,N61-K61&gt;5000,N61&gt;0),"X"," ")</f>
        <v xml:space="preserve"> </v>
      </c>
    </row>
    <row r="62" spans="1:42" x14ac:dyDescent="0.2">
      <c r="P62" s="1"/>
      <c r="R62" s="2" t="str">
        <f>IF(AND(O62&gt;=5000,P62&gt;=10%),"X"," ")</f>
        <v xml:space="preserve"> </v>
      </c>
    </row>
  </sheetData>
  <phoneticPr fontId="0" type="noConversion"/>
  <pageMargins left="0.25" right="0.25" top="0.62" bottom="1" header="0.46" footer="0.5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zoomScale="75" workbookViewId="0">
      <selection activeCell="B6" sqref="B6"/>
    </sheetView>
  </sheetViews>
  <sheetFormatPr defaultColWidth="7.85546875" defaultRowHeight="12.75" x14ac:dyDescent="0.2"/>
  <cols>
    <col min="1" max="1" width="9.42578125" style="28" customWidth="1"/>
    <col min="2" max="2" width="10" style="28" customWidth="1"/>
    <col min="3" max="19" width="10" customWidth="1"/>
    <col min="20" max="22" width="10" hidden="1" customWidth="1"/>
    <col min="23" max="42" width="7.85546875" style="14" customWidth="1"/>
    <col min="43" max="252" width="9.140625" customWidth="1"/>
  </cols>
  <sheetData>
    <row r="1" spans="1:42" ht="18" x14ac:dyDescent="0.25">
      <c r="A1" s="56" t="s">
        <v>0</v>
      </c>
    </row>
    <row r="2" spans="1:42" ht="20.25" customHeight="1" x14ac:dyDescent="0.2">
      <c r="A2" s="83" t="s">
        <v>34</v>
      </c>
    </row>
    <row r="3" spans="1:42" ht="15.75" x14ac:dyDescent="0.25">
      <c r="A3" s="57" t="s">
        <v>35</v>
      </c>
      <c r="C3" s="10">
        <f>L8</f>
        <v>36971</v>
      </c>
      <c r="D3" s="9"/>
    </row>
    <row r="4" spans="1:42" ht="15.75" x14ac:dyDescent="0.25">
      <c r="A4" s="57" t="s">
        <v>36</v>
      </c>
      <c r="C4" s="4" t="s">
        <v>37</v>
      </c>
      <c r="E4" s="91" t="s">
        <v>38</v>
      </c>
      <c r="G4" s="4" t="s">
        <v>55</v>
      </c>
    </row>
    <row r="5" spans="1:42" ht="16.5" thickBot="1" x14ac:dyDescent="0.3">
      <c r="A5" s="57" t="s">
        <v>39</v>
      </c>
      <c r="C5" s="4" t="s">
        <v>40</v>
      </c>
      <c r="E5" s="57"/>
    </row>
    <row r="6" spans="1:42" ht="21.75" customHeight="1" thickBot="1" x14ac:dyDescent="0.25">
      <c r="R6" s="143" t="s">
        <v>41</v>
      </c>
      <c r="S6" s="144"/>
    </row>
    <row r="7" spans="1:42" s="61" customFormat="1" ht="54" customHeight="1" thickBot="1" x14ac:dyDescent="0.25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5" customHeight="1" thickBot="1" x14ac:dyDescent="0.25">
      <c r="A8" s="161"/>
      <c r="B8" s="162"/>
      <c r="C8" s="165">
        <f>C9</f>
        <v>36968</v>
      </c>
      <c r="D8" s="163"/>
      <c r="E8" s="164" t="str">
        <f>TEXT(WEEKDAY(C8),"dddd")</f>
        <v>Sunday</v>
      </c>
      <c r="F8" s="165">
        <f>F9</f>
        <v>36969</v>
      </c>
      <c r="G8" s="163"/>
      <c r="H8" s="164" t="str">
        <f>TEXT(WEEKDAY(F8),"dddd")</f>
        <v>Monday</v>
      </c>
      <c r="I8" s="165">
        <f>I9</f>
        <v>36970</v>
      </c>
      <c r="J8" s="163"/>
      <c r="K8" s="164" t="str">
        <f>TEXT(WEEKDAY(I8),"dddd")</f>
        <v>Tuesday</v>
      </c>
      <c r="L8" s="165">
        <f>L9</f>
        <v>36971</v>
      </c>
      <c r="M8" s="163"/>
      <c r="N8" s="164" t="str">
        <f>TEXT(WEEKDAY(L8),"dddd")</f>
        <v>Wednesday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8" hidden="1" x14ac:dyDescent="0.2">
      <c r="A9" s="27"/>
      <c r="B9" s="55"/>
      <c r="C9" s="146">
        <v>36968</v>
      </c>
      <c r="D9" s="148">
        <v>36968</v>
      </c>
      <c r="E9" s="148">
        <v>36968</v>
      </c>
      <c r="F9" s="149">
        <v>36969</v>
      </c>
      <c r="G9" s="148">
        <v>36969</v>
      </c>
      <c r="H9" s="148">
        <v>36969</v>
      </c>
      <c r="I9" s="149">
        <v>36970</v>
      </c>
      <c r="J9" s="148">
        <v>36970</v>
      </c>
      <c r="K9" s="148">
        <v>36970</v>
      </c>
      <c r="L9" s="149">
        <v>36971</v>
      </c>
      <c r="M9" s="148">
        <v>36971</v>
      </c>
      <c r="N9" s="148">
        <v>36971</v>
      </c>
      <c r="O9" s="6">
        <f t="shared" ref="O9:O31" si="0">K9+H9+E9</f>
        <v>110907</v>
      </c>
      <c r="P9" s="68"/>
      <c r="Q9" s="201"/>
      <c r="R9" s="63"/>
      <c r="S9" s="69"/>
      <c r="T9" s="65"/>
      <c r="U9" s="64"/>
    </row>
    <row r="10" spans="1:42" x14ac:dyDescent="0.2">
      <c r="A10" s="27">
        <v>1117</v>
      </c>
      <c r="B10" s="55" t="s">
        <v>25</v>
      </c>
      <c r="C10" s="6">
        <v>375</v>
      </c>
      <c r="D10" s="5">
        <v>319</v>
      </c>
      <c r="E10" s="5">
        <v>56</v>
      </c>
      <c r="F10" s="6">
        <v>375</v>
      </c>
      <c r="G10" s="5">
        <v>313</v>
      </c>
      <c r="H10" s="5">
        <v>62</v>
      </c>
      <c r="I10" s="6">
        <v>375</v>
      </c>
      <c r="J10" s="5">
        <v>324</v>
      </c>
      <c r="K10" s="5">
        <v>51</v>
      </c>
      <c r="L10" s="6">
        <v>0</v>
      </c>
      <c r="M10" s="5">
        <v>320</v>
      </c>
      <c r="N10" s="5">
        <v>-320</v>
      </c>
      <c r="O10" s="6">
        <f t="shared" si="0"/>
        <v>169</v>
      </c>
      <c r="P10" s="70">
        <f t="shared" ref="P10:P32" si="1">O10/(J10+G10+D10+1)</f>
        <v>0.17659352142110762</v>
      </c>
      <c r="Q10" s="176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>X</v>
      </c>
      <c r="V10" t="str">
        <f t="shared" ref="V10:V32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>X</v>
      </c>
    </row>
    <row r="11" spans="1:42" x14ac:dyDescent="0.2">
      <c r="A11" s="27">
        <v>1126</v>
      </c>
      <c r="B11" s="55" t="s">
        <v>25</v>
      </c>
      <c r="C11" s="6">
        <v>1400</v>
      </c>
      <c r="D11" s="5">
        <v>901</v>
      </c>
      <c r="E11" s="5">
        <v>499</v>
      </c>
      <c r="F11" s="6">
        <v>1400</v>
      </c>
      <c r="G11" s="5">
        <v>920</v>
      </c>
      <c r="H11" s="5">
        <v>480</v>
      </c>
      <c r="I11" s="6">
        <v>1400</v>
      </c>
      <c r="J11" s="5">
        <v>990</v>
      </c>
      <c r="K11" s="5">
        <v>410</v>
      </c>
      <c r="L11" s="6">
        <v>800</v>
      </c>
      <c r="M11" s="5">
        <v>893</v>
      </c>
      <c r="N11" s="5">
        <v>-93</v>
      </c>
      <c r="O11" s="6">
        <f t="shared" si="0"/>
        <v>1389</v>
      </c>
      <c r="P11" s="70">
        <f t="shared" si="1"/>
        <v>0.49395448079658605</v>
      </c>
      <c r="Q11" s="176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>X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>X</v>
      </c>
    </row>
    <row r="12" spans="1:42" x14ac:dyDescent="0.2">
      <c r="A12" s="27">
        <v>1157</v>
      </c>
      <c r="B12" s="55" t="s">
        <v>25</v>
      </c>
      <c r="C12" s="6">
        <v>100</v>
      </c>
      <c r="D12" s="5">
        <v>137</v>
      </c>
      <c r="E12" s="5">
        <v>-37</v>
      </c>
      <c r="F12" s="6">
        <v>100</v>
      </c>
      <c r="G12" s="5">
        <v>131</v>
      </c>
      <c r="H12" s="5">
        <v>-31</v>
      </c>
      <c r="I12" s="6">
        <v>100</v>
      </c>
      <c r="J12" s="5">
        <v>143</v>
      </c>
      <c r="K12" s="5">
        <v>-43</v>
      </c>
      <c r="L12" s="6">
        <v>100</v>
      </c>
      <c r="M12" s="5">
        <v>138</v>
      </c>
      <c r="N12" s="5">
        <v>-38</v>
      </c>
      <c r="O12" s="6">
        <f t="shared" si="0"/>
        <v>-111</v>
      </c>
      <c r="P12" s="70">
        <f t="shared" si="1"/>
        <v>-0.26941747572815533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 xml:space="preserve"> 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 xml:space="preserve"> </v>
      </c>
    </row>
    <row r="13" spans="1:42" x14ac:dyDescent="0.2">
      <c r="A13" s="27">
        <v>1780</v>
      </c>
      <c r="B13" s="55" t="s">
        <v>25</v>
      </c>
      <c r="C13" s="6">
        <v>1963</v>
      </c>
      <c r="D13" s="5">
        <v>1679</v>
      </c>
      <c r="E13" s="5">
        <v>284</v>
      </c>
      <c r="F13" s="6">
        <v>1963</v>
      </c>
      <c r="G13" s="5">
        <v>1613</v>
      </c>
      <c r="H13" s="5">
        <v>350</v>
      </c>
      <c r="I13" s="6">
        <v>1963</v>
      </c>
      <c r="J13" s="5">
        <v>1761</v>
      </c>
      <c r="K13" s="5">
        <v>202</v>
      </c>
      <c r="L13" s="6">
        <v>1680</v>
      </c>
      <c r="M13" s="5">
        <v>1701</v>
      </c>
      <c r="N13" s="5">
        <v>-21</v>
      </c>
      <c r="O13" s="6">
        <f t="shared" si="0"/>
        <v>836</v>
      </c>
      <c r="P13" s="70">
        <f t="shared" si="1"/>
        <v>0.16541353383458646</v>
      </c>
      <c r="Q13" s="176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>X</v>
      </c>
      <c r="V13" t="str">
        <f t="shared" si="2"/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>X</v>
      </c>
    </row>
    <row r="14" spans="1:42" x14ac:dyDescent="0.2">
      <c r="A14" s="27">
        <v>2280</v>
      </c>
      <c r="B14" s="55" t="s">
        <v>25</v>
      </c>
      <c r="C14" s="6">
        <v>238</v>
      </c>
      <c r="D14" s="5">
        <v>427</v>
      </c>
      <c r="E14" s="5">
        <v>-189</v>
      </c>
      <c r="F14" s="6">
        <v>238</v>
      </c>
      <c r="G14" s="5">
        <v>423</v>
      </c>
      <c r="H14" s="5">
        <v>-185</v>
      </c>
      <c r="I14" s="6">
        <v>220</v>
      </c>
      <c r="J14" s="5">
        <v>433</v>
      </c>
      <c r="K14" s="5">
        <v>-213</v>
      </c>
      <c r="L14" s="6">
        <v>357</v>
      </c>
      <c r="M14" s="5">
        <v>413</v>
      </c>
      <c r="N14" s="5">
        <v>-56</v>
      </c>
      <c r="O14" s="6">
        <f t="shared" si="0"/>
        <v>-587</v>
      </c>
      <c r="P14" s="70">
        <f t="shared" si="1"/>
        <v>-0.45716510903426794</v>
      </c>
      <c r="Q14" s="176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2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">
      <c r="A15" s="27">
        <v>2584</v>
      </c>
      <c r="B15" s="55" t="s">
        <v>25</v>
      </c>
      <c r="C15" s="6">
        <v>4000</v>
      </c>
      <c r="D15" s="5">
        <v>3853</v>
      </c>
      <c r="E15" s="5">
        <v>147</v>
      </c>
      <c r="F15" s="6">
        <v>1333</v>
      </c>
      <c r="G15" s="5">
        <v>3832</v>
      </c>
      <c r="H15" s="5">
        <v>-2499</v>
      </c>
      <c r="I15" s="6">
        <v>6667</v>
      </c>
      <c r="J15" s="5">
        <v>3995</v>
      </c>
      <c r="K15" s="5">
        <v>2672</v>
      </c>
      <c r="L15" s="6">
        <v>3688</v>
      </c>
      <c r="M15" s="5">
        <v>3736</v>
      </c>
      <c r="N15" s="5">
        <v>-48</v>
      </c>
      <c r="O15" s="6">
        <f t="shared" si="0"/>
        <v>320</v>
      </c>
      <c r="P15" s="70">
        <f t="shared" si="1"/>
        <v>2.7394914818936734E-2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2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">
      <c r="A16" s="27">
        <v>2771</v>
      </c>
      <c r="B16" s="55" t="s">
        <v>25</v>
      </c>
      <c r="C16" s="6">
        <v>10000</v>
      </c>
      <c r="D16" s="5">
        <v>6596</v>
      </c>
      <c r="E16" s="5">
        <v>3404</v>
      </c>
      <c r="F16" s="6">
        <v>10000</v>
      </c>
      <c r="G16" s="5">
        <v>6534</v>
      </c>
      <c r="H16" s="5">
        <v>3466</v>
      </c>
      <c r="I16" s="6">
        <v>866</v>
      </c>
      <c r="J16" s="5">
        <v>6797</v>
      </c>
      <c r="K16" s="5">
        <v>-5931</v>
      </c>
      <c r="L16" s="6">
        <v>6000</v>
      </c>
      <c r="M16" s="5">
        <v>6508</v>
      </c>
      <c r="N16" s="5">
        <v>-508</v>
      </c>
      <c r="O16" s="6">
        <f t="shared" si="0"/>
        <v>939</v>
      </c>
      <c r="P16" s="70">
        <f t="shared" si="1"/>
        <v>4.7119630670413491E-2</v>
      </c>
      <c r="Q16" s="177"/>
      <c r="R16" s="66" t="str">
        <f>IF($C$4="High Inventory",IF(AND(O16&gt;=Summary!$C$119,P16&gt;=Summary!$C$120),"X"," "),IF(AND(O16&lt;=-Summary!$C$119,P16&lt;=-Summary!$C$120),"X"," "))</f>
        <v xml:space="preserve"> 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 xml:space="preserve"> </v>
      </c>
      <c r="U16" s="11" t="str">
        <f>IF($C$4="High Inventory",IF(AND($O16&gt;=0,$P16&gt;=Summary!$C$120),"X"," "),IF(AND($O16&lt;=0,$P16&lt;=-Summary!$C$120),"X"," "))</f>
        <v xml:space="preserve"> </v>
      </c>
      <c r="V16" t="str">
        <f t="shared" si="2"/>
        <v xml:space="preserve"> </v>
      </c>
      <c r="W16" t="str">
        <f>IF($C$4="High Inventory",IF(O16&gt;Summary!$C$119,"X"," "),IF(O16&lt;-Summary!$C$119,"X"," "))</f>
        <v xml:space="preserve"> </v>
      </c>
      <c r="X16" t="str">
        <f>IF($C$4="High Inventory",IF(P16&gt;Summary!$C$120,"X"," "),IF(P16&lt;-Summary!$C$120,"X"," "))</f>
        <v xml:space="preserve"> </v>
      </c>
    </row>
    <row r="17" spans="1:24" x14ac:dyDescent="0.2">
      <c r="A17" s="27">
        <v>2832</v>
      </c>
      <c r="B17" s="55" t="s">
        <v>25</v>
      </c>
      <c r="C17" s="6">
        <v>800</v>
      </c>
      <c r="D17" s="5">
        <v>419</v>
      </c>
      <c r="E17" s="5">
        <v>381</v>
      </c>
      <c r="F17" s="6">
        <v>800</v>
      </c>
      <c r="G17" s="5">
        <v>414</v>
      </c>
      <c r="H17" s="5">
        <v>386</v>
      </c>
      <c r="I17" s="6">
        <v>800</v>
      </c>
      <c r="J17" s="5">
        <v>426</v>
      </c>
      <c r="K17" s="5">
        <v>374</v>
      </c>
      <c r="L17" s="6">
        <v>300</v>
      </c>
      <c r="M17" s="5">
        <v>400</v>
      </c>
      <c r="N17" s="5">
        <v>-100</v>
      </c>
      <c r="O17" s="6">
        <f t="shared" si="0"/>
        <v>1141</v>
      </c>
      <c r="P17" s="70">
        <f t="shared" si="1"/>
        <v>0.90555555555555556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>X</v>
      </c>
      <c r="V17" t="str">
        <f t="shared" si="2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>X</v>
      </c>
    </row>
    <row r="18" spans="1:24" x14ac:dyDescent="0.2">
      <c r="A18" s="27">
        <v>2892</v>
      </c>
      <c r="B18" s="55" t="s">
        <v>25</v>
      </c>
      <c r="C18" s="6">
        <v>6402</v>
      </c>
      <c r="D18" s="5">
        <v>4618</v>
      </c>
      <c r="E18" s="5">
        <v>1784</v>
      </c>
      <c r="F18" s="6">
        <v>6402</v>
      </c>
      <c r="G18" s="5">
        <v>4582</v>
      </c>
      <c r="H18" s="5">
        <v>1820</v>
      </c>
      <c r="I18" s="6">
        <v>6245</v>
      </c>
      <c r="J18" s="5">
        <v>4727</v>
      </c>
      <c r="K18" s="5">
        <v>1518</v>
      </c>
      <c r="L18" s="6">
        <v>6186</v>
      </c>
      <c r="M18" s="5">
        <v>4514</v>
      </c>
      <c r="N18" s="5">
        <v>1672</v>
      </c>
      <c r="O18" s="6">
        <f t="shared" si="0"/>
        <v>5122</v>
      </c>
      <c r="P18" s="70">
        <f t="shared" si="1"/>
        <v>0.36774842044801836</v>
      </c>
      <c r="Q18" s="176"/>
      <c r="R18" s="66" t="str">
        <f>IF($C$4="High Inventory",IF(AND(O18&gt;=Summary!$C$119,P18&gt;=Summary!$C$120),"X"," "),IF(AND(O18&lt;=-Summary!$C$119,P18&lt;=-Summary!$C$120),"X"," "))</f>
        <v>X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>X</v>
      </c>
      <c r="U18" s="11" t="str">
        <f>IF($C$4="High Inventory",IF(AND($O18&gt;=0,$P18&gt;=Summary!$C$120),"X"," "),IF(AND($O18&lt;=0,$P18&lt;=-Summary!$C$120),"X"," "))</f>
        <v>X</v>
      </c>
      <c r="V18" t="str">
        <f t="shared" si="2"/>
        <v xml:space="preserve"> </v>
      </c>
      <c r="W18" t="str">
        <f>IF($C$4="High Inventory",IF(O18&gt;Summary!$C$119,"X"," "),IF(O18&lt;-Summary!$C$119,"X"," "))</f>
        <v>X</v>
      </c>
      <c r="X18" t="str">
        <f>IF($C$4="High Inventory",IF(P18&gt;Summary!$C$120,"X"," "),IF(P18&lt;-Summary!$C$120,"X"," "))</f>
        <v>X</v>
      </c>
    </row>
    <row r="19" spans="1:24" x14ac:dyDescent="0.2">
      <c r="A19" s="27">
        <v>3152</v>
      </c>
      <c r="B19" s="55" t="s">
        <v>25</v>
      </c>
      <c r="C19" s="6">
        <v>11561</v>
      </c>
      <c r="D19" s="5">
        <v>7919</v>
      </c>
      <c r="E19" s="5">
        <v>3642</v>
      </c>
      <c r="F19" s="6">
        <v>4228</v>
      </c>
      <c r="G19" s="5">
        <v>7829</v>
      </c>
      <c r="H19" s="5">
        <v>-3601</v>
      </c>
      <c r="I19" s="6">
        <v>19269</v>
      </c>
      <c r="J19" s="5">
        <v>8452</v>
      </c>
      <c r="K19" s="5">
        <v>10817</v>
      </c>
      <c r="L19" s="6">
        <v>7512</v>
      </c>
      <c r="M19" s="5">
        <v>7610</v>
      </c>
      <c r="N19" s="5">
        <v>-98</v>
      </c>
      <c r="O19" s="6">
        <f t="shared" si="0"/>
        <v>10858</v>
      </c>
      <c r="P19" s="70">
        <f t="shared" si="1"/>
        <v>0.44865914631626791</v>
      </c>
      <c r="Q19" s="176"/>
      <c r="R19" s="66" t="str">
        <f>IF($C$4="High Inventory",IF(AND(O19&gt;=Summary!$C$119,P19&gt;=Summary!$C$120),"X"," "),IF(AND(O19&lt;=-Summary!$C$119,P19&lt;=-Summary!$C$120),"X"," "))</f>
        <v>X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8" t="str">
        <f>IF($C$4="High Inventory",IF(AND($O19&gt;=Summary!$C$119,$P19&gt;=0%),"X"," "),IF(AND($O19&lt;=-Summary!$C$119,$P19&lt;=0%),"X"," "))</f>
        <v>X</v>
      </c>
      <c r="U19" s="11" t="str">
        <f>IF($C$4="High Inventory",IF(AND($O19&gt;=0,$P19&gt;=Summary!$C$120),"X"," "),IF(AND($O19&lt;=0,$P19&lt;=-Summary!$C$120),"X"," "))</f>
        <v>X</v>
      </c>
      <c r="V19" t="str">
        <f t="shared" si="2"/>
        <v xml:space="preserve"> </v>
      </c>
      <c r="W19" t="str">
        <f>IF($C$4="High Inventory",IF(O19&gt;Summary!$C$119,"X"," "),IF(O19&lt;-Summary!$C$119,"X"," "))</f>
        <v>X</v>
      </c>
      <c r="X19" t="str">
        <f>IF($C$4="High Inventory",IF(P19&gt;Summary!$C$120,"X"," "),IF(P19&lt;-Summary!$C$120,"X"," "))</f>
        <v>X</v>
      </c>
    </row>
    <row r="20" spans="1:24" x14ac:dyDescent="0.2">
      <c r="A20" s="27">
        <v>6500</v>
      </c>
      <c r="B20" s="55" t="s">
        <v>25</v>
      </c>
      <c r="C20" s="6">
        <v>877269</v>
      </c>
      <c r="D20" s="5">
        <v>657277</v>
      </c>
      <c r="E20" s="5">
        <v>219992</v>
      </c>
      <c r="F20" s="6">
        <v>1029020</v>
      </c>
      <c r="G20" s="5">
        <v>637750</v>
      </c>
      <c r="H20" s="5">
        <v>391270</v>
      </c>
      <c r="I20" s="6">
        <v>548285</v>
      </c>
      <c r="J20" s="5">
        <v>707023</v>
      </c>
      <c r="K20" s="5">
        <v>-158738</v>
      </c>
      <c r="L20" s="6">
        <v>630051</v>
      </c>
      <c r="M20" s="5">
        <v>627885</v>
      </c>
      <c r="N20" s="5">
        <v>2166</v>
      </c>
      <c r="O20" s="6">
        <f t="shared" si="0"/>
        <v>452524</v>
      </c>
      <c r="P20" s="70">
        <f t="shared" si="1"/>
        <v>0.22603020602372267</v>
      </c>
      <c r="Q20" s="176"/>
      <c r="R20" s="66" t="str">
        <f>IF($C$4="High Inventory",IF(AND(O20&gt;=Summary!$C$119,P20&gt;=Summary!$C$120),"X"," "),IF(AND(O20&lt;=-Summary!$C$119,P20&lt;=-Summary!$C$120),"X"," "))</f>
        <v>X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>X</v>
      </c>
      <c r="V20" t="str">
        <f t="shared" si="2"/>
        <v xml:space="preserve"> 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>X</v>
      </c>
    </row>
    <row r="21" spans="1:24" x14ac:dyDescent="0.2">
      <c r="A21" s="27">
        <v>12296</v>
      </c>
      <c r="B21" s="55" t="s">
        <v>25</v>
      </c>
      <c r="C21" s="6">
        <v>2235</v>
      </c>
      <c r="D21" s="5">
        <v>1883</v>
      </c>
      <c r="E21" s="5">
        <v>352</v>
      </c>
      <c r="F21" s="6">
        <v>2235</v>
      </c>
      <c r="G21" s="5">
        <v>1895</v>
      </c>
      <c r="H21" s="5">
        <v>340</v>
      </c>
      <c r="I21" s="6">
        <v>2235</v>
      </c>
      <c r="J21" s="5">
        <v>1987</v>
      </c>
      <c r="K21" s="5">
        <v>248</v>
      </c>
      <c r="L21" s="6">
        <v>1740</v>
      </c>
      <c r="M21" s="5">
        <v>1726</v>
      </c>
      <c r="N21" s="5">
        <v>14</v>
      </c>
      <c r="O21" s="6">
        <f t="shared" si="0"/>
        <v>940</v>
      </c>
      <c r="P21" s="70">
        <f t="shared" si="1"/>
        <v>0.16302462712452306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>X</v>
      </c>
      <c r="V21" t="str">
        <f t="shared" si="2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>X</v>
      </c>
    </row>
    <row r="22" spans="1:24" x14ac:dyDescent="0.2">
      <c r="A22" s="27">
        <v>16786</v>
      </c>
      <c r="B22" s="55" t="s">
        <v>25</v>
      </c>
      <c r="C22" s="6">
        <v>925</v>
      </c>
      <c r="D22" s="5">
        <v>1064</v>
      </c>
      <c r="E22" s="5">
        <v>-139</v>
      </c>
      <c r="F22" s="6">
        <v>925</v>
      </c>
      <c r="G22" s="5">
        <v>1012</v>
      </c>
      <c r="H22" s="5">
        <v>-87</v>
      </c>
      <c r="I22" s="6">
        <v>790</v>
      </c>
      <c r="J22" s="5">
        <v>1145</v>
      </c>
      <c r="K22" s="5">
        <v>-355</v>
      </c>
      <c r="L22" s="6">
        <v>790</v>
      </c>
      <c r="M22" s="5">
        <v>1012</v>
      </c>
      <c r="N22" s="5">
        <v>-222</v>
      </c>
      <c r="O22" s="6">
        <f t="shared" si="0"/>
        <v>-581</v>
      </c>
      <c r="P22" s="70">
        <f t="shared" si="1"/>
        <v>-0.1803227808814401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2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">
      <c r="A23" s="27">
        <v>17791</v>
      </c>
      <c r="B23" s="55" t="s">
        <v>25</v>
      </c>
      <c r="C23" s="6">
        <v>600</v>
      </c>
      <c r="D23" s="5">
        <v>380</v>
      </c>
      <c r="E23" s="5">
        <v>220</v>
      </c>
      <c r="F23" s="6">
        <v>600</v>
      </c>
      <c r="G23" s="5">
        <v>376</v>
      </c>
      <c r="H23" s="5">
        <v>224</v>
      </c>
      <c r="I23" s="6">
        <v>600</v>
      </c>
      <c r="J23" s="5">
        <v>404</v>
      </c>
      <c r="K23" s="5">
        <v>196</v>
      </c>
      <c r="L23" s="6">
        <v>350</v>
      </c>
      <c r="M23" s="5">
        <v>355</v>
      </c>
      <c r="N23" s="5">
        <v>-5</v>
      </c>
      <c r="O23" s="6">
        <f t="shared" si="0"/>
        <v>640</v>
      </c>
      <c r="P23" s="70">
        <f t="shared" si="1"/>
        <v>0.55124892334194664</v>
      </c>
      <c r="Q23" s="176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>X</v>
      </c>
      <c r="V23" t="str">
        <f t="shared" si="2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>X</v>
      </c>
    </row>
    <row r="24" spans="1:24" x14ac:dyDescent="0.2">
      <c r="A24" s="27">
        <v>1117</v>
      </c>
      <c r="B24" s="55" t="s">
        <v>26</v>
      </c>
      <c r="C24" s="6">
        <v>37319</v>
      </c>
      <c r="D24" s="5">
        <v>37708</v>
      </c>
      <c r="E24" s="5">
        <v>-389</v>
      </c>
      <c r="F24" s="6">
        <v>37056</v>
      </c>
      <c r="G24" s="5">
        <v>49544</v>
      </c>
      <c r="H24" s="5">
        <v>-12488</v>
      </c>
      <c r="I24" s="6">
        <v>77003</v>
      </c>
      <c r="J24" s="5">
        <v>51064</v>
      </c>
      <c r="K24" s="5">
        <v>25939</v>
      </c>
      <c r="L24" s="6">
        <v>54744</v>
      </c>
      <c r="M24" s="5">
        <v>53735</v>
      </c>
      <c r="N24" s="5">
        <v>1009</v>
      </c>
      <c r="O24" s="6">
        <f t="shared" si="0"/>
        <v>13062</v>
      </c>
      <c r="P24" s="70">
        <f t="shared" si="1"/>
        <v>9.4435246571281911E-2</v>
      </c>
      <c r="Q24" s="178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8" t="str">
        <f>IF($C$4="High Inventory",IF(AND($O24&gt;=Summary!$C$119,$P24&gt;=0%),"X"," "),IF(AND($O24&lt;=-Summary!$C$119,$P24&lt;=0%),"X"," "))</f>
        <v>X</v>
      </c>
      <c r="U24" s="11" t="str">
        <f>IF($C$4="High Inventory",IF(AND($O24&gt;=0,$P24&gt;=Summary!$C$120),"X"," "),IF(AND($O24&lt;=0,$P24&lt;=-Summary!$C$120),"X"," "))</f>
        <v xml:space="preserve"> </v>
      </c>
      <c r="V24" t="str">
        <f t="shared" si="2"/>
        <v xml:space="preserve"> </v>
      </c>
      <c r="W24" t="str">
        <f>IF($C$4="High Inventory",IF(O24&gt;Summary!$C$119,"X"," "),IF(O24&lt;-Summary!$C$119,"X"," "))</f>
        <v>X</v>
      </c>
      <c r="X24" t="str">
        <f>IF($C$4="High Inventory",IF(P24&gt;Summary!$C$120,"X"," "),IF(P24&lt;-Summary!$C$120,"X"," "))</f>
        <v xml:space="preserve"> </v>
      </c>
    </row>
    <row r="25" spans="1:24" x14ac:dyDescent="0.2">
      <c r="A25" s="27">
        <v>1126</v>
      </c>
      <c r="B25" s="55" t="s">
        <v>26</v>
      </c>
      <c r="C25" s="6">
        <v>33290</v>
      </c>
      <c r="D25" s="5">
        <v>26125</v>
      </c>
      <c r="E25" s="5">
        <v>7165</v>
      </c>
      <c r="F25" s="6">
        <v>33290</v>
      </c>
      <c r="G25" s="5">
        <v>26892</v>
      </c>
      <c r="H25" s="5">
        <v>6398</v>
      </c>
      <c r="I25" s="6">
        <v>35368</v>
      </c>
      <c r="J25" s="5">
        <v>26383</v>
      </c>
      <c r="K25" s="5">
        <v>8985</v>
      </c>
      <c r="L25" s="6">
        <v>25546</v>
      </c>
      <c r="M25" s="5">
        <v>27699</v>
      </c>
      <c r="N25" s="5">
        <v>-2153</v>
      </c>
      <c r="O25" s="6">
        <f t="shared" si="0"/>
        <v>22548</v>
      </c>
      <c r="P25" s="70">
        <f t="shared" si="1"/>
        <v>0.2839762723391393</v>
      </c>
      <c r="Q25" s="176"/>
      <c r="R25" s="66" t="str">
        <f>IF($C$4="High Inventory",IF(AND(O25&gt;=Summary!$C$119,P25&gt;=Summary!$C$120),"X"," "),IF(AND(O25&lt;=-Summary!$C$119,P25&lt;=-Summary!$C$120),"X"," "))</f>
        <v>X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>X</v>
      </c>
      <c r="U25" s="11" t="str">
        <f>IF($C$4="High Inventory",IF(AND($O25&gt;=0,$P25&gt;=Summary!$C$120),"X"," "),IF(AND($O25&lt;=0,$P25&lt;=-Summary!$C$120),"X"," "))</f>
        <v>X</v>
      </c>
      <c r="V25" t="str">
        <f t="shared" si="2"/>
        <v xml:space="preserve"> </v>
      </c>
      <c r="W25" t="str">
        <f>IF($C$4="High Inventory",IF(O25&gt;Summary!$C$119,"X"," "),IF(O25&lt;-Summary!$C$119,"X"," "))</f>
        <v>X</v>
      </c>
      <c r="X25" t="str">
        <f>IF($C$4="High Inventory",IF(P25&gt;Summary!$C$120,"X"," "),IF(P25&lt;-Summary!$C$120,"X"," "))</f>
        <v>X</v>
      </c>
    </row>
    <row r="26" spans="1:24" x14ac:dyDescent="0.2">
      <c r="A26" s="27">
        <v>1157</v>
      </c>
      <c r="B26" s="55" t="s">
        <v>26</v>
      </c>
      <c r="C26" s="6">
        <v>137924</v>
      </c>
      <c r="D26" s="5">
        <v>100346</v>
      </c>
      <c r="E26" s="5">
        <v>37578</v>
      </c>
      <c r="F26" s="6">
        <v>137847</v>
      </c>
      <c r="G26" s="5">
        <v>104018</v>
      </c>
      <c r="H26" s="5">
        <v>33829</v>
      </c>
      <c r="I26" s="6">
        <v>89417</v>
      </c>
      <c r="J26" s="5">
        <v>99342</v>
      </c>
      <c r="K26" s="5">
        <v>-9925</v>
      </c>
      <c r="L26" s="6">
        <v>101737</v>
      </c>
      <c r="M26" s="5">
        <v>104900</v>
      </c>
      <c r="N26" s="5">
        <v>-3163</v>
      </c>
      <c r="O26" s="6">
        <f t="shared" si="0"/>
        <v>61482</v>
      </c>
      <c r="P26" s="70">
        <f t="shared" si="1"/>
        <v>0.20243853450858887</v>
      </c>
      <c r="Q26" s="176"/>
      <c r="R26" s="66" t="str">
        <f>IF($C$4="High Inventory",IF(AND(O26&gt;=Summary!$C$119,P26&gt;=Summary!$C$120),"X"," "),IF(AND(O26&lt;=-Summary!$C$119,P26&lt;=-Summary!$C$120),"X"," "))</f>
        <v>X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>X</v>
      </c>
      <c r="U26" s="11" t="str">
        <f>IF($C$4="High Inventory",IF(AND($O26&gt;=0,$P26&gt;=Summary!$C$120),"X"," "),IF(AND($O26&lt;=0,$P26&lt;=-Summary!$C$120),"X"," "))</f>
        <v>X</v>
      </c>
      <c r="V26" t="str">
        <f t="shared" si="2"/>
        <v xml:space="preserve"> </v>
      </c>
      <c r="W26" t="str">
        <f>IF($C$4="High Inventory",IF(O26&gt;Summary!$C$119,"X"," "),IF(O26&lt;-Summary!$C$119,"X"," "))</f>
        <v>X</v>
      </c>
      <c r="X26" t="str">
        <f>IF($C$4="High Inventory",IF(P26&gt;Summary!$C$120,"X"," "),IF(P26&lt;-Summary!$C$120,"X"," "))</f>
        <v>X</v>
      </c>
    </row>
    <row r="27" spans="1:24" x14ac:dyDescent="0.2">
      <c r="A27" s="27">
        <v>1281</v>
      </c>
      <c r="B27" s="55" t="s">
        <v>26</v>
      </c>
      <c r="C27" s="202">
        <v>233</v>
      </c>
      <c r="D27" s="203">
        <v>2788</v>
      </c>
      <c r="E27" s="203">
        <v>-2555</v>
      </c>
      <c r="F27" s="202">
        <v>233</v>
      </c>
      <c r="G27" s="203">
        <v>8172</v>
      </c>
      <c r="H27" s="203">
        <v>-7939</v>
      </c>
      <c r="I27" s="202">
        <v>1220</v>
      </c>
      <c r="J27" s="203">
        <v>8889</v>
      </c>
      <c r="K27" s="203">
        <v>-7669</v>
      </c>
      <c r="L27" s="202">
        <v>21647</v>
      </c>
      <c r="M27" s="203">
        <v>20888</v>
      </c>
      <c r="N27" s="203">
        <v>759</v>
      </c>
      <c r="O27" s="6">
        <f t="shared" si="0"/>
        <v>-18163</v>
      </c>
      <c r="P27" s="70">
        <f t="shared" si="1"/>
        <v>-0.9150125944584383</v>
      </c>
      <c r="Q27" s="176"/>
      <c r="R27" s="66" t="str">
        <f>IF($C$4="High Inventory",IF(AND(O27&gt;=Summary!$C$119,P27&gt;=Summary!$C$120),"X"," "),IF(AND(O27&lt;=-Summary!$C$119,P27&lt;=-Summary!$C$120),"X"," "))</f>
        <v xml:space="preserve"> 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 xml:space="preserve"> </v>
      </c>
      <c r="U27" s="11" t="str">
        <f>IF($C$4="High Inventory",IF(AND($O27&gt;=0,$P27&gt;=Summary!$C$120),"X"," "),IF(AND($O27&lt;=0,$P27&lt;=-Summary!$C$120),"X"," "))</f>
        <v xml:space="preserve"> </v>
      </c>
      <c r="V27" t="str">
        <f t="shared" si="2"/>
        <v xml:space="preserve"> </v>
      </c>
      <c r="W27" t="str">
        <f>IF($C$4="High Inventory",IF(O27&gt;Summary!$C$119,"X"," "),IF(O27&lt;-Summary!$C$119,"X"," "))</f>
        <v xml:space="preserve"> </v>
      </c>
      <c r="X27" t="str">
        <f>IF($C$4="High Inventory",IF(P27&gt;Summary!$C$120,"X"," "),IF(P27&lt;-Summary!$C$120,"X"," "))</f>
        <v xml:space="preserve"> </v>
      </c>
    </row>
    <row r="28" spans="1:24" x14ac:dyDescent="0.2">
      <c r="A28" s="27">
        <v>1340</v>
      </c>
      <c r="B28" s="55" t="s">
        <v>26</v>
      </c>
      <c r="C28" s="6">
        <v>3818</v>
      </c>
      <c r="D28" s="5">
        <v>2509</v>
      </c>
      <c r="E28" s="5">
        <v>1309</v>
      </c>
      <c r="F28" s="6">
        <v>3818</v>
      </c>
      <c r="G28" s="5">
        <v>4359</v>
      </c>
      <c r="H28" s="5">
        <v>-541</v>
      </c>
      <c r="I28" s="6">
        <v>3335</v>
      </c>
      <c r="J28" s="5">
        <v>4725</v>
      </c>
      <c r="K28" s="5">
        <v>-1390</v>
      </c>
      <c r="L28" s="6">
        <v>3818</v>
      </c>
      <c r="M28" s="5">
        <v>5714</v>
      </c>
      <c r="N28" s="5">
        <v>-1896</v>
      </c>
      <c r="O28" s="6">
        <f t="shared" si="0"/>
        <v>-622</v>
      </c>
      <c r="P28" s="70">
        <f t="shared" si="1"/>
        <v>-5.3648438847679836E-2</v>
      </c>
      <c r="Q28" s="178"/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 xml:space="preserve"> </v>
      </c>
      <c r="U28" s="11" t="str">
        <f>IF($C$4="High Inventory",IF(AND($O28&gt;=0,$P28&gt;=Summary!$C$120),"X"," "),IF(AND($O28&lt;=0,$P28&lt;=-Summary!$C$120),"X"," "))</f>
        <v xml:space="preserve"> </v>
      </c>
      <c r="V28" t="str">
        <f t="shared" si="2"/>
        <v xml:space="preserve"> </v>
      </c>
      <c r="W28" t="str">
        <f>IF($C$4="High Inventory",IF(O28&gt;Summary!$C$119,"X"," "),IF(O28&lt;-Summary!$C$119,"X"," "))</f>
        <v xml:space="preserve"> </v>
      </c>
      <c r="X28" t="str">
        <f>IF($C$4="High Inventory",IF(P28&gt;Summary!$C$120,"X"," "),IF(P28&lt;-Summary!$C$120,"X"," "))</f>
        <v xml:space="preserve"> </v>
      </c>
    </row>
    <row r="29" spans="1:24" x14ac:dyDescent="0.2">
      <c r="A29" s="27">
        <v>1377</v>
      </c>
      <c r="B29" s="55" t="s">
        <v>26</v>
      </c>
      <c r="C29" s="6">
        <v>102069</v>
      </c>
      <c r="D29" s="5">
        <v>85638</v>
      </c>
      <c r="E29" s="5">
        <v>16431</v>
      </c>
      <c r="F29" s="6">
        <v>100611</v>
      </c>
      <c r="G29" s="5">
        <v>82965</v>
      </c>
      <c r="H29" s="5">
        <v>17646</v>
      </c>
      <c r="I29" s="6">
        <v>74203</v>
      </c>
      <c r="J29" s="5">
        <v>87365</v>
      </c>
      <c r="K29" s="5">
        <v>-13162</v>
      </c>
      <c r="L29" s="6">
        <v>85617</v>
      </c>
      <c r="M29" s="5">
        <v>90307</v>
      </c>
      <c r="N29" s="5">
        <v>-4690</v>
      </c>
      <c r="O29" s="6">
        <f t="shared" si="0"/>
        <v>20915</v>
      </c>
      <c r="P29" s="70">
        <f t="shared" si="1"/>
        <v>8.1709113212928133E-2</v>
      </c>
      <c r="Q29" s="176"/>
      <c r="R29" s="66" t="str">
        <f>IF($C$4="High Inventory",IF(AND(O29&gt;=Summary!$C$119,P29&gt;=Summary!$C$120),"X"," "),IF(AND(O29&lt;=-Summary!$C$119,P29&lt;=-Summary!$C$120),"X"," "))</f>
        <v xml:space="preserve"> 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8" t="str">
        <f>IF($C$4="High Inventory",IF(AND($O29&gt;=Summary!$C$119,$P29&gt;=0%),"X"," "),IF(AND($O29&lt;=-Summary!$C$119,$P29&lt;=0%),"X"," "))</f>
        <v>X</v>
      </c>
      <c r="U29" s="11" t="str">
        <f>IF($C$4="High Inventory",IF(AND($O29&gt;=0,$P29&gt;=Summary!$C$120),"X"," "),IF(AND($O29&lt;=0,$P29&lt;=-Summary!$C$120),"X"," "))</f>
        <v xml:space="preserve"> </v>
      </c>
      <c r="V29" t="str">
        <f t="shared" si="2"/>
        <v xml:space="preserve"> </v>
      </c>
      <c r="W29" t="str">
        <f>IF($C$4="High Inventory",IF(O29&gt;Summary!$C$119,"X"," "),IF(O29&lt;-Summary!$C$119,"X"," "))</f>
        <v>X</v>
      </c>
      <c r="X29" t="str">
        <f>IF($C$4="High Inventory",IF(P29&gt;Summary!$C$120,"X"," "),IF(P29&lt;-Summary!$C$120,"X"," "))</f>
        <v xml:space="preserve"> </v>
      </c>
    </row>
    <row r="30" spans="1:24" x14ac:dyDescent="0.2">
      <c r="A30" s="27">
        <v>1830</v>
      </c>
      <c r="B30" s="55" t="s">
        <v>26</v>
      </c>
      <c r="C30" s="6">
        <v>8625</v>
      </c>
      <c r="D30" s="5">
        <v>5507</v>
      </c>
      <c r="E30" s="5">
        <v>3118</v>
      </c>
      <c r="F30" s="6">
        <v>10145</v>
      </c>
      <c r="G30" s="5">
        <v>18163</v>
      </c>
      <c r="H30" s="5">
        <v>-8018</v>
      </c>
      <c r="I30" s="6">
        <v>24000</v>
      </c>
      <c r="J30" s="5">
        <v>5507</v>
      </c>
      <c r="K30" s="5">
        <v>18493</v>
      </c>
      <c r="L30" s="6">
        <v>24500</v>
      </c>
      <c r="M30" s="5">
        <v>15314</v>
      </c>
      <c r="N30" s="5">
        <v>9186</v>
      </c>
      <c r="O30" s="6">
        <f t="shared" si="0"/>
        <v>13593</v>
      </c>
      <c r="P30" s="70">
        <f t="shared" si="1"/>
        <v>0.46586469257659879</v>
      </c>
      <c r="Q30" s="176"/>
      <c r="R30" s="66" t="str">
        <f>IF($C$4="High Inventory",IF(AND(O30&gt;=Summary!$C$119,P30&gt;=Summary!$C$120),"X"," "),IF(AND(O30&lt;=-Summary!$C$119,P30&lt;=-Summary!$C$120),"X"," "))</f>
        <v>X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8" t="str">
        <f>IF($C$4="High Inventory",IF(AND($O30&gt;=Summary!$C$119,$P30&gt;=0%),"X"," "),IF(AND($O30&lt;=-Summary!$C$119,$P30&lt;=0%),"X"," "))</f>
        <v>X</v>
      </c>
      <c r="U30" s="11" t="str">
        <f>IF($C$4="High Inventory",IF(AND($O30&gt;=0,$P30&gt;=Summary!$C$120),"X"," "),IF(AND($O30&lt;=0,$P30&lt;=-Summary!$C$120),"X"," "))</f>
        <v>X</v>
      </c>
      <c r="V30" t="str">
        <f t="shared" si="2"/>
        <v xml:space="preserve"> </v>
      </c>
      <c r="W30" t="str">
        <f>IF($C$4="High Inventory",IF(O30&gt;Summary!$C$119,"X"," "),IF(O30&lt;-Summary!$C$119,"X"," "))</f>
        <v>X</v>
      </c>
      <c r="X30" t="str">
        <f>IF($C$4="High Inventory",IF(P30&gt;Summary!$C$120,"X"," "),IF(P30&lt;-Summary!$C$120,"X"," "))</f>
        <v>X</v>
      </c>
    </row>
    <row r="31" spans="1:24" x14ac:dyDescent="0.2">
      <c r="A31" s="27">
        <v>1864</v>
      </c>
      <c r="B31" s="55" t="s">
        <v>26</v>
      </c>
      <c r="C31" s="6">
        <v>405628</v>
      </c>
      <c r="D31" s="5">
        <v>415596</v>
      </c>
      <c r="E31" s="5">
        <v>-9968</v>
      </c>
      <c r="F31" s="6">
        <v>400933</v>
      </c>
      <c r="G31" s="5">
        <v>426675</v>
      </c>
      <c r="H31" s="5">
        <v>-25742</v>
      </c>
      <c r="I31" s="6">
        <v>480015</v>
      </c>
      <c r="J31" s="5">
        <v>453555</v>
      </c>
      <c r="K31" s="5">
        <v>26460</v>
      </c>
      <c r="L31" s="6">
        <v>445607</v>
      </c>
      <c r="M31" s="5">
        <v>439094</v>
      </c>
      <c r="N31" s="5">
        <v>6513</v>
      </c>
      <c r="O31" s="6">
        <f t="shared" si="0"/>
        <v>-9250</v>
      </c>
      <c r="P31" s="70">
        <f t="shared" si="1"/>
        <v>-7.1382985537421272E-3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8" t="str">
        <f>IF($C$4="High Inventory",IF(AND($O31&gt;=Summary!$C$119,$P31&gt;=0%),"X"," "),IF(AND($O31&lt;=-Summary!$C$119,$P31&lt;=0%),"X"," "))</f>
        <v xml:space="preserve"> </v>
      </c>
      <c r="U31" s="11" t="str">
        <f>IF($C$4="High Inventory",IF(AND($O31&gt;=0,$P31&gt;=Summary!$C$120),"X"," "),IF(AND($O31&lt;=0,$P31&lt;=-Summary!$C$120),"X"," "))</f>
        <v xml:space="preserve"> </v>
      </c>
      <c r="V31" t="str">
        <f t="shared" si="2"/>
        <v xml:space="preserve"> </v>
      </c>
      <c r="W31" t="str">
        <f>IF($C$4="High Inventory",IF(O31&gt;Summary!$C$119,"X"," "),IF(O31&lt;-Summary!$C$119,"X"," "))</f>
        <v xml:space="preserve"> </v>
      </c>
      <c r="X31" t="str">
        <f>IF($C$4="High Inventory",IF(P31&gt;Summary!$C$120,"X"," "),IF(P31&lt;-Summary!$C$120,"X"," "))</f>
        <v xml:space="preserve"> </v>
      </c>
    </row>
    <row r="32" spans="1:24" x14ac:dyDescent="0.2">
      <c r="A32" s="27">
        <v>1922</v>
      </c>
      <c r="B32" s="55" t="s">
        <v>26</v>
      </c>
      <c r="C32" s="6">
        <v>27837</v>
      </c>
      <c r="D32" s="5">
        <v>24043</v>
      </c>
      <c r="E32" s="5">
        <v>3794</v>
      </c>
      <c r="F32" s="6">
        <v>27837</v>
      </c>
      <c r="G32" s="5">
        <v>26942</v>
      </c>
      <c r="H32" s="5">
        <v>895</v>
      </c>
      <c r="I32" s="6">
        <v>26797</v>
      </c>
      <c r="J32" s="5">
        <v>29390</v>
      </c>
      <c r="K32" s="5">
        <v>-2593</v>
      </c>
      <c r="L32" s="6">
        <v>23977</v>
      </c>
      <c r="M32" s="5">
        <v>30756</v>
      </c>
      <c r="N32" s="5">
        <v>-6779</v>
      </c>
      <c r="O32" s="6">
        <f t="shared" ref="O32:O57" si="3">K32+H32+E32</f>
        <v>2096</v>
      </c>
      <c r="P32" s="70">
        <f t="shared" si="1"/>
        <v>2.6077436050562355E-2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8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 xml:space="preserve"> </v>
      </c>
      <c r="V32" t="str">
        <f t="shared" si="2"/>
        <v xml:space="preserve"> 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 xml:space="preserve"> </v>
      </c>
    </row>
    <row r="33" spans="1:24" x14ac:dyDescent="0.2">
      <c r="A33" s="27">
        <v>2056</v>
      </c>
      <c r="B33" s="55" t="s">
        <v>26</v>
      </c>
      <c r="C33" s="6">
        <v>29610</v>
      </c>
      <c r="D33" s="5">
        <v>29320</v>
      </c>
      <c r="E33" s="5">
        <v>290</v>
      </c>
      <c r="F33" s="6">
        <v>21618</v>
      </c>
      <c r="G33" s="5">
        <v>32404</v>
      </c>
      <c r="H33" s="5">
        <v>-10786</v>
      </c>
      <c r="I33" s="6">
        <v>24118</v>
      </c>
      <c r="J33" s="5">
        <v>34765</v>
      </c>
      <c r="K33" s="5">
        <v>-10647</v>
      </c>
      <c r="L33" s="6">
        <v>28330</v>
      </c>
      <c r="M33" s="5">
        <v>32739</v>
      </c>
      <c r="N33" s="5">
        <v>-4409</v>
      </c>
      <c r="O33" s="6">
        <f t="shared" si="3"/>
        <v>-21143</v>
      </c>
      <c r="P33" s="70">
        <f t="shared" ref="P33:P46" si="4">O33/(J33+G33+D33+1)</f>
        <v>-0.2191211524510312</v>
      </c>
      <c r="Q33" s="178"/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 xml:space="preserve"> 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ref="V33:V46" si="5">IF(S33 = "X",L33-I33," ")</f>
        <v xml:space="preserve"> </v>
      </c>
      <c r="W33" t="str">
        <f>IF($C$4="High Inventory",IF(O33&gt;Summary!$C$119,"X"," "),IF(O33&lt;-Summary!$C$119,"X"," "))</f>
        <v xml:space="preserve"> </v>
      </c>
      <c r="X33" t="str">
        <f>IF($C$4="High Inventory",IF(P33&gt;Summary!$C$120,"X"," "),IF(P33&lt;-Summary!$C$120,"X"," "))</f>
        <v xml:space="preserve"> </v>
      </c>
    </row>
    <row r="34" spans="1:24" x14ac:dyDescent="0.2">
      <c r="A34" s="27">
        <v>2280</v>
      </c>
      <c r="B34" s="55" t="s">
        <v>26</v>
      </c>
      <c r="C34" s="6">
        <v>13000</v>
      </c>
      <c r="D34" s="5">
        <v>0</v>
      </c>
      <c r="E34" s="5">
        <v>13000</v>
      </c>
      <c r="F34" s="6">
        <v>13000</v>
      </c>
      <c r="G34" s="5">
        <v>0</v>
      </c>
      <c r="H34" s="5">
        <v>13000</v>
      </c>
      <c r="I34" s="6">
        <v>5000</v>
      </c>
      <c r="J34" s="5">
        <v>0</v>
      </c>
      <c r="K34" s="5">
        <v>5000</v>
      </c>
      <c r="L34" s="6">
        <v>13000</v>
      </c>
      <c r="M34" s="5">
        <v>0</v>
      </c>
      <c r="N34" s="5">
        <v>13000</v>
      </c>
      <c r="O34" s="6">
        <f t="shared" si="3"/>
        <v>31000</v>
      </c>
      <c r="P34" s="70">
        <f t="shared" si="4"/>
        <v>31000</v>
      </c>
      <c r="Q34" s="176"/>
      <c r="R34" s="66" t="str">
        <f>IF($C$4="High Inventory",IF(AND(O34&gt;=Summary!$C$119,P34&gt;=Summary!$C$120),"X"," "),IF(AND(O34&lt;=-Summary!$C$119,P34&lt;=-Summary!$C$120),"X"," "))</f>
        <v>X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>X</v>
      </c>
      <c r="U34" s="11" t="str">
        <f>IF($C$4="High Inventory",IF(AND($O34&gt;=0,$P34&gt;=Summary!$C$120),"X"," "),IF(AND($O34&lt;=0,$P34&lt;=-Summary!$C$120),"X"," "))</f>
        <v>X</v>
      </c>
      <c r="V34" t="str">
        <f t="shared" si="5"/>
        <v xml:space="preserve"> </v>
      </c>
      <c r="W34" t="str">
        <f>IF($C$4="High Inventory",IF(O34&gt;Summary!$C$119,"X"," "),IF(O34&lt;-Summary!$C$119,"X"," "))</f>
        <v>X</v>
      </c>
      <c r="X34" t="str">
        <f>IF($C$4="High Inventory",IF(P34&gt;Summary!$C$120,"X"," "),IF(P34&lt;-Summary!$C$120,"X"," "))</f>
        <v>X</v>
      </c>
    </row>
    <row r="35" spans="1:24" x14ac:dyDescent="0.2">
      <c r="A35" s="27">
        <v>2584</v>
      </c>
      <c r="B35" s="55" t="s">
        <v>26</v>
      </c>
      <c r="C35" s="6">
        <v>57983</v>
      </c>
      <c r="D35" s="5">
        <v>38327</v>
      </c>
      <c r="E35" s="5">
        <v>19656</v>
      </c>
      <c r="F35" s="6">
        <v>57982</v>
      </c>
      <c r="G35" s="5">
        <v>39737</v>
      </c>
      <c r="H35" s="5">
        <v>18245</v>
      </c>
      <c r="I35" s="6">
        <v>43966</v>
      </c>
      <c r="J35" s="5">
        <v>41868</v>
      </c>
      <c r="K35" s="5">
        <v>2098</v>
      </c>
      <c r="L35" s="6">
        <v>52671</v>
      </c>
      <c r="M35" s="5">
        <v>51995</v>
      </c>
      <c r="N35" s="5">
        <v>676</v>
      </c>
      <c r="O35" s="6">
        <f t="shared" si="3"/>
        <v>39999</v>
      </c>
      <c r="P35" s="70">
        <f t="shared" si="4"/>
        <v>0.3335112104258211</v>
      </c>
      <c r="Q35" s="176"/>
      <c r="R35" s="66" t="str">
        <f>IF($C$4="High Inventory",IF(AND(O35&gt;=Summary!$C$119,P35&gt;=Summary!$C$120),"X"," "),IF(AND(O35&lt;=-Summary!$C$119,P35&lt;=-Summary!$C$120),"X"," "))</f>
        <v>X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>X</v>
      </c>
      <c r="U35" s="11" t="str">
        <f>IF($C$4="High Inventory",IF(AND($O35&gt;=0,$P35&gt;=Summary!$C$120),"X"," "),IF(AND($O35&lt;=0,$P35&lt;=-Summary!$C$120),"X"," "))</f>
        <v>X</v>
      </c>
      <c r="V35" t="str">
        <f t="shared" si="5"/>
        <v xml:space="preserve"> </v>
      </c>
      <c r="W35" t="str">
        <f>IF($C$4="High Inventory",IF(O35&gt;Summary!$C$119,"X"," "),IF(O35&lt;-Summary!$C$119,"X"," "))</f>
        <v>X</v>
      </c>
      <c r="X35" t="str">
        <f>IF($C$4="High Inventory",IF(P35&gt;Summary!$C$120,"X"," "),IF(P35&lt;-Summary!$C$120,"X"," "))</f>
        <v>X</v>
      </c>
    </row>
    <row r="36" spans="1:24" x14ac:dyDescent="0.2">
      <c r="A36" s="27">
        <v>2771</v>
      </c>
      <c r="B36" s="55" t="s">
        <v>26</v>
      </c>
      <c r="C36" s="6">
        <v>14981</v>
      </c>
      <c r="D36" s="5">
        <v>26136</v>
      </c>
      <c r="E36" s="5">
        <v>-11155</v>
      </c>
      <c r="F36" s="6">
        <v>17868</v>
      </c>
      <c r="G36" s="5">
        <v>35535</v>
      </c>
      <c r="H36" s="5">
        <v>-17667</v>
      </c>
      <c r="I36" s="6">
        <v>4543</v>
      </c>
      <c r="J36" s="5">
        <v>32645</v>
      </c>
      <c r="K36" s="5">
        <v>-28102</v>
      </c>
      <c r="L36" s="6">
        <v>34681</v>
      </c>
      <c r="M36" s="5">
        <v>35032</v>
      </c>
      <c r="N36" s="5">
        <v>-351</v>
      </c>
      <c r="O36" s="6">
        <f t="shared" si="3"/>
        <v>-56924</v>
      </c>
      <c r="P36" s="70">
        <f t="shared" si="4"/>
        <v>-0.60353912868305815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5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">
      <c r="A37" s="27">
        <v>2832</v>
      </c>
      <c r="B37" s="55" t="s">
        <v>26</v>
      </c>
      <c r="C37" s="6">
        <v>4100</v>
      </c>
      <c r="D37" s="5">
        <v>1300</v>
      </c>
      <c r="E37" s="5">
        <v>2800</v>
      </c>
      <c r="F37" s="6">
        <v>4100</v>
      </c>
      <c r="G37" s="5">
        <v>1540</v>
      </c>
      <c r="H37" s="5">
        <v>2560</v>
      </c>
      <c r="I37" s="6">
        <v>2100</v>
      </c>
      <c r="J37" s="5">
        <v>1559</v>
      </c>
      <c r="K37" s="5">
        <v>541</v>
      </c>
      <c r="L37" s="6">
        <v>1300</v>
      </c>
      <c r="M37" s="5">
        <v>1772</v>
      </c>
      <c r="N37" s="5">
        <v>-472</v>
      </c>
      <c r="O37" s="6">
        <f t="shared" si="3"/>
        <v>5901</v>
      </c>
      <c r="P37" s="70">
        <f t="shared" si="4"/>
        <v>1.3411363636363636</v>
      </c>
      <c r="Q37" s="176"/>
      <c r="R37" s="66" t="str">
        <f>IF($C$4="High Inventory",IF(AND(O37&gt;=Summary!$C$119,P37&gt;=Summary!$C$120),"X"," "),IF(AND(O37&lt;=-Summary!$C$119,P37&lt;=-Summary!$C$120),"X"," "))</f>
        <v>X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>X</v>
      </c>
      <c r="U37" s="11" t="str">
        <f>IF($C$4="High Inventory",IF(AND($O37&gt;=0,$P37&gt;=Summary!$C$120),"X"," "),IF(AND($O37&lt;=0,$P37&lt;=-Summary!$C$120),"X"," "))</f>
        <v>X</v>
      </c>
      <c r="V37" t="str">
        <f t="shared" si="5"/>
        <v xml:space="preserve"> </v>
      </c>
      <c r="W37" t="str">
        <f>IF($C$4="High Inventory",IF(O37&gt;Summary!$C$119,"X"," "),IF(O37&lt;-Summary!$C$119,"X"," "))</f>
        <v>X</v>
      </c>
      <c r="X37" t="str">
        <f>IF($C$4="High Inventory",IF(P37&gt;Summary!$C$120,"X"," "),IF(P37&lt;-Summary!$C$120,"X"," "))</f>
        <v>X</v>
      </c>
    </row>
    <row r="38" spans="1:24" x14ac:dyDescent="0.2">
      <c r="A38" s="27">
        <v>2892</v>
      </c>
      <c r="B38" s="55" t="s">
        <v>26</v>
      </c>
      <c r="C38" s="6">
        <v>416</v>
      </c>
      <c r="D38" s="5">
        <v>224</v>
      </c>
      <c r="E38" s="5">
        <v>192</v>
      </c>
      <c r="F38" s="6">
        <v>416</v>
      </c>
      <c r="G38" s="5">
        <v>394</v>
      </c>
      <c r="H38" s="5">
        <v>22</v>
      </c>
      <c r="I38" s="6">
        <v>405</v>
      </c>
      <c r="J38" s="5">
        <v>397</v>
      </c>
      <c r="K38" s="5">
        <v>8</v>
      </c>
      <c r="L38" s="6">
        <v>382</v>
      </c>
      <c r="M38" s="5">
        <v>556</v>
      </c>
      <c r="N38" s="5">
        <v>-174</v>
      </c>
      <c r="O38" s="6">
        <f t="shared" si="3"/>
        <v>222</v>
      </c>
      <c r="P38" s="70">
        <f t="shared" si="4"/>
        <v>0.21850393700787402</v>
      </c>
      <c r="Q38" s="176"/>
      <c r="R38" s="66" t="str">
        <f>IF($C$4="High Inventory",IF(AND(O38&gt;=Summary!$C$119,P38&gt;=Summary!$C$120),"X"," "),IF(AND(O38&lt;=-Summary!$C$119,P38&lt;=-Summary!$C$120),"X"," "))</f>
        <v xml:space="preserve"> 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 xml:space="preserve"> </v>
      </c>
      <c r="U38" s="11" t="str">
        <f>IF($C$4="High Inventory",IF(AND($O38&gt;=0,$P38&gt;=Summary!$C$120),"X"," "),IF(AND($O38&lt;=0,$P38&lt;=-Summary!$C$120),"X"," "))</f>
        <v>X</v>
      </c>
      <c r="V38" t="str">
        <f t="shared" si="5"/>
        <v xml:space="preserve"> </v>
      </c>
      <c r="W38" t="str">
        <f>IF($C$4="High Inventory",IF(O38&gt;Summary!$C$119,"X"," "),IF(O38&lt;-Summary!$C$119,"X"," "))</f>
        <v xml:space="preserve"> </v>
      </c>
      <c r="X38" t="str">
        <f>IF($C$4="High Inventory",IF(P38&gt;Summary!$C$120,"X"," "),IF(P38&lt;-Summary!$C$120,"X"," "))</f>
        <v>X</v>
      </c>
    </row>
    <row r="39" spans="1:24" x14ac:dyDescent="0.2">
      <c r="A39" s="27">
        <v>3015</v>
      </c>
      <c r="B39" s="55" t="s">
        <v>26</v>
      </c>
      <c r="C39" s="6">
        <v>5742</v>
      </c>
      <c r="D39" s="5">
        <v>13766</v>
      </c>
      <c r="E39" s="5">
        <v>-8024</v>
      </c>
      <c r="F39" s="6">
        <v>10519</v>
      </c>
      <c r="G39" s="5">
        <v>13868</v>
      </c>
      <c r="H39" s="5">
        <v>-3349</v>
      </c>
      <c r="I39" s="6">
        <v>22503</v>
      </c>
      <c r="J39" s="5">
        <v>13739</v>
      </c>
      <c r="K39" s="5">
        <v>8764</v>
      </c>
      <c r="L39" s="6">
        <v>25742</v>
      </c>
      <c r="M39" s="5">
        <v>14001</v>
      </c>
      <c r="N39" s="5">
        <v>11741</v>
      </c>
      <c r="O39" s="6">
        <f t="shared" si="3"/>
        <v>-2609</v>
      </c>
      <c r="P39" s="70">
        <f t="shared" si="4"/>
        <v>-6.305892589548992E-2</v>
      </c>
      <c r="Q39" s="176"/>
      <c r="R39" s="66" t="str">
        <f>IF($C$4="High Inventory",IF(AND(O39&gt;=Summary!$C$119,P39&gt;=Summary!$C$120),"X"," "),IF(AND(O39&lt;=-Summary!$C$119,P39&lt;=-Summary!$C$120),"X"," "))</f>
        <v xml:space="preserve"> 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8" t="str">
        <f>IF($C$4="High Inventory",IF(AND($O39&gt;=Summary!$C$119,$P39&gt;=0%),"X"," "),IF(AND($O39&lt;=-Summary!$C$119,$P39&lt;=0%),"X"," "))</f>
        <v xml:space="preserve"> </v>
      </c>
      <c r="U39" s="11" t="str">
        <f>IF($C$4="High Inventory",IF(AND($O39&gt;=0,$P39&gt;=Summary!$C$120),"X"," "),IF(AND($O39&lt;=0,$P39&lt;=-Summary!$C$120),"X"," "))</f>
        <v xml:space="preserve"> </v>
      </c>
      <c r="V39" t="str">
        <f t="shared" si="5"/>
        <v xml:space="preserve"> </v>
      </c>
      <c r="W39" t="str">
        <f>IF($C$4="High Inventory",IF(O39&gt;Summary!$C$119,"X"," "),IF(O39&lt;-Summary!$C$119,"X"," "))</f>
        <v xml:space="preserve"> </v>
      </c>
      <c r="X39" t="str">
        <f>IF($C$4="High Inventory",IF(P39&gt;Summary!$C$120,"X"," "),IF(P39&lt;-Summary!$C$120,"X"," "))</f>
        <v xml:space="preserve"> </v>
      </c>
    </row>
    <row r="40" spans="1:24" x14ac:dyDescent="0.2">
      <c r="A40" s="27">
        <v>4760</v>
      </c>
      <c r="B40" s="55" t="s">
        <v>26</v>
      </c>
      <c r="C40" s="6">
        <v>416439</v>
      </c>
      <c r="D40" s="5">
        <v>445724</v>
      </c>
      <c r="E40" s="5">
        <v>-29285</v>
      </c>
      <c r="F40" s="6">
        <v>416437</v>
      </c>
      <c r="G40" s="5">
        <v>323147</v>
      </c>
      <c r="H40" s="5">
        <v>93290</v>
      </c>
      <c r="I40" s="6">
        <v>273975</v>
      </c>
      <c r="J40" s="5">
        <v>331864</v>
      </c>
      <c r="K40" s="5">
        <v>-57889</v>
      </c>
      <c r="L40" s="6">
        <v>321297</v>
      </c>
      <c r="M40" s="5">
        <v>360775</v>
      </c>
      <c r="N40" s="5">
        <v>-39478</v>
      </c>
      <c r="O40" s="6">
        <f t="shared" si="3"/>
        <v>6116</v>
      </c>
      <c r="P40" s="70">
        <f t="shared" si="4"/>
        <v>5.5562823419966281E-3</v>
      </c>
      <c r="Q40" s="178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>X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5"/>
        <v xml:space="preserve"> </v>
      </c>
      <c r="W40" t="str">
        <f>IF($C$4="High Inventory",IF(O40&gt;Summary!$C$119,"X"," "),IF(O40&lt;-Summary!$C$119,"X"," "))</f>
        <v>X</v>
      </c>
      <c r="X40" t="str">
        <f>IF($C$4="High Inventory",IF(P40&gt;Summary!$C$120,"X"," "),IF(P40&lt;-Summary!$C$120,"X"," "))</f>
        <v xml:space="preserve"> </v>
      </c>
    </row>
    <row r="41" spans="1:24" x14ac:dyDescent="0.2">
      <c r="A41" s="27">
        <v>6728</v>
      </c>
      <c r="B41" s="55" t="s">
        <v>26</v>
      </c>
      <c r="C41" s="6">
        <v>11000</v>
      </c>
      <c r="D41" s="5">
        <v>11512</v>
      </c>
      <c r="E41" s="5">
        <v>-512</v>
      </c>
      <c r="F41" s="6">
        <v>11000</v>
      </c>
      <c r="G41" s="5">
        <v>11540</v>
      </c>
      <c r="H41" s="5">
        <v>-540</v>
      </c>
      <c r="I41" s="6">
        <v>10089</v>
      </c>
      <c r="J41" s="5">
        <v>11350</v>
      </c>
      <c r="K41" s="5">
        <v>-1261</v>
      </c>
      <c r="L41" s="6">
        <v>11000</v>
      </c>
      <c r="M41" s="5">
        <v>11104</v>
      </c>
      <c r="N41" s="5">
        <v>-104</v>
      </c>
      <c r="O41" s="6">
        <f t="shared" si="3"/>
        <v>-2313</v>
      </c>
      <c r="P41" s="70">
        <f t="shared" si="4"/>
        <v>-6.7232508792837833E-2</v>
      </c>
      <c r="Q41" s="176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5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">
      <c r="A42" s="27">
        <v>12296</v>
      </c>
      <c r="B42" s="55" t="s">
        <v>26</v>
      </c>
      <c r="C42" s="6">
        <v>6652</v>
      </c>
      <c r="D42" s="5">
        <v>0</v>
      </c>
      <c r="E42" s="5">
        <v>6652</v>
      </c>
      <c r="F42" s="6">
        <v>10516</v>
      </c>
      <c r="G42" s="5">
        <v>0</v>
      </c>
      <c r="H42" s="5">
        <v>10516</v>
      </c>
      <c r="I42" s="6">
        <v>6480</v>
      </c>
      <c r="J42" s="5">
        <v>0</v>
      </c>
      <c r="K42" s="5">
        <v>6480</v>
      </c>
      <c r="L42" s="6">
        <v>9280</v>
      </c>
      <c r="M42" s="5">
        <v>0</v>
      </c>
      <c r="N42" s="5">
        <v>9280</v>
      </c>
      <c r="O42" s="6">
        <f t="shared" si="3"/>
        <v>23648</v>
      </c>
      <c r="P42" s="70">
        <f t="shared" si="4"/>
        <v>23648</v>
      </c>
      <c r="Q42" s="178"/>
      <c r="R42" s="66" t="str">
        <f>IF($C$4="High Inventory",IF(AND(O42&gt;=Summary!$C$119,P42&gt;=Summary!$C$120),"X"," "),IF(AND(O42&lt;=-Summary!$C$119,P42&lt;=-Summary!$C$120),"X"," "))</f>
        <v>X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>X</v>
      </c>
      <c r="U42" s="11" t="str">
        <f>IF($C$4="High Inventory",IF(AND($O42&gt;=0,$P42&gt;=Summary!$C$120),"X"," "),IF(AND($O42&lt;=0,$P42&lt;=-Summary!$C$120),"X"," "))</f>
        <v>X</v>
      </c>
      <c r="V42" t="str">
        <f t="shared" si="5"/>
        <v xml:space="preserve"> </v>
      </c>
      <c r="W42" t="str">
        <f>IF($C$4="High Inventory",IF(O42&gt;Summary!$C$119,"X"," "),IF(O42&lt;-Summary!$C$119,"X"," "))</f>
        <v>X</v>
      </c>
      <c r="X42" t="str">
        <f>IF($C$4="High Inventory",IF(P42&gt;Summary!$C$120,"X"," "),IF(P42&lt;-Summary!$C$120,"X"," "))</f>
        <v>X</v>
      </c>
    </row>
    <row r="43" spans="1:24" x14ac:dyDescent="0.2">
      <c r="A43" s="27">
        <v>15966</v>
      </c>
      <c r="B43" s="55" t="s">
        <v>26</v>
      </c>
      <c r="C43" s="6">
        <v>49245</v>
      </c>
      <c r="D43" s="5">
        <v>36424</v>
      </c>
      <c r="E43" s="5">
        <v>12821</v>
      </c>
      <c r="F43" s="6">
        <v>49245</v>
      </c>
      <c r="G43" s="5">
        <v>35875</v>
      </c>
      <c r="H43" s="5">
        <v>13370</v>
      </c>
      <c r="I43" s="6">
        <v>33490</v>
      </c>
      <c r="J43" s="5">
        <v>36299</v>
      </c>
      <c r="K43" s="5">
        <v>-2809</v>
      </c>
      <c r="L43" s="6">
        <v>29190</v>
      </c>
      <c r="M43" s="5">
        <v>36634</v>
      </c>
      <c r="N43" s="5">
        <v>-7444</v>
      </c>
      <c r="O43" s="6">
        <f t="shared" si="3"/>
        <v>23382</v>
      </c>
      <c r="P43" s="70">
        <f t="shared" si="4"/>
        <v>0.21530584996178603</v>
      </c>
      <c r="Q43" s="176"/>
      <c r="R43" s="66" t="str">
        <f>IF($C$4="High Inventory",IF(AND(O43&gt;=Summary!$C$119,P43&gt;=Summary!$C$120),"X"," "),IF(AND(O43&lt;=-Summary!$C$119,P43&lt;=-Summary!$C$120),"X"," "))</f>
        <v>X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>X</v>
      </c>
      <c r="U43" s="11" t="str">
        <f>IF($C$4="High Inventory",IF(AND($O43&gt;=0,$P43&gt;=Summary!$C$120),"X"," "),IF(AND($O43&lt;=0,$P43&lt;=-Summary!$C$120),"X"," "))</f>
        <v>X</v>
      </c>
      <c r="V43" t="str">
        <f t="shared" si="5"/>
        <v xml:space="preserve"> </v>
      </c>
      <c r="W43" t="str">
        <f>IF($C$4="High Inventory",IF(O43&gt;Summary!$C$119,"X"," "),IF(O43&lt;-Summary!$C$119,"X"," "))</f>
        <v>X</v>
      </c>
      <c r="X43" t="str">
        <f>IF($C$4="High Inventory",IF(P43&gt;Summary!$C$120,"X"," "),IF(P43&lt;-Summary!$C$120,"X"," "))</f>
        <v>X</v>
      </c>
    </row>
    <row r="44" spans="1:24" x14ac:dyDescent="0.2">
      <c r="A44" s="27">
        <v>30069</v>
      </c>
      <c r="B44" s="55" t="s">
        <v>26</v>
      </c>
      <c r="C44" s="6">
        <v>9377</v>
      </c>
      <c r="D44" s="5">
        <v>10136</v>
      </c>
      <c r="E44" s="5">
        <v>-759</v>
      </c>
      <c r="F44" s="6">
        <v>8750</v>
      </c>
      <c r="G44" s="5">
        <v>10137</v>
      </c>
      <c r="H44" s="5">
        <v>-1387</v>
      </c>
      <c r="I44" s="6">
        <v>8351</v>
      </c>
      <c r="J44" s="5">
        <v>10015</v>
      </c>
      <c r="K44" s="5">
        <v>-1664</v>
      </c>
      <c r="L44" s="6">
        <v>9377</v>
      </c>
      <c r="M44" s="5">
        <v>10037</v>
      </c>
      <c r="N44" s="5">
        <v>-660</v>
      </c>
      <c r="O44" s="6">
        <f t="shared" si="3"/>
        <v>-3810</v>
      </c>
      <c r="P44" s="70">
        <f t="shared" si="4"/>
        <v>-0.12578823995509922</v>
      </c>
      <c r="Q44" s="176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5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">
      <c r="A45" s="27">
        <v>254</v>
      </c>
      <c r="B45" s="55" t="s">
        <v>27</v>
      </c>
      <c r="C45" s="6">
        <v>11934</v>
      </c>
      <c r="D45" s="5">
        <v>11174</v>
      </c>
      <c r="E45" s="5">
        <v>760</v>
      </c>
      <c r="F45" s="6">
        <v>11934</v>
      </c>
      <c r="G45" s="5">
        <v>11885</v>
      </c>
      <c r="H45" s="5">
        <v>49</v>
      </c>
      <c r="I45" s="6">
        <v>11598</v>
      </c>
      <c r="J45" s="5">
        <v>12401</v>
      </c>
      <c r="K45" s="5">
        <v>-803</v>
      </c>
      <c r="L45" s="6">
        <v>11934</v>
      </c>
      <c r="M45" s="5">
        <v>11913</v>
      </c>
      <c r="N45" s="5">
        <v>21</v>
      </c>
      <c r="O45" s="6">
        <f t="shared" ref="O45:O59" si="6">K45+H45+E45</f>
        <v>6</v>
      </c>
      <c r="P45" s="70">
        <f t="shared" si="4"/>
        <v>1.6919996616000677E-4</v>
      </c>
      <c r="Q45" s="176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5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">
      <c r="A46" s="27">
        <v>399</v>
      </c>
      <c r="B46" s="55" t="s">
        <v>27</v>
      </c>
      <c r="C46" s="6">
        <v>150</v>
      </c>
      <c r="D46" s="5">
        <v>159</v>
      </c>
      <c r="E46" s="5">
        <v>-9</v>
      </c>
      <c r="F46" s="6">
        <v>150</v>
      </c>
      <c r="G46" s="5">
        <v>131</v>
      </c>
      <c r="H46" s="5">
        <v>19</v>
      </c>
      <c r="I46" s="6">
        <v>0</v>
      </c>
      <c r="J46" s="5">
        <v>125</v>
      </c>
      <c r="K46" s="5">
        <v>-125</v>
      </c>
      <c r="L46" s="6">
        <v>100</v>
      </c>
      <c r="M46" s="5">
        <v>148</v>
      </c>
      <c r="N46" s="5">
        <v>-48</v>
      </c>
      <c r="O46" s="6">
        <f t="shared" si="3"/>
        <v>-115</v>
      </c>
      <c r="P46" s="70">
        <f t="shared" si="4"/>
        <v>-0.27644230769230771</v>
      </c>
      <c r="Q46" s="176"/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5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">
      <c r="A47" s="27">
        <v>512</v>
      </c>
      <c r="B47" s="55" t="s">
        <v>27</v>
      </c>
      <c r="C47" s="6">
        <v>800</v>
      </c>
      <c r="D47" s="5">
        <v>621</v>
      </c>
      <c r="E47" s="5">
        <v>179</v>
      </c>
      <c r="F47" s="6">
        <v>800</v>
      </c>
      <c r="G47" s="5">
        <v>693</v>
      </c>
      <c r="H47" s="5">
        <v>107</v>
      </c>
      <c r="I47" s="6">
        <v>800</v>
      </c>
      <c r="J47" s="5">
        <v>650</v>
      </c>
      <c r="K47" s="5">
        <v>150</v>
      </c>
      <c r="L47" s="6">
        <v>800</v>
      </c>
      <c r="M47" s="5">
        <v>847</v>
      </c>
      <c r="N47" s="5">
        <v>-47</v>
      </c>
      <c r="O47" s="6">
        <f t="shared" si="6"/>
        <v>436</v>
      </c>
      <c r="P47" s="70">
        <f t="shared" ref="P47:P59" si="7">O47/(J47+G47+D47+1)</f>
        <v>0.22188295165394403</v>
      </c>
      <c r="Q47" s="176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>X</v>
      </c>
      <c r="V47" t="str">
        <f t="shared" ref="V47:V59" si="8">IF(S47 = "X",L47-I47," ")</f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>X</v>
      </c>
    </row>
    <row r="48" spans="1:24" x14ac:dyDescent="0.2">
      <c r="A48" s="27">
        <v>779</v>
      </c>
      <c r="B48" s="55" t="s">
        <v>27</v>
      </c>
      <c r="C48" s="6">
        <v>800</v>
      </c>
      <c r="D48" s="5">
        <v>0</v>
      </c>
      <c r="E48" s="5">
        <v>800</v>
      </c>
      <c r="F48" s="6">
        <v>800</v>
      </c>
      <c r="G48" s="5">
        <v>508</v>
      </c>
      <c r="H48" s="5">
        <v>292</v>
      </c>
      <c r="I48" s="6">
        <v>743</v>
      </c>
      <c r="J48" s="5">
        <v>1183</v>
      </c>
      <c r="K48" s="5">
        <v>-440</v>
      </c>
      <c r="L48" s="6">
        <v>800</v>
      </c>
      <c r="M48" s="5">
        <v>1260</v>
      </c>
      <c r="N48" s="5">
        <v>-460</v>
      </c>
      <c r="O48" s="6">
        <f>K48+H48+E48</f>
        <v>652</v>
      </c>
      <c r="P48" s="70">
        <f t="shared" si="7"/>
        <v>0.38534278959810875</v>
      </c>
      <c r="Q48" s="176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>X</v>
      </c>
      <c r="V48" t="str">
        <f t="shared" si="8"/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>X</v>
      </c>
    </row>
    <row r="49" spans="1:42" x14ac:dyDescent="0.2">
      <c r="A49" s="27">
        <v>928</v>
      </c>
      <c r="B49" s="55" t="s">
        <v>27</v>
      </c>
      <c r="C49" s="6">
        <v>190</v>
      </c>
      <c r="D49" s="5">
        <v>216</v>
      </c>
      <c r="E49" s="5">
        <v>-26</v>
      </c>
      <c r="F49" s="6">
        <v>190</v>
      </c>
      <c r="G49" s="5">
        <v>214</v>
      </c>
      <c r="H49" s="5">
        <v>-24</v>
      </c>
      <c r="I49" s="6">
        <v>190</v>
      </c>
      <c r="J49" s="5">
        <v>221</v>
      </c>
      <c r="K49" s="5">
        <v>-31</v>
      </c>
      <c r="L49" s="6">
        <v>190</v>
      </c>
      <c r="M49" s="5">
        <v>203</v>
      </c>
      <c r="N49" s="5">
        <v>-13</v>
      </c>
      <c r="O49" s="6">
        <f t="shared" si="6"/>
        <v>-81</v>
      </c>
      <c r="P49" s="70">
        <f t="shared" si="7"/>
        <v>-0.12423312883435583</v>
      </c>
      <c r="Q49" s="176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 t="shared" si="8"/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42" x14ac:dyDescent="0.2">
      <c r="A50" s="27">
        <v>7602</v>
      </c>
      <c r="B50" s="55" t="s">
        <v>27</v>
      </c>
      <c r="C50" s="6">
        <v>2237</v>
      </c>
      <c r="D50" s="5">
        <v>2700</v>
      </c>
      <c r="E50" s="5">
        <v>-463</v>
      </c>
      <c r="F50" s="6">
        <v>2124</v>
      </c>
      <c r="G50" s="5">
        <v>9943</v>
      </c>
      <c r="H50" s="5">
        <v>-7819</v>
      </c>
      <c r="I50" s="6">
        <v>7864</v>
      </c>
      <c r="J50" s="5">
        <v>10245</v>
      </c>
      <c r="K50" s="5">
        <v>-2381</v>
      </c>
      <c r="L50" s="6">
        <v>8000</v>
      </c>
      <c r="M50" s="5">
        <v>10253</v>
      </c>
      <c r="N50" s="5">
        <v>-2253</v>
      </c>
      <c r="O50" s="6">
        <f t="shared" si="6"/>
        <v>-10663</v>
      </c>
      <c r="P50" s="70">
        <f t="shared" si="7"/>
        <v>-0.46585696185940845</v>
      </c>
      <c r="Q50" s="176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 t="shared" si="8"/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42" x14ac:dyDescent="0.2">
      <c r="A51" s="27">
        <v>7604</v>
      </c>
      <c r="B51" s="55" t="s">
        <v>27</v>
      </c>
      <c r="C51" s="6">
        <v>30598</v>
      </c>
      <c r="D51" s="5">
        <v>22286</v>
      </c>
      <c r="E51" s="5">
        <v>8312</v>
      </c>
      <c r="F51" s="6">
        <v>36539</v>
      </c>
      <c r="G51" s="5">
        <v>21506</v>
      </c>
      <c r="H51" s="5">
        <v>15033</v>
      </c>
      <c r="I51" s="6">
        <v>24165</v>
      </c>
      <c r="J51" s="5">
        <v>22532</v>
      </c>
      <c r="K51" s="5">
        <v>1633</v>
      </c>
      <c r="L51" s="6">
        <v>24459</v>
      </c>
      <c r="M51" s="5">
        <v>24958</v>
      </c>
      <c r="N51" s="5">
        <v>-499</v>
      </c>
      <c r="O51" s="6">
        <f t="shared" si="6"/>
        <v>24978</v>
      </c>
      <c r="P51" s="70">
        <f t="shared" si="7"/>
        <v>0.37660007538635509</v>
      </c>
      <c r="Q51" s="176"/>
      <c r="R51" s="66" t="str">
        <f>IF($C$4="High Inventory",IF(AND(O51&gt;=Summary!$C$119,P51&gt;=Summary!$C$120),"X"," "),IF(AND(O51&lt;=-Summary!$C$119,P51&lt;=-Summary!$C$120),"X"," "))</f>
        <v>X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 t="str">
        <f>IF($C$4="High Inventory",IF(AND($O51&gt;=Summary!$C$119,$P51&gt;=0%),"X"," "),IF(AND($O51&lt;=-Summary!$C$119,$P51&lt;=0%),"X"," "))</f>
        <v>X</v>
      </c>
      <c r="U51" s="11" t="str">
        <f>IF($C$4="High Inventory",IF(AND($O51&gt;=0,$P51&gt;=Summary!$C$120),"X"," "),IF(AND($O51&lt;=0,$P51&lt;=-Summary!$C$120),"X"," "))</f>
        <v>X</v>
      </c>
      <c r="V51" t="str">
        <f t="shared" si="8"/>
        <v xml:space="preserve"> </v>
      </c>
      <c r="W51" t="str">
        <f>IF($C$4="High Inventory",IF(O51&gt;Summary!$C$119,"X"," "),IF(O51&lt;-Summary!$C$119,"X"," "))</f>
        <v>X</v>
      </c>
      <c r="X51" t="str">
        <f>IF($C$4="High Inventory",IF(P51&gt;Summary!$C$120,"X"," "),IF(P51&lt;-Summary!$C$120,"X"," "))</f>
        <v>X</v>
      </c>
    </row>
    <row r="52" spans="1:42" x14ac:dyDescent="0.2">
      <c r="A52" s="27">
        <v>13636</v>
      </c>
      <c r="B52" s="55" t="s">
        <v>27</v>
      </c>
      <c r="C52" s="6">
        <v>0</v>
      </c>
      <c r="D52" s="5">
        <v>86</v>
      </c>
      <c r="E52" s="5">
        <v>-86</v>
      </c>
      <c r="F52" s="6">
        <v>0</v>
      </c>
      <c r="G52" s="5">
        <v>40</v>
      </c>
      <c r="H52" s="5">
        <v>-40</v>
      </c>
      <c r="I52" s="6">
        <v>0</v>
      </c>
      <c r="J52" s="5">
        <v>29</v>
      </c>
      <c r="K52" s="5">
        <v>-29</v>
      </c>
      <c r="L52" s="6">
        <v>0</v>
      </c>
      <c r="M52" s="5">
        <v>0</v>
      </c>
      <c r="N52" s="5">
        <v>0</v>
      </c>
      <c r="O52" s="6">
        <f t="shared" si="6"/>
        <v>-155</v>
      </c>
      <c r="P52" s="70">
        <f t="shared" si="7"/>
        <v>-0.99358974358974361</v>
      </c>
      <c r="Q52" s="176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 t="shared" si="8"/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42" x14ac:dyDescent="0.2">
      <c r="A53" s="27">
        <v>20566</v>
      </c>
      <c r="B53" s="55" t="s">
        <v>27</v>
      </c>
      <c r="C53" s="6">
        <v>3904</v>
      </c>
      <c r="D53" s="5">
        <v>0</v>
      </c>
      <c r="E53" s="5">
        <v>3904</v>
      </c>
      <c r="F53" s="6">
        <v>0</v>
      </c>
      <c r="G53" s="5">
        <v>4441</v>
      </c>
      <c r="H53" s="5">
        <v>-4441</v>
      </c>
      <c r="I53" s="6">
        <v>6500</v>
      </c>
      <c r="J53" s="5">
        <v>5478</v>
      </c>
      <c r="K53" s="5">
        <v>1022</v>
      </c>
      <c r="L53" s="6">
        <v>1666</v>
      </c>
      <c r="M53" s="5">
        <v>0</v>
      </c>
      <c r="N53" s="5">
        <v>1666</v>
      </c>
      <c r="O53" s="6">
        <f t="shared" si="6"/>
        <v>485</v>
      </c>
      <c r="P53" s="70">
        <f t="shared" si="7"/>
        <v>4.8891129032258063E-2</v>
      </c>
      <c r="Q53" s="176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8" t="str">
        <f>IF($C$4="High Inventory",IF(AND($O53&gt;=Summary!$C$119,$P53&gt;=0%),"X"," "),IF(AND($O53&lt;=-Summary!$C$119,$P53&lt;=0%),"X"," "))</f>
        <v xml:space="preserve"> </v>
      </c>
      <c r="U53" s="11" t="str">
        <f>IF($C$4="High Inventory",IF(AND($O53&gt;=0,$P53&gt;=Summary!$C$120),"X"," "),IF(AND($O53&lt;=0,$P53&lt;=-Summary!$C$120),"X"," "))</f>
        <v xml:space="preserve"> </v>
      </c>
      <c r="V53" t="str">
        <f t="shared" si="8"/>
        <v xml:space="preserve"> </v>
      </c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 xml:space="preserve"> </v>
      </c>
    </row>
    <row r="54" spans="1:42" x14ac:dyDescent="0.2">
      <c r="A54" s="27">
        <v>30511</v>
      </c>
      <c r="B54" s="55" t="s">
        <v>27</v>
      </c>
      <c r="C54" s="202">
        <v>500</v>
      </c>
      <c r="D54" s="203">
        <v>489</v>
      </c>
      <c r="E54" s="203">
        <v>11</v>
      </c>
      <c r="F54" s="202">
        <v>500</v>
      </c>
      <c r="G54" s="203">
        <v>404</v>
      </c>
      <c r="H54" s="203">
        <v>96</v>
      </c>
      <c r="I54" s="202">
        <v>500</v>
      </c>
      <c r="J54" s="203">
        <v>486</v>
      </c>
      <c r="K54" s="203">
        <v>14</v>
      </c>
      <c r="L54" s="202">
        <v>500</v>
      </c>
      <c r="M54" s="203">
        <v>477</v>
      </c>
      <c r="N54" s="203">
        <v>23</v>
      </c>
      <c r="O54" s="6">
        <f t="shared" si="6"/>
        <v>121</v>
      </c>
      <c r="P54" s="70">
        <f t="shared" si="7"/>
        <v>8.7681159420289853E-2</v>
      </c>
      <c r="Q54" s="176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 xml:space="preserve"> </v>
      </c>
      <c r="V54" t="str">
        <f t="shared" si="8"/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 xml:space="preserve"> </v>
      </c>
    </row>
    <row r="55" spans="1:42" x14ac:dyDescent="0.2">
      <c r="A55" s="27">
        <v>34282</v>
      </c>
      <c r="B55" s="55" t="s">
        <v>27</v>
      </c>
      <c r="C55" s="6"/>
      <c r="D55" s="5"/>
      <c r="E55" s="5"/>
      <c r="F55" s="6"/>
      <c r="G55" s="5"/>
      <c r="H55" s="5"/>
      <c r="I55" s="6"/>
      <c r="J55" s="5"/>
      <c r="K55" s="5"/>
      <c r="L55" s="6">
        <v>0</v>
      </c>
      <c r="M55" s="5">
        <v>199</v>
      </c>
      <c r="N55" s="5">
        <v>-199</v>
      </c>
      <c r="O55" s="6">
        <f t="shared" si="6"/>
        <v>0</v>
      </c>
      <c r="P55" s="70">
        <f t="shared" si="7"/>
        <v>0</v>
      </c>
      <c r="Q55" s="176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 xml:space="preserve"> </v>
      </c>
      <c r="V55" t="str">
        <f t="shared" si="8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 xml:space="preserve"> </v>
      </c>
    </row>
    <row r="56" spans="1:42" x14ac:dyDescent="0.2">
      <c r="A56" s="27">
        <v>35475</v>
      </c>
      <c r="B56" s="55" t="s">
        <v>27</v>
      </c>
      <c r="C56" s="6">
        <v>0</v>
      </c>
      <c r="D56" s="5">
        <v>6625</v>
      </c>
      <c r="E56" s="5">
        <v>-6625</v>
      </c>
      <c r="F56" s="6">
        <v>3904</v>
      </c>
      <c r="G56" s="5">
        <v>10787</v>
      </c>
      <c r="H56" s="5">
        <v>-6883</v>
      </c>
      <c r="I56" s="6">
        <v>3904</v>
      </c>
      <c r="J56" s="5">
        <v>13563</v>
      </c>
      <c r="K56" s="5">
        <v>-9659</v>
      </c>
      <c r="L56" s="6">
        <v>5404</v>
      </c>
      <c r="M56" s="5">
        <v>14327</v>
      </c>
      <c r="N56" s="5">
        <v>-8923</v>
      </c>
      <c r="O56" s="6">
        <f>K56+H56+E56</f>
        <v>-23167</v>
      </c>
      <c r="P56" s="70">
        <f t="shared" si="7"/>
        <v>-0.74790160123966942</v>
      </c>
      <c r="Q56" s="176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 xml:space="preserve"> </v>
      </c>
      <c r="V56" t="str">
        <f t="shared" si="8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 xml:space="preserve"> </v>
      </c>
    </row>
    <row r="57" spans="1:42" x14ac:dyDescent="0.2">
      <c r="A57" s="27">
        <v>37459</v>
      </c>
      <c r="B57" s="55" t="s">
        <v>27</v>
      </c>
      <c r="C57" s="6"/>
      <c r="D57" s="5"/>
      <c r="E57" s="5"/>
      <c r="F57" s="6"/>
      <c r="G57" s="5"/>
      <c r="H57" s="5"/>
      <c r="I57" s="6"/>
      <c r="J57" s="5"/>
      <c r="K57" s="5"/>
      <c r="L57" s="6">
        <v>0</v>
      </c>
      <c r="M57" s="5">
        <v>19</v>
      </c>
      <c r="N57" s="5">
        <v>-19</v>
      </c>
      <c r="O57" s="6">
        <f t="shared" si="3"/>
        <v>0</v>
      </c>
      <c r="P57" s="70">
        <f t="shared" si="7"/>
        <v>0</v>
      </c>
      <c r="Q57" s="176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 t="str">
        <f>IF($C$4="High Inventory",IF(AND($O57&gt;=Summary!$C$119,$P57&gt;=0%),"X"," "),IF(AND($O57&lt;=-Summary!$C$119,$P57&lt;=0%),"X"," "))</f>
        <v xml:space="preserve"> </v>
      </c>
      <c r="U57" s="11" t="str">
        <f>IF($C$4="High Inventory",IF(AND($O57&gt;=0,$P57&gt;=Summary!$C$120),"X"," "),IF(AND($O57&lt;=0,$P57&lt;=-Summary!$C$120),"X"," "))</f>
        <v xml:space="preserve"> </v>
      </c>
      <c r="V57" t="str">
        <f t="shared" si="8"/>
        <v xml:space="preserve"> </v>
      </c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42" x14ac:dyDescent="0.2">
      <c r="A58" s="27"/>
      <c r="B58" s="55"/>
      <c r="C58" s="6"/>
      <c r="D58" s="5"/>
      <c r="E58" s="5"/>
      <c r="F58" s="6"/>
      <c r="G58" s="5"/>
      <c r="H58" s="5"/>
      <c r="I58" s="6"/>
      <c r="J58" s="5"/>
      <c r="K58" s="5"/>
      <c r="L58" s="6"/>
      <c r="M58" s="5"/>
      <c r="N58" s="5"/>
      <c r="O58" s="6">
        <f t="shared" si="6"/>
        <v>0</v>
      </c>
      <c r="P58" s="70">
        <f t="shared" si="7"/>
        <v>0</v>
      </c>
      <c r="Q58" s="176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8"/>
        <v xml:space="preserve"> </v>
      </c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 xml:space="preserve"> </v>
      </c>
    </row>
    <row r="59" spans="1:42" x14ac:dyDescent="0.2">
      <c r="A59" s="27"/>
      <c r="B59" s="55"/>
      <c r="C59" s="6"/>
      <c r="D59" s="5"/>
      <c r="E59" s="5"/>
      <c r="F59" s="6"/>
      <c r="G59" s="5"/>
      <c r="H59" s="5"/>
      <c r="I59" s="6"/>
      <c r="J59" s="5"/>
      <c r="K59" s="5"/>
      <c r="L59" s="6"/>
      <c r="M59" s="5"/>
      <c r="N59" s="5"/>
      <c r="O59" s="6">
        <f t="shared" si="6"/>
        <v>0</v>
      </c>
      <c r="P59" s="70">
        <f t="shared" si="7"/>
        <v>0</v>
      </c>
      <c r="Q59" s="176"/>
      <c r="R59" s="66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8" t="str">
        <f>IF($C$4="High Inventory",IF(AND($O59&gt;=Summary!$C$119,$P59&gt;=0%),"X"," "),IF(AND($O59&lt;=-Summary!$C$119,$P59&lt;=0%),"X"," "))</f>
        <v xml:space="preserve"> </v>
      </c>
      <c r="U59" s="11" t="str">
        <f>IF($C$4="High Inventory",IF(AND($O59&gt;=0,$P59&gt;=Summary!$C$120),"X"," "),IF(AND($O59&lt;=0,$P59&lt;=-Summary!$C$120),"X"," "))</f>
        <v xml:space="preserve"> </v>
      </c>
      <c r="V59" t="str">
        <f t="shared" si="8"/>
        <v xml:space="preserve"> </v>
      </c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42" x14ac:dyDescent="0.2">
      <c r="A60" s="27"/>
      <c r="B60" s="55"/>
      <c r="C60" s="6"/>
      <c r="D60" s="5"/>
      <c r="E60" s="5"/>
      <c r="F60" s="6"/>
      <c r="G60" s="5"/>
      <c r="H60" s="5"/>
      <c r="I60" s="6"/>
      <c r="J60" s="5"/>
      <c r="K60" s="5"/>
      <c r="L60" s="6"/>
      <c r="M60" s="5"/>
      <c r="N60" s="5"/>
      <c r="O60" s="6">
        <f>K60+H60+E60</f>
        <v>0</v>
      </c>
      <c r="P60" s="70">
        <f>O60/(J60+G60+D60+1)</f>
        <v>0</v>
      </c>
      <c r="Q60" s="74"/>
      <c r="R60" s="66" t="str">
        <f>IF($C$4="High Inventory",IF(AND(O60&gt;=Summary!$C$119,P60&gt;=Summary!$C$120),"X"," "),IF(AND(O60&lt;=-Summary!$C$119,P60&lt;=-Summary!$C$120),"X"," "))</f>
        <v xml:space="preserve"> </v>
      </c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T60" s="8" t="str">
        <f>IF($C$4="High Inventory",IF(AND($O60&gt;=Summary!$C$119,$P60&gt;=0%),"X"," "),IF(AND($O60&lt;=-Summary!$C$119,$P60&lt;=0%),"X"," "))</f>
        <v xml:space="preserve"> </v>
      </c>
      <c r="U60" s="11" t="str">
        <f>IF($C$4="High Inventory",IF(AND($O60&gt;=0,$P60&gt;=Summary!$C$120),"X"," "),IF(AND($O60&lt;=0,$P60&lt;=-Summary!$C$120),"X"," "))</f>
        <v xml:space="preserve"> </v>
      </c>
      <c r="V60" t="str">
        <f>IF(S60 = "X",L60-I60," ")</f>
        <v xml:space="preserve"> </v>
      </c>
      <c r="W60" t="str">
        <f>IF($C$4="High Inventory",IF(O60&gt;Summary!$C$119,"X"," "),IF(O60&lt;-Summary!$C$119,"X"," "))</f>
        <v xml:space="preserve"> </v>
      </c>
      <c r="X60" t="str">
        <f>IF($C$4="High Inventory",IF(P60&gt;Summary!$C$120,"X"," "),IF(P60&lt;-Summary!$C$120,"X"," "))</f>
        <v xml:space="preserve"> </v>
      </c>
    </row>
    <row r="61" spans="1:42" ht="13.5" thickBot="1" x14ac:dyDescent="0.25">
      <c r="A61" s="27"/>
      <c r="B61" s="55"/>
      <c r="C61" s="6"/>
      <c r="D61" s="5"/>
      <c r="E61" s="5"/>
      <c r="F61" s="6"/>
      <c r="G61" s="5"/>
      <c r="H61" s="5"/>
      <c r="I61" s="6"/>
      <c r="J61" s="5"/>
      <c r="K61" s="5"/>
      <c r="L61" s="6"/>
      <c r="M61" s="5"/>
      <c r="N61" s="5"/>
      <c r="O61" s="6">
        <f>K61+H61+E61</f>
        <v>0</v>
      </c>
      <c r="P61" s="70">
        <f>O61/(J61+G61+D61+1)</f>
        <v>0</v>
      </c>
      <c r="Q61" s="87"/>
      <c r="R61" s="88" t="str">
        <f>IF($C$4="High Inventory",IF(AND(O61&gt;=Summary!$C$119,P61&gt;=Summary!$C$120),"X"," "),IF(AND(O61&lt;=-Summary!$C$119,P61&lt;=-Summary!$C$120),"X"," "))</f>
        <v xml:space="preserve"> </v>
      </c>
      <c r="S61" s="81" t="str">
        <f>IF($C$5="System-Wide"," ",IF($C$4="High Inventory",IF(AND(L61-I61&gt;=Summary!$C$123,N61-K61&gt;Summary!$C$123,N61&gt;0),"X"," "),IF(AND(I61-L61&gt;=Summary!$C$123,K61-N61&gt;Summary!$C$123,N61&lt;0),"X"," ")))</f>
        <v xml:space="preserve"> </v>
      </c>
      <c r="T61" s="90" t="str">
        <f>IF($C$4="High Inventory",IF(AND($O61&gt;=Summary!$C$119,$P61&gt;=0%),"X"," "),IF(AND($O61&lt;=-Summary!$C$119,$P61&lt;=0%),"X"," "))</f>
        <v xml:space="preserve"> </v>
      </c>
      <c r="U61" s="13" t="str">
        <f>IF($C$4="High Inventory",IF(AND($O61&gt;=0,$P61&gt;=Summary!$C$120),"X"," "),IF(AND($O61&lt;=0,$P61&lt;=-Summary!$C$120),"X"," "))</f>
        <v xml:space="preserve"> </v>
      </c>
      <c r="V61" t="str">
        <f>IF(S61 = "X",L61-I61," ")</f>
        <v xml:space="preserve"> </v>
      </c>
      <c r="W61" t="str">
        <f>IF($C$4="High Inventory",IF(O61&gt;Summary!$C$119,"X"," "),IF(O61&lt;-Summary!$C$119,"X"," "))</f>
        <v xml:space="preserve"> </v>
      </c>
      <c r="X61" t="str">
        <f>IF($C$4="High Inventory",IF(P61&gt;Summary!$C$120,"X"," "),IF(P61&lt;-Summary!$C$120,"X"," "))</f>
        <v xml:space="preserve"> </v>
      </c>
    </row>
    <row r="62" spans="1:42" s="3" customFormat="1" x14ac:dyDescent="0.2">
      <c r="A62" s="2" t="s">
        <v>28</v>
      </c>
      <c r="B62" s="2"/>
      <c r="E62" s="3">
        <f>SUM(E10:E61)</f>
        <v>299312</v>
      </c>
      <c r="H62" s="3">
        <f>SUM(H10:H61)</f>
        <v>509698</v>
      </c>
      <c r="K62" s="3">
        <f>SUM(K10:K61)</f>
        <v>-193784</v>
      </c>
      <c r="M62" s="3">
        <f>SUM(M10:M61)</f>
        <v>2064867</v>
      </c>
      <c r="N62" s="3">
        <f>SUM(N10:N61)</f>
        <v>-28017</v>
      </c>
      <c r="O62" s="3">
        <f>SUM(O10:O61)</f>
        <v>615226</v>
      </c>
      <c r="P62" s="12"/>
      <c r="Q62" s="2">
        <f>COUNTIF(Q10:Q61,"X")</f>
        <v>0</v>
      </c>
      <c r="R62" s="2">
        <f>COUNTIF(R10:R61,"X")</f>
        <v>12</v>
      </c>
      <c r="S62" s="2">
        <f>COUNTIF(S10:S61,"X")</f>
        <v>0</v>
      </c>
      <c r="T62" s="2">
        <f>COUNTIF(T10:T61,"X")</f>
        <v>15</v>
      </c>
      <c r="U62" s="2">
        <f>COUNTIF(U10:U61,"X")</f>
        <v>21</v>
      </c>
      <c r="V62">
        <f>SUM(V$45:V$59)+SUM(V$24:V$44)+SUM(V$10:V$23)</f>
        <v>0</v>
      </c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</row>
    <row r="63" spans="1:42" x14ac:dyDescent="0.2">
      <c r="M63" s="85" t="s">
        <v>51</v>
      </c>
      <c r="N63" s="86">
        <f>N62/M62</f>
        <v>-1.3568428378195788E-2</v>
      </c>
      <c r="P63" s="1"/>
      <c r="R63" s="2" t="str">
        <f>IF(AND(O63&gt;=5000,P63&gt;=10%),"X"," ")</f>
        <v xml:space="preserve"> </v>
      </c>
      <c r="S63" s="2" t="str">
        <f>IF(AND(L63-I63&gt;=5000,N63-K63&gt;5000,N63&gt;0),"X"," ")</f>
        <v xml:space="preserve"> </v>
      </c>
    </row>
    <row r="64" spans="1:42" x14ac:dyDescent="0.2">
      <c r="P64" s="1"/>
      <c r="R64" s="2" t="str">
        <f>IF(AND(O64&gt;=5000,P64&gt;=10%),"X"," ")</f>
        <v xml:space="preserve"> </v>
      </c>
      <c r="S64" s="2" t="str">
        <f>IF(AND(L64-I64&gt;=5000,N64-K64&gt;5000,N64&gt;0),"X"," ")</f>
        <v xml:space="preserve"> </v>
      </c>
    </row>
  </sheetData>
  <phoneticPr fontId="0" type="noConversion"/>
  <pageMargins left="0.25" right="0.25" top="0.47" bottom="0.75" header="0.3" footer="0.38"/>
  <pageSetup scale="70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C5" sqref="C5"/>
    </sheetView>
  </sheetViews>
  <sheetFormatPr defaultColWidth="7.85546875" defaultRowHeight="12.75" x14ac:dyDescent="0.2"/>
  <cols>
    <col min="1" max="1" width="9.42578125" style="28" customWidth="1"/>
    <col min="2" max="2" width="10" style="28" customWidth="1"/>
    <col min="3" max="19" width="10" customWidth="1"/>
    <col min="20" max="22" width="10" hidden="1" customWidth="1"/>
    <col min="23" max="42" width="7.85546875" style="14" customWidth="1"/>
    <col min="43" max="252" width="9.140625" customWidth="1"/>
  </cols>
  <sheetData>
    <row r="1" spans="1:42" ht="18" x14ac:dyDescent="0.25">
      <c r="A1" s="56" t="s">
        <v>0</v>
      </c>
    </row>
    <row r="2" spans="1:42" ht="20.25" customHeight="1" x14ac:dyDescent="0.2">
      <c r="A2" s="83" t="s">
        <v>34</v>
      </c>
    </row>
    <row r="3" spans="1:42" ht="15.75" x14ac:dyDescent="0.25">
      <c r="A3" s="57" t="s">
        <v>35</v>
      </c>
      <c r="C3" s="10">
        <f>L8</f>
        <v>36972</v>
      </c>
      <c r="D3" s="9"/>
    </row>
    <row r="4" spans="1:42" ht="15.75" x14ac:dyDescent="0.25">
      <c r="A4" s="57" t="s">
        <v>36</v>
      </c>
      <c r="C4" s="4" t="s">
        <v>37</v>
      </c>
      <c r="E4" s="91" t="s">
        <v>52</v>
      </c>
      <c r="G4" s="4" t="s">
        <v>55</v>
      </c>
    </row>
    <row r="5" spans="1:42" ht="16.5" thickBot="1" x14ac:dyDescent="0.3">
      <c r="A5" s="57" t="s">
        <v>39</v>
      </c>
      <c r="C5" s="4" t="s">
        <v>40</v>
      </c>
      <c r="E5" s="57"/>
    </row>
    <row r="6" spans="1:42" ht="21.75" customHeight="1" thickBot="1" x14ac:dyDescent="0.25">
      <c r="R6" s="143" t="s">
        <v>41</v>
      </c>
      <c r="S6" s="144"/>
    </row>
    <row r="7" spans="1:42" s="61" customFormat="1" ht="54" customHeight="1" thickBot="1" x14ac:dyDescent="0.25">
      <c r="A7" s="58" t="s">
        <v>18</v>
      </c>
      <c r="B7" s="59" t="s">
        <v>43</v>
      </c>
      <c r="C7" s="58" t="s">
        <v>44</v>
      </c>
      <c r="D7" s="60" t="s">
        <v>45</v>
      </c>
      <c r="E7" s="59" t="s">
        <v>46</v>
      </c>
      <c r="F7" s="58" t="s">
        <v>44</v>
      </c>
      <c r="G7" s="60" t="s">
        <v>45</v>
      </c>
      <c r="H7" s="59" t="s">
        <v>46</v>
      </c>
      <c r="I7" s="58" t="s">
        <v>44</v>
      </c>
      <c r="J7" s="60" t="s">
        <v>45</v>
      </c>
      <c r="K7" s="59" t="s">
        <v>46</v>
      </c>
      <c r="L7" s="58" t="s">
        <v>44</v>
      </c>
      <c r="M7" s="60" t="s">
        <v>45</v>
      </c>
      <c r="N7" s="59" t="s">
        <v>46</v>
      </c>
      <c r="O7" s="58" t="s">
        <v>47</v>
      </c>
      <c r="P7" s="59" t="s">
        <v>48</v>
      </c>
      <c r="Q7" s="58" t="s">
        <v>49</v>
      </c>
      <c r="R7" s="59" t="s">
        <v>14</v>
      </c>
      <c r="S7" s="80" t="s">
        <v>50</v>
      </c>
      <c r="T7" s="58" t="s">
        <v>15</v>
      </c>
      <c r="U7" s="75" t="s">
        <v>16</v>
      </c>
      <c r="V7" s="71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89"/>
      <c r="AO7" s="89"/>
      <c r="AP7" s="89"/>
    </row>
    <row r="8" spans="1:42" s="160" customFormat="1" ht="15.95" customHeight="1" thickBot="1" x14ac:dyDescent="0.25">
      <c r="A8" s="161"/>
      <c r="B8" s="162"/>
      <c r="C8" s="165">
        <f>C9</f>
        <v>36969</v>
      </c>
      <c r="D8" s="163"/>
      <c r="E8" s="164" t="str">
        <f>TEXT(WEEKDAY(C8),"dddd")</f>
        <v>Monday</v>
      </c>
      <c r="F8" s="165">
        <f>F9</f>
        <v>36970</v>
      </c>
      <c r="G8" s="163"/>
      <c r="H8" s="164" t="str">
        <f>TEXT(WEEKDAY(F8),"dddd")</f>
        <v>Tuesday</v>
      </c>
      <c r="I8" s="165">
        <f>I9</f>
        <v>36971</v>
      </c>
      <c r="J8" s="163"/>
      <c r="K8" s="164" t="str">
        <f>TEXT(WEEKDAY(I8),"dddd")</f>
        <v>Wednesday</v>
      </c>
      <c r="L8" s="165">
        <f>L9</f>
        <v>36972</v>
      </c>
      <c r="M8" s="163"/>
      <c r="N8" s="164" t="str">
        <f>TEXT(WEEKDAY(L8),"dddd")</f>
        <v>Thursday</v>
      </c>
      <c r="O8" s="166"/>
      <c r="P8" s="167"/>
      <c r="Q8" s="168"/>
      <c r="R8" s="169"/>
      <c r="S8" s="175">
        <f>Summary!$C$123</f>
        <v>5000</v>
      </c>
      <c r="T8" s="168"/>
      <c r="U8" s="170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</row>
    <row r="9" spans="1:42" ht="48" hidden="1" x14ac:dyDescent="0.2">
      <c r="A9" s="27"/>
      <c r="B9" s="55"/>
      <c r="C9" s="146">
        <v>36969</v>
      </c>
      <c r="D9" s="148">
        <v>36969</v>
      </c>
      <c r="E9" s="148">
        <v>36969</v>
      </c>
      <c r="F9" s="149">
        <v>36970</v>
      </c>
      <c r="G9" s="148">
        <v>36970</v>
      </c>
      <c r="H9" s="148">
        <v>36970</v>
      </c>
      <c r="I9" s="149">
        <v>36971</v>
      </c>
      <c r="J9" s="148">
        <v>36971</v>
      </c>
      <c r="K9" s="148">
        <v>36971</v>
      </c>
      <c r="L9" s="149">
        <v>36972</v>
      </c>
      <c r="M9" s="148">
        <v>36972</v>
      </c>
      <c r="N9" s="148">
        <v>36972</v>
      </c>
      <c r="O9" s="6">
        <f t="shared" ref="O9:O48" si="0">K9+H9+E9</f>
        <v>110910</v>
      </c>
      <c r="P9" s="68"/>
      <c r="Q9" s="65"/>
      <c r="R9" s="63"/>
      <c r="S9" s="69"/>
      <c r="T9" s="65"/>
      <c r="U9" s="64"/>
    </row>
    <row r="10" spans="1:42" x14ac:dyDescent="0.2">
      <c r="A10" s="27">
        <v>1117</v>
      </c>
      <c r="B10" s="55" t="s">
        <v>25</v>
      </c>
      <c r="C10" s="6">
        <v>375</v>
      </c>
      <c r="D10" s="5">
        <v>313</v>
      </c>
      <c r="E10" s="5">
        <v>62</v>
      </c>
      <c r="F10" s="6">
        <v>375</v>
      </c>
      <c r="G10" s="5">
        <v>324</v>
      </c>
      <c r="H10" s="5">
        <v>51</v>
      </c>
      <c r="I10" s="6">
        <v>0</v>
      </c>
      <c r="J10" s="5">
        <v>320</v>
      </c>
      <c r="K10" s="5">
        <v>-320</v>
      </c>
      <c r="L10" s="6">
        <v>0</v>
      </c>
      <c r="M10" s="5">
        <v>320</v>
      </c>
      <c r="N10" s="5">
        <v>-320</v>
      </c>
      <c r="O10" s="6">
        <f t="shared" si="0"/>
        <v>-207</v>
      </c>
      <c r="P10" s="70">
        <f t="shared" ref="P10:P31" si="1">O10/(J10+G10+D10+1)</f>
        <v>-0.21607515657620041</v>
      </c>
      <c r="Q10" s="176"/>
      <c r="R10" s="66" t="str">
        <f>IF($C$4="High Inventory",IF(AND(O10&gt;=Summary!$C$119,P10&gt;=Summary!$C$120),"X"," "),IF(AND(O10&lt;=-Summary!$C$119,P10&lt;=-Summary!$C$120),"X"," "))</f>
        <v xml:space="preserve"> </v>
      </c>
      <c r="S10" s="81" t="str">
        <f>IF($C$5="System-Wide"," ",IF($C$4="High Inventory",IF(AND(L10-I10&gt;=Summary!$C$123,N10-K10&gt;Summary!$C$123,N10&gt;0),"X"," "),IF(AND(I10-L10&gt;=Summary!$C$123,K10-N10&gt;Summary!$C$123,N10&lt;0),"X"," ")))</f>
        <v xml:space="preserve"> </v>
      </c>
      <c r="T10" s="8" t="str">
        <f>IF($C$4="High Inventory",IF(AND($O10&gt;=Summary!$C$119,$P10&gt;=0%),"X"," "),IF(AND($O10&lt;=-Summary!$C$119,$P10&lt;=0%),"X"," "))</f>
        <v xml:space="preserve"> </v>
      </c>
      <c r="U10" s="11" t="str">
        <f>IF($C$4="High Inventory",IF(AND($O10&gt;=0,$P10&gt;=Summary!$C$120),"X"," "),IF(AND($O10&lt;=0,$P10&lt;=-Summary!$C$120),"X"," "))</f>
        <v xml:space="preserve"> </v>
      </c>
      <c r="V10" t="str">
        <f t="shared" ref="V10:V49" si="2">IF(S10 = "X",L10-I10," ")</f>
        <v xml:space="preserve"> </v>
      </c>
      <c r="W10" t="str">
        <f>IF($C$4="High Inventory",IF(O10&gt;Summary!$C$119,"X"," "),IF(O10&lt;-Summary!$C$119,"X"," "))</f>
        <v xml:space="preserve"> </v>
      </c>
      <c r="X10" t="str">
        <f>IF($C$4="High Inventory",IF(P10&gt;Summary!$C$120,"X"," "),IF(P10&lt;-Summary!$C$120,"X"," "))</f>
        <v xml:space="preserve"> </v>
      </c>
    </row>
    <row r="11" spans="1:42" x14ac:dyDescent="0.2">
      <c r="A11" s="27">
        <v>1126</v>
      </c>
      <c r="B11" s="55" t="s">
        <v>25</v>
      </c>
      <c r="C11" s="6">
        <v>1400</v>
      </c>
      <c r="D11" s="5">
        <v>920</v>
      </c>
      <c r="E11" s="5">
        <v>480</v>
      </c>
      <c r="F11" s="6">
        <v>1400</v>
      </c>
      <c r="G11" s="5">
        <v>990</v>
      </c>
      <c r="H11" s="5">
        <v>410</v>
      </c>
      <c r="I11" s="6">
        <v>800</v>
      </c>
      <c r="J11" s="5">
        <v>893</v>
      </c>
      <c r="K11" s="5">
        <v>-93</v>
      </c>
      <c r="L11" s="6">
        <v>0</v>
      </c>
      <c r="M11" s="5">
        <v>901</v>
      </c>
      <c r="N11" s="5">
        <v>-901</v>
      </c>
      <c r="O11" s="6">
        <f t="shared" si="0"/>
        <v>797</v>
      </c>
      <c r="P11" s="70">
        <f t="shared" si="1"/>
        <v>0.2842368045649073</v>
      </c>
      <c r="Q11" s="176"/>
      <c r="R11" s="66" t="str">
        <f>IF($C$4="High Inventory",IF(AND(O11&gt;=Summary!$C$119,P11&gt;=Summary!$C$120),"X"," "),IF(AND(O11&lt;=-Summary!$C$119,P11&lt;=-Summary!$C$120),"X"," "))</f>
        <v xml:space="preserve"> </v>
      </c>
      <c r="S11" s="81" t="str">
        <f>IF($C$5="System-Wide"," ",IF($C$4="High Inventory",IF(AND(L11-I11&gt;=Summary!$C$123,N11-K11&gt;Summary!$C$123,N11&gt;0),"X"," "),IF(AND(I11-L11&gt;=Summary!$C$123,K11-N11&gt;Summary!$C$123,N11&lt;0),"X"," ")))</f>
        <v xml:space="preserve"> </v>
      </c>
      <c r="T11" s="8" t="str">
        <f>IF($C$4="High Inventory",IF(AND($O11&gt;=Summary!$C$119,$P11&gt;=0%),"X"," "),IF(AND($O11&lt;=-Summary!$C$119,$P11&lt;=0%),"X"," "))</f>
        <v xml:space="preserve"> </v>
      </c>
      <c r="U11" s="11" t="str">
        <f>IF($C$4="High Inventory",IF(AND($O11&gt;=0,$P11&gt;=Summary!$C$120),"X"," "),IF(AND($O11&lt;=0,$P11&lt;=-Summary!$C$120),"X"," "))</f>
        <v>X</v>
      </c>
      <c r="V11" t="str">
        <f t="shared" si="2"/>
        <v xml:space="preserve"> </v>
      </c>
      <c r="W11" t="str">
        <f>IF($C$4="High Inventory",IF(O11&gt;Summary!$C$119,"X"," "),IF(O11&lt;-Summary!$C$119,"X"," "))</f>
        <v xml:space="preserve"> </v>
      </c>
      <c r="X11" t="str">
        <f>IF($C$4="High Inventory",IF(P11&gt;Summary!$C$120,"X"," "),IF(P11&lt;-Summary!$C$120,"X"," "))</f>
        <v>X</v>
      </c>
    </row>
    <row r="12" spans="1:42" x14ac:dyDescent="0.2">
      <c r="A12" s="27">
        <v>1157</v>
      </c>
      <c r="B12" s="55" t="s">
        <v>25</v>
      </c>
      <c r="C12" s="6">
        <v>100</v>
      </c>
      <c r="D12" s="5">
        <v>131</v>
      </c>
      <c r="E12" s="5">
        <v>-31</v>
      </c>
      <c r="F12" s="6">
        <v>100</v>
      </c>
      <c r="G12" s="5">
        <v>143</v>
      </c>
      <c r="H12" s="5">
        <v>-43</v>
      </c>
      <c r="I12" s="6">
        <v>100</v>
      </c>
      <c r="J12" s="5">
        <v>138</v>
      </c>
      <c r="K12" s="5">
        <v>-38</v>
      </c>
      <c r="L12" s="6">
        <v>100</v>
      </c>
      <c r="M12" s="5">
        <v>133</v>
      </c>
      <c r="N12" s="5">
        <v>-33</v>
      </c>
      <c r="O12" s="6">
        <f t="shared" si="0"/>
        <v>-112</v>
      </c>
      <c r="P12" s="70">
        <f t="shared" si="1"/>
        <v>-0.2711864406779661</v>
      </c>
      <c r="Q12" s="176"/>
      <c r="R12" s="66" t="str">
        <f>IF($C$4="High Inventory",IF(AND(O12&gt;=Summary!$C$119,P12&gt;=Summary!$C$120),"X"," "),IF(AND(O12&lt;=-Summary!$C$119,P12&lt;=-Summary!$C$120),"X"," "))</f>
        <v xml:space="preserve"> </v>
      </c>
      <c r="S12" s="81" t="str">
        <f>IF($C$5="System-Wide"," ",IF($C$4="High Inventory",IF(AND(L12-I12&gt;=Summary!$C$123,N12-K12&gt;Summary!$C$123,N12&gt;0),"X"," "),IF(AND(I12-L12&gt;=Summary!$C$123,K12-N12&gt;Summary!$C$123,N12&lt;0),"X"," ")))</f>
        <v xml:space="preserve"> </v>
      </c>
      <c r="T12" s="8" t="str">
        <f>IF($C$4="High Inventory",IF(AND($O12&gt;=Summary!$C$119,$P12&gt;=0%),"X"," "),IF(AND($O12&lt;=-Summary!$C$119,$P12&lt;=0%),"X"," "))</f>
        <v xml:space="preserve"> </v>
      </c>
      <c r="U12" s="11" t="str">
        <f>IF($C$4="High Inventory",IF(AND($O12&gt;=0,$P12&gt;=Summary!$C$120),"X"," "),IF(AND($O12&lt;=0,$P12&lt;=-Summary!$C$120),"X"," "))</f>
        <v xml:space="preserve"> </v>
      </c>
      <c r="V12" t="str">
        <f t="shared" si="2"/>
        <v xml:space="preserve"> </v>
      </c>
      <c r="W12" t="str">
        <f>IF($C$4="High Inventory",IF(O12&gt;Summary!$C$119,"X"," "),IF(O12&lt;-Summary!$C$119,"X"," "))</f>
        <v xml:space="preserve"> </v>
      </c>
      <c r="X12" t="str">
        <f>IF($C$4="High Inventory",IF(P12&gt;Summary!$C$120,"X"," "),IF(P12&lt;-Summary!$C$120,"X"," "))</f>
        <v xml:space="preserve"> </v>
      </c>
    </row>
    <row r="13" spans="1:42" x14ac:dyDescent="0.2">
      <c r="A13" s="27">
        <v>1780</v>
      </c>
      <c r="B13" s="55" t="s">
        <v>25</v>
      </c>
      <c r="C13" s="6">
        <v>1963</v>
      </c>
      <c r="D13" s="5">
        <v>1613</v>
      </c>
      <c r="E13" s="5">
        <v>350</v>
      </c>
      <c r="F13" s="6">
        <v>1963</v>
      </c>
      <c r="G13" s="5">
        <v>1761</v>
      </c>
      <c r="H13" s="5">
        <v>202</v>
      </c>
      <c r="I13" s="6">
        <v>1680</v>
      </c>
      <c r="J13" s="5">
        <v>1701</v>
      </c>
      <c r="K13" s="5">
        <v>-21</v>
      </c>
      <c r="L13" s="6">
        <v>1715</v>
      </c>
      <c r="M13" s="5">
        <v>1706</v>
      </c>
      <c r="N13" s="5">
        <v>9</v>
      </c>
      <c r="O13" s="6">
        <f t="shared" ref="O13:O31" si="3">K13+H13+E13</f>
        <v>531</v>
      </c>
      <c r="P13" s="70">
        <f>O13/(J13+G13+D13+1)</f>
        <v>0.10460992907801418</v>
      </c>
      <c r="Q13" s="176"/>
      <c r="R13" s="66" t="str">
        <f>IF($C$4="High Inventory",IF(AND(O13&gt;=Summary!$C$119,P13&gt;=Summary!$C$120),"X"," "),IF(AND(O13&lt;=-Summary!$C$119,P13&lt;=-Summary!$C$120),"X"," "))</f>
        <v xml:space="preserve"> </v>
      </c>
      <c r="S13" s="81" t="str">
        <f>IF($C$5="System-Wide"," ",IF($C$4="High Inventory",IF(AND(L13-I13&gt;=Summary!$C$123,N13-K13&gt;Summary!$C$123,N13&gt;0),"X"," "),IF(AND(I13-L13&gt;=Summary!$C$123,K13-N13&gt;Summary!$C$123,N13&lt;0),"X"," ")))</f>
        <v xml:space="preserve"> </v>
      </c>
      <c r="T13" s="8" t="str">
        <f>IF($C$4="High Inventory",IF(AND($O13&gt;=Summary!$C$119,$P13&gt;=0%),"X"," "),IF(AND($O13&lt;=-Summary!$C$119,$P13&lt;=0%),"X"," "))</f>
        <v xml:space="preserve"> </v>
      </c>
      <c r="U13" s="11" t="str">
        <f>IF($C$4="High Inventory",IF(AND($O13&gt;=0,$P13&gt;=Summary!$C$120),"X"," "),IF(AND($O13&lt;=0,$P13&lt;=-Summary!$C$120),"X"," "))</f>
        <v>X</v>
      </c>
      <c r="V13" t="str">
        <f t="shared" ref="V13:V31" si="4">IF(S13 = "X",L13-I13," ")</f>
        <v xml:space="preserve"> </v>
      </c>
      <c r="W13" t="str">
        <f>IF($C$4="High Inventory",IF(O13&gt;Summary!$C$119,"X"," "),IF(O13&lt;-Summary!$C$119,"X"," "))</f>
        <v xml:space="preserve"> </v>
      </c>
      <c r="X13" t="str">
        <f>IF($C$4="High Inventory",IF(P13&gt;Summary!$C$120,"X"," "),IF(P13&lt;-Summary!$C$120,"X"," "))</f>
        <v>X</v>
      </c>
    </row>
    <row r="14" spans="1:42" x14ac:dyDescent="0.2">
      <c r="A14" s="27">
        <v>2280</v>
      </c>
      <c r="B14" s="55" t="s">
        <v>25</v>
      </c>
      <c r="C14" s="6">
        <v>238</v>
      </c>
      <c r="D14" s="5">
        <v>423</v>
      </c>
      <c r="E14" s="5">
        <v>-185</v>
      </c>
      <c r="F14" s="6">
        <v>220</v>
      </c>
      <c r="G14" s="5">
        <v>433</v>
      </c>
      <c r="H14" s="5">
        <v>-213</v>
      </c>
      <c r="I14" s="6">
        <v>357</v>
      </c>
      <c r="J14" s="5">
        <v>413</v>
      </c>
      <c r="K14" s="5">
        <v>-56</v>
      </c>
      <c r="L14" s="6">
        <v>357</v>
      </c>
      <c r="M14" s="5">
        <v>417</v>
      </c>
      <c r="N14" s="5">
        <v>-60</v>
      </c>
      <c r="O14" s="6">
        <f t="shared" si="3"/>
        <v>-454</v>
      </c>
      <c r="P14" s="70">
        <f t="shared" si="1"/>
        <v>-0.35748031496062993</v>
      </c>
      <c r="Q14" s="176"/>
      <c r="R14" s="66" t="str">
        <f>IF($C$4="High Inventory",IF(AND(O14&gt;=Summary!$C$119,P14&gt;=Summary!$C$120),"X"," "),IF(AND(O14&lt;=-Summary!$C$119,P14&lt;=-Summary!$C$120),"X"," "))</f>
        <v xml:space="preserve"> </v>
      </c>
      <c r="S14" s="81" t="str">
        <f>IF($C$5="System-Wide"," ",IF($C$4="High Inventory",IF(AND(L14-I14&gt;=Summary!$C$123,N14-K14&gt;Summary!$C$123,N14&gt;0),"X"," "),IF(AND(I14-L14&gt;=Summary!$C$123,K14-N14&gt;Summary!$C$123,N14&lt;0),"X"," ")))</f>
        <v xml:space="preserve"> </v>
      </c>
      <c r="T14" s="8" t="str">
        <f>IF($C$4="High Inventory",IF(AND($O14&gt;=Summary!$C$119,$P14&gt;=0%),"X"," "),IF(AND($O14&lt;=-Summary!$C$119,$P14&lt;=0%),"X"," "))</f>
        <v xml:space="preserve"> </v>
      </c>
      <c r="U14" s="11" t="str">
        <f>IF($C$4="High Inventory",IF(AND($O14&gt;=0,$P14&gt;=Summary!$C$120),"X"," "),IF(AND($O14&lt;=0,$P14&lt;=-Summary!$C$120),"X"," "))</f>
        <v xml:space="preserve"> </v>
      </c>
      <c r="V14" t="str">
        <f t="shared" si="4"/>
        <v xml:space="preserve"> </v>
      </c>
      <c r="W14" t="str">
        <f>IF($C$4="High Inventory",IF(O14&gt;Summary!$C$119,"X"," "),IF(O14&lt;-Summary!$C$119,"X"," "))</f>
        <v xml:space="preserve"> </v>
      </c>
      <c r="X14" t="str">
        <f>IF($C$4="High Inventory",IF(P14&gt;Summary!$C$120,"X"," "),IF(P14&lt;-Summary!$C$120,"X"," "))</f>
        <v xml:space="preserve"> </v>
      </c>
    </row>
    <row r="15" spans="1:42" x14ac:dyDescent="0.2">
      <c r="A15" s="27">
        <v>2584</v>
      </c>
      <c r="B15" s="55" t="s">
        <v>25</v>
      </c>
      <c r="C15" s="6">
        <v>1333</v>
      </c>
      <c r="D15" s="5">
        <v>3832</v>
      </c>
      <c r="E15" s="5">
        <v>-2499</v>
      </c>
      <c r="F15" s="6">
        <v>6667</v>
      </c>
      <c r="G15" s="5">
        <v>3995</v>
      </c>
      <c r="H15" s="5">
        <v>2672</v>
      </c>
      <c r="I15" s="6">
        <v>3688</v>
      </c>
      <c r="J15" s="5">
        <v>3736</v>
      </c>
      <c r="K15" s="5">
        <v>-48</v>
      </c>
      <c r="L15" s="6">
        <v>3780</v>
      </c>
      <c r="M15" s="5">
        <v>3773</v>
      </c>
      <c r="N15" s="5">
        <v>7</v>
      </c>
      <c r="O15" s="6">
        <f t="shared" si="3"/>
        <v>125</v>
      </c>
      <c r="P15" s="70">
        <f t="shared" si="1"/>
        <v>1.0809408509166379E-2</v>
      </c>
      <c r="Q15" s="176"/>
      <c r="R15" s="66" t="str">
        <f>IF($C$4="High Inventory",IF(AND(O15&gt;=Summary!$C$119,P15&gt;=Summary!$C$120),"X"," "),IF(AND(O15&lt;=-Summary!$C$119,P15&lt;=-Summary!$C$120),"X"," "))</f>
        <v xml:space="preserve"> </v>
      </c>
      <c r="S15" s="81" t="str">
        <f>IF($C$5="System-Wide"," ",IF($C$4="High Inventory",IF(AND(L15-I15&gt;=Summary!$C$123,N15-K15&gt;Summary!$C$123,N15&gt;0),"X"," "),IF(AND(I15-L15&gt;=Summary!$C$123,K15-N15&gt;Summary!$C$123,N15&lt;0),"X"," ")))</f>
        <v xml:space="preserve"> </v>
      </c>
      <c r="T15" s="8" t="str">
        <f>IF($C$4="High Inventory",IF(AND($O15&gt;=Summary!$C$119,$P15&gt;=0%),"X"," "),IF(AND($O15&lt;=-Summary!$C$119,$P15&lt;=0%),"X"," "))</f>
        <v xml:space="preserve"> </v>
      </c>
      <c r="U15" s="11" t="str">
        <f>IF($C$4="High Inventory",IF(AND($O15&gt;=0,$P15&gt;=Summary!$C$120),"X"," "),IF(AND($O15&lt;=0,$P15&lt;=-Summary!$C$120),"X"," "))</f>
        <v xml:space="preserve"> </v>
      </c>
      <c r="V15" t="str">
        <f t="shared" si="4"/>
        <v xml:space="preserve"> </v>
      </c>
      <c r="W15" t="str">
        <f>IF($C$4="High Inventory",IF(O15&gt;Summary!$C$119,"X"," "),IF(O15&lt;-Summary!$C$119,"X"," "))</f>
        <v xml:space="preserve"> </v>
      </c>
      <c r="X15" t="str">
        <f>IF($C$4="High Inventory",IF(P15&gt;Summary!$C$120,"X"," "),IF(P15&lt;-Summary!$C$120,"X"," "))</f>
        <v xml:space="preserve"> </v>
      </c>
    </row>
    <row r="16" spans="1:42" x14ac:dyDescent="0.2">
      <c r="A16" s="27">
        <v>2771</v>
      </c>
      <c r="B16" s="55" t="s">
        <v>25</v>
      </c>
      <c r="C16" s="6">
        <v>10000</v>
      </c>
      <c r="D16" s="5">
        <v>6534</v>
      </c>
      <c r="E16" s="5">
        <v>3466</v>
      </c>
      <c r="F16" s="6">
        <v>866</v>
      </c>
      <c r="G16" s="5">
        <v>6797</v>
      </c>
      <c r="H16" s="5">
        <v>-5931</v>
      </c>
      <c r="I16" s="6">
        <v>6000</v>
      </c>
      <c r="J16" s="5">
        <v>6508</v>
      </c>
      <c r="K16" s="5">
        <v>-508</v>
      </c>
      <c r="L16" s="6">
        <v>6000</v>
      </c>
      <c r="M16" s="5">
        <v>6535</v>
      </c>
      <c r="N16" s="5">
        <v>-535</v>
      </c>
      <c r="O16" s="6">
        <f t="shared" si="3"/>
        <v>-2973</v>
      </c>
      <c r="P16" s="70">
        <f t="shared" si="1"/>
        <v>-0.14984879032258064</v>
      </c>
      <c r="Q16" s="176"/>
      <c r="R16" s="66" t="str">
        <f>IF($C$4="High Inventory",IF(AND(O16&gt;=Summary!$C$119,P16&gt;=Summary!$C$120),"X"," "),IF(AND(O16&lt;=-Summary!$C$119,P16&lt;=-Summary!$C$120),"X"," "))</f>
        <v xml:space="preserve"> </v>
      </c>
      <c r="S16" s="81" t="str">
        <f>IF($C$5="System-Wide"," ",IF($C$4="High Inventory",IF(AND(L16-I16&gt;=Summary!$C$123,N16-K16&gt;Summary!$C$123,N16&gt;0),"X"," "),IF(AND(I16-L16&gt;=Summary!$C$123,K16-N16&gt;Summary!$C$123,N16&lt;0),"X"," ")))</f>
        <v xml:space="preserve"> </v>
      </c>
      <c r="T16" s="8" t="str">
        <f>IF($C$4="High Inventory",IF(AND($O16&gt;=Summary!$C$119,$P16&gt;=0%),"X"," "),IF(AND($O16&lt;=-Summary!$C$119,$P16&lt;=0%),"X"," "))</f>
        <v xml:space="preserve"> </v>
      </c>
      <c r="U16" s="11" t="str">
        <f>IF($C$4="High Inventory",IF(AND($O16&gt;=0,$P16&gt;=Summary!$C$120),"X"," "),IF(AND($O16&lt;=0,$P16&lt;=-Summary!$C$120),"X"," "))</f>
        <v xml:space="preserve"> </v>
      </c>
      <c r="V16" t="str">
        <f t="shared" si="4"/>
        <v xml:space="preserve"> </v>
      </c>
      <c r="W16" t="str">
        <f>IF($C$4="High Inventory",IF(O16&gt;Summary!$C$119,"X"," "),IF(O16&lt;-Summary!$C$119,"X"," "))</f>
        <v xml:space="preserve"> </v>
      </c>
      <c r="X16" t="str">
        <f>IF($C$4="High Inventory",IF(P16&gt;Summary!$C$120,"X"," "),IF(P16&lt;-Summary!$C$120,"X"," "))</f>
        <v xml:space="preserve"> </v>
      </c>
    </row>
    <row r="17" spans="1:24" x14ac:dyDescent="0.2">
      <c r="A17" s="27">
        <v>2832</v>
      </c>
      <c r="B17" s="55" t="s">
        <v>25</v>
      </c>
      <c r="C17" s="6">
        <v>800</v>
      </c>
      <c r="D17" s="5">
        <v>414</v>
      </c>
      <c r="E17" s="5">
        <v>386</v>
      </c>
      <c r="F17" s="6">
        <v>800</v>
      </c>
      <c r="G17" s="5">
        <v>426</v>
      </c>
      <c r="H17" s="5">
        <v>374</v>
      </c>
      <c r="I17" s="6">
        <v>300</v>
      </c>
      <c r="J17" s="5">
        <v>400</v>
      </c>
      <c r="K17" s="5">
        <v>-100</v>
      </c>
      <c r="L17" s="6">
        <v>300</v>
      </c>
      <c r="M17" s="5">
        <v>406</v>
      </c>
      <c r="N17" s="5">
        <v>-106</v>
      </c>
      <c r="O17" s="6">
        <f t="shared" si="3"/>
        <v>660</v>
      </c>
      <c r="P17" s="70">
        <f t="shared" si="1"/>
        <v>0.53182917002417407</v>
      </c>
      <c r="Q17" s="176"/>
      <c r="R17" s="66" t="str">
        <f>IF($C$4="High Inventory",IF(AND(O17&gt;=Summary!$C$119,P17&gt;=Summary!$C$120),"X"," "),IF(AND(O17&lt;=-Summary!$C$119,P17&lt;=-Summary!$C$120),"X"," "))</f>
        <v xml:space="preserve"> </v>
      </c>
      <c r="S17" s="81" t="str">
        <f>IF($C$5="System-Wide"," ",IF($C$4="High Inventory",IF(AND(L17-I17&gt;=Summary!$C$123,N17-K17&gt;Summary!$C$123,N17&gt;0),"X"," "),IF(AND(I17-L17&gt;=Summary!$C$123,K17-N17&gt;Summary!$C$123,N17&lt;0),"X"," ")))</f>
        <v xml:space="preserve"> </v>
      </c>
      <c r="T17" s="8" t="str">
        <f>IF($C$4="High Inventory",IF(AND($O17&gt;=Summary!$C$119,$P17&gt;=0%),"X"," "),IF(AND($O17&lt;=-Summary!$C$119,$P17&lt;=0%),"X"," "))</f>
        <v xml:space="preserve"> </v>
      </c>
      <c r="U17" s="11" t="str">
        <f>IF($C$4="High Inventory",IF(AND($O17&gt;=0,$P17&gt;=Summary!$C$120),"X"," "),IF(AND($O17&lt;=0,$P17&lt;=-Summary!$C$120),"X"," "))</f>
        <v>X</v>
      </c>
      <c r="V17" t="str">
        <f t="shared" si="4"/>
        <v xml:space="preserve"> </v>
      </c>
      <c r="W17" t="str">
        <f>IF($C$4="High Inventory",IF(O17&gt;Summary!$C$119,"X"," "),IF(O17&lt;-Summary!$C$119,"X"," "))</f>
        <v xml:space="preserve"> </v>
      </c>
      <c r="X17" t="str">
        <f>IF($C$4="High Inventory",IF(P17&gt;Summary!$C$120,"X"," "),IF(P17&lt;-Summary!$C$120,"X"," "))</f>
        <v>X</v>
      </c>
    </row>
    <row r="18" spans="1:24" x14ac:dyDescent="0.2">
      <c r="A18" s="27">
        <v>2892</v>
      </c>
      <c r="B18" s="55" t="s">
        <v>25</v>
      </c>
      <c r="C18" s="6">
        <v>6402</v>
      </c>
      <c r="D18" s="5">
        <v>4582</v>
      </c>
      <c r="E18" s="5">
        <v>1820</v>
      </c>
      <c r="F18" s="6">
        <v>6245</v>
      </c>
      <c r="G18" s="5">
        <v>4727</v>
      </c>
      <c r="H18" s="5">
        <v>1518</v>
      </c>
      <c r="I18" s="6">
        <v>6186</v>
      </c>
      <c r="J18" s="5">
        <v>4514</v>
      </c>
      <c r="K18" s="5">
        <v>1672</v>
      </c>
      <c r="L18" s="6">
        <v>6172</v>
      </c>
      <c r="M18" s="5">
        <v>4539</v>
      </c>
      <c r="N18" s="5">
        <v>1633</v>
      </c>
      <c r="O18" s="6">
        <f t="shared" si="3"/>
        <v>5010</v>
      </c>
      <c r="P18" s="70">
        <f t="shared" si="1"/>
        <v>0.36241319444444442</v>
      </c>
      <c r="Q18" s="176"/>
      <c r="R18" s="66" t="str">
        <f>IF($C$4="High Inventory",IF(AND(O18&gt;=Summary!$C$119,P18&gt;=Summary!$C$120),"X"," "),IF(AND(O18&lt;=-Summary!$C$119,P18&lt;=-Summary!$C$120),"X"," "))</f>
        <v>X</v>
      </c>
      <c r="S18" s="81" t="str">
        <f>IF($C$5="System-Wide"," ",IF($C$4="High Inventory",IF(AND(L18-I18&gt;=Summary!$C$123,N18-K18&gt;Summary!$C$123,N18&gt;0),"X"," "),IF(AND(I18-L18&gt;=Summary!$C$123,K18-N18&gt;Summary!$C$123,N18&lt;0),"X"," ")))</f>
        <v xml:space="preserve"> </v>
      </c>
      <c r="T18" s="8" t="str">
        <f>IF($C$4="High Inventory",IF(AND($O18&gt;=Summary!$C$119,$P18&gt;=0%),"X"," "),IF(AND($O18&lt;=-Summary!$C$119,$P18&lt;=0%),"X"," "))</f>
        <v>X</v>
      </c>
      <c r="U18" s="11" t="str">
        <f>IF($C$4="High Inventory",IF(AND($O18&gt;=0,$P18&gt;=Summary!$C$120),"X"," "),IF(AND($O18&lt;=0,$P18&lt;=-Summary!$C$120),"X"," "))</f>
        <v>X</v>
      </c>
      <c r="V18" t="str">
        <f t="shared" si="4"/>
        <v xml:space="preserve"> </v>
      </c>
      <c r="W18" t="str">
        <f>IF($C$4="High Inventory",IF(O18&gt;Summary!$C$119,"X"," "),IF(O18&lt;-Summary!$C$119,"X"," "))</f>
        <v>X</v>
      </c>
      <c r="X18" t="str">
        <f>IF($C$4="High Inventory",IF(P18&gt;Summary!$C$120,"X"," "),IF(P18&lt;-Summary!$C$120,"X"," "))</f>
        <v>X</v>
      </c>
    </row>
    <row r="19" spans="1:24" x14ac:dyDescent="0.2">
      <c r="A19" s="27">
        <v>3152</v>
      </c>
      <c r="B19" s="55" t="s">
        <v>25</v>
      </c>
      <c r="C19" s="6">
        <v>4228</v>
      </c>
      <c r="D19" s="5">
        <v>7829</v>
      </c>
      <c r="E19" s="5">
        <v>-3601</v>
      </c>
      <c r="F19" s="6">
        <v>19269</v>
      </c>
      <c r="G19" s="5">
        <v>8452</v>
      </c>
      <c r="H19" s="5">
        <v>10817</v>
      </c>
      <c r="I19" s="6">
        <v>7512</v>
      </c>
      <c r="J19" s="5">
        <v>7610</v>
      </c>
      <c r="K19" s="5">
        <v>-98</v>
      </c>
      <c r="L19" s="6">
        <v>7720</v>
      </c>
      <c r="M19" s="5">
        <v>7682</v>
      </c>
      <c r="N19" s="5">
        <v>38</v>
      </c>
      <c r="O19" s="6">
        <f t="shared" si="3"/>
        <v>7118</v>
      </c>
      <c r="P19" s="70">
        <f t="shared" si="1"/>
        <v>0.29792399129415703</v>
      </c>
      <c r="Q19" s="176"/>
      <c r="R19" s="66" t="str">
        <f>IF($C$4="High Inventory",IF(AND(O19&gt;=Summary!$C$119,P19&gt;=Summary!$C$120),"X"," "),IF(AND(O19&lt;=-Summary!$C$119,P19&lt;=-Summary!$C$120),"X"," "))</f>
        <v>X</v>
      </c>
      <c r="S19" s="81" t="str">
        <f>IF($C$5="System-Wide"," ",IF($C$4="High Inventory",IF(AND(L19-I19&gt;=Summary!$C$123,N19-K19&gt;Summary!$C$123,N19&gt;0),"X"," "),IF(AND(I19-L19&gt;=Summary!$C$123,K19-N19&gt;Summary!$C$123,N19&lt;0),"X"," ")))</f>
        <v xml:space="preserve"> </v>
      </c>
      <c r="T19" s="8" t="str">
        <f>IF($C$4="High Inventory",IF(AND($O19&gt;=Summary!$C$119,$P19&gt;=0%),"X"," "),IF(AND($O19&lt;=-Summary!$C$119,$P19&lt;=0%),"X"," "))</f>
        <v>X</v>
      </c>
      <c r="U19" s="11" t="str">
        <f>IF($C$4="High Inventory",IF(AND($O19&gt;=0,$P19&gt;=Summary!$C$120),"X"," "),IF(AND($O19&lt;=0,$P19&lt;=-Summary!$C$120),"X"," "))</f>
        <v>X</v>
      </c>
      <c r="V19" t="str">
        <f t="shared" si="4"/>
        <v xml:space="preserve"> </v>
      </c>
      <c r="W19" t="str">
        <f>IF($C$4="High Inventory",IF(O19&gt;Summary!$C$119,"X"," "),IF(O19&lt;-Summary!$C$119,"X"," "))</f>
        <v>X</v>
      </c>
      <c r="X19" t="str">
        <f>IF($C$4="High Inventory",IF(P19&gt;Summary!$C$120,"X"," "),IF(P19&lt;-Summary!$C$120,"X"," "))</f>
        <v>X</v>
      </c>
    </row>
    <row r="20" spans="1:24" x14ac:dyDescent="0.2">
      <c r="A20" s="27">
        <v>6500</v>
      </c>
      <c r="B20" s="55" t="s">
        <v>25</v>
      </c>
      <c r="C20" s="6">
        <v>1029020</v>
      </c>
      <c r="D20" s="5">
        <v>637750</v>
      </c>
      <c r="E20" s="5">
        <v>391270</v>
      </c>
      <c r="F20" s="6">
        <v>548285</v>
      </c>
      <c r="G20" s="5">
        <v>707023</v>
      </c>
      <c r="H20" s="5">
        <v>-158738</v>
      </c>
      <c r="I20" s="6">
        <v>630051</v>
      </c>
      <c r="J20" s="5">
        <v>627885</v>
      </c>
      <c r="K20" s="5">
        <v>2166</v>
      </c>
      <c r="L20" s="6">
        <v>654842</v>
      </c>
      <c r="M20" s="5">
        <v>638746</v>
      </c>
      <c r="N20" s="5">
        <v>16096</v>
      </c>
      <c r="O20" s="6">
        <f t="shared" si="3"/>
        <v>234698</v>
      </c>
      <c r="P20" s="70">
        <f t="shared" si="1"/>
        <v>0.11897545394312956</v>
      </c>
      <c r="Q20" s="176"/>
      <c r="R20" s="66" t="str">
        <f>IF($C$4="High Inventory",IF(AND(O20&gt;=Summary!$C$119,P20&gt;=Summary!$C$120),"X"," "),IF(AND(O20&lt;=-Summary!$C$119,P20&lt;=-Summary!$C$120),"X"," "))</f>
        <v>X</v>
      </c>
      <c r="S20" s="81" t="str">
        <f>IF($C$5="System-Wide"," ",IF($C$4="High Inventory",IF(AND(L20-I20&gt;=Summary!$C$123,N20-K20&gt;Summary!$C$123,N20&gt;0),"X"," "),IF(AND(I20-L20&gt;=Summary!$C$123,K20-N20&gt;Summary!$C$123,N20&lt;0),"X"," ")))</f>
        <v xml:space="preserve"> </v>
      </c>
      <c r="T20" s="8" t="str">
        <f>IF($C$4="High Inventory",IF(AND($O20&gt;=Summary!$C$119,$P20&gt;=0%),"X"," "),IF(AND($O20&lt;=-Summary!$C$119,$P20&lt;=0%),"X"," "))</f>
        <v>X</v>
      </c>
      <c r="U20" s="11" t="str">
        <f>IF($C$4="High Inventory",IF(AND($O20&gt;=0,$P20&gt;=Summary!$C$120),"X"," "),IF(AND($O20&lt;=0,$P20&lt;=-Summary!$C$120),"X"," "))</f>
        <v>X</v>
      </c>
      <c r="V20" t="str">
        <f t="shared" si="4"/>
        <v xml:space="preserve"> </v>
      </c>
      <c r="W20" t="str">
        <f>IF($C$4="High Inventory",IF(O20&gt;Summary!$C$119,"X"," "),IF(O20&lt;-Summary!$C$119,"X"," "))</f>
        <v>X</v>
      </c>
      <c r="X20" t="str">
        <f>IF($C$4="High Inventory",IF(P20&gt;Summary!$C$120,"X"," "),IF(P20&lt;-Summary!$C$120,"X"," "))</f>
        <v>X</v>
      </c>
    </row>
    <row r="21" spans="1:24" x14ac:dyDescent="0.2">
      <c r="A21" s="27">
        <v>12296</v>
      </c>
      <c r="B21" s="55" t="s">
        <v>25</v>
      </c>
      <c r="C21" s="6">
        <v>2235</v>
      </c>
      <c r="D21" s="5">
        <v>1895</v>
      </c>
      <c r="E21" s="5">
        <v>340</v>
      </c>
      <c r="F21" s="6">
        <v>2235</v>
      </c>
      <c r="G21" s="5">
        <v>1987</v>
      </c>
      <c r="H21" s="5">
        <v>248</v>
      </c>
      <c r="I21" s="6">
        <v>1740</v>
      </c>
      <c r="J21" s="5">
        <v>1726</v>
      </c>
      <c r="K21" s="5">
        <v>14</v>
      </c>
      <c r="L21" s="6">
        <v>1810</v>
      </c>
      <c r="M21" s="5">
        <v>1765</v>
      </c>
      <c r="N21" s="5">
        <v>45</v>
      </c>
      <c r="O21" s="6">
        <f t="shared" si="3"/>
        <v>602</v>
      </c>
      <c r="P21" s="70">
        <f t="shared" si="1"/>
        <v>0.10732750935995722</v>
      </c>
      <c r="Q21" s="176"/>
      <c r="R21" s="66" t="str">
        <f>IF($C$4="High Inventory",IF(AND(O21&gt;=Summary!$C$119,P21&gt;=Summary!$C$120),"X"," "),IF(AND(O21&lt;=-Summary!$C$119,P21&lt;=-Summary!$C$120),"X"," "))</f>
        <v xml:space="preserve"> </v>
      </c>
      <c r="S21" s="81" t="str">
        <f>IF($C$5="System-Wide"," ",IF($C$4="High Inventory",IF(AND(L21-I21&gt;=Summary!$C$123,N21-K21&gt;Summary!$C$123,N21&gt;0),"X"," "),IF(AND(I21-L21&gt;=Summary!$C$123,K21-N21&gt;Summary!$C$123,N21&lt;0),"X"," ")))</f>
        <v xml:space="preserve"> </v>
      </c>
      <c r="T21" s="8" t="str">
        <f>IF($C$4="High Inventory",IF(AND($O21&gt;=Summary!$C$119,$P21&gt;=0%),"X"," "),IF(AND($O21&lt;=-Summary!$C$119,$P21&lt;=0%),"X"," "))</f>
        <v xml:space="preserve"> </v>
      </c>
      <c r="U21" s="11" t="str">
        <f>IF($C$4="High Inventory",IF(AND($O21&gt;=0,$P21&gt;=Summary!$C$120),"X"," "),IF(AND($O21&lt;=0,$P21&lt;=-Summary!$C$120),"X"," "))</f>
        <v>X</v>
      </c>
      <c r="V21" t="str">
        <f t="shared" si="4"/>
        <v xml:space="preserve"> </v>
      </c>
      <c r="W21" t="str">
        <f>IF($C$4="High Inventory",IF(O21&gt;Summary!$C$119,"X"," "),IF(O21&lt;-Summary!$C$119,"X"," "))</f>
        <v xml:space="preserve"> </v>
      </c>
      <c r="X21" t="str">
        <f>IF($C$4="High Inventory",IF(P21&gt;Summary!$C$120,"X"," "),IF(P21&lt;-Summary!$C$120,"X"," "))</f>
        <v>X</v>
      </c>
    </row>
    <row r="22" spans="1:24" x14ac:dyDescent="0.2">
      <c r="A22" s="27">
        <v>16786</v>
      </c>
      <c r="B22" s="55" t="s">
        <v>25</v>
      </c>
      <c r="C22" s="6">
        <v>925</v>
      </c>
      <c r="D22" s="5">
        <v>1012</v>
      </c>
      <c r="E22" s="5">
        <v>-87</v>
      </c>
      <c r="F22" s="6">
        <v>790</v>
      </c>
      <c r="G22" s="5">
        <v>1145</v>
      </c>
      <c r="H22" s="5">
        <v>-355</v>
      </c>
      <c r="I22" s="6">
        <v>790</v>
      </c>
      <c r="J22" s="5">
        <v>1012</v>
      </c>
      <c r="K22" s="5">
        <v>-222</v>
      </c>
      <c r="L22" s="6">
        <v>925</v>
      </c>
      <c r="M22" s="5">
        <v>1026</v>
      </c>
      <c r="N22" s="5">
        <v>-101</v>
      </c>
      <c r="O22" s="6">
        <f t="shared" si="3"/>
        <v>-664</v>
      </c>
      <c r="P22" s="70">
        <f>O22/(J22+G22+D22+1)</f>
        <v>-0.20946372239747635</v>
      </c>
      <c r="Q22" s="176"/>
      <c r="R22" s="66" t="str">
        <f>IF($C$4="High Inventory",IF(AND(O22&gt;=Summary!$C$119,P22&gt;=Summary!$C$120),"X"," "),IF(AND(O22&lt;=-Summary!$C$119,P22&lt;=-Summary!$C$120),"X"," "))</f>
        <v xml:space="preserve"> </v>
      </c>
      <c r="S22" s="81" t="str">
        <f>IF($C$5="System-Wide"," ",IF($C$4="High Inventory",IF(AND(L22-I22&gt;=Summary!$C$123,N22-K22&gt;Summary!$C$123,N22&gt;0),"X"," "),IF(AND(I22-L22&gt;=Summary!$C$123,K22-N22&gt;Summary!$C$123,N22&lt;0),"X"," ")))</f>
        <v xml:space="preserve"> </v>
      </c>
      <c r="T22" s="8" t="str">
        <f>IF($C$4="High Inventory",IF(AND($O22&gt;=Summary!$C$119,$P22&gt;=0%),"X"," "),IF(AND($O22&lt;=-Summary!$C$119,$P22&lt;=0%),"X"," "))</f>
        <v xml:space="preserve"> </v>
      </c>
      <c r="U22" s="11" t="str">
        <f>IF($C$4="High Inventory",IF(AND($O22&gt;=0,$P22&gt;=Summary!$C$120),"X"," "),IF(AND($O22&lt;=0,$P22&lt;=-Summary!$C$120),"X"," "))</f>
        <v xml:space="preserve"> </v>
      </c>
      <c r="V22" t="str">
        <f t="shared" si="4"/>
        <v xml:space="preserve"> </v>
      </c>
      <c r="W22" t="str">
        <f>IF($C$4="High Inventory",IF(O22&gt;Summary!$C$119,"X"," "),IF(O22&lt;-Summary!$C$119,"X"," "))</f>
        <v xml:space="preserve"> </v>
      </c>
      <c r="X22" t="str">
        <f>IF($C$4="High Inventory",IF(P22&gt;Summary!$C$120,"X"," "),IF(P22&lt;-Summary!$C$120,"X"," "))</f>
        <v xml:space="preserve"> </v>
      </c>
    </row>
    <row r="23" spans="1:24" x14ac:dyDescent="0.2">
      <c r="A23" s="27">
        <v>17791</v>
      </c>
      <c r="B23" s="55" t="s">
        <v>25</v>
      </c>
      <c r="C23" s="6">
        <v>600</v>
      </c>
      <c r="D23" s="5">
        <v>376</v>
      </c>
      <c r="E23" s="5">
        <v>224</v>
      </c>
      <c r="F23" s="6">
        <v>600</v>
      </c>
      <c r="G23" s="5">
        <v>404</v>
      </c>
      <c r="H23" s="5">
        <v>196</v>
      </c>
      <c r="I23" s="6">
        <v>350</v>
      </c>
      <c r="J23" s="5">
        <v>355</v>
      </c>
      <c r="K23" s="5">
        <v>-5</v>
      </c>
      <c r="L23" s="6">
        <v>350</v>
      </c>
      <c r="M23" s="5">
        <v>353</v>
      </c>
      <c r="N23" s="5">
        <v>-3</v>
      </c>
      <c r="O23" s="6">
        <f t="shared" si="3"/>
        <v>415</v>
      </c>
      <c r="P23" s="70">
        <f>O23/(J23+G23+D23+1)</f>
        <v>0.36531690140845069</v>
      </c>
      <c r="Q23" s="176"/>
      <c r="R23" s="66" t="str">
        <f>IF($C$4="High Inventory",IF(AND(O23&gt;=Summary!$C$119,P23&gt;=Summary!$C$120),"X"," "),IF(AND(O23&lt;=-Summary!$C$119,P23&lt;=-Summary!$C$120),"X"," "))</f>
        <v xml:space="preserve"> </v>
      </c>
      <c r="S23" s="81" t="str">
        <f>IF($C$5="System-Wide"," ",IF($C$4="High Inventory",IF(AND(L23-I23&gt;=Summary!$C$123,N23-K23&gt;Summary!$C$123,N23&gt;0),"X"," "),IF(AND(I23-L23&gt;=Summary!$C$123,K23-N23&gt;Summary!$C$123,N23&lt;0),"X"," ")))</f>
        <v xml:space="preserve"> </v>
      </c>
      <c r="T23" s="8" t="str">
        <f>IF($C$4="High Inventory",IF(AND($O23&gt;=Summary!$C$119,$P23&gt;=0%),"X"," "),IF(AND($O23&lt;=-Summary!$C$119,$P23&lt;=0%),"X"," "))</f>
        <v xml:space="preserve"> </v>
      </c>
      <c r="U23" s="11" t="str">
        <f>IF($C$4="High Inventory",IF(AND($O23&gt;=0,$P23&gt;=Summary!$C$120),"X"," "),IF(AND($O23&lt;=0,$P23&lt;=-Summary!$C$120),"X"," "))</f>
        <v>X</v>
      </c>
      <c r="V23" t="str">
        <f t="shared" si="4"/>
        <v xml:space="preserve"> </v>
      </c>
      <c r="W23" t="str">
        <f>IF($C$4="High Inventory",IF(O23&gt;Summary!$C$119,"X"," "),IF(O23&lt;-Summary!$C$119,"X"," "))</f>
        <v xml:space="preserve"> </v>
      </c>
      <c r="X23" t="str">
        <f>IF($C$4="High Inventory",IF(P23&gt;Summary!$C$120,"X"," "),IF(P23&lt;-Summary!$C$120,"X"," "))</f>
        <v>X</v>
      </c>
    </row>
    <row r="24" spans="1:24" x14ac:dyDescent="0.2">
      <c r="A24" s="27">
        <v>1117</v>
      </c>
      <c r="B24" s="55" t="s">
        <v>26</v>
      </c>
      <c r="C24" s="6">
        <v>37056</v>
      </c>
      <c r="D24" s="5">
        <v>49544</v>
      </c>
      <c r="E24" s="5">
        <v>-12488</v>
      </c>
      <c r="F24" s="6">
        <v>77003</v>
      </c>
      <c r="G24" s="5">
        <v>51064</v>
      </c>
      <c r="H24" s="5">
        <v>25939</v>
      </c>
      <c r="I24" s="6">
        <v>54744</v>
      </c>
      <c r="J24" s="5">
        <v>53735</v>
      </c>
      <c r="K24" s="5">
        <v>1009</v>
      </c>
      <c r="L24" s="6">
        <v>56131</v>
      </c>
      <c r="M24" s="5">
        <v>55070</v>
      </c>
      <c r="N24" s="5">
        <v>1061</v>
      </c>
      <c r="O24" s="6">
        <f t="shared" si="3"/>
        <v>14460</v>
      </c>
      <c r="P24" s="70">
        <f t="shared" si="1"/>
        <v>9.3686829419996884E-2</v>
      </c>
      <c r="Q24" s="176"/>
      <c r="R24" s="66" t="str">
        <f>IF($C$4="High Inventory",IF(AND(O24&gt;=Summary!$C$119,P24&gt;=Summary!$C$120),"X"," "),IF(AND(O24&lt;=-Summary!$C$119,P24&lt;=-Summary!$C$120),"X"," "))</f>
        <v xml:space="preserve"> </v>
      </c>
      <c r="S24" s="81" t="str">
        <f>IF($C$5="System-Wide"," ",IF($C$4="High Inventory",IF(AND(L24-I24&gt;=Summary!$C$123,N24-K24&gt;Summary!$C$123,N24&gt;0),"X"," "),IF(AND(I24-L24&gt;=Summary!$C$123,K24-N24&gt;Summary!$C$123,N24&lt;0),"X"," ")))</f>
        <v xml:space="preserve"> </v>
      </c>
      <c r="T24" s="8" t="str">
        <f>IF($C$4="High Inventory",IF(AND($O24&gt;=Summary!$C$119,$P24&gt;=0%),"X"," "),IF(AND($O24&lt;=-Summary!$C$119,$P24&lt;=0%),"X"," "))</f>
        <v>X</v>
      </c>
      <c r="U24" s="11" t="str">
        <f>IF($C$4="High Inventory",IF(AND($O24&gt;=0,$P24&gt;=Summary!$C$120),"X"," "),IF(AND($O24&lt;=0,$P24&lt;=-Summary!$C$120),"X"," "))</f>
        <v xml:space="preserve"> </v>
      </c>
      <c r="V24" t="str">
        <f t="shared" si="4"/>
        <v xml:space="preserve"> </v>
      </c>
      <c r="W24" t="str">
        <f>IF($C$4="High Inventory",IF(O24&gt;Summary!$C$119,"X"," "),IF(O24&lt;-Summary!$C$119,"X"," "))</f>
        <v>X</v>
      </c>
      <c r="X24" t="str">
        <f>IF($C$4="High Inventory",IF(P24&gt;Summary!$C$120,"X"," "),IF(P24&lt;-Summary!$C$120,"X"," "))</f>
        <v xml:space="preserve"> </v>
      </c>
    </row>
    <row r="25" spans="1:24" x14ac:dyDescent="0.2">
      <c r="A25" s="27">
        <v>1126</v>
      </c>
      <c r="B25" s="55" t="s">
        <v>26</v>
      </c>
      <c r="C25" s="6">
        <v>33290</v>
      </c>
      <c r="D25" s="5">
        <v>26892</v>
      </c>
      <c r="E25" s="5">
        <v>6398</v>
      </c>
      <c r="F25" s="6">
        <v>35368</v>
      </c>
      <c r="G25" s="5">
        <v>26383</v>
      </c>
      <c r="H25" s="5">
        <v>8985</v>
      </c>
      <c r="I25" s="6">
        <v>25546</v>
      </c>
      <c r="J25" s="5">
        <v>27699</v>
      </c>
      <c r="K25" s="5">
        <v>-2153</v>
      </c>
      <c r="L25" s="6">
        <v>24918</v>
      </c>
      <c r="M25" s="5">
        <v>27972</v>
      </c>
      <c r="N25" s="5">
        <v>-3054</v>
      </c>
      <c r="O25" s="6">
        <f t="shared" si="3"/>
        <v>13230</v>
      </c>
      <c r="P25" s="70">
        <f t="shared" si="1"/>
        <v>0.16338376041988267</v>
      </c>
      <c r="Q25" s="176"/>
      <c r="R25" s="66" t="str">
        <f>IF($C$4="High Inventory",IF(AND(O25&gt;=Summary!$C$119,P25&gt;=Summary!$C$120),"X"," "),IF(AND(O25&lt;=-Summary!$C$119,P25&lt;=-Summary!$C$120),"X"," "))</f>
        <v>X</v>
      </c>
      <c r="S25" s="81" t="str">
        <f>IF($C$5="System-Wide"," ",IF($C$4="High Inventory",IF(AND(L25-I25&gt;=Summary!$C$123,N25-K25&gt;Summary!$C$123,N25&gt;0),"X"," "),IF(AND(I25-L25&gt;=Summary!$C$123,K25-N25&gt;Summary!$C$123,N25&lt;0),"X"," ")))</f>
        <v xml:space="preserve"> </v>
      </c>
      <c r="T25" s="8" t="str">
        <f>IF($C$4="High Inventory",IF(AND($O25&gt;=Summary!$C$119,$P25&gt;=0%),"X"," "),IF(AND($O25&lt;=-Summary!$C$119,$P25&lt;=0%),"X"," "))</f>
        <v>X</v>
      </c>
      <c r="U25" s="11" t="str">
        <f>IF($C$4="High Inventory",IF(AND($O25&gt;=0,$P25&gt;=Summary!$C$120),"X"," "),IF(AND($O25&lt;=0,$P25&lt;=-Summary!$C$120),"X"," "))</f>
        <v>X</v>
      </c>
      <c r="V25" t="str">
        <f t="shared" si="4"/>
        <v xml:space="preserve"> </v>
      </c>
      <c r="W25" t="str">
        <f>IF($C$4="High Inventory",IF(O25&gt;Summary!$C$119,"X"," "),IF(O25&lt;-Summary!$C$119,"X"," "))</f>
        <v>X</v>
      </c>
      <c r="X25" t="str">
        <f>IF($C$4="High Inventory",IF(P25&gt;Summary!$C$120,"X"," "),IF(P25&lt;-Summary!$C$120,"X"," "))</f>
        <v>X</v>
      </c>
    </row>
    <row r="26" spans="1:24" x14ac:dyDescent="0.2">
      <c r="A26" s="27">
        <v>1157</v>
      </c>
      <c r="B26" s="55" t="s">
        <v>26</v>
      </c>
      <c r="C26" s="6">
        <v>137847</v>
      </c>
      <c r="D26" s="5">
        <v>104018</v>
      </c>
      <c r="E26" s="5">
        <v>33829</v>
      </c>
      <c r="F26" s="6">
        <v>89417</v>
      </c>
      <c r="G26" s="5">
        <v>99342</v>
      </c>
      <c r="H26" s="5">
        <v>-9925</v>
      </c>
      <c r="I26" s="6">
        <v>101737</v>
      </c>
      <c r="J26" s="5">
        <v>104900</v>
      </c>
      <c r="K26" s="5">
        <v>-3163</v>
      </c>
      <c r="L26" s="6">
        <v>105692</v>
      </c>
      <c r="M26" s="5">
        <v>102483</v>
      </c>
      <c r="N26" s="5">
        <v>3209</v>
      </c>
      <c r="O26" s="6">
        <f t="shared" si="3"/>
        <v>20741</v>
      </c>
      <c r="P26" s="70">
        <f t="shared" si="1"/>
        <v>6.7283892545602589E-2</v>
      </c>
      <c r="Q26" s="176"/>
      <c r="R26" s="66" t="str">
        <f>IF($C$4="High Inventory",IF(AND(O26&gt;=Summary!$C$119,P26&gt;=Summary!$C$120),"X"," "),IF(AND(O26&lt;=-Summary!$C$119,P26&lt;=-Summary!$C$120),"X"," "))</f>
        <v xml:space="preserve"> </v>
      </c>
      <c r="S26" s="81" t="str">
        <f>IF($C$5="System-Wide"," ",IF($C$4="High Inventory",IF(AND(L26-I26&gt;=Summary!$C$123,N26-K26&gt;Summary!$C$123,N26&gt;0),"X"," "),IF(AND(I26-L26&gt;=Summary!$C$123,K26-N26&gt;Summary!$C$123,N26&lt;0),"X"," ")))</f>
        <v xml:space="preserve"> </v>
      </c>
      <c r="T26" s="8" t="str">
        <f>IF($C$4="High Inventory",IF(AND($O26&gt;=Summary!$C$119,$P26&gt;=0%),"X"," "),IF(AND($O26&lt;=-Summary!$C$119,$P26&lt;=0%),"X"," "))</f>
        <v>X</v>
      </c>
      <c r="U26" s="11" t="str">
        <f>IF($C$4="High Inventory",IF(AND($O26&gt;=0,$P26&gt;=Summary!$C$120),"X"," "),IF(AND($O26&lt;=0,$P26&lt;=-Summary!$C$120),"X"," "))</f>
        <v xml:space="preserve"> </v>
      </c>
      <c r="V26" t="str">
        <f t="shared" si="4"/>
        <v xml:space="preserve"> </v>
      </c>
      <c r="W26" t="str">
        <f>IF($C$4="High Inventory",IF(O26&gt;Summary!$C$119,"X"," "),IF(O26&lt;-Summary!$C$119,"X"," "))</f>
        <v>X</v>
      </c>
      <c r="X26" t="str">
        <f>IF($C$4="High Inventory",IF(P26&gt;Summary!$C$120,"X"," "),IF(P26&lt;-Summary!$C$120,"X"," "))</f>
        <v xml:space="preserve"> </v>
      </c>
    </row>
    <row r="27" spans="1:24" x14ac:dyDescent="0.2">
      <c r="A27" s="27">
        <v>1281</v>
      </c>
      <c r="B27" s="55" t="s">
        <v>26</v>
      </c>
      <c r="C27" s="202">
        <v>233</v>
      </c>
      <c r="D27" s="203">
        <v>8172</v>
      </c>
      <c r="E27" s="203">
        <v>-7939</v>
      </c>
      <c r="F27" s="202">
        <v>1220</v>
      </c>
      <c r="G27" s="203">
        <v>8889</v>
      </c>
      <c r="H27" s="203">
        <v>-7669</v>
      </c>
      <c r="I27" s="202">
        <v>21647</v>
      </c>
      <c r="J27" s="203">
        <v>20888</v>
      </c>
      <c r="K27" s="203">
        <v>759</v>
      </c>
      <c r="L27" s="202">
        <v>7005</v>
      </c>
      <c r="M27" s="203">
        <v>10135</v>
      </c>
      <c r="N27" s="203">
        <v>-3130</v>
      </c>
      <c r="O27" s="6">
        <f t="shared" si="3"/>
        <v>-14849</v>
      </c>
      <c r="P27" s="70">
        <f t="shared" si="1"/>
        <v>-0.39127799736495389</v>
      </c>
      <c r="Q27" s="176"/>
      <c r="R27" s="66" t="str">
        <f>IF($C$4="High Inventory",IF(AND(O27&gt;=Summary!$C$119,P27&gt;=Summary!$C$120),"X"," "),IF(AND(O27&lt;=-Summary!$C$119,P27&lt;=-Summary!$C$120),"X"," "))</f>
        <v xml:space="preserve"> </v>
      </c>
      <c r="S27" s="81" t="str">
        <f>IF($C$5="System-Wide"," ",IF($C$4="High Inventory",IF(AND(L27-I27&gt;=Summary!$C$123,N27-K27&gt;Summary!$C$123,N27&gt;0),"X"," "),IF(AND(I27-L27&gt;=Summary!$C$123,K27-N27&gt;Summary!$C$123,N27&lt;0),"X"," ")))</f>
        <v xml:space="preserve"> </v>
      </c>
      <c r="T27" s="8" t="str">
        <f>IF($C$4="High Inventory",IF(AND($O27&gt;=Summary!$C$119,$P27&gt;=0%),"X"," "),IF(AND($O27&lt;=-Summary!$C$119,$P27&lt;=0%),"X"," "))</f>
        <v xml:space="preserve"> </v>
      </c>
      <c r="U27" s="11" t="str">
        <f>IF($C$4="High Inventory",IF(AND($O27&gt;=0,$P27&gt;=Summary!$C$120),"X"," "),IF(AND($O27&lt;=0,$P27&lt;=-Summary!$C$120),"X"," "))</f>
        <v xml:space="preserve"> </v>
      </c>
      <c r="V27" t="str">
        <f t="shared" si="4"/>
        <v xml:space="preserve"> </v>
      </c>
      <c r="W27" t="str">
        <f>IF($C$4="High Inventory",IF(O27&gt;Summary!$C$119,"X"," "),IF(O27&lt;-Summary!$C$119,"X"," "))</f>
        <v xml:space="preserve"> </v>
      </c>
      <c r="X27" t="str">
        <f>IF($C$4="High Inventory",IF(P27&gt;Summary!$C$120,"X"," "),IF(P27&lt;-Summary!$C$120,"X"," "))</f>
        <v xml:space="preserve"> </v>
      </c>
    </row>
    <row r="28" spans="1:24" x14ac:dyDescent="0.2">
      <c r="A28" s="27">
        <v>1340</v>
      </c>
      <c r="B28" s="55" t="s">
        <v>26</v>
      </c>
      <c r="C28" s="6">
        <v>3818</v>
      </c>
      <c r="D28" s="5">
        <v>4359</v>
      </c>
      <c r="E28" s="5">
        <v>-541</v>
      </c>
      <c r="F28" s="6">
        <v>3335</v>
      </c>
      <c r="G28" s="5">
        <v>4725</v>
      </c>
      <c r="H28" s="5">
        <v>-1390</v>
      </c>
      <c r="I28" s="6">
        <v>3818</v>
      </c>
      <c r="J28" s="5">
        <v>5714</v>
      </c>
      <c r="K28" s="5">
        <v>-1896</v>
      </c>
      <c r="L28" s="6">
        <v>3818</v>
      </c>
      <c r="M28" s="5">
        <v>5996</v>
      </c>
      <c r="N28" s="5">
        <v>-2178</v>
      </c>
      <c r="O28" s="6">
        <f t="shared" si="3"/>
        <v>-3827</v>
      </c>
      <c r="P28" s="70">
        <f t="shared" si="1"/>
        <v>-0.2585985539563484</v>
      </c>
      <c r="Q28" s="176"/>
      <c r="R28" s="66" t="str">
        <f>IF($C$4="High Inventory",IF(AND(O28&gt;=Summary!$C$119,P28&gt;=Summary!$C$120),"X"," "),IF(AND(O28&lt;=-Summary!$C$119,P28&lt;=-Summary!$C$120),"X"," "))</f>
        <v xml:space="preserve"> </v>
      </c>
      <c r="S28" s="81" t="str">
        <f>IF($C$5="System-Wide"," ",IF($C$4="High Inventory",IF(AND(L28-I28&gt;=Summary!$C$123,N28-K28&gt;Summary!$C$123,N28&gt;0),"X"," "),IF(AND(I28-L28&gt;=Summary!$C$123,K28-N28&gt;Summary!$C$123,N28&lt;0),"X"," ")))</f>
        <v xml:space="preserve"> </v>
      </c>
      <c r="T28" s="8" t="str">
        <f>IF($C$4="High Inventory",IF(AND($O28&gt;=Summary!$C$119,$P28&gt;=0%),"X"," "),IF(AND($O28&lt;=-Summary!$C$119,$P28&lt;=0%),"X"," "))</f>
        <v xml:space="preserve"> </v>
      </c>
      <c r="U28" s="11" t="str">
        <f>IF($C$4="High Inventory",IF(AND($O28&gt;=0,$P28&gt;=Summary!$C$120),"X"," "),IF(AND($O28&lt;=0,$P28&lt;=-Summary!$C$120),"X"," "))</f>
        <v xml:space="preserve"> </v>
      </c>
      <c r="V28" t="str">
        <f t="shared" si="4"/>
        <v xml:space="preserve"> </v>
      </c>
      <c r="W28" t="str">
        <f>IF($C$4="High Inventory",IF(O28&gt;Summary!$C$119,"X"," "),IF(O28&lt;-Summary!$C$119,"X"," "))</f>
        <v xml:space="preserve"> </v>
      </c>
      <c r="X28" t="str">
        <f>IF($C$4="High Inventory",IF(P28&gt;Summary!$C$120,"X"," "),IF(P28&lt;-Summary!$C$120,"X"," "))</f>
        <v xml:space="preserve"> </v>
      </c>
    </row>
    <row r="29" spans="1:24" x14ac:dyDescent="0.2">
      <c r="A29" s="27">
        <v>1377</v>
      </c>
      <c r="B29" s="55" t="s">
        <v>26</v>
      </c>
      <c r="C29" s="6">
        <v>100611</v>
      </c>
      <c r="D29" s="5">
        <v>82965</v>
      </c>
      <c r="E29" s="5">
        <v>17646</v>
      </c>
      <c r="F29" s="6">
        <v>74203</v>
      </c>
      <c r="G29" s="5">
        <v>87365</v>
      </c>
      <c r="H29" s="5">
        <v>-13162</v>
      </c>
      <c r="I29" s="6">
        <v>85617</v>
      </c>
      <c r="J29" s="5">
        <v>90307</v>
      </c>
      <c r="K29" s="5">
        <v>-4690</v>
      </c>
      <c r="L29" s="6">
        <v>86982</v>
      </c>
      <c r="M29" s="5">
        <v>90048</v>
      </c>
      <c r="N29" s="5">
        <v>-3066</v>
      </c>
      <c r="O29" s="6">
        <f t="shared" si="3"/>
        <v>-206</v>
      </c>
      <c r="P29" s="70">
        <f t="shared" si="1"/>
        <v>-7.9036825021677574E-4</v>
      </c>
      <c r="Q29" s="176"/>
      <c r="R29" s="66" t="str">
        <f>IF($C$4="High Inventory",IF(AND(O29&gt;=Summary!$C$119,P29&gt;=Summary!$C$120),"X"," "),IF(AND(O29&lt;=-Summary!$C$119,P29&lt;=-Summary!$C$120),"X"," "))</f>
        <v xml:space="preserve"> </v>
      </c>
      <c r="S29" s="81" t="str">
        <f>IF($C$5="System-Wide"," ",IF($C$4="High Inventory",IF(AND(L29-I29&gt;=Summary!$C$123,N29-K29&gt;Summary!$C$123,N29&gt;0),"X"," "),IF(AND(I29-L29&gt;=Summary!$C$123,K29-N29&gt;Summary!$C$123,N29&lt;0),"X"," ")))</f>
        <v xml:space="preserve"> </v>
      </c>
      <c r="T29" s="8" t="str">
        <f>IF($C$4="High Inventory",IF(AND($O29&gt;=Summary!$C$119,$P29&gt;=0%),"X"," "),IF(AND($O29&lt;=-Summary!$C$119,$P29&lt;=0%),"X"," "))</f>
        <v xml:space="preserve"> </v>
      </c>
      <c r="U29" s="11" t="str">
        <f>IF($C$4="High Inventory",IF(AND($O29&gt;=0,$P29&gt;=Summary!$C$120),"X"," "),IF(AND($O29&lt;=0,$P29&lt;=-Summary!$C$120),"X"," "))</f>
        <v xml:space="preserve"> </v>
      </c>
      <c r="V29" t="str">
        <f t="shared" si="4"/>
        <v xml:space="preserve"> </v>
      </c>
      <c r="W29" t="str">
        <f>IF($C$4="High Inventory",IF(O29&gt;Summary!$C$119,"X"," "),IF(O29&lt;-Summary!$C$119,"X"," "))</f>
        <v xml:space="preserve"> </v>
      </c>
      <c r="X29" t="str">
        <f>IF($C$4="High Inventory",IF(P29&gt;Summary!$C$120,"X"," "),IF(P29&lt;-Summary!$C$120,"X"," "))</f>
        <v xml:space="preserve"> </v>
      </c>
    </row>
    <row r="30" spans="1:24" x14ac:dyDescent="0.2">
      <c r="A30" s="27">
        <v>1830</v>
      </c>
      <c r="B30" s="55" t="s">
        <v>26</v>
      </c>
      <c r="C30" s="6">
        <v>10145</v>
      </c>
      <c r="D30" s="5">
        <v>18163</v>
      </c>
      <c r="E30" s="5">
        <v>-8018</v>
      </c>
      <c r="F30" s="6">
        <v>24000</v>
      </c>
      <c r="G30" s="5">
        <v>5507</v>
      </c>
      <c r="H30" s="5">
        <v>18493</v>
      </c>
      <c r="I30" s="6">
        <v>24500</v>
      </c>
      <c r="J30" s="5">
        <v>15314</v>
      </c>
      <c r="K30" s="5">
        <v>9186</v>
      </c>
      <c r="L30" s="6">
        <v>24500</v>
      </c>
      <c r="M30" s="5">
        <v>5507</v>
      </c>
      <c r="N30" s="5">
        <v>18993</v>
      </c>
      <c r="O30" s="6">
        <f t="shared" si="3"/>
        <v>19661</v>
      </c>
      <c r="P30" s="70">
        <f t="shared" si="1"/>
        <v>0.50432217519558808</v>
      </c>
      <c r="Q30" s="176"/>
      <c r="R30" s="66" t="str">
        <f>IF($C$4="High Inventory",IF(AND(O30&gt;=Summary!$C$119,P30&gt;=Summary!$C$120),"X"," "),IF(AND(O30&lt;=-Summary!$C$119,P30&lt;=-Summary!$C$120),"X"," "))</f>
        <v>X</v>
      </c>
      <c r="S30" s="81" t="str">
        <f>IF($C$5="System-Wide"," ",IF($C$4="High Inventory",IF(AND(L30-I30&gt;=Summary!$C$123,N30-K30&gt;Summary!$C$123,N30&gt;0),"X"," "),IF(AND(I30-L30&gt;=Summary!$C$123,K30-N30&gt;Summary!$C$123,N30&lt;0),"X"," ")))</f>
        <v xml:space="preserve"> </v>
      </c>
      <c r="T30" s="8" t="str">
        <f>IF($C$4="High Inventory",IF(AND($O30&gt;=Summary!$C$119,$P30&gt;=0%),"X"," "),IF(AND($O30&lt;=-Summary!$C$119,$P30&lt;=0%),"X"," "))</f>
        <v>X</v>
      </c>
      <c r="U30" s="11" t="str">
        <f>IF($C$4="High Inventory",IF(AND($O30&gt;=0,$P30&gt;=Summary!$C$120),"X"," "),IF(AND($O30&lt;=0,$P30&lt;=-Summary!$C$120),"X"," "))</f>
        <v>X</v>
      </c>
      <c r="V30" t="str">
        <f t="shared" si="4"/>
        <v xml:space="preserve"> </v>
      </c>
      <c r="W30" t="str">
        <f>IF($C$4="High Inventory",IF(O30&gt;Summary!$C$119,"X"," "),IF(O30&lt;-Summary!$C$119,"X"," "))</f>
        <v>X</v>
      </c>
      <c r="X30" t="str">
        <f>IF($C$4="High Inventory",IF(P30&gt;Summary!$C$120,"X"," "),IF(P30&lt;-Summary!$C$120,"X"," "))</f>
        <v>X</v>
      </c>
    </row>
    <row r="31" spans="1:24" x14ac:dyDescent="0.2">
      <c r="A31" s="27">
        <v>1864</v>
      </c>
      <c r="B31" s="55" t="s">
        <v>26</v>
      </c>
      <c r="C31" s="6">
        <v>400933</v>
      </c>
      <c r="D31" s="5">
        <v>426675</v>
      </c>
      <c r="E31" s="5">
        <v>-25742</v>
      </c>
      <c r="F31" s="6">
        <v>480015</v>
      </c>
      <c r="G31" s="5">
        <v>453555</v>
      </c>
      <c r="H31" s="5">
        <v>26460</v>
      </c>
      <c r="I31" s="6">
        <v>445607</v>
      </c>
      <c r="J31" s="5">
        <v>439094</v>
      </c>
      <c r="K31" s="5">
        <v>6513</v>
      </c>
      <c r="L31" s="6">
        <v>455361</v>
      </c>
      <c r="M31" s="5">
        <v>443039</v>
      </c>
      <c r="N31" s="5">
        <v>12322</v>
      </c>
      <c r="O31" s="6">
        <f t="shared" si="3"/>
        <v>7231</v>
      </c>
      <c r="P31" s="70">
        <f t="shared" si="1"/>
        <v>5.4808330017243664E-3</v>
      </c>
      <c r="Q31" s="176"/>
      <c r="R31" s="66" t="str">
        <f>IF($C$4="High Inventory",IF(AND(O31&gt;=Summary!$C$119,P31&gt;=Summary!$C$120),"X"," "),IF(AND(O31&lt;=-Summary!$C$119,P31&lt;=-Summary!$C$120),"X"," "))</f>
        <v xml:space="preserve"> </v>
      </c>
      <c r="S31" s="81" t="str">
        <f>IF($C$5="System-Wide"," ",IF($C$4="High Inventory",IF(AND(L31-I31&gt;=Summary!$C$123,N31-K31&gt;Summary!$C$123,N31&gt;0),"X"," "),IF(AND(I31-L31&gt;=Summary!$C$123,K31-N31&gt;Summary!$C$123,N31&lt;0),"X"," ")))</f>
        <v xml:space="preserve"> </v>
      </c>
      <c r="T31" s="8" t="str">
        <f>IF($C$4="High Inventory",IF(AND($O31&gt;=Summary!$C$119,$P31&gt;=0%),"X"," "),IF(AND($O31&lt;=-Summary!$C$119,$P31&lt;=0%),"X"," "))</f>
        <v>X</v>
      </c>
      <c r="U31" s="11" t="str">
        <f>IF($C$4="High Inventory",IF(AND($O31&gt;=0,$P31&gt;=Summary!$C$120),"X"," "),IF(AND($O31&lt;=0,$P31&lt;=-Summary!$C$120),"X"," "))</f>
        <v xml:space="preserve"> </v>
      </c>
      <c r="V31" t="str">
        <f t="shared" si="4"/>
        <v xml:space="preserve"> </v>
      </c>
      <c r="W31" t="str">
        <f>IF($C$4="High Inventory",IF(O31&gt;Summary!$C$119,"X"," "),IF(O31&lt;-Summary!$C$119,"X"," "))</f>
        <v>X</v>
      </c>
      <c r="X31" t="str">
        <f>IF($C$4="High Inventory",IF(P31&gt;Summary!$C$120,"X"," "),IF(P31&lt;-Summary!$C$120,"X"," "))</f>
        <v xml:space="preserve"> </v>
      </c>
    </row>
    <row r="32" spans="1:24" x14ac:dyDescent="0.2">
      <c r="A32" s="27">
        <v>1922</v>
      </c>
      <c r="B32" s="55" t="s">
        <v>26</v>
      </c>
      <c r="C32" s="6">
        <v>27837</v>
      </c>
      <c r="D32" s="5">
        <v>26942</v>
      </c>
      <c r="E32" s="5">
        <v>895</v>
      </c>
      <c r="F32" s="6">
        <v>26797</v>
      </c>
      <c r="G32" s="5">
        <v>29390</v>
      </c>
      <c r="H32" s="5">
        <v>-2593</v>
      </c>
      <c r="I32" s="6">
        <v>23977</v>
      </c>
      <c r="J32" s="5">
        <v>30756</v>
      </c>
      <c r="K32" s="5">
        <v>-6779</v>
      </c>
      <c r="L32" s="6">
        <v>22547</v>
      </c>
      <c r="M32" s="5">
        <v>29692</v>
      </c>
      <c r="N32" s="5">
        <v>-7145</v>
      </c>
      <c r="O32" s="6">
        <f t="shared" si="0"/>
        <v>-8477</v>
      </c>
      <c r="P32" s="70">
        <f t="shared" ref="P32:P48" si="5">O32/(J32+G32+D32+1)</f>
        <v>-9.7337206765492776E-2</v>
      </c>
      <c r="Q32" s="176"/>
      <c r="R32" s="66" t="str">
        <f>IF($C$4="High Inventory",IF(AND(O32&gt;=Summary!$C$119,P32&gt;=Summary!$C$120),"X"," "),IF(AND(O32&lt;=-Summary!$C$119,P32&lt;=-Summary!$C$120),"X"," "))</f>
        <v xml:space="preserve"> </v>
      </c>
      <c r="S32" s="81" t="str">
        <f>IF($C$5="System-Wide"," ",IF($C$4="High Inventory",IF(AND(L32-I32&gt;=Summary!$C$123,N32-K32&gt;Summary!$C$123,N32&gt;0),"X"," "),IF(AND(I32-L32&gt;=Summary!$C$123,K32-N32&gt;Summary!$C$123,N32&lt;0),"X"," ")))</f>
        <v xml:space="preserve"> </v>
      </c>
      <c r="T32" s="8" t="str">
        <f>IF($C$4="High Inventory",IF(AND($O32&gt;=Summary!$C$119,$P32&gt;=0%),"X"," "),IF(AND($O32&lt;=-Summary!$C$119,$P32&lt;=0%),"X"," "))</f>
        <v xml:space="preserve"> </v>
      </c>
      <c r="U32" s="11" t="str">
        <f>IF($C$4="High Inventory",IF(AND($O32&gt;=0,$P32&gt;=Summary!$C$120),"X"," "),IF(AND($O32&lt;=0,$P32&lt;=-Summary!$C$120),"X"," "))</f>
        <v xml:space="preserve"> </v>
      </c>
      <c r="V32" t="str">
        <f t="shared" si="2"/>
        <v xml:space="preserve"> </v>
      </c>
      <c r="W32" t="str">
        <f>IF($C$4="High Inventory",IF(O32&gt;Summary!$C$119,"X"," "),IF(O32&lt;-Summary!$C$119,"X"," "))</f>
        <v xml:space="preserve"> </v>
      </c>
      <c r="X32" t="str">
        <f>IF($C$4="High Inventory",IF(P32&gt;Summary!$C$120,"X"," "),IF(P32&lt;-Summary!$C$120,"X"," "))</f>
        <v xml:space="preserve"> </v>
      </c>
    </row>
    <row r="33" spans="1:24" x14ac:dyDescent="0.2">
      <c r="A33" s="27">
        <v>2056</v>
      </c>
      <c r="B33" s="55" t="s">
        <v>26</v>
      </c>
      <c r="C33" s="6">
        <v>21618</v>
      </c>
      <c r="D33" s="5">
        <v>32404</v>
      </c>
      <c r="E33" s="5">
        <v>-10786</v>
      </c>
      <c r="F33" s="6">
        <v>24118</v>
      </c>
      <c r="G33" s="5">
        <v>34765</v>
      </c>
      <c r="H33" s="5">
        <v>-10647</v>
      </c>
      <c r="I33" s="6">
        <v>28330</v>
      </c>
      <c r="J33" s="5">
        <v>32739</v>
      </c>
      <c r="K33" s="5">
        <v>-4409</v>
      </c>
      <c r="L33" s="6">
        <v>30210</v>
      </c>
      <c r="M33" s="5">
        <v>30529</v>
      </c>
      <c r="N33" s="5">
        <v>-319</v>
      </c>
      <c r="O33" s="6">
        <f t="shared" si="0"/>
        <v>-25842</v>
      </c>
      <c r="P33" s="70">
        <f t="shared" si="5"/>
        <v>-0.25865537639251718</v>
      </c>
      <c r="Q33" s="176"/>
      <c r="R33" s="66" t="str">
        <f>IF($C$4="High Inventory",IF(AND(O33&gt;=Summary!$C$119,P33&gt;=Summary!$C$120),"X"," "),IF(AND(O33&lt;=-Summary!$C$119,P33&lt;=-Summary!$C$120),"X"," "))</f>
        <v xml:space="preserve"> </v>
      </c>
      <c r="S33" s="81" t="str">
        <f>IF($C$5="System-Wide"," ",IF($C$4="High Inventory",IF(AND(L33-I33&gt;=Summary!$C$123,N33-K33&gt;Summary!$C$123,N33&gt;0),"X"," "),IF(AND(I33-L33&gt;=Summary!$C$123,K33-N33&gt;Summary!$C$123,N33&lt;0),"X"," ")))</f>
        <v xml:space="preserve"> </v>
      </c>
      <c r="T33" s="8" t="str">
        <f>IF($C$4="High Inventory",IF(AND($O33&gt;=Summary!$C$119,$P33&gt;=0%),"X"," "),IF(AND($O33&lt;=-Summary!$C$119,$P33&lt;=0%),"X"," "))</f>
        <v xml:space="preserve"> </v>
      </c>
      <c r="U33" s="11" t="str">
        <f>IF($C$4="High Inventory",IF(AND($O33&gt;=0,$P33&gt;=Summary!$C$120),"X"," "),IF(AND($O33&lt;=0,$P33&lt;=-Summary!$C$120),"X"," "))</f>
        <v xml:space="preserve"> </v>
      </c>
      <c r="V33" t="str">
        <f t="shared" si="2"/>
        <v xml:space="preserve"> </v>
      </c>
      <c r="W33" t="str">
        <f>IF($C$4="High Inventory",IF(O33&gt;Summary!$C$119,"X"," "),IF(O33&lt;-Summary!$C$119,"X"," "))</f>
        <v xml:space="preserve"> </v>
      </c>
      <c r="X33" t="str">
        <f>IF($C$4="High Inventory",IF(P33&gt;Summary!$C$120,"X"," "),IF(P33&lt;-Summary!$C$120,"X"," "))</f>
        <v xml:space="preserve"> </v>
      </c>
    </row>
    <row r="34" spans="1:24" x14ac:dyDescent="0.2">
      <c r="A34" s="27">
        <v>2280</v>
      </c>
      <c r="B34" s="55" t="s">
        <v>26</v>
      </c>
      <c r="C34" s="6">
        <v>13000</v>
      </c>
      <c r="D34" s="5">
        <v>0</v>
      </c>
      <c r="E34" s="5">
        <v>13000</v>
      </c>
      <c r="F34" s="6">
        <v>5000</v>
      </c>
      <c r="G34" s="5">
        <v>0</v>
      </c>
      <c r="H34" s="5">
        <v>5000</v>
      </c>
      <c r="I34" s="6">
        <v>13000</v>
      </c>
      <c r="J34" s="5">
        <v>0</v>
      </c>
      <c r="K34" s="5">
        <v>13000</v>
      </c>
      <c r="L34" s="6">
        <v>8000</v>
      </c>
      <c r="M34" s="5">
        <v>0</v>
      </c>
      <c r="N34" s="5">
        <v>8000</v>
      </c>
      <c r="O34" s="6">
        <f t="shared" si="0"/>
        <v>31000</v>
      </c>
      <c r="P34" s="70">
        <f t="shared" si="5"/>
        <v>31000</v>
      </c>
      <c r="Q34" s="176"/>
      <c r="R34" s="66" t="str">
        <f>IF($C$4="High Inventory",IF(AND(O34&gt;=Summary!$C$119,P34&gt;=Summary!$C$120),"X"," "),IF(AND(O34&lt;=-Summary!$C$119,P34&lt;=-Summary!$C$120),"X"," "))</f>
        <v>X</v>
      </c>
      <c r="S34" s="81" t="str">
        <f>IF($C$5="System-Wide"," ",IF($C$4="High Inventory",IF(AND(L34-I34&gt;=Summary!$C$123,N34-K34&gt;Summary!$C$123,N34&gt;0),"X"," "),IF(AND(I34-L34&gt;=Summary!$C$123,K34-N34&gt;Summary!$C$123,N34&lt;0),"X"," ")))</f>
        <v xml:space="preserve"> </v>
      </c>
      <c r="T34" s="8" t="str">
        <f>IF($C$4="High Inventory",IF(AND($O34&gt;=Summary!$C$119,$P34&gt;=0%),"X"," "),IF(AND($O34&lt;=-Summary!$C$119,$P34&lt;=0%),"X"," "))</f>
        <v>X</v>
      </c>
      <c r="U34" s="11" t="str">
        <f>IF($C$4="High Inventory",IF(AND($O34&gt;=0,$P34&gt;=Summary!$C$120),"X"," "),IF(AND($O34&lt;=0,$P34&lt;=-Summary!$C$120),"X"," "))</f>
        <v>X</v>
      </c>
      <c r="V34" t="str">
        <f t="shared" si="2"/>
        <v xml:space="preserve"> </v>
      </c>
      <c r="W34" t="str">
        <f>IF($C$4="High Inventory",IF(O34&gt;Summary!$C$119,"X"," "),IF(O34&lt;-Summary!$C$119,"X"," "))</f>
        <v>X</v>
      </c>
      <c r="X34" t="str">
        <f>IF($C$4="High Inventory",IF(P34&gt;Summary!$C$120,"X"," "),IF(P34&lt;-Summary!$C$120,"X"," "))</f>
        <v>X</v>
      </c>
    </row>
    <row r="35" spans="1:24" x14ac:dyDescent="0.2">
      <c r="A35" s="27">
        <v>2584</v>
      </c>
      <c r="B35" s="55" t="s">
        <v>26</v>
      </c>
      <c r="C35" s="6">
        <v>57982</v>
      </c>
      <c r="D35" s="5">
        <v>39737</v>
      </c>
      <c r="E35" s="5">
        <v>18245</v>
      </c>
      <c r="F35" s="6">
        <v>43966</v>
      </c>
      <c r="G35" s="5">
        <v>41868</v>
      </c>
      <c r="H35" s="5">
        <v>2098</v>
      </c>
      <c r="I35" s="6">
        <v>52671</v>
      </c>
      <c r="J35" s="5">
        <v>51995</v>
      </c>
      <c r="K35" s="5">
        <v>676</v>
      </c>
      <c r="L35" s="6">
        <v>52542</v>
      </c>
      <c r="M35" s="5">
        <v>56486</v>
      </c>
      <c r="N35" s="5">
        <v>-3944</v>
      </c>
      <c r="O35" s="6">
        <f t="shared" si="0"/>
        <v>21019</v>
      </c>
      <c r="P35" s="70">
        <f t="shared" si="5"/>
        <v>0.1573266667165665</v>
      </c>
      <c r="Q35" s="176"/>
      <c r="R35" s="66" t="str">
        <f>IF($C$4="High Inventory",IF(AND(O35&gt;=Summary!$C$119,P35&gt;=Summary!$C$120),"X"," "),IF(AND(O35&lt;=-Summary!$C$119,P35&lt;=-Summary!$C$120),"X"," "))</f>
        <v>X</v>
      </c>
      <c r="S35" s="81" t="str">
        <f>IF($C$5="System-Wide"," ",IF($C$4="High Inventory",IF(AND(L35-I35&gt;=Summary!$C$123,N35-K35&gt;Summary!$C$123,N35&gt;0),"X"," "),IF(AND(I35-L35&gt;=Summary!$C$123,K35-N35&gt;Summary!$C$123,N35&lt;0),"X"," ")))</f>
        <v xml:space="preserve"> </v>
      </c>
      <c r="T35" s="8" t="str">
        <f>IF($C$4="High Inventory",IF(AND($O35&gt;=Summary!$C$119,$P35&gt;=0%),"X"," "),IF(AND($O35&lt;=-Summary!$C$119,$P35&lt;=0%),"X"," "))</f>
        <v>X</v>
      </c>
      <c r="U35" s="11" t="str">
        <f>IF($C$4="High Inventory",IF(AND($O35&gt;=0,$P35&gt;=Summary!$C$120),"X"," "),IF(AND($O35&lt;=0,$P35&lt;=-Summary!$C$120),"X"," "))</f>
        <v>X</v>
      </c>
      <c r="V35" t="str">
        <f t="shared" si="2"/>
        <v xml:space="preserve"> </v>
      </c>
      <c r="W35" t="str">
        <f>IF($C$4="High Inventory",IF(O35&gt;Summary!$C$119,"X"," "),IF(O35&lt;-Summary!$C$119,"X"," "))</f>
        <v>X</v>
      </c>
      <c r="X35" t="str">
        <f>IF($C$4="High Inventory",IF(P35&gt;Summary!$C$120,"X"," "),IF(P35&lt;-Summary!$C$120,"X"," "))</f>
        <v>X</v>
      </c>
    </row>
    <row r="36" spans="1:24" x14ac:dyDescent="0.2">
      <c r="A36" s="27">
        <v>2771</v>
      </c>
      <c r="B36" s="55" t="s">
        <v>26</v>
      </c>
      <c r="C36" s="6">
        <v>17868</v>
      </c>
      <c r="D36" s="5">
        <v>35535</v>
      </c>
      <c r="E36" s="5">
        <v>-17667</v>
      </c>
      <c r="F36" s="6">
        <v>4543</v>
      </c>
      <c r="G36" s="5">
        <v>32645</v>
      </c>
      <c r="H36" s="5">
        <v>-28102</v>
      </c>
      <c r="I36" s="6">
        <v>34681</v>
      </c>
      <c r="J36" s="5">
        <v>35032</v>
      </c>
      <c r="K36" s="5">
        <v>-351</v>
      </c>
      <c r="L36" s="6">
        <v>33493</v>
      </c>
      <c r="M36" s="5">
        <v>36685</v>
      </c>
      <c r="N36" s="5">
        <v>-3192</v>
      </c>
      <c r="O36" s="6">
        <f t="shared" si="0"/>
        <v>-46120</v>
      </c>
      <c r="P36" s="70">
        <f t="shared" si="5"/>
        <v>-0.44684293645180356</v>
      </c>
      <c r="Q36" s="176"/>
      <c r="R36" s="66" t="str">
        <f>IF($C$4="High Inventory",IF(AND(O36&gt;=Summary!$C$119,P36&gt;=Summary!$C$120),"X"," "),IF(AND(O36&lt;=-Summary!$C$119,P36&lt;=-Summary!$C$120),"X"," "))</f>
        <v xml:space="preserve"> </v>
      </c>
      <c r="S36" s="81" t="str">
        <f>IF($C$5="System-Wide"," ",IF($C$4="High Inventory",IF(AND(L36-I36&gt;=Summary!$C$123,N36-K36&gt;Summary!$C$123,N36&gt;0),"X"," "),IF(AND(I36-L36&gt;=Summary!$C$123,K36-N36&gt;Summary!$C$123,N36&lt;0),"X"," ")))</f>
        <v xml:space="preserve"> </v>
      </c>
      <c r="T36" s="8" t="str">
        <f>IF($C$4="High Inventory",IF(AND($O36&gt;=Summary!$C$119,$P36&gt;=0%),"X"," "),IF(AND($O36&lt;=-Summary!$C$119,$P36&lt;=0%),"X"," "))</f>
        <v xml:space="preserve"> </v>
      </c>
      <c r="U36" s="11" t="str">
        <f>IF($C$4="High Inventory",IF(AND($O36&gt;=0,$P36&gt;=Summary!$C$120),"X"," "),IF(AND($O36&lt;=0,$P36&lt;=-Summary!$C$120),"X"," "))</f>
        <v xml:space="preserve"> </v>
      </c>
      <c r="V36" t="str">
        <f t="shared" si="2"/>
        <v xml:space="preserve"> </v>
      </c>
      <c r="W36" t="str">
        <f>IF($C$4="High Inventory",IF(O36&gt;Summary!$C$119,"X"," "),IF(O36&lt;-Summary!$C$119,"X"," "))</f>
        <v xml:space="preserve"> </v>
      </c>
      <c r="X36" t="str">
        <f>IF($C$4="High Inventory",IF(P36&gt;Summary!$C$120,"X"," "),IF(P36&lt;-Summary!$C$120,"X"," "))</f>
        <v xml:space="preserve"> </v>
      </c>
    </row>
    <row r="37" spans="1:24" x14ac:dyDescent="0.2">
      <c r="A37" s="27">
        <v>2832</v>
      </c>
      <c r="B37" s="55" t="s">
        <v>26</v>
      </c>
      <c r="C37" s="6">
        <v>4100</v>
      </c>
      <c r="D37" s="5">
        <v>1540</v>
      </c>
      <c r="E37" s="5">
        <v>2560</v>
      </c>
      <c r="F37" s="6">
        <v>2100</v>
      </c>
      <c r="G37" s="5">
        <v>1559</v>
      </c>
      <c r="H37" s="5">
        <v>541</v>
      </c>
      <c r="I37" s="6">
        <v>1300</v>
      </c>
      <c r="J37" s="5">
        <v>1772</v>
      </c>
      <c r="K37" s="5">
        <v>-472</v>
      </c>
      <c r="L37" s="6">
        <v>1600</v>
      </c>
      <c r="M37" s="5">
        <v>1797</v>
      </c>
      <c r="N37" s="5">
        <v>-197</v>
      </c>
      <c r="O37" s="6">
        <f t="shared" si="0"/>
        <v>2629</v>
      </c>
      <c r="P37" s="70">
        <f t="shared" si="5"/>
        <v>0.53961412151067323</v>
      </c>
      <c r="Q37" s="176"/>
      <c r="R37" s="66" t="str">
        <f>IF($C$4="High Inventory",IF(AND(O37&gt;=Summary!$C$119,P37&gt;=Summary!$C$120),"X"," "),IF(AND(O37&lt;=-Summary!$C$119,P37&lt;=-Summary!$C$120),"X"," "))</f>
        <v xml:space="preserve"> </v>
      </c>
      <c r="S37" s="81" t="str">
        <f>IF($C$5="System-Wide"," ",IF($C$4="High Inventory",IF(AND(L37-I37&gt;=Summary!$C$123,N37-K37&gt;Summary!$C$123,N37&gt;0),"X"," "),IF(AND(I37-L37&gt;=Summary!$C$123,K37-N37&gt;Summary!$C$123,N37&lt;0),"X"," ")))</f>
        <v xml:space="preserve"> </v>
      </c>
      <c r="T37" s="8" t="str">
        <f>IF($C$4="High Inventory",IF(AND($O37&gt;=Summary!$C$119,$P37&gt;=0%),"X"," "),IF(AND($O37&lt;=-Summary!$C$119,$P37&lt;=0%),"X"," "))</f>
        <v xml:space="preserve"> </v>
      </c>
      <c r="U37" s="11" t="str">
        <f>IF($C$4="High Inventory",IF(AND($O37&gt;=0,$P37&gt;=Summary!$C$120),"X"," "),IF(AND($O37&lt;=0,$P37&lt;=-Summary!$C$120),"X"," "))</f>
        <v>X</v>
      </c>
      <c r="V37" t="str">
        <f t="shared" si="2"/>
        <v xml:space="preserve"> </v>
      </c>
      <c r="W37" t="str">
        <f>IF($C$4="High Inventory",IF(O37&gt;Summary!$C$119,"X"," "),IF(O37&lt;-Summary!$C$119,"X"," "))</f>
        <v xml:space="preserve"> </v>
      </c>
      <c r="X37" t="str">
        <f>IF($C$4="High Inventory",IF(P37&gt;Summary!$C$120,"X"," "),IF(P37&lt;-Summary!$C$120,"X"," "))</f>
        <v>X</v>
      </c>
    </row>
    <row r="38" spans="1:24" x14ac:dyDescent="0.2">
      <c r="A38" s="27">
        <v>2892</v>
      </c>
      <c r="B38" s="55" t="s">
        <v>26</v>
      </c>
      <c r="C38" s="6">
        <v>416</v>
      </c>
      <c r="D38" s="5">
        <v>394</v>
      </c>
      <c r="E38" s="5">
        <v>22</v>
      </c>
      <c r="F38" s="6">
        <v>405</v>
      </c>
      <c r="G38" s="5">
        <v>397</v>
      </c>
      <c r="H38" s="5">
        <v>8</v>
      </c>
      <c r="I38" s="6">
        <v>382</v>
      </c>
      <c r="J38" s="5">
        <v>556</v>
      </c>
      <c r="K38" s="5">
        <v>-174</v>
      </c>
      <c r="L38" s="6">
        <v>396</v>
      </c>
      <c r="M38" s="5">
        <v>437</v>
      </c>
      <c r="N38" s="5">
        <v>-41</v>
      </c>
      <c r="O38" s="6">
        <f t="shared" si="0"/>
        <v>-144</v>
      </c>
      <c r="P38" s="70">
        <f t="shared" si="5"/>
        <v>-0.10682492581602374</v>
      </c>
      <c r="Q38" s="176"/>
      <c r="R38" s="66" t="str">
        <f>IF($C$4="High Inventory",IF(AND(O38&gt;=Summary!$C$119,P38&gt;=Summary!$C$120),"X"," "),IF(AND(O38&lt;=-Summary!$C$119,P38&lt;=-Summary!$C$120),"X"," "))</f>
        <v xml:space="preserve"> </v>
      </c>
      <c r="S38" s="81" t="str">
        <f>IF($C$5="System-Wide"," ",IF($C$4="High Inventory",IF(AND(L38-I38&gt;=Summary!$C$123,N38-K38&gt;Summary!$C$123,N38&gt;0),"X"," "),IF(AND(I38-L38&gt;=Summary!$C$123,K38-N38&gt;Summary!$C$123,N38&lt;0),"X"," ")))</f>
        <v xml:space="preserve"> </v>
      </c>
      <c r="T38" s="8" t="str">
        <f>IF($C$4="High Inventory",IF(AND($O38&gt;=Summary!$C$119,$P38&gt;=0%),"X"," "),IF(AND($O38&lt;=-Summary!$C$119,$P38&lt;=0%),"X"," "))</f>
        <v xml:space="preserve"> </v>
      </c>
      <c r="U38" s="11" t="str">
        <f>IF($C$4="High Inventory",IF(AND($O38&gt;=0,$P38&gt;=Summary!$C$120),"X"," "),IF(AND($O38&lt;=0,$P38&lt;=-Summary!$C$120),"X"," "))</f>
        <v xml:space="preserve"> </v>
      </c>
      <c r="V38" t="str">
        <f t="shared" si="2"/>
        <v xml:space="preserve"> </v>
      </c>
      <c r="W38" t="str">
        <f>IF($C$4="High Inventory",IF(O38&gt;Summary!$C$119,"X"," "),IF(O38&lt;-Summary!$C$119,"X"," "))</f>
        <v xml:space="preserve"> </v>
      </c>
      <c r="X38" t="str">
        <f>IF($C$4="High Inventory",IF(P38&gt;Summary!$C$120,"X"," "),IF(P38&lt;-Summary!$C$120,"X"," "))</f>
        <v xml:space="preserve"> </v>
      </c>
    </row>
    <row r="39" spans="1:24" x14ac:dyDescent="0.2">
      <c r="A39" s="27">
        <v>3015</v>
      </c>
      <c r="B39" s="55" t="s">
        <v>26</v>
      </c>
      <c r="C39" s="6">
        <v>10519</v>
      </c>
      <c r="D39" s="5">
        <v>13868</v>
      </c>
      <c r="E39" s="5">
        <v>-3349</v>
      </c>
      <c r="F39" s="6">
        <v>22503</v>
      </c>
      <c r="G39" s="5">
        <v>13739</v>
      </c>
      <c r="H39" s="5">
        <v>8764</v>
      </c>
      <c r="I39" s="6">
        <v>25742</v>
      </c>
      <c r="J39" s="5">
        <v>14001</v>
      </c>
      <c r="K39" s="5">
        <v>11741</v>
      </c>
      <c r="L39" s="6">
        <v>25742</v>
      </c>
      <c r="M39" s="5">
        <v>14514</v>
      </c>
      <c r="N39" s="5">
        <v>11228</v>
      </c>
      <c r="O39" s="6">
        <f t="shared" si="0"/>
        <v>17156</v>
      </c>
      <c r="P39" s="70">
        <f t="shared" si="5"/>
        <v>0.41231464346655772</v>
      </c>
      <c r="Q39" s="176"/>
      <c r="R39" s="66" t="str">
        <f>IF($C$4="High Inventory",IF(AND(O39&gt;=Summary!$C$119,P39&gt;=Summary!$C$120),"X"," "),IF(AND(O39&lt;=-Summary!$C$119,P39&lt;=-Summary!$C$120),"X"," "))</f>
        <v>X</v>
      </c>
      <c r="S39" s="81" t="str">
        <f>IF($C$5="System-Wide"," ",IF($C$4="High Inventory",IF(AND(L39-I39&gt;=Summary!$C$123,N39-K39&gt;Summary!$C$123,N39&gt;0),"X"," "),IF(AND(I39-L39&gt;=Summary!$C$123,K39-N39&gt;Summary!$C$123,N39&lt;0),"X"," ")))</f>
        <v xml:space="preserve"> </v>
      </c>
      <c r="T39" s="8" t="str">
        <f>IF($C$4="High Inventory",IF(AND($O39&gt;=Summary!$C$119,$P39&gt;=0%),"X"," "),IF(AND($O39&lt;=-Summary!$C$119,$P39&lt;=0%),"X"," "))</f>
        <v>X</v>
      </c>
      <c r="U39" s="11" t="str">
        <f>IF($C$4="High Inventory",IF(AND($O39&gt;=0,$P39&gt;=Summary!$C$120),"X"," "),IF(AND($O39&lt;=0,$P39&lt;=-Summary!$C$120),"X"," "))</f>
        <v>X</v>
      </c>
      <c r="V39" t="str">
        <f t="shared" si="2"/>
        <v xml:space="preserve"> </v>
      </c>
      <c r="W39" t="str">
        <f>IF($C$4="High Inventory",IF(O39&gt;Summary!$C$119,"X"," "),IF(O39&lt;-Summary!$C$119,"X"," "))</f>
        <v>X</v>
      </c>
      <c r="X39" t="str">
        <f>IF($C$4="High Inventory",IF(P39&gt;Summary!$C$120,"X"," "),IF(P39&lt;-Summary!$C$120,"X"," "))</f>
        <v>X</v>
      </c>
    </row>
    <row r="40" spans="1:24" x14ac:dyDescent="0.2">
      <c r="A40" s="27">
        <v>4760</v>
      </c>
      <c r="B40" s="55" t="s">
        <v>26</v>
      </c>
      <c r="C40" s="6">
        <v>416437</v>
      </c>
      <c r="D40" s="5">
        <v>323147</v>
      </c>
      <c r="E40" s="5">
        <v>93290</v>
      </c>
      <c r="F40" s="6">
        <v>273975</v>
      </c>
      <c r="G40" s="5">
        <v>331864</v>
      </c>
      <c r="H40" s="5">
        <v>-57889</v>
      </c>
      <c r="I40" s="6">
        <v>321297</v>
      </c>
      <c r="J40" s="5">
        <v>360775</v>
      </c>
      <c r="K40" s="5">
        <v>-39478</v>
      </c>
      <c r="L40" s="6">
        <v>375925</v>
      </c>
      <c r="M40" s="5">
        <v>369237</v>
      </c>
      <c r="N40" s="5">
        <v>6688</v>
      </c>
      <c r="O40" s="6">
        <f t="shared" si="0"/>
        <v>-4077</v>
      </c>
      <c r="P40" s="70">
        <f t="shared" si="5"/>
        <v>-4.0136367171464092E-3</v>
      </c>
      <c r="Q40" s="176"/>
      <c r="R40" s="66" t="str">
        <f>IF($C$4="High Inventory",IF(AND(O40&gt;=Summary!$C$119,P40&gt;=Summary!$C$120),"X"," "),IF(AND(O40&lt;=-Summary!$C$119,P40&lt;=-Summary!$C$120),"X"," "))</f>
        <v xml:space="preserve"> </v>
      </c>
      <c r="S40" s="81" t="str">
        <f>IF($C$5="System-Wide"," ",IF($C$4="High Inventory",IF(AND(L40-I40&gt;=Summary!$C$123,N40-K40&gt;Summary!$C$123,N40&gt;0),"X"," "),IF(AND(I40-L40&gt;=Summary!$C$123,K40-N40&gt;Summary!$C$123,N40&lt;0),"X"," ")))</f>
        <v xml:space="preserve"> </v>
      </c>
      <c r="T40" s="8" t="str">
        <f>IF($C$4="High Inventory",IF(AND($O40&gt;=Summary!$C$119,$P40&gt;=0%),"X"," "),IF(AND($O40&lt;=-Summary!$C$119,$P40&lt;=0%),"X"," "))</f>
        <v xml:space="preserve"> </v>
      </c>
      <c r="U40" s="11" t="str">
        <f>IF($C$4="High Inventory",IF(AND($O40&gt;=0,$P40&gt;=Summary!$C$120),"X"," "),IF(AND($O40&lt;=0,$P40&lt;=-Summary!$C$120),"X"," "))</f>
        <v xml:space="preserve"> </v>
      </c>
      <c r="V40" t="str">
        <f t="shared" si="2"/>
        <v xml:space="preserve"> </v>
      </c>
      <c r="W40" t="str">
        <f>IF($C$4="High Inventory",IF(O40&gt;Summary!$C$119,"X"," "),IF(O40&lt;-Summary!$C$119,"X"," "))</f>
        <v xml:space="preserve"> </v>
      </c>
      <c r="X40" t="str">
        <f>IF($C$4="High Inventory",IF(P40&gt;Summary!$C$120,"X"," "),IF(P40&lt;-Summary!$C$120,"X"," "))</f>
        <v xml:space="preserve"> </v>
      </c>
    </row>
    <row r="41" spans="1:24" x14ac:dyDescent="0.2">
      <c r="A41" s="27">
        <v>6728</v>
      </c>
      <c r="B41" s="55" t="s">
        <v>26</v>
      </c>
      <c r="C41" s="6">
        <v>11000</v>
      </c>
      <c r="D41" s="5">
        <v>11540</v>
      </c>
      <c r="E41" s="5">
        <v>-540</v>
      </c>
      <c r="F41" s="6">
        <v>10089</v>
      </c>
      <c r="G41" s="5">
        <v>11350</v>
      </c>
      <c r="H41" s="5">
        <v>-1261</v>
      </c>
      <c r="I41" s="6">
        <v>11000</v>
      </c>
      <c r="J41" s="5">
        <v>11104</v>
      </c>
      <c r="K41" s="5">
        <v>-104</v>
      </c>
      <c r="L41" s="6">
        <v>11000</v>
      </c>
      <c r="M41" s="5">
        <v>11400</v>
      </c>
      <c r="N41" s="5">
        <v>-400</v>
      </c>
      <c r="O41" s="6">
        <f t="shared" si="0"/>
        <v>-1905</v>
      </c>
      <c r="P41" s="70">
        <f t="shared" si="5"/>
        <v>-5.6037652595969996E-2</v>
      </c>
      <c r="Q41" s="176"/>
      <c r="R41" s="66" t="str">
        <f>IF($C$4="High Inventory",IF(AND(O41&gt;=Summary!$C$119,P41&gt;=Summary!$C$120),"X"," "),IF(AND(O41&lt;=-Summary!$C$119,P41&lt;=-Summary!$C$120),"X"," "))</f>
        <v xml:space="preserve"> </v>
      </c>
      <c r="S41" s="81" t="str">
        <f>IF($C$5="System-Wide"," ",IF($C$4="High Inventory",IF(AND(L41-I41&gt;=Summary!$C$123,N41-K41&gt;Summary!$C$123,N41&gt;0),"X"," "),IF(AND(I41-L41&gt;=Summary!$C$123,K41-N41&gt;Summary!$C$123,N41&lt;0),"X"," ")))</f>
        <v xml:space="preserve"> </v>
      </c>
      <c r="T41" s="8" t="str">
        <f>IF($C$4="High Inventory",IF(AND($O41&gt;=Summary!$C$119,$P41&gt;=0%),"X"," "),IF(AND($O41&lt;=-Summary!$C$119,$P41&lt;=0%),"X"," "))</f>
        <v xml:space="preserve"> </v>
      </c>
      <c r="U41" s="11" t="str">
        <f>IF($C$4="High Inventory",IF(AND($O41&gt;=0,$P41&gt;=Summary!$C$120),"X"," "),IF(AND($O41&lt;=0,$P41&lt;=-Summary!$C$120),"X"," "))</f>
        <v xml:space="preserve"> </v>
      </c>
      <c r="V41" t="str">
        <f t="shared" si="2"/>
        <v xml:space="preserve"> </v>
      </c>
      <c r="W41" t="str">
        <f>IF($C$4="High Inventory",IF(O41&gt;Summary!$C$119,"X"," "),IF(O41&lt;-Summary!$C$119,"X"," "))</f>
        <v xml:space="preserve"> </v>
      </c>
      <c r="X41" t="str">
        <f>IF($C$4="High Inventory",IF(P41&gt;Summary!$C$120,"X"," "),IF(P41&lt;-Summary!$C$120,"X"," "))</f>
        <v xml:space="preserve"> </v>
      </c>
    </row>
    <row r="42" spans="1:24" x14ac:dyDescent="0.2">
      <c r="A42" s="27">
        <v>12296</v>
      </c>
      <c r="B42" s="55" t="s">
        <v>26</v>
      </c>
      <c r="C42" s="6">
        <v>10516</v>
      </c>
      <c r="D42" s="5">
        <v>0</v>
      </c>
      <c r="E42" s="5">
        <v>10516</v>
      </c>
      <c r="F42" s="6">
        <v>6480</v>
      </c>
      <c r="G42" s="5">
        <v>0</v>
      </c>
      <c r="H42" s="5">
        <v>6480</v>
      </c>
      <c r="I42" s="6">
        <v>9280</v>
      </c>
      <c r="J42" s="5">
        <v>0</v>
      </c>
      <c r="K42" s="5">
        <v>9280</v>
      </c>
      <c r="L42" s="6">
        <v>9280</v>
      </c>
      <c r="M42" s="5">
        <v>0</v>
      </c>
      <c r="N42" s="5">
        <v>9280</v>
      </c>
      <c r="O42" s="6">
        <f t="shared" si="0"/>
        <v>26276</v>
      </c>
      <c r="P42" s="70">
        <f t="shared" si="5"/>
        <v>26276</v>
      </c>
      <c r="Q42" s="176"/>
      <c r="R42" s="66" t="str">
        <f>IF($C$4="High Inventory",IF(AND(O42&gt;=Summary!$C$119,P42&gt;=Summary!$C$120),"X"," "),IF(AND(O42&lt;=-Summary!$C$119,P42&lt;=-Summary!$C$120),"X"," "))</f>
        <v>X</v>
      </c>
      <c r="S42" s="81" t="str">
        <f>IF($C$5="System-Wide"," ",IF($C$4="High Inventory",IF(AND(L42-I42&gt;=Summary!$C$123,N42-K42&gt;Summary!$C$123,N42&gt;0),"X"," "),IF(AND(I42-L42&gt;=Summary!$C$123,K42-N42&gt;Summary!$C$123,N42&lt;0),"X"," ")))</f>
        <v xml:space="preserve"> </v>
      </c>
      <c r="T42" s="8" t="str">
        <f>IF($C$4="High Inventory",IF(AND($O42&gt;=Summary!$C$119,$P42&gt;=0%),"X"," "),IF(AND($O42&lt;=-Summary!$C$119,$P42&lt;=0%),"X"," "))</f>
        <v>X</v>
      </c>
      <c r="U42" s="11" t="str">
        <f>IF($C$4="High Inventory",IF(AND($O42&gt;=0,$P42&gt;=Summary!$C$120),"X"," "),IF(AND($O42&lt;=0,$P42&lt;=-Summary!$C$120),"X"," "))</f>
        <v>X</v>
      </c>
      <c r="V42" t="str">
        <f t="shared" si="2"/>
        <v xml:space="preserve"> </v>
      </c>
      <c r="W42" t="str">
        <f>IF($C$4="High Inventory",IF(O42&gt;Summary!$C$119,"X"," "),IF(O42&lt;-Summary!$C$119,"X"," "))</f>
        <v>X</v>
      </c>
      <c r="X42" t="str">
        <f>IF($C$4="High Inventory",IF(P42&gt;Summary!$C$120,"X"," "),IF(P42&lt;-Summary!$C$120,"X"," "))</f>
        <v>X</v>
      </c>
    </row>
    <row r="43" spans="1:24" x14ac:dyDescent="0.2">
      <c r="A43" s="27">
        <v>15966</v>
      </c>
      <c r="B43" s="55" t="s">
        <v>26</v>
      </c>
      <c r="C43" s="6">
        <v>49245</v>
      </c>
      <c r="D43" s="5">
        <v>35875</v>
      </c>
      <c r="E43" s="5">
        <v>13370</v>
      </c>
      <c r="F43" s="6">
        <v>33490</v>
      </c>
      <c r="G43" s="5">
        <v>36299</v>
      </c>
      <c r="H43" s="5">
        <v>-2809</v>
      </c>
      <c r="I43" s="6">
        <v>29190</v>
      </c>
      <c r="J43" s="5">
        <v>36634</v>
      </c>
      <c r="K43" s="5">
        <v>-7444</v>
      </c>
      <c r="L43" s="6">
        <v>32833</v>
      </c>
      <c r="M43" s="5">
        <v>36838</v>
      </c>
      <c r="N43" s="5">
        <v>-4005</v>
      </c>
      <c r="O43" s="6">
        <f t="shared" si="0"/>
        <v>3117</v>
      </c>
      <c r="P43" s="70">
        <f t="shared" si="5"/>
        <v>2.8646527401226002E-2</v>
      </c>
      <c r="Q43" s="176"/>
      <c r="R43" s="66" t="str">
        <f>IF($C$4="High Inventory",IF(AND(O43&gt;=Summary!$C$119,P43&gt;=Summary!$C$120),"X"," "),IF(AND(O43&lt;=-Summary!$C$119,P43&lt;=-Summary!$C$120),"X"," "))</f>
        <v xml:space="preserve"> </v>
      </c>
      <c r="S43" s="81" t="str">
        <f>IF($C$5="System-Wide"," ",IF($C$4="High Inventory",IF(AND(L43-I43&gt;=Summary!$C$123,N43-K43&gt;Summary!$C$123,N43&gt;0),"X"," "),IF(AND(I43-L43&gt;=Summary!$C$123,K43-N43&gt;Summary!$C$123,N43&lt;0),"X"," ")))</f>
        <v xml:space="preserve"> </v>
      </c>
      <c r="T43" s="8" t="str">
        <f>IF($C$4="High Inventory",IF(AND($O43&gt;=Summary!$C$119,$P43&gt;=0%),"X"," "),IF(AND($O43&lt;=-Summary!$C$119,$P43&lt;=0%),"X"," "))</f>
        <v xml:space="preserve"> </v>
      </c>
      <c r="U43" s="11" t="str">
        <f>IF($C$4="High Inventory",IF(AND($O43&gt;=0,$P43&gt;=Summary!$C$120),"X"," "),IF(AND($O43&lt;=0,$P43&lt;=-Summary!$C$120),"X"," "))</f>
        <v xml:space="preserve"> </v>
      </c>
      <c r="V43" t="str">
        <f t="shared" si="2"/>
        <v xml:space="preserve"> </v>
      </c>
      <c r="W43" t="str">
        <f>IF($C$4="High Inventory",IF(O43&gt;Summary!$C$119,"X"," "),IF(O43&lt;-Summary!$C$119,"X"," "))</f>
        <v xml:space="preserve"> </v>
      </c>
      <c r="X43" t="str">
        <f>IF($C$4="High Inventory",IF(P43&gt;Summary!$C$120,"X"," "),IF(P43&lt;-Summary!$C$120,"X"," "))</f>
        <v xml:space="preserve"> </v>
      </c>
    </row>
    <row r="44" spans="1:24" x14ac:dyDescent="0.2">
      <c r="A44" s="27">
        <v>30069</v>
      </c>
      <c r="B44" s="55" t="s">
        <v>26</v>
      </c>
      <c r="C44" s="6">
        <v>8750</v>
      </c>
      <c r="D44" s="5">
        <v>10137</v>
      </c>
      <c r="E44" s="5">
        <v>-1387</v>
      </c>
      <c r="F44" s="6">
        <v>8351</v>
      </c>
      <c r="G44" s="5">
        <v>10015</v>
      </c>
      <c r="H44" s="5">
        <v>-1664</v>
      </c>
      <c r="I44" s="6">
        <v>9377</v>
      </c>
      <c r="J44" s="5">
        <v>10037</v>
      </c>
      <c r="K44" s="5">
        <v>-660</v>
      </c>
      <c r="L44" s="6">
        <v>9377</v>
      </c>
      <c r="M44" s="5">
        <v>10012</v>
      </c>
      <c r="N44" s="5">
        <v>-635</v>
      </c>
      <c r="O44" s="6">
        <f t="shared" si="0"/>
        <v>-3711</v>
      </c>
      <c r="P44" s="70">
        <f t="shared" si="5"/>
        <v>-0.12292149718449817</v>
      </c>
      <c r="Q44" s="176"/>
      <c r="R44" s="66" t="str">
        <f>IF($C$4="High Inventory",IF(AND(O44&gt;=Summary!$C$119,P44&gt;=Summary!$C$120),"X"," "),IF(AND(O44&lt;=-Summary!$C$119,P44&lt;=-Summary!$C$120),"X"," "))</f>
        <v xml:space="preserve"> </v>
      </c>
      <c r="S44" s="81" t="str">
        <f>IF($C$5="System-Wide"," ",IF($C$4="High Inventory",IF(AND(L44-I44&gt;=Summary!$C$123,N44-K44&gt;Summary!$C$123,N44&gt;0),"X"," "),IF(AND(I44-L44&gt;=Summary!$C$123,K44-N44&gt;Summary!$C$123,N44&lt;0),"X"," ")))</f>
        <v xml:space="preserve"> </v>
      </c>
      <c r="T44" s="8" t="str">
        <f>IF($C$4="High Inventory",IF(AND($O44&gt;=Summary!$C$119,$P44&gt;=0%),"X"," "),IF(AND($O44&lt;=-Summary!$C$119,$P44&lt;=0%),"X"," "))</f>
        <v xml:space="preserve"> </v>
      </c>
      <c r="U44" s="11" t="str">
        <f>IF($C$4="High Inventory",IF(AND($O44&gt;=0,$P44&gt;=Summary!$C$120),"X"," "),IF(AND($O44&lt;=0,$P44&lt;=-Summary!$C$120),"X"," "))</f>
        <v xml:space="preserve"> </v>
      </c>
      <c r="V44" t="str">
        <f t="shared" si="2"/>
        <v xml:space="preserve"> </v>
      </c>
      <c r="W44" t="str">
        <f>IF($C$4="High Inventory",IF(O44&gt;Summary!$C$119,"X"," "),IF(O44&lt;-Summary!$C$119,"X"," "))</f>
        <v xml:space="preserve"> </v>
      </c>
      <c r="X44" t="str">
        <f>IF($C$4="High Inventory",IF(P44&gt;Summary!$C$120,"X"," "),IF(P44&lt;-Summary!$C$120,"X"," "))</f>
        <v xml:space="preserve"> </v>
      </c>
    </row>
    <row r="45" spans="1:24" x14ac:dyDescent="0.2">
      <c r="A45" s="27">
        <v>254</v>
      </c>
      <c r="B45" s="55" t="s">
        <v>27</v>
      </c>
      <c r="C45" s="6">
        <v>11934</v>
      </c>
      <c r="D45" s="5">
        <v>11885</v>
      </c>
      <c r="E45" s="5">
        <v>49</v>
      </c>
      <c r="F45" s="6">
        <v>11598</v>
      </c>
      <c r="G45" s="5">
        <v>12401</v>
      </c>
      <c r="H45" s="5">
        <v>-803</v>
      </c>
      <c r="I45" s="6">
        <v>11934</v>
      </c>
      <c r="J45" s="5">
        <v>11913</v>
      </c>
      <c r="K45" s="5">
        <v>21</v>
      </c>
      <c r="L45" s="6">
        <v>5000</v>
      </c>
      <c r="M45" s="5">
        <v>10234</v>
      </c>
      <c r="N45" s="5">
        <v>-5234</v>
      </c>
      <c r="O45" s="6">
        <f t="shared" si="0"/>
        <v>-733</v>
      </c>
      <c r="P45" s="70">
        <f t="shared" si="5"/>
        <v>-2.0248618784530388E-2</v>
      </c>
      <c r="Q45" s="176"/>
      <c r="R45" s="66" t="str">
        <f>IF($C$4="High Inventory",IF(AND(O45&gt;=Summary!$C$119,P45&gt;=Summary!$C$120),"X"," "),IF(AND(O45&lt;=-Summary!$C$119,P45&lt;=-Summary!$C$120),"X"," "))</f>
        <v xml:space="preserve"> </v>
      </c>
      <c r="S45" s="81" t="str">
        <f>IF($C$5="System-Wide"," ",IF($C$4="High Inventory",IF(AND(L45-I45&gt;=Summary!$C$123,N45-K45&gt;Summary!$C$123,N45&gt;0),"X"," "),IF(AND(I45-L45&gt;=Summary!$C$123,K45-N45&gt;Summary!$C$123,N45&lt;0),"X"," ")))</f>
        <v xml:space="preserve"> </v>
      </c>
      <c r="T45" s="8" t="str">
        <f>IF($C$4="High Inventory",IF(AND($O45&gt;=Summary!$C$119,$P45&gt;=0%),"X"," "),IF(AND($O45&lt;=-Summary!$C$119,$P45&lt;=0%),"X"," "))</f>
        <v xml:space="preserve"> </v>
      </c>
      <c r="U45" s="11" t="str">
        <f>IF($C$4="High Inventory",IF(AND($O45&gt;=0,$P45&gt;=Summary!$C$120),"X"," "),IF(AND($O45&lt;=0,$P45&lt;=-Summary!$C$120),"X"," "))</f>
        <v xml:space="preserve"> </v>
      </c>
      <c r="V45" t="str">
        <f t="shared" si="2"/>
        <v xml:space="preserve"> </v>
      </c>
      <c r="W45" t="str">
        <f>IF($C$4="High Inventory",IF(O45&gt;Summary!$C$119,"X"," "),IF(O45&lt;-Summary!$C$119,"X"," "))</f>
        <v xml:space="preserve"> </v>
      </c>
      <c r="X45" t="str">
        <f>IF($C$4="High Inventory",IF(P45&gt;Summary!$C$120,"X"," "),IF(P45&lt;-Summary!$C$120,"X"," "))</f>
        <v xml:space="preserve"> </v>
      </c>
    </row>
    <row r="46" spans="1:24" x14ac:dyDescent="0.2">
      <c r="A46" s="153">
        <v>399</v>
      </c>
      <c r="B46" s="179" t="s">
        <v>27</v>
      </c>
      <c r="C46" s="154">
        <v>150</v>
      </c>
      <c r="D46" s="155">
        <v>131</v>
      </c>
      <c r="E46" s="155">
        <v>19</v>
      </c>
      <c r="F46" s="154">
        <v>0</v>
      </c>
      <c r="G46" s="155">
        <v>125</v>
      </c>
      <c r="H46" s="155">
        <v>-125</v>
      </c>
      <c r="I46" s="154">
        <v>100</v>
      </c>
      <c r="J46" s="155">
        <v>148</v>
      </c>
      <c r="K46" s="155">
        <v>-48</v>
      </c>
      <c r="L46" s="154">
        <v>100</v>
      </c>
      <c r="M46" s="155">
        <v>150</v>
      </c>
      <c r="N46" s="155">
        <v>-50</v>
      </c>
      <c r="O46" s="6">
        <f t="shared" si="0"/>
        <v>-154</v>
      </c>
      <c r="P46" s="70">
        <f t="shared" si="5"/>
        <v>-0.38024691358024693</v>
      </c>
      <c r="Q46" s="176"/>
      <c r="R46" s="66" t="str">
        <f>IF($C$4="High Inventory",IF(AND(O46&gt;=Summary!$C$119,P46&gt;=Summary!$C$120),"X"," "),IF(AND(O46&lt;=-Summary!$C$119,P46&lt;=-Summary!$C$120),"X"," "))</f>
        <v xml:space="preserve"> </v>
      </c>
      <c r="S46" s="81" t="str">
        <f>IF($C$5="System-Wide"," ",IF($C$4="High Inventory",IF(AND(L46-I46&gt;=Summary!$C$123,N46-K46&gt;Summary!$C$123,N46&gt;0),"X"," "),IF(AND(I46-L46&gt;=Summary!$C$123,K46-N46&gt;Summary!$C$123,N46&lt;0),"X"," ")))</f>
        <v xml:space="preserve"> </v>
      </c>
      <c r="T46" s="8" t="str">
        <f>IF($C$4="High Inventory",IF(AND($O46&gt;=Summary!$C$119,$P46&gt;=0%),"X"," "),IF(AND($O46&lt;=-Summary!$C$119,$P46&lt;=0%),"X"," "))</f>
        <v xml:space="preserve"> </v>
      </c>
      <c r="U46" s="11" t="str">
        <f>IF($C$4="High Inventory",IF(AND($O46&gt;=0,$P46&gt;=Summary!$C$120),"X"," "),IF(AND($O46&lt;=0,$P46&lt;=-Summary!$C$120),"X"," "))</f>
        <v xml:space="preserve"> </v>
      </c>
      <c r="V46" t="str">
        <f t="shared" si="2"/>
        <v xml:space="preserve"> </v>
      </c>
      <c r="W46" t="str">
        <f>IF($C$4="High Inventory",IF(O46&gt;Summary!$C$119,"X"," "),IF(O46&lt;-Summary!$C$119,"X"," "))</f>
        <v xml:space="preserve"> </v>
      </c>
      <c r="X46" t="str">
        <f>IF($C$4="High Inventory",IF(P46&gt;Summary!$C$120,"X"," "),IF(P46&lt;-Summary!$C$120,"X"," "))</f>
        <v xml:space="preserve"> </v>
      </c>
    </row>
    <row r="47" spans="1:24" x14ac:dyDescent="0.2">
      <c r="A47" s="27">
        <v>512</v>
      </c>
      <c r="B47" s="55" t="s">
        <v>27</v>
      </c>
      <c r="C47" s="6">
        <v>800</v>
      </c>
      <c r="D47" s="5">
        <v>693</v>
      </c>
      <c r="E47" s="5">
        <v>107</v>
      </c>
      <c r="F47" s="6">
        <v>800</v>
      </c>
      <c r="G47" s="5">
        <v>650</v>
      </c>
      <c r="H47" s="5">
        <v>150</v>
      </c>
      <c r="I47" s="6">
        <v>800</v>
      </c>
      <c r="J47" s="5">
        <v>847</v>
      </c>
      <c r="K47" s="5">
        <v>-47</v>
      </c>
      <c r="L47" s="6">
        <v>800</v>
      </c>
      <c r="M47" s="5">
        <v>780</v>
      </c>
      <c r="N47" s="5">
        <v>20</v>
      </c>
      <c r="O47" s="6">
        <f t="shared" si="0"/>
        <v>210</v>
      </c>
      <c r="P47" s="70">
        <f t="shared" si="5"/>
        <v>9.5846645367412137E-2</v>
      </c>
      <c r="Q47" s="178"/>
      <c r="R47" s="66" t="str">
        <f>IF($C$4="High Inventory",IF(AND(O47&gt;=Summary!$C$119,P47&gt;=Summary!$C$120),"X"," "),IF(AND(O47&lt;=-Summary!$C$119,P47&lt;=-Summary!$C$120),"X"," "))</f>
        <v xml:space="preserve"> </v>
      </c>
      <c r="S47" s="81" t="str">
        <f>IF($C$5="System-Wide"," ",IF($C$4="High Inventory",IF(AND(L47-I47&gt;=Summary!$C$123,N47-K47&gt;Summary!$C$123,N47&gt;0),"X"," "),IF(AND(I47-L47&gt;=Summary!$C$123,K47-N47&gt;Summary!$C$123,N47&lt;0),"X"," ")))</f>
        <v xml:space="preserve"> </v>
      </c>
      <c r="T47" s="8" t="str">
        <f>IF($C$4="High Inventory",IF(AND($O47&gt;=Summary!$C$119,$P47&gt;=0%),"X"," "),IF(AND($O47&lt;=-Summary!$C$119,$P47&lt;=0%),"X"," "))</f>
        <v xml:space="preserve"> </v>
      </c>
      <c r="U47" s="11" t="str">
        <f>IF($C$4="High Inventory",IF(AND($O47&gt;=0,$P47&gt;=Summary!$C$120),"X"," "),IF(AND($O47&lt;=0,$P47&lt;=-Summary!$C$120),"X"," "))</f>
        <v xml:space="preserve"> </v>
      </c>
      <c r="V47" t="str">
        <f t="shared" si="2"/>
        <v xml:space="preserve"> </v>
      </c>
      <c r="W47" t="str">
        <f>IF($C$4="High Inventory",IF(O47&gt;Summary!$C$119,"X"," "),IF(O47&lt;-Summary!$C$119,"X"," "))</f>
        <v xml:space="preserve"> </v>
      </c>
      <c r="X47" t="str">
        <f>IF($C$4="High Inventory",IF(P47&gt;Summary!$C$120,"X"," "),IF(P47&lt;-Summary!$C$120,"X"," "))</f>
        <v xml:space="preserve"> </v>
      </c>
    </row>
    <row r="48" spans="1:24" x14ac:dyDescent="0.2">
      <c r="A48" s="27">
        <v>779</v>
      </c>
      <c r="B48" s="55" t="s">
        <v>27</v>
      </c>
      <c r="C48" s="6">
        <v>800</v>
      </c>
      <c r="D48" s="5">
        <v>508</v>
      </c>
      <c r="E48" s="5">
        <v>292</v>
      </c>
      <c r="F48" s="6">
        <v>743</v>
      </c>
      <c r="G48" s="5">
        <v>1183</v>
      </c>
      <c r="H48" s="5">
        <v>-440</v>
      </c>
      <c r="I48" s="6">
        <v>800</v>
      </c>
      <c r="J48" s="5">
        <v>1260</v>
      </c>
      <c r="K48" s="5">
        <v>-460</v>
      </c>
      <c r="L48" s="6">
        <v>800</v>
      </c>
      <c r="M48" s="5">
        <v>1262</v>
      </c>
      <c r="N48" s="5">
        <v>-462</v>
      </c>
      <c r="O48" s="6">
        <f t="shared" si="0"/>
        <v>-608</v>
      </c>
      <c r="P48" s="70">
        <f t="shared" si="5"/>
        <v>-0.20596205962059622</v>
      </c>
      <c r="Q48" s="178"/>
      <c r="R48" s="66" t="str">
        <f>IF($C$4="High Inventory",IF(AND(O48&gt;=Summary!$C$119,P48&gt;=Summary!$C$120),"X"," "),IF(AND(O48&lt;=-Summary!$C$119,P48&lt;=-Summary!$C$120),"X"," "))</f>
        <v xml:space="preserve"> </v>
      </c>
      <c r="S48" s="81" t="str">
        <f>IF($C$5="System-Wide"," ",IF($C$4="High Inventory",IF(AND(L48-I48&gt;=Summary!$C$123,N48-K48&gt;Summary!$C$123,N48&gt;0),"X"," "),IF(AND(I48-L48&gt;=Summary!$C$123,K48-N48&gt;Summary!$C$123,N48&lt;0),"X"," ")))</f>
        <v xml:space="preserve"> </v>
      </c>
      <c r="T48" s="8" t="str">
        <f>IF($C$4="High Inventory",IF(AND($O48&gt;=Summary!$C$119,$P48&gt;=0%),"X"," "),IF(AND($O48&lt;=-Summary!$C$119,$P48&lt;=0%),"X"," "))</f>
        <v xml:space="preserve"> </v>
      </c>
      <c r="U48" s="11" t="str">
        <f>IF($C$4="High Inventory",IF(AND($O48&gt;=0,$P48&gt;=Summary!$C$120),"X"," "),IF(AND($O48&lt;=0,$P48&lt;=-Summary!$C$120),"X"," "))</f>
        <v xml:space="preserve"> </v>
      </c>
      <c r="V48" t="str">
        <f t="shared" si="2"/>
        <v xml:space="preserve"> </v>
      </c>
      <c r="W48" t="str">
        <f>IF($C$4="High Inventory",IF(O48&gt;Summary!$C$119,"X"," "),IF(O48&lt;-Summary!$C$119,"X"," "))</f>
        <v xml:space="preserve"> </v>
      </c>
      <c r="X48" t="str">
        <f>IF($C$4="High Inventory",IF(P48&gt;Summary!$C$120,"X"," "),IF(P48&lt;-Summary!$C$120,"X"," "))</f>
        <v xml:space="preserve"> </v>
      </c>
    </row>
    <row r="49" spans="1:24" x14ac:dyDescent="0.2">
      <c r="A49" s="27">
        <v>928</v>
      </c>
      <c r="B49" s="55" t="s">
        <v>27</v>
      </c>
      <c r="C49" s="6">
        <v>190</v>
      </c>
      <c r="D49" s="5">
        <v>214</v>
      </c>
      <c r="E49" s="5">
        <v>-24</v>
      </c>
      <c r="F49" s="6">
        <v>190</v>
      </c>
      <c r="G49" s="5">
        <v>221</v>
      </c>
      <c r="H49" s="5">
        <v>-31</v>
      </c>
      <c r="I49" s="6">
        <v>190</v>
      </c>
      <c r="J49" s="5">
        <v>203</v>
      </c>
      <c r="K49" s="5">
        <v>-13</v>
      </c>
      <c r="L49" s="6">
        <v>190</v>
      </c>
      <c r="M49" s="5">
        <v>207</v>
      </c>
      <c r="N49" s="5">
        <v>-17</v>
      </c>
      <c r="O49" s="6">
        <f t="shared" ref="O49:O60" si="6">K49+H49+E49</f>
        <v>-68</v>
      </c>
      <c r="P49" s="70">
        <f t="shared" ref="P49:P60" si="7">O49/(J49+G49+D49+1)</f>
        <v>-0.10641627543035993</v>
      </c>
      <c r="Q49" s="176"/>
      <c r="R49" s="66" t="str">
        <f>IF($C$4="High Inventory",IF(AND(O49&gt;=Summary!$C$119,P49&gt;=Summary!$C$120),"X"," "),IF(AND(O49&lt;=-Summary!$C$119,P49&lt;=-Summary!$C$120),"X"," "))</f>
        <v xml:space="preserve"> </v>
      </c>
      <c r="S49" s="81" t="str">
        <f>IF($C$5="System-Wide"," ",IF($C$4="High Inventory",IF(AND(L49-I49&gt;=Summary!$C$123,N49-K49&gt;Summary!$C$123,N49&gt;0),"X"," "),IF(AND(I49-L49&gt;=Summary!$C$123,K49-N49&gt;Summary!$C$123,N49&lt;0),"X"," ")))</f>
        <v xml:space="preserve"> </v>
      </c>
      <c r="T49" s="8" t="str">
        <f>IF($C$4="High Inventory",IF(AND($O49&gt;=Summary!$C$119,$P49&gt;=0%),"X"," "),IF(AND($O49&lt;=-Summary!$C$119,$P49&lt;=0%),"X"," "))</f>
        <v xml:space="preserve"> </v>
      </c>
      <c r="U49" s="11" t="str">
        <f>IF($C$4="High Inventory",IF(AND($O49&gt;=0,$P49&gt;=Summary!$C$120),"X"," "),IF(AND($O49&lt;=0,$P49&lt;=-Summary!$C$120),"X"," "))</f>
        <v xml:space="preserve"> </v>
      </c>
      <c r="V49" t="str">
        <f t="shared" si="2"/>
        <v xml:space="preserve"> </v>
      </c>
      <c r="W49" t="str">
        <f>IF($C$4="High Inventory",IF(O49&gt;Summary!$C$119,"X"," "),IF(O49&lt;-Summary!$C$119,"X"," "))</f>
        <v xml:space="preserve"> </v>
      </c>
      <c r="X49" t="str">
        <f>IF($C$4="High Inventory",IF(P49&gt;Summary!$C$120,"X"," "),IF(P49&lt;-Summary!$C$120,"X"," "))</f>
        <v xml:space="preserve"> </v>
      </c>
    </row>
    <row r="50" spans="1:24" x14ac:dyDescent="0.2">
      <c r="A50" s="27">
        <v>7602</v>
      </c>
      <c r="B50" s="55" t="s">
        <v>27</v>
      </c>
      <c r="C50" s="6">
        <v>2124</v>
      </c>
      <c r="D50" s="5">
        <v>9943</v>
      </c>
      <c r="E50" s="5">
        <v>-7819</v>
      </c>
      <c r="F50" s="6">
        <v>7864</v>
      </c>
      <c r="G50" s="5">
        <v>10245</v>
      </c>
      <c r="H50" s="5">
        <v>-2381</v>
      </c>
      <c r="I50" s="6">
        <v>8000</v>
      </c>
      <c r="J50" s="5">
        <v>10253</v>
      </c>
      <c r="K50" s="5">
        <v>-2253</v>
      </c>
      <c r="L50" s="6">
        <v>7343</v>
      </c>
      <c r="M50" s="5">
        <v>10420</v>
      </c>
      <c r="N50" s="5">
        <v>-3077</v>
      </c>
      <c r="O50" s="6">
        <f t="shared" si="6"/>
        <v>-12453</v>
      </c>
      <c r="P50" s="70">
        <f t="shared" si="7"/>
        <v>-0.40907299126207214</v>
      </c>
      <c r="Q50" s="176"/>
      <c r="R50" s="66" t="str">
        <f>IF($C$4="High Inventory",IF(AND(O50&gt;=Summary!$C$119,P50&gt;=Summary!$C$120),"X"," "),IF(AND(O50&lt;=-Summary!$C$119,P50&lt;=-Summary!$C$120),"X"," "))</f>
        <v xml:space="preserve"> </v>
      </c>
      <c r="S50" s="81" t="str">
        <f>IF($C$5="System-Wide"," ",IF($C$4="High Inventory",IF(AND(L50-I50&gt;=Summary!$C$123,N50-K50&gt;Summary!$C$123,N50&gt;0),"X"," "),IF(AND(I50-L50&gt;=Summary!$C$123,K50-N50&gt;Summary!$C$123,N50&lt;0),"X"," ")))</f>
        <v xml:space="preserve"> </v>
      </c>
      <c r="T50" s="8" t="str">
        <f>IF($C$4="High Inventory",IF(AND($O50&gt;=Summary!$C$119,$P50&gt;=0%),"X"," "),IF(AND($O50&lt;=-Summary!$C$119,$P50&lt;=0%),"X"," "))</f>
        <v xml:space="preserve"> </v>
      </c>
      <c r="U50" s="11" t="str">
        <f>IF($C$4="High Inventory",IF(AND($O50&gt;=0,$P50&gt;=Summary!$C$120),"X"," "),IF(AND($O50&lt;=0,$P50&lt;=-Summary!$C$120),"X"," "))</f>
        <v xml:space="preserve"> </v>
      </c>
      <c r="V50" t="str">
        <f t="shared" ref="V50:V59" si="8">IF(S50 = "X",L50-I50," ")</f>
        <v xml:space="preserve"> </v>
      </c>
      <c r="W50" t="str">
        <f>IF($C$4="High Inventory",IF(O50&gt;Summary!$C$119,"X"," "),IF(O50&lt;-Summary!$C$119,"X"," "))</f>
        <v xml:space="preserve"> </v>
      </c>
      <c r="X50" t="str">
        <f>IF($C$4="High Inventory",IF(P50&gt;Summary!$C$120,"X"," "),IF(P50&lt;-Summary!$C$120,"X"," "))</f>
        <v xml:space="preserve"> </v>
      </c>
    </row>
    <row r="51" spans="1:24" x14ac:dyDescent="0.2">
      <c r="A51" s="27">
        <v>7604</v>
      </c>
      <c r="B51" s="55" t="s">
        <v>27</v>
      </c>
      <c r="C51" s="6">
        <v>36539</v>
      </c>
      <c r="D51" s="5">
        <v>21506</v>
      </c>
      <c r="E51" s="5">
        <v>15033</v>
      </c>
      <c r="F51" s="6">
        <v>24165</v>
      </c>
      <c r="G51" s="5">
        <v>22532</v>
      </c>
      <c r="H51" s="5">
        <v>1633</v>
      </c>
      <c r="I51" s="6">
        <v>24459</v>
      </c>
      <c r="J51" s="5">
        <v>24958</v>
      </c>
      <c r="K51" s="5">
        <v>-499</v>
      </c>
      <c r="L51" s="6">
        <v>26865</v>
      </c>
      <c r="M51" s="5">
        <v>27648</v>
      </c>
      <c r="N51" s="5">
        <v>-783</v>
      </c>
      <c r="O51" s="6">
        <f t="shared" si="6"/>
        <v>16167</v>
      </c>
      <c r="P51" s="70">
        <f t="shared" si="7"/>
        <v>0.23431453541458325</v>
      </c>
      <c r="Q51" s="176"/>
      <c r="R51" s="66" t="str">
        <f>IF($C$4="High Inventory",IF(AND(O51&gt;=Summary!$C$119,P51&gt;=Summary!$C$120),"X"," "),IF(AND(O51&lt;=-Summary!$C$119,P51&lt;=-Summary!$C$120),"X"," "))</f>
        <v>X</v>
      </c>
      <c r="S51" s="81" t="str">
        <f>IF($C$5="System-Wide"," ",IF($C$4="High Inventory",IF(AND(L51-I51&gt;=Summary!$C$123,N51-K51&gt;Summary!$C$123,N51&gt;0),"X"," "),IF(AND(I51-L51&gt;=Summary!$C$123,K51-N51&gt;Summary!$C$123,N51&lt;0),"X"," ")))</f>
        <v xml:space="preserve"> </v>
      </c>
      <c r="T51" s="8" t="str">
        <f>IF($C$4="High Inventory",IF(AND($O51&gt;=Summary!$C$119,$P51&gt;=0%),"X"," "),IF(AND($O51&lt;=-Summary!$C$119,$P51&lt;=0%),"X"," "))</f>
        <v>X</v>
      </c>
      <c r="U51" s="11" t="str">
        <f>IF($C$4="High Inventory",IF(AND($O51&gt;=0,$P51&gt;=Summary!$C$120),"X"," "),IF(AND($O51&lt;=0,$P51&lt;=-Summary!$C$120),"X"," "))</f>
        <v>X</v>
      </c>
      <c r="V51" t="str">
        <f t="shared" si="8"/>
        <v xml:space="preserve"> </v>
      </c>
      <c r="W51" t="str">
        <f>IF($C$4="High Inventory",IF(O51&gt;Summary!$C$119,"X"," "),IF(O51&lt;-Summary!$C$119,"X"," "))</f>
        <v>X</v>
      </c>
      <c r="X51" t="str">
        <f>IF($C$4="High Inventory",IF(P51&gt;Summary!$C$120,"X"," "),IF(P51&lt;-Summary!$C$120,"X"," "))</f>
        <v>X</v>
      </c>
    </row>
    <row r="52" spans="1:24" x14ac:dyDescent="0.2">
      <c r="A52" s="27">
        <v>13636</v>
      </c>
      <c r="B52" s="55" t="s">
        <v>27</v>
      </c>
      <c r="C52" s="6">
        <v>0</v>
      </c>
      <c r="D52" s="5">
        <v>40</v>
      </c>
      <c r="E52" s="5">
        <v>-40</v>
      </c>
      <c r="F52" s="6">
        <v>0</v>
      </c>
      <c r="G52" s="5">
        <v>29</v>
      </c>
      <c r="H52" s="5">
        <v>-29</v>
      </c>
      <c r="I52" s="6">
        <v>0</v>
      </c>
      <c r="J52" s="5">
        <v>0</v>
      </c>
      <c r="K52" s="5">
        <v>0</v>
      </c>
      <c r="L52" s="6">
        <v>0</v>
      </c>
      <c r="M52" s="5">
        <v>0</v>
      </c>
      <c r="N52" s="5">
        <v>0</v>
      </c>
      <c r="O52" s="6">
        <f t="shared" si="6"/>
        <v>-69</v>
      </c>
      <c r="P52" s="70">
        <f t="shared" si="7"/>
        <v>-0.98571428571428577</v>
      </c>
      <c r="Q52" s="176"/>
      <c r="R52" s="66" t="str">
        <f>IF($C$4="High Inventory",IF(AND(O52&gt;=Summary!$C$119,P52&gt;=Summary!$C$120),"X"," "),IF(AND(O52&lt;=-Summary!$C$119,P52&lt;=-Summary!$C$120),"X"," "))</f>
        <v xml:space="preserve"> </v>
      </c>
      <c r="S52" s="81" t="str">
        <f>IF($C$5="System-Wide"," ",IF($C$4="High Inventory",IF(AND(L52-I52&gt;=Summary!$C$123,N52-K52&gt;Summary!$C$123,N52&gt;0),"X"," "),IF(AND(I52-L52&gt;=Summary!$C$123,K52-N52&gt;Summary!$C$123,N52&lt;0),"X"," ")))</f>
        <v xml:space="preserve"> </v>
      </c>
      <c r="T52" s="8" t="str">
        <f>IF($C$4="High Inventory",IF(AND($O52&gt;=Summary!$C$119,$P52&gt;=0%),"X"," "),IF(AND($O52&lt;=-Summary!$C$119,$P52&lt;=0%),"X"," "))</f>
        <v xml:space="preserve"> </v>
      </c>
      <c r="U52" s="11" t="str">
        <f>IF($C$4="High Inventory",IF(AND($O52&gt;=0,$P52&gt;=Summary!$C$120),"X"," "),IF(AND($O52&lt;=0,$P52&lt;=-Summary!$C$120),"X"," "))</f>
        <v xml:space="preserve"> </v>
      </c>
      <c r="V52" t="str">
        <f t="shared" si="8"/>
        <v xml:space="preserve"> </v>
      </c>
      <c r="W52" t="str">
        <f>IF($C$4="High Inventory",IF(O52&gt;Summary!$C$119,"X"," "),IF(O52&lt;-Summary!$C$119,"X"," "))</f>
        <v xml:space="preserve"> </v>
      </c>
      <c r="X52" t="str">
        <f>IF($C$4="High Inventory",IF(P52&gt;Summary!$C$120,"X"," "),IF(P52&lt;-Summary!$C$120,"X"," "))</f>
        <v xml:space="preserve"> </v>
      </c>
    </row>
    <row r="53" spans="1:24" x14ac:dyDescent="0.2">
      <c r="A53" s="27">
        <v>20566</v>
      </c>
      <c r="B53" s="55" t="s">
        <v>27</v>
      </c>
      <c r="C53" s="202">
        <v>0</v>
      </c>
      <c r="D53" s="203">
        <v>4441</v>
      </c>
      <c r="E53" s="203">
        <v>-4441</v>
      </c>
      <c r="F53" s="202">
        <v>6500</v>
      </c>
      <c r="G53" s="203">
        <v>5478</v>
      </c>
      <c r="H53" s="203">
        <v>1022</v>
      </c>
      <c r="I53" s="202">
        <v>1666</v>
      </c>
      <c r="J53" s="203">
        <v>0</v>
      </c>
      <c r="K53" s="203">
        <v>1666</v>
      </c>
      <c r="L53" s="202">
        <v>0</v>
      </c>
      <c r="M53" s="203">
        <v>0</v>
      </c>
      <c r="N53" s="203">
        <v>0</v>
      </c>
      <c r="O53" s="6">
        <f t="shared" si="6"/>
        <v>-1753</v>
      </c>
      <c r="P53" s="70">
        <f t="shared" si="7"/>
        <v>-0.17671370967741937</v>
      </c>
      <c r="Q53" s="176"/>
      <c r="R53" s="66" t="str">
        <f>IF($C$4="High Inventory",IF(AND(O53&gt;=Summary!$C$119,P53&gt;=Summary!$C$120),"X"," "),IF(AND(O53&lt;=-Summary!$C$119,P53&lt;=-Summary!$C$120),"X"," "))</f>
        <v xml:space="preserve"> </v>
      </c>
      <c r="S53" s="81" t="str">
        <f>IF($C$5="System-Wide"," ",IF($C$4="High Inventory",IF(AND(L53-I53&gt;=Summary!$C$123,N53-K53&gt;Summary!$C$123,N53&gt;0),"X"," "),IF(AND(I53-L53&gt;=Summary!$C$123,K53-N53&gt;Summary!$C$123,N53&lt;0),"X"," ")))</f>
        <v xml:space="preserve"> </v>
      </c>
      <c r="T53" s="8" t="str">
        <f>IF($C$4="High Inventory",IF(AND($O53&gt;=Summary!$C$119,$P53&gt;=0%),"X"," "),IF(AND($O53&lt;=-Summary!$C$119,$P53&lt;=0%),"X"," "))</f>
        <v xml:space="preserve"> </v>
      </c>
      <c r="U53" s="11" t="str">
        <f>IF($C$4="High Inventory",IF(AND($O53&gt;=0,$P53&gt;=Summary!$C$120),"X"," "),IF(AND($O53&lt;=0,$P53&lt;=-Summary!$C$120),"X"," "))</f>
        <v xml:space="preserve"> </v>
      </c>
      <c r="V53" t="str">
        <f t="shared" si="8"/>
        <v xml:space="preserve"> </v>
      </c>
      <c r="W53" t="str">
        <f>IF($C$4="High Inventory",IF(O53&gt;Summary!$C$119,"X"," "),IF(O53&lt;-Summary!$C$119,"X"," "))</f>
        <v xml:space="preserve"> </v>
      </c>
      <c r="X53" t="str">
        <f>IF($C$4="High Inventory",IF(P53&gt;Summary!$C$120,"X"," "),IF(P53&lt;-Summary!$C$120,"X"," "))</f>
        <v xml:space="preserve"> </v>
      </c>
    </row>
    <row r="54" spans="1:24" x14ac:dyDescent="0.2">
      <c r="A54" s="27">
        <v>30511</v>
      </c>
      <c r="B54" s="55" t="s">
        <v>27</v>
      </c>
      <c r="C54" s="6">
        <v>500</v>
      </c>
      <c r="D54" s="5">
        <v>404</v>
      </c>
      <c r="E54" s="5">
        <v>96</v>
      </c>
      <c r="F54" s="6">
        <v>500</v>
      </c>
      <c r="G54" s="5">
        <v>486</v>
      </c>
      <c r="H54" s="5">
        <v>14</v>
      </c>
      <c r="I54" s="6">
        <v>500</v>
      </c>
      <c r="J54" s="5">
        <v>477</v>
      </c>
      <c r="K54" s="5">
        <v>23</v>
      </c>
      <c r="L54" s="6">
        <v>480</v>
      </c>
      <c r="M54" s="5">
        <v>348</v>
      </c>
      <c r="N54" s="5">
        <v>132</v>
      </c>
      <c r="O54" s="6">
        <f t="shared" si="6"/>
        <v>133</v>
      </c>
      <c r="P54" s="70">
        <f t="shared" si="7"/>
        <v>9.7222222222222224E-2</v>
      </c>
      <c r="Q54" s="176"/>
      <c r="R54" s="66" t="str">
        <f>IF($C$4="High Inventory",IF(AND(O54&gt;=Summary!$C$119,P54&gt;=Summary!$C$120),"X"," "),IF(AND(O54&lt;=-Summary!$C$119,P54&lt;=-Summary!$C$120),"X"," "))</f>
        <v xml:space="preserve"> </v>
      </c>
      <c r="S54" s="81" t="str">
        <f>IF($C$5="System-Wide"," ",IF($C$4="High Inventory",IF(AND(L54-I54&gt;=Summary!$C$123,N54-K54&gt;Summary!$C$123,N54&gt;0),"X"," "),IF(AND(I54-L54&gt;=Summary!$C$123,K54-N54&gt;Summary!$C$123,N54&lt;0),"X"," ")))</f>
        <v xml:space="preserve"> </v>
      </c>
      <c r="T54" s="8" t="str">
        <f>IF($C$4="High Inventory",IF(AND($O54&gt;=Summary!$C$119,$P54&gt;=0%),"X"," "),IF(AND($O54&lt;=-Summary!$C$119,$P54&lt;=0%),"X"," "))</f>
        <v xml:space="preserve"> </v>
      </c>
      <c r="U54" s="11" t="str">
        <f>IF($C$4="High Inventory",IF(AND($O54&gt;=0,$P54&gt;=Summary!$C$120),"X"," "),IF(AND($O54&lt;=0,$P54&lt;=-Summary!$C$120),"X"," "))</f>
        <v xml:space="preserve"> </v>
      </c>
      <c r="V54" t="str">
        <f t="shared" si="8"/>
        <v xml:space="preserve"> </v>
      </c>
      <c r="W54" t="str">
        <f>IF($C$4="High Inventory",IF(O54&gt;Summary!$C$119,"X"," "),IF(O54&lt;-Summary!$C$119,"X"," "))</f>
        <v xml:space="preserve"> </v>
      </c>
      <c r="X54" t="str">
        <f>IF($C$4="High Inventory",IF(P54&gt;Summary!$C$120,"X"," "),IF(P54&lt;-Summary!$C$120,"X"," "))</f>
        <v xml:space="preserve"> </v>
      </c>
    </row>
    <row r="55" spans="1:24" x14ac:dyDescent="0.2">
      <c r="A55" s="27">
        <v>34282</v>
      </c>
      <c r="B55" s="55" t="s">
        <v>27</v>
      </c>
      <c r="C55" s="6"/>
      <c r="D55" s="5"/>
      <c r="E55" s="5"/>
      <c r="F55" s="6"/>
      <c r="G55" s="5"/>
      <c r="H55" s="5"/>
      <c r="I55" s="6">
        <v>0</v>
      </c>
      <c r="J55" s="5">
        <v>199</v>
      </c>
      <c r="K55" s="5">
        <v>-199</v>
      </c>
      <c r="L55" s="6"/>
      <c r="M55" s="5"/>
      <c r="N55" s="5"/>
      <c r="O55" s="6">
        <f t="shared" si="6"/>
        <v>-199</v>
      </c>
      <c r="P55" s="70">
        <f t="shared" si="7"/>
        <v>-0.995</v>
      </c>
      <c r="Q55" s="176"/>
      <c r="R55" s="66" t="str">
        <f>IF($C$4="High Inventory",IF(AND(O55&gt;=Summary!$C$119,P55&gt;=Summary!$C$120),"X"," "),IF(AND(O55&lt;=-Summary!$C$119,P55&lt;=-Summary!$C$120),"X"," "))</f>
        <v xml:space="preserve"> </v>
      </c>
      <c r="S55" s="81" t="str">
        <f>IF($C$5="System-Wide"," ",IF($C$4="High Inventory",IF(AND(L55-I55&gt;=Summary!$C$123,N55-K55&gt;Summary!$C$123,N55&gt;0),"X"," "),IF(AND(I55-L55&gt;=Summary!$C$123,K55-N55&gt;Summary!$C$123,N55&lt;0),"X"," ")))</f>
        <v xml:space="preserve"> </v>
      </c>
      <c r="T55" s="8" t="str">
        <f>IF($C$4="High Inventory",IF(AND($O55&gt;=Summary!$C$119,$P55&gt;=0%),"X"," "),IF(AND($O55&lt;=-Summary!$C$119,$P55&lt;=0%),"X"," "))</f>
        <v xml:space="preserve"> </v>
      </c>
      <c r="U55" s="11" t="str">
        <f>IF($C$4="High Inventory",IF(AND($O55&gt;=0,$P55&gt;=Summary!$C$120),"X"," "),IF(AND($O55&lt;=0,$P55&lt;=-Summary!$C$120),"X"," "))</f>
        <v xml:space="preserve"> </v>
      </c>
      <c r="V55" t="str">
        <f t="shared" si="8"/>
        <v xml:space="preserve"> </v>
      </c>
      <c r="W55" t="str">
        <f>IF($C$4="High Inventory",IF(O55&gt;Summary!$C$119,"X"," "),IF(O55&lt;-Summary!$C$119,"X"," "))</f>
        <v xml:space="preserve"> </v>
      </c>
      <c r="X55" t="str">
        <f>IF($C$4="High Inventory",IF(P55&gt;Summary!$C$120,"X"," "),IF(P55&lt;-Summary!$C$120,"X"," "))</f>
        <v xml:space="preserve"> </v>
      </c>
    </row>
    <row r="56" spans="1:24" x14ac:dyDescent="0.2">
      <c r="A56" s="27">
        <v>35475</v>
      </c>
      <c r="B56" s="55" t="s">
        <v>27</v>
      </c>
      <c r="C56" s="6">
        <v>3904</v>
      </c>
      <c r="D56" s="5">
        <v>10787</v>
      </c>
      <c r="E56" s="5">
        <v>-6883</v>
      </c>
      <c r="F56" s="6">
        <v>3904</v>
      </c>
      <c r="G56" s="5">
        <v>13563</v>
      </c>
      <c r="H56" s="5">
        <v>-9659</v>
      </c>
      <c r="I56" s="6">
        <v>5404</v>
      </c>
      <c r="J56" s="5">
        <v>14327</v>
      </c>
      <c r="K56" s="5">
        <v>-8923</v>
      </c>
      <c r="L56" s="6">
        <v>3904</v>
      </c>
      <c r="M56" s="5">
        <v>13769</v>
      </c>
      <c r="N56" s="5">
        <v>-9865</v>
      </c>
      <c r="O56" s="6">
        <f t="shared" si="6"/>
        <v>-25465</v>
      </c>
      <c r="P56" s="70">
        <f t="shared" si="7"/>
        <v>-0.65838461140700144</v>
      </c>
      <c r="Q56" s="176"/>
      <c r="R56" s="66" t="str">
        <f>IF($C$4="High Inventory",IF(AND(O56&gt;=Summary!$C$119,P56&gt;=Summary!$C$120),"X"," "),IF(AND(O56&lt;=-Summary!$C$119,P56&lt;=-Summary!$C$120),"X"," "))</f>
        <v xml:space="preserve"> </v>
      </c>
      <c r="S56" s="81" t="str">
        <f>IF($C$5="System-Wide"," ",IF($C$4="High Inventory",IF(AND(L56-I56&gt;=Summary!$C$123,N56-K56&gt;Summary!$C$123,N56&gt;0),"X"," "),IF(AND(I56-L56&gt;=Summary!$C$123,K56-N56&gt;Summary!$C$123,N56&lt;0),"X"," ")))</f>
        <v xml:space="preserve"> </v>
      </c>
      <c r="T56" s="8" t="str">
        <f>IF($C$4="High Inventory",IF(AND($O56&gt;=Summary!$C$119,$P56&gt;=0%),"X"," "),IF(AND($O56&lt;=-Summary!$C$119,$P56&lt;=0%),"X"," "))</f>
        <v xml:space="preserve"> </v>
      </c>
      <c r="U56" s="11" t="str">
        <f>IF($C$4="High Inventory",IF(AND($O56&gt;=0,$P56&gt;=Summary!$C$120),"X"," "),IF(AND($O56&lt;=0,$P56&lt;=-Summary!$C$120),"X"," "))</f>
        <v xml:space="preserve"> </v>
      </c>
      <c r="V56" t="str">
        <f t="shared" si="8"/>
        <v xml:space="preserve"> </v>
      </c>
      <c r="W56" t="str">
        <f>IF($C$4="High Inventory",IF(O56&gt;Summary!$C$119,"X"," "),IF(O56&lt;-Summary!$C$119,"X"," "))</f>
        <v xml:space="preserve"> </v>
      </c>
      <c r="X56" t="str">
        <f>IF($C$4="High Inventory",IF(P56&gt;Summary!$C$120,"X"," "),IF(P56&lt;-Summary!$C$120,"X"," "))</f>
        <v xml:space="preserve"> </v>
      </c>
    </row>
    <row r="57" spans="1:24" x14ac:dyDescent="0.2">
      <c r="A57" s="27">
        <v>37459</v>
      </c>
      <c r="B57" s="55" t="s">
        <v>27</v>
      </c>
      <c r="C57" s="6"/>
      <c r="D57" s="5"/>
      <c r="E57" s="5"/>
      <c r="F57" s="6"/>
      <c r="G57" s="5"/>
      <c r="H57" s="5"/>
      <c r="I57" s="6">
        <v>0</v>
      </c>
      <c r="J57" s="5">
        <v>19</v>
      </c>
      <c r="K57" s="5">
        <v>-19</v>
      </c>
      <c r="L57" s="6"/>
      <c r="M57" s="5"/>
      <c r="N57" s="5"/>
      <c r="O57" s="6">
        <f t="shared" si="6"/>
        <v>-19</v>
      </c>
      <c r="P57" s="70">
        <f t="shared" si="7"/>
        <v>-0.95</v>
      </c>
      <c r="Q57" s="176"/>
      <c r="R57" s="66" t="str">
        <f>IF($C$4="High Inventory",IF(AND(O57&gt;=Summary!$C$119,P57&gt;=Summary!$C$120),"X"," "),IF(AND(O57&lt;=-Summary!$C$119,P57&lt;=-Summary!$C$120),"X"," "))</f>
        <v xml:space="preserve"> </v>
      </c>
      <c r="S57" s="81" t="str">
        <f>IF($C$5="System-Wide"," ",IF($C$4="High Inventory",IF(AND(L57-I57&gt;=Summary!$C$123,N57-K57&gt;Summary!$C$123,N57&gt;0),"X"," "),IF(AND(I57-L57&gt;=Summary!$C$123,K57-N57&gt;Summary!$C$123,N57&lt;0),"X"," ")))</f>
        <v xml:space="preserve"> </v>
      </c>
      <c r="T57" s="8" t="str">
        <f>IF($C$4="High Inventory",IF(AND($O57&gt;=Summary!$C$119,$P57&gt;=0%),"X"," "),IF(AND($O57&lt;=-Summary!$C$119,$P57&lt;=0%),"X"," "))</f>
        <v xml:space="preserve"> </v>
      </c>
      <c r="U57" s="11" t="str">
        <f>IF($C$4="High Inventory",IF(AND($O57&gt;=0,$P57&gt;=Summary!$C$120),"X"," "),IF(AND($O57&lt;=0,$P57&lt;=-Summary!$C$120),"X"," "))</f>
        <v xml:space="preserve"> </v>
      </c>
      <c r="V57" t="str">
        <f t="shared" si="8"/>
        <v xml:space="preserve"> </v>
      </c>
      <c r="W57" t="str">
        <f>IF($C$4="High Inventory",IF(O57&gt;Summary!$C$119,"X"," "),IF(O57&lt;-Summary!$C$119,"X"," "))</f>
        <v xml:space="preserve"> </v>
      </c>
      <c r="X57" t="str">
        <f>IF($C$4="High Inventory",IF(P57&gt;Summary!$C$120,"X"," "),IF(P57&lt;-Summary!$C$120,"X"," "))</f>
        <v xml:space="preserve"> </v>
      </c>
    </row>
    <row r="58" spans="1:24" x14ac:dyDescent="0.2">
      <c r="A58" s="27"/>
      <c r="B58" s="55"/>
      <c r="C58" s="6"/>
      <c r="D58" s="5"/>
      <c r="E58" s="5"/>
      <c r="F58" s="6"/>
      <c r="G58" s="5"/>
      <c r="H58" s="5"/>
      <c r="I58" s="6"/>
      <c r="J58" s="5"/>
      <c r="K58" s="5"/>
      <c r="L58" s="6"/>
      <c r="M58" s="5"/>
      <c r="N58" s="5"/>
      <c r="O58" s="6">
        <f t="shared" si="6"/>
        <v>0</v>
      </c>
      <c r="P58" s="70">
        <f t="shared" si="7"/>
        <v>0</v>
      </c>
      <c r="Q58" s="176"/>
      <c r="R58" s="66" t="str">
        <f>IF($C$4="High Inventory",IF(AND(O58&gt;=Summary!$C$119,P58&gt;=Summary!$C$120),"X"," "),IF(AND(O58&lt;=-Summary!$C$119,P58&lt;=-Summary!$C$120),"X"," "))</f>
        <v xml:space="preserve"> </v>
      </c>
      <c r="S58" s="81" t="str">
        <f>IF($C$5="System-Wide"," ",IF($C$4="High Inventory",IF(AND(L58-I58&gt;=Summary!$C$123,N58-K58&gt;Summary!$C$123,N58&gt;0),"X"," "),IF(AND(I58-L58&gt;=Summary!$C$123,K58-N58&gt;Summary!$C$123,N58&lt;0),"X"," ")))</f>
        <v xml:space="preserve"> </v>
      </c>
      <c r="T58" s="8" t="str">
        <f>IF($C$4="High Inventory",IF(AND($O58&gt;=Summary!$C$119,$P58&gt;=0%),"X"," "),IF(AND($O58&lt;=-Summary!$C$119,$P58&lt;=0%),"X"," "))</f>
        <v xml:space="preserve"> </v>
      </c>
      <c r="U58" s="11" t="str">
        <f>IF($C$4="High Inventory",IF(AND($O58&gt;=0,$P58&gt;=Summary!$C$120),"X"," "),IF(AND($O58&lt;=0,$P58&lt;=-Summary!$C$120),"X"," "))</f>
        <v xml:space="preserve"> </v>
      </c>
      <c r="V58" t="str">
        <f t="shared" si="8"/>
        <v xml:space="preserve"> </v>
      </c>
      <c r="W58" t="str">
        <f>IF($C$4="High Inventory",IF(O58&gt;Summary!$C$119,"X"," "),IF(O58&lt;-Summary!$C$119,"X"," "))</f>
        <v xml:space="preserve"> </v>
      </c>
      <c r="X58" t="str">
        <f>IF($C$4="High Inventory",IF(P58&gt;Summary!$C$120,"X"," "),IF(P58&lt;-Summary!$C$120,"X"," "))</f>
        <v xml:space="preserve"> </v>
      </c>
    </row>
    <row r="59" spans="1:24" x14ac:dyDescent="0.2">
      <c r="A59" s="27"/>
      <c r="B59" s="55"/>
      <c r="C59" s="6"/>
      <c r="D59" s="5"/>
      <c r="E59" s="5"/>
      <c r="F59" s="6"/>
      <c r="G59" s="5"/>
      <c r="H59" s="5"/>
      <c r="I59" s="6"/>
      <c r="J59" s="5"/>
      <c r="K59" s="5"/>
      <c r="L59" s="6"/>
      <c r="M59" s="5"/>
      <c r="N59" s="5"/>
      <c r="O59" s="6">
        <f t="shared" si="6"/>
        <v>0</v>
      </c>
      <c r="P59" s="70">
        <f t="shared" si="7"/>
        <v>0</v>
      </c>
      <c r="Q59" s="176"/>
      <c r="R59" s="66" t="str">
        <f>IF($C$4="High Inventory",IF(AND(O59&gt;=Summary!$C$119,P59&gt;=Summary!$C$120),"X"," "),IF(AND(O59&lt;=-Summary!$C$119,P59&lt;=-Summary!$C$120),"X"," "))</f>
        <v xml:space="preserve"> </v>
      </c>
      <c r="S59" s="81" t="str">
        <f>IF($C$5="System-Wide"," ",IF($C$4="High Inventory",IF(AND(L59-I59&gt;=Summary!$C$123,N59-K59&gt;Summary!$C$123,N59&gt;0),"X"," "),IF(AND(I59-L59&gt;=Summary!$C$123,K59-N59&gt;Summary!$C$123,N59&lt;0),"X"," ")))</f>
        <v xml:space="preserve"> </v>
      </c>
      <c r="T59" s="8" t="str">
        <f>IF($C$4="High Inventory",IF(AND($O59&gt;=Summary!$C$119,$P59&gt;=0%),"X"," "),IF(AND($O59&lt;=-Summary!$C$119,$P59&lt;=0%),"X"," "))</f>
        <v xml:space="preserve"> </v>
      </c>
      <c r="U59" s="11" t="str">
        <f>IF($C$4="High Inventory",IF(AND($O59&gt;=0,$P59&gt;=Summary!$C$120),"X"," "),IF(AND($O59&lt;=0,$P59&lt;=-Summary!$C$120),"X"," "))</f>
        <v xml:space="preserve"> </v>
      </c>
      <c r="V59" t="str">
        <f t="shared" si="8"/>
        <v xml:space="preserve"> </v>
      </c>
      <c r="W59" t="str">
        <f>IF($C$4="High Inventory",IF(O59&gt;Summary!$C$119,"X"," "),IF(O59&lt;-Summary!$C$119,"X"," "))</f>
        <v xml:space="preserve"> </v>
      </c>
      <c r="X59" t="str">
        <f>IF($C$4="High Inventory",IF(P59&gt;Summary!$C$120,"X"," "),IF(P59&lt;-Summary!$C$120,"X"," "))</f>
        <v xml:space="preserve"> </v>
      </c>
    </row>
    <row r="60" spans="1:24" x14ac:dyDescent="0.2">
      <c r="A60" s="27"/>
      <c r="B60" s="151"/>
      <c r="C60" s="6"/>
      <c r="D60" s="5"/>
      <c r="E60" s="150"/>
      <c r="F60" s="6"/>
      <c r="G60" s="5"/>
      <c r="H60" s="150"/>
      <c r="I60" s="6"/>
      <c r="J60" s="5"/>
      <c r="K60" s="150"/>
      <c r="L60" s="6"/>
      <c r="M60" s="5"/>
      <c r="N60" s="150"/>
      <c r="O60" s="6">
        <f t="shared" si="6"/>
        <v>0</v>
      </c>
      <c r="P60" s="84">
        <f t="shared" si="7"/>
        <v>0</v>
      </c>
      <c r="Q60" s="176"/>
      <c r="R60" s="66" t="str">
        <f>IF($C$4="High Inventory",IF(AND(O60&gt;=Summary!$C$119,P60&gt;=Summary!$C$120),"X"," "),IF(AND(O60&lt;=-Summary!$C$119,P60&lt;=-Summary!$C$120),"X"," "))</f>
        <v xml:space="preserve"> </v>
      </c>
      <c r="S60" s="81" t="str">
        <f>IF($C$5="System-Wide"," ",IF($C$4="High Inventory",IF(AND(L60-I60&gt;=Summary!$C$123,N60-K60&gt;Summary!$C$123,N60&gt;0),"X"," "),IF(AND(I60-L60&gt;=Summary!$C$123,K60-N60&gt;Summary!$C$123,N60&lt;0),"X"," ")))</f>
        <v xml:space="preserve"> </v>
      </c>
      <c r="W60" t="str">
        <f>IF($C$4="High Inventory",IF(O60&gt;Summary!$C$119,"X"," "),IF(O60&lt;-Summary!$C$119,"X"," "))</f>
        <v xml:space="preserve"> </v>
      </c>
      <c r="X60" t="str">
        <f>IF($C$4="High Inventory",IF(P60&gt;Summary!$C$120,"X"," "),IF(P60&lt;-Summary!$C$120,"X"," "))</f>
        <v xml:space="preserve"> </v>
      </c>
    </row>
    <row r="61" spans="1:24" x14ac:dyDescent="0.2">
      <c r="A61" s="2" t="s">
        <v>28</v>
      </c>
      <c r="B61" s="2"/>
      <c r="C61" s="3"/>
      <c r="D61" s="3"/>
      <c r="E61" s="3">
        <f>SUM(E10:E60)</f>
        <v>509698</v>
      </c>
      <c r="F61" s="3"/>
      <c r="G61" s="3"/>
      <c r="H61" s="3">
        <f>SUM(H10:H60)</f>
        <v>-193784</v>
      </c>
      <c r="I61" s="3"/>
      <c r="J61" s="3"/>
      <c r="K61" s="3">
        <f>SUM(K10:K60)</f>
        <v>-28017</v>
      </c>
      <c r="L61" s="3"/>
      <c r="M61" s="3">
        <f>SUM(M10:M60)</f>
        <v>2070997</v>
      </c>
      <c r="N61" s="3">
        <f>SUM(N10:N60)</f>
        <v>35908</v>
      </c>
      <c r="O61" s="3"/>
      <c r="P61" s="1"/>
      <c r="Q61" s="2">
        <f>COUNTIF(Q10:Q59,"X")</f>
        <v>0</v>
      </c>
      <c r="R61" s="2">
        <f>COUNTIF(R10:R59,"X")</f>
        <v>10</v>
      </c>
      <c r="S61" s="2">
        <f>COUNTIF(S10:S59,"X")</f>
        <v>0</v>
      </c>
    </row>
    <row r="62" spans="1:24" x14ac:dyDescent="0.2">
      <c r="M62" s="85" t="s">
        <v>51</v>
      </c>
      <c r="N62" s="86">
        <f>N61/M61</f>
        <v>1.7338508940379922E-2</v>
      </c>
    </row>
  </sheetData>
  <phoneticPr fontId="0" type="noConversion"/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53</vt:i4>
      </vt:variant>
    </vt:vector>
  </HeadingPairs>
  <TitlesOfParts>
    <vt:vector size="61" baseType="lpstr">
      <vt:lpstr>Summary</vt:lpstr>
      <vt:lpstr>Feb 1</vt:lpstr>
      <vt:lpstr>Feb 5</vt:lpstr>
      <vt:lpstr>Feb 21</vt:lpstr>
      <vt:lpstr>Feb 26</vt:lpstr>
      <vt:lpstr>Mar 20</vt:lpstr>
      <vt:lpstr>Mar 21</vt:lpstr>
      <vt:lpstr>Mar 22</vt:lpstr>
      <vt:lpstr>ctar0201</vt:lpstr>
      <vt:lpstr>ctar0205</vt:lpstr>
      <vt:lpstr>ctar0221</vt:lpstr>
      <vt:lpstr>ctar0226</vt:lpstr>
      <vt:lpstr>ctar0320</vt:lpstr>
      <vt:lpstr>ctar0321</vt:lpstr>
      <vt:lpstr>ctar0322</vt:lpstr>
      <vt:lpstr>'Feb 26'!ctar0412</vt:lpstr>
      <vt:lpstr>'Mar 20'!ctar0412</vt:lpstr>
      <vt:lpstr>'Mar 21'!ctar0412</vt:lpstr>
      <vt:lpstr>'Mar 22'!ctar0412</vt:lpstr>
      <vt:lpstr>nbaa0201</vt:lpstr>
      <vt:lpstr>nbaa0205</vt:lpstr>
      <vt:lpstr>nbaa0221</vt:lpstr>
      <vt:lpstr>nbaa0226</vt:lpstr>
      <vt:lpstr>nbaa0320</vt:lpstr>
      <vt:lpstr>nbaa0321</vt:lpstr>
      <vt:lpstr>nbaa0322</vt:lpstr>
      <vt:lpstr>'Feb 26'!nbaa0412</vt:lpstr>
      <vt:lpstr>'Mar 20'!nbaa0412</vt:lpstr>
      <vt:lpstr>'Mar 22'!nbaa0412</vt:lpstr>
      <vt:lpstr>ngsa0201</vt:lpstr>
      <vt:lpstr>ngsa0205</vt:lpstr>
      <vt:lpstr>ngsa0221</vt:lpstr>
      <vt:lpstr>ngsa0226</vt:lpstr>
      <vt:lpstr>ngsa0320</vt:lpstr>
      <vt:lpstr>ngsa0321</vt:lpstr>
      <vt:lpstr>ngsa0322</vt:lpstr>
      <vt:lpstr>'Feb 26'!ngsa0412</vt:lpstr>
      <vt:lpstr>'Mar 20'!ngsa0412</vt:lpstr>
      <vt:lpstr>ngsa1005</vt:lpstr>
      <vt:lpstr>ngsa1007</vt:lpstr>
      <vt:lpstr>ngsa1015</vt:lpstr>
      <vt:lpstr>ngsa1020</vt:lpstr>
      <vt:lpstr>ngsa1021</vt:lpstr>
      <vt:lpstr>ngsa1030</vt:lpstr>
      <vt:lpstr>ngsa1115</vt:lpstr>
      <vt:lpstr>'Feb 1'!Print_Area</vt:lpstr>
      <vt:lpstr>'Feb 21'!Print_Area</vt:lpstr>
      <vt:lpstr>'Feb 26'!Print_Area</vt:lpstr>
      <vt:lpstr>'Feb 5'!Print_Area</vt:lpstr>
      <vt:lpstr>'Mar 20'!Print_Area</vt:lpstr>
      <vt:lpstr>'Mar 21'!Print_Area</vt:lpstr>
      <vt:lpstr>'Mar 22'!Print_Area</vt:lpstr>
      <vt:lpstr>Summary!Print_Area</vt:lpstr>
      <vt:lpstr>'Feb 1'!Print_Titles</vt:lpstr>
      <vt:lpstr>'Feb 21'!Print_Titles</vt:lpstr>
      <vt:lpstr>'Feb 26'!Print_Titles</vt:lpstr>
      <vt:lpstr>'Feb 5'!Print_Titles</vt:lpstr>
      <vt:lpstr>'Mar 20'!Print_Titles</vt:lpstr>
      <vt:lpstr>'Mar 21'!Print_Titles</vt:lpstr>
      <vt:lpstr>'Mar 22'!Print_Titles</vt:lpstr>
      <vt:lpstr>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2001-04-27T17:02:15Z</cp:lastPrinted>
  <dcterms:created xsi:type="dcterms:W3CDTF">2000-07-03T21:04:42Z</dcterms:created>
  <dcterms:modified xsi:type="dcterms:W3CDTF">2023-09-18T00:01:52Z</dcterms:modified>
</cp:coreProperties>
</file>