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790F21-E165-4AE8-AA88-1F1E1F74946F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8">Headcount!$B$1:$N$19</definedName>
    <definedName name="_xlnm.Print_Area" localSheetId="2">'Mgmt Summary'!$A$1:$V$43</definedName>
    <definedName name="_xlnm.Print_Area" localSheetId="1">'QTD Mgmt Summary'!$A$1:$M$40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E18" i="4"/>
  <c r="F18" i="4"/>
  <c r="M18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F20" i="3"/>
  <c r="F21" i="3"/>
  <c r="E22" i="3"/>
  <c r="F22" i="3"/>
  <c r="D24" i="3"/>
  <c r="E24" i="3"/>
  <c r="F24" i="3"/>
  <c r="D27" i="3"/>
  <c r="E27" i="3"/>
  <c r="F27" i="3"/>
  <c r="D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F28" i="2"/>
  <c r="I28" i="2"/>
  <c r="L28" i="2"/>
  <c r="N28" i="2"/>
  <c r="F29" i="2"/>
  <c r="I29" i="2"/>
  <c r="L29" i="2"/>
  <c r="M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G14" i="37"/>
  <c r="H14" i="37"/>
  <c r="I14" i="37"/>
  <c r="K14" i="37"/>
  <c r="L14" i="37"/>
  <c r="M14" i="37"/>
  <c r="C15" i="37"/>
  <c r="D15" i="37"/>
  <c r="E15" i="37"/>
  <c r="I15" i="37"/>
  <c r="K15" i="37"/>
  <c r="L15" i="37"/>
  <c r="M15" i="37"/>
  <c r="C16" i="37"/>
  <c r="D16" i="37"/>
  <c r="E16" i="37"/>
  <c r="G16" i="37"/>
  <c r="H16" i="37"/>
  <c r="I16" i="37"/>
  <c r="K16" i="37"/>
  <c r="L16" i="37"/>
  <c r="M16" i="37"/>
  <c r="C18" i="37"/>
  <c r="D18" i="37"/>
  <c r="E18" i="37"/>
  <c r="F18" i="37"/>
  <c r="G18" i="37"/>
  <c r="H18" i="37"/>
  <c r="I18" i="37"/>
  <c r="J18" i="37"/>
  <c r="K18" i="37"/>
  <c r="L18" i="37"/>
  <c r="M18" i="37"/>
  <c r="C20" i="37"/>
  <c r="D20" i="37"/>
  <c r="E20" i="37"/>
  <c r="G20" i="37"/>
  <c r="H20" i="37"/>
  <c r="I20" i="37"/>
  <c r="K20" i="37"/>
  <c r="L20" i="37"/>
  <c r="M20" i="37"/>
  <c r="C21" i="37"/>
  <c r="D21" i="37"/>
  <c r="E21" i="37"/>
  <c r="G21" i="37"/>
  <c r="H21" i="37"/>
  <c r="I21" i="37"/>
  <c r="K21" i="37"/>
  <c r="L21" i="37"/>
  <c r="M21" i="37"/>
  <c r="C22" i="37"/>
  <c r="D22" i="37"/>
  <c r="E22" i="37"/>
  <c r="G22" i="37"/>
  <c r="H22" i="37"/>
  <c r="I22" i="37"/>
  <c r="K22" i="37"/>
  <c r="L22" i="37"/>
  <c r="M22" i="37"/>
  <c r="C24" i="37"/>
  <c r="D24" i="37"/>
  <c r="E24" i="37"/>
  <c r="G24" i="37"/>
  <c r="H24" i="37"/>
  <c r="I24" i="37"/>
  <c r="K24" i="37"/>
  <c r="L24" i="37"/>
  <c r="M24" i="37"/>
  <c r="C27" i="37"/>
  <c r="D27" i="37"/>
  <c r="E27" i="37"/>
  <c r="F27" i="37"/>
  <c r="G27" i="37"/>
  <c r="H27" i="37"/>
  <c r="I27" i="37"/>
  <c r="J27" i="37"/>
  <c r="K27" i="37"/>
  <c r="L27" i="37"/>
  <c r="M27" i="37"/>
  <c r="E29" i="37"/>
  <c r="G29" i="37"/>
  <c r="H29" i="37"/>
  <c r="I29" i="37"/>
  <c r="K29" i="37"/>
  <c r="L29" i="37"/>
  <c r="M29" i="37"/>
  <c r="E30" i="37"/>
  <c r="G30" i="37"/>
  <c r="H30" i="37"/>
  <c r="I30" i="37"/>
  <c r="K30" i="37"/>
  <c r="L30" i="37"/>
  <c r="M30" i="37"/>
  <c r="C31" i="37"/>
  <c r="D31" i="37"/>
  <c r="E31" i="37"/>
  <c r="G31" i="37"/>
  <c r="H31" i="37"/>
  <c r="I31" i="37"/>
  <c r="K31" i="37"/>
  <c r="L31" i="37"/>
  <c r="M31" i="37"/>
  <c r="C32" i="37"/>
  <c r="D32" i="37"/>
  <c r="E32" i="37"/>
  <c r="G32" i="37"/>
  <c r="H32" i="37"/>
  <c r="I32" i="37"/>
  <c r="K32" i="37"/>
  <c r="L32" i="37"/>
  <c r="M32" i="37"/>
  <c r="C34" i="37"/>
  <c r="D34" i="37"/>
  <c r="E34" i="37"/>
  <c r="G34" i="37"/>
  <c r="H34" i="37"/>
  <c r="I34" i="37"/>
  <c r="K34" i="37"/>
  <c r="L34" i="37"/>
  <c r="M34" i="37"/>
  <c r="C36" i="37"/>
  <c r="D36" i="37"/>
  <c r="E36" i="37"/>
  <c r="G36" i="37"/>
  <c r="H36" i="37"/>
  <c r="I36" i="37"/>
  <c r="K36" i="37"/>
  <c r="L36" i="37"/>
  <c r="M36" i="37"/>
  <c r="C38" i="37"/>
  <c r="D38" i="37"/>
  <c r="E38" i="37"/>
  <c r="G38" i="37"/>
  <c r="H38" i="37"/>
  <c r="I38" i="37"/>
  <c r="K38" i="37"/>
  <c r="L38" i="37"/>
  <c r="M3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  <author>Trey Hardy</author>
  </authors>
  <commentList>
    <comment ref="D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= ($127K)
Interest Income Ecoelectrica Subordinated Debt = ($375K)
Interest Expense in San Juan Gas = $147
LNG capital charge = ($122)
Middle East capital charge = $652
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Income= ($127K)
Interest Income Ecoelectrica Subordinated Debt = ($506K)
Interest expense in San Juan Gas = $240K
LNG capital charge = ($188)
Middle East capital charge = $652
</t>
        </r>
      </text>
    </comment>
    <comment ref="G41" authorId="1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Adjust for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$4617 plan reported less $652 capital charge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($813) Total Margin
($506) Inc from Subordinated Debt
 $240  Interest Exp in San Juan Gas</t>
        </r>
      </text>
    </comment>
    <comment ref="M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$85 Plan Margin
($375) Plan Inc from Subordinated Debt
 $147  Plan Interest Exp in San Juan Gas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<sst xmlns="http://schemas.openxmlformats.org/spreadsheetml/2006/main" count="409" uniqueCount="119">
  <si>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</si>
  <si>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</si>
  <si>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</si>
  <si>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</si>
  <si>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</si>
  <si>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</si>
  <si>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</si>
  <si>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</si>
  <si>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</si>
  <si>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</si>
  <si>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</si>
  <si>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</si>
  <si>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</si>
  <si>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</si>
  <si>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</si>
  <si>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</si>
  <si>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</si>
  <si>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</si>
  <si>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</si>
  <si>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</si>
  <si>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</si>
  <si>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</si>
  <si>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</si>
  <si>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</si>
  <si>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</si>
  <si>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</si>
  <si>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</si>
  <si>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</si>
  <si>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</si>
  <si>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</si>
  <si>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</si>
  <si>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</si>
  <si>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</si>
  <si>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</si>
  <si>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</si>
  <si>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</si>
  <si>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</si>
  <si>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</si>
  <si>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</si>
  <si>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</si>
  <si>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</si>
  <si>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</si>
  <si>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</si>
  <si>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</si>
  <si>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</si>
  <si>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</si>
  <si>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</si>
  <si>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</si>
  <si>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</si>
  <si>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</si>
  <si>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</si>
  <si>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</si>
  <si>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</si>
  <si>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</si>
  <si>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</si>
  <si>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</si>
  <si>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</si>
  <si>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</si>
  <si>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</si>
  <si>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</si>
  <si>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</si>
  <si>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</si>
  <si>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</si>
  <si>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</si>
  <si>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</si>
  <si>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</si>
  <si>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</si>
  <si>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</si>
  <si>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</si>
  <si>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</si>
  <si>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</si>
  <si>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</si>
  <si>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</si>
  <si>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</si>
  <si>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</si>
  <si>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</si>
  <si>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</si>
  <si>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</si>
  <si>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</si>
  <si>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</si>
  <si>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</si>
  <si>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</si>
  <si>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</si>
  <si>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</si>
  <si>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</si>
  <si>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</si>
  <si>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</si>
  <si>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</si>
  <si>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</si>
  <si>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</si>
  <si>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</si>
  <si>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</si>
  <si>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</si>
  <si>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</si>
  <si>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</si>
  <si>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</si>
  <si>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</si>
  <si>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</si>
  <si>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</si>
  <si>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</si>
  <si>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</si>
  <si>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</si>
  <si>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</si>
  <si>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</si>
  <si>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</si>
  <si>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</si>
  <si>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</si>
  <si>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</si>
  <si>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</si>
  <si>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</si>
  <si>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</si>
  <si>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</si>
  <si>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</si>
  <si>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</si>
  <si>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Results based on activity through October 19, 2000</t>
  </si>
  <si>
    <t>Group Support Cost</t>
  </si>
  <si>
    <t>Subtotal LNG / ME / PR</t>
  </si>
  <si>
    <t>Subtotal LNG / ME / PR Change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</si>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</sst>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1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D185DA68-5693-CE0B-7955-7BAF69223BB5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E9B05860-3BB2-21A7-A7B9-FD5B176859E0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98658391-3EC0-7898-E6DE-71449697EB46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4FA25D3D-DCE1-FEA9-FBD2-EBEC82B1BA4D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09FC0C50-336F-433F-4AF2-48AF1F9E8081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93F74FEA-CB27-C009-5B46-E8597C68B12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>
          <a:extLst>
            <a:ext uri="{FF2B5EF4-FFF2-40B4-BE49-F238E27FC236}">
              <a16:creationId xmlns:a16="http://schemas.microsoft.com/office/drawing/2014/main" id="{032D1136-9A09-9DDD-DF65-9C471B618D5F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960EF0EF-12BA-9A50-3303-A7BCFD95B5BD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878F2E0B-6367-57DB-89D5-09C83FAB677F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1133B00D-461B-17C6-A39E-26555DFC6F31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92DCEE1A-7023-BE94-2504-DA10EA4E7799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12C63FD9-7504-587F-D7F3-C17B94649F40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1050EA46-B54B-3690-1F3B-54C73AEAE22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548D9B58-07D5-0DFB-36D4-FB0AD6BEE73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86299589-657F-4F53-0629-DB692DB9123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B40CDD3E-F03E-67CB-712D-6C1D6692AF1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55D9AEBC-7A19-4B7D-88FD-09791A2176CA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October 12,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9532</v>
          </cell>
          <cell r="H9">
            <v>0</v>
          </cell>
          <cell r="I9">
            <v>0</v>
          </cell>
          <cell r="J9">
            <v>9532</v>
          </cell>
          <cell r="L9">
            <v>0</v>
          </cell>
          <cell r="M9">
            <v>6246</v>
          </cell>
          <cell r="N9">
            <v>8446</v>
          </cell>
          <cell r="O9">
            <v>-5160</v>
          </cell>
          <cell r="Q9">
            <v>-20468</v>
          </cell>
          <cell r="S9">
            <v>0</v>
          </cell>
          <cell r="T9">
            <v>0</v>
          </cell>
          <cell r="U9">
            <v>-600</v>
          </cell>
          <cell r="V9">
            <v>-21068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3419.6660000000002</v>
          </cell>
          <cell r="H10">
            <v>0</v>
          </cell>
          <cell r="I10">
            <v>0</v>
          </cell>
          <cell r="J10">
            <v>3419.6660000000002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-1258.2339999999997</v>
          </cell>
          <cell r="Q10">
            <v>-9327.5339999999997</v>
          </cell>
          <cell r="S10">
            <v>189</v>
          </cell>
          <cell r="T10">
            <v>380</v>
          </cell>
          <cell r="U10">
            <v>0</v>
          </cell>
          <cell r="V10">
            <v>-8759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299</v>
          </cell>
          <cell r="H11">
            <v>0</v>
          </cell>
          <cell r="I11">
            <v>0</v>
          </cell>
          <cell r="J11">
            <v>299</v>
          </cell>
          <cell r="L11">
            <v>0</v>
          </cell>
          <cell r="M11">
            <v>1224.0999999999999</v>
          </cell>
          <cell r="N11">
            <v>274.5</v>
          </cell>
          <cell r="O11">
            <v>-1199.5999999999999</v>
          </cell>
          <cell r="Q11">
            <v>-451</v>
          </cell>
          <cell r="S11">
            <v>0</v>
          </cell>
          <cell r="T11">
            <v>-1120</v>
          </cell>
          <cell r="U11">
            <v>0</v>
          </cell>
          <cell r="V11">
            <v>-1571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263.23200000000003</v>
          </cell>
          <cell r="H12">
            <v>0</v>
          </cell>
          <cell r="I12">
            <v>0</v>
          </cell>
          <cell r="J12">
            <v>263.23200000000003</v>
          </cell>
          <cell r="L12">
            <v>0</v>
          </cell>
          <cell r="M12">
            <v>892.1</v>
          </cell>
          <cell r="N12">
            <v>822.7</v>
          </cell>
          <cell r="O12">
            <v>-1451.568</v>
          </cell>
          <cell r="Q12">
            <v>-2951.5680000000002</v>
          </cell>
          <cell r="S12">
            <v>0</v>
          </cell>
          <cell r="T12">
            <v>0</v>
          </cell>
          <cell r="U12">
            <v>0</v>
          </cell>
          <cell r="V12">
            <v>-2952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272</v>
          </cell>
          <cell r="H14">
            <v>0</v>
          </cell>
          <cell r="I14">
            <v>0</v>
          </cell>
          <cell r="J14">
            <v>272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-3138.25</v>
          </cell>
          <cell r="Q14">
            <v>-8711.2109999999993</v>
          </cell>
          <cell r="S14">
            <v>0</v>
          </cell>
          <cell r="T14">
            <v>0</v>
          </cell>
          <cell r="U14">
            <v>0</v>
          </cell>
          <cell r="V14">
            <v>-8711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880</v>
          </cell>
          <cell r="N15">
            <v>0</v>
          </cell>
          <cell r="O15">
            <v>-880</v>
          </cell>
          <cell r="Q15">
            <v>0</v>
          </cell>
          <cell r="S15">
            <v>0</v>
          </cell>
          <cell r="T15">
            <v>-880</v>
          </cell>
          <cell r="U15">
            <v>0</v>
          </cell>
          <cell r="V15">
            <v>-880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350</v>
          </cell>
          <cell r="N17">
            <v>0</v>
          </cell>
          <cell r="O17">
            <v>-350</v>
          </cell>
          <cell r="Q17">
            <v>0</v>
          </cell>
          <cell r="S17">
            <v>0</v>
          </cell>
          <cell r="T17">
            <v>-350</v>
          </cell>
          <cell r="U17">
            <v>0</v>
          </cell>
          <cell r="V17">
            <v>-350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13785.898000000001</v>
          </cell>
          <cell r="H19">
            <v>0</v>
          </cell>
          <cell r="I19">
            <v>0</v>
          </cell>
          <cell r="J19">
            <v>13785.898000000001</v>
          </cell>
          <cell r="K19">
            <v>0</v>
          </cell>
          <cell r="L19">
            <v>658</v>
          </cell>
          <cell r="M19">
            <v>14808.577000000001</v>
          </cell>
          <cell r="N19">
            <v>13436.473000000002</v>
          </cell>
          <cell r="O19">
            <v>-15117.151999999998</v>
          </cell>
          <cell r="Q19">
            <v>-59721.312999999995</v>
          </cell>
          <cell r="R19">
            <v>0</v>
          </cell>
          <cell r="S19">
            <v>189</v>
          </cell>
          <cell r="T19">
            <v>-1970</v>
          </cell>
          <cell r="U19">
            <v>-600</v>
          </cell>
          <cell r="V19">
            <v>-62103</v>
          </cell>
        </row>
        <row r="21">
          <cell r="A21" t="str">
            <v>LNG</v>
          </cell>
          <cell r="C21">
            <v>1153</v>
          </cell>
          <cell r="D21">
            <v>1375</v>
          </cell>
          <cell r="E21">
            <v>-222</v>
          </cell>
          <cell r="G21">
            <v>356</v>
          </cell>
          <cell r="H21">
            <v>0</v>
          </cell>
          <cell r="I21">
            <v>0</v>
          </cell>
          <cell r="J21">
            <v>356</v>
          </cell>
          <cell r="L21">
            <v>-122</v>
          </cell>
          <cell r="M21">
            <v>1377</v>
          </cell>
          <cell r="N21">
            <v>0</v>
          </cell>
          <cell r="O21">
            <v>-899</v>
          </cell>
          <cell r="Q21">
            <v>-797</v>
          </cell>
          <cell r="S21">
            <v>112</v>
          </cell>
          <cell r="T21">
            <v>8</v>
          </cell>
          <cell r="U21">
            <v>0</v>
          </cell>
          <cell r="V21">
            <v>-677</v>
          </cell>
        </row>
        <row r="22">
          <cell r="A22" t="str">
            <v>Middle East</v>
          </cell>
          <cell r="C22">
            <v>3965</v>
          </cell>
          <cell r="D22">
            <v>2188</v>
          </cell>
          <cell r="E22">
            <v>1777</v>
          </cell>
          <cell r="G22">
            <v>135</v>
          </cell>
          <cell r="H22">
            <v>0</v>
          </cell>
          <cell r="I22">
            <v>0</v>
          </cell>
          <cell r="J22">
            <v>135</v>
          </cell>
          <cell r="L22">
            <v>652</v>
          </cell>
          <cell r="M22">
            <v>1538</v>
          </cell>
          <cell r="N22">
            <v>0</v>
          </cell>
          <cell r="O22">
            <v>-2055</v>
          </cell>
          <cell r="Q22">
            <v>-3830</v>
          </cell>
          <cell r="S22">
            <v>0</v>
          </cell>
          <cell r="T22">
            <v>-2</v>
          </cell>
          <cell r="U22">
            <v>0</v>
          </cell>
          <cell r="V22">
            <v>-3832</v>
          </cell>
        </row>
        <row r="23">
          <cell r="A23" t="str">
            <v>Puerto Rico</v>
          </cell>
          <cell r="C23">
            <v>1363</v>
          </cell>
          <cell r="D23">
            <v>1454</v>
          </cell>
          <cell r="E23">
            <v>-91</v>
          </cell>
          <cell r="G23">
            <v>104</v>
          </cell>
          <cell r="H23">
            <v>0</v>
          </cell>
          <cell r="I23">
            <v>0</v>
          </cell>
          <cell r="J23">
            <v>104</v>
          </cell>
          <cell r="L23">
            <v>0</v>
          </cell>
          <cell r="M23">
            <v>615</v>
          </cell>
          <cell r="N23">
            <v>0</v>
          </cell>
          <cell r="O23">
            <v>-511</v>
          </cell>
          <cell r="Q23">
            <v>-1259</v>
          </cell>
          <cell r="S23">
            <v>0</v>
          </cell>
          <cell r="T23">
            <v>839</v>
          </cell>
          <cell r="U23">
            <v>0</v>
          </cell>
          <cell r="V23">
            <v>-420</v>
          </cell>
        </row>
        <row r="25">
          <cell r="A25" t="str">
            <v>Subtotal CALME</v>
          </cell>
          <cell r="C25">
            <v>6481</v>
          </cell>
          <cell r="D25">
            <v>5017</v>
          </cell>
          <cell r="E25">
            <v>1464</v>
          </cell>
          <cell r="F25">
            <v>0</v>
          </cell>
          <cell r="G25">
            <v>595</v>
          </cell>
          <cell r="H25">
            <v>0</v>
          </cell>
          <cell r="I25">
            <v>0</v>
          </cell>
          <cell r="J25">
            <v>595</v>
          </cell>
          <cell r="K25">
            <v>0</v>
          </cell>
          <cell r="L25">
            <v>530</v>
          </cell>
          <cell r="M25">
            <v>3530</v>
          </cell>
          <cell r="N25">
            <v>0</v>
          </cell>
          <cell r="O25">
            <v>-3465</v>
          </cell>
          <cell r="Q25">
            <v>-5886</v>
          </cell>
          <cell r="R25">
            <v>0</v>
          </cell>
          <cell r="S25">
            <v>112</v>
          </cell>
          <cell r="T25">
            <v>845</v>
          </cell>
          <cell r="U25">
            <v>0</v>
          </cell>
          <cell r="V25">
            <v>-4929</v>
          </cell>
        </row>
        <row r="28">
          <cell r="A28" t="str">
            <v>Total Commercial / CALME</v>
          </cell>
          <cell r="C28">
            <v>79988.210999999996</v>
          </cell>
          <cell r="D28">
            <v>31539.05</v>
          </cell>
          <cell r="E28">
            <v>48449.161000000007</v>
          </cell>
          <cell r="F28">
            <v>0</v>
          </cell>
          <cell r="G28">
            <v>14380.898000000001</v>
          </cell>
          <cell r="H28">
            <v>0</v>
          </cell>
          <cell r="I28">
            <v>0</v>
          </cell>
          <cell r="J28">
            <v>14380.898000000001</v>
          </cell>
          <cell r="K28">
            <v>0</v>
          </cell>
          <cell r="L28">
            <v>1188</v>
          </cell>
          <cell r="M28">
            <v>18338.577000000001</v>
          </cell>
          <cell r="N28">
            <v>13436.473000000002</v>
          </cell>
          <cell r="O28">
            <v>-18582.151999999998</v>
          </cell>
          <cell r="Q28">
            <v>-65607.312999999995</v>
          </cell>
          <cell r="R28">
            <v>0</v>
          </cell>
          <cell r="S28">
            <v>301</v>
          </cell>
          <cell r="T28">
            <v>-1125</v>
          </cell>
          <cell r="U28">
            <v>-600</v>
          </cell>
          <cell r="V28">
            <v>-67032</v>
          </cell>
        </row>
        <row r="30">
          <cell r="A30" t="str">
            <v>Group</v>
          </cell>
          <cell r="C30">
            <v>0</v>
          </cell>
          <cell r="D30">
            <v>26030</v>
          </cell>
          <cell r="E30">
            <v>-26030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26630</v>
          </cell>
          <cell r="N30">
            <v>0</v>
          </cell>
          <cell r="O30">
            <v>-26630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-1489</v>
          </cell>
          <cell r="E33">
            <v>1489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-1188</v>
          </cell>
          <cell r="M33">
            <v>0</v>
          </cell>
          <cell r="N33">
            <v>0</v>
          </cell>
          <cell r="O33">
            <v>1188</v>
          </cell>
          <cell r="Q33">
            <v>0</v>
          </cell>
          <cell r="S33">
            <v>-301</v>
          </cell>
          <cell r="T33">
            <v>0</v>
          </cell>
          <cell r="U33">
            <v>0</v>
          </cell>
          <cell r="V33">
            <v>-301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79468.210999999996</v>
          </cell>
          <cell r="D35">
            <v>43243.577000000005</v>
          </cell>
          <cell r="E35">
            <v>36224.634000000005</v>
          </cell>
          <cell r="G35">
            <v>13860.898000000001</v>
          </cell>
          <cell r="H35">
            <v>0</v>
          </cell>
          <cell r="I35">
            <v>0</v>
          </cell>
          <cell r="J35">
            <v>13860.898000000001</v>
          </cell>
          <cell r="K35">
            <v>0</v>
          </cell>
          <cell r="L35">
            <v>0</v>
          </cell>
          <cell r="M35">
            <v>44968.577000000005</v>
          </cell>
          <cell r="N35">
            <v>0</v>
          </cell>
          <cell r="O35">
            <v>-31107.679000000004</v>
          </cell>
          <cell r="Q35">
            <v>-65607.312999999995</v>
          </cell>
          <cell r="R35">
            <v>0</v>
          </cell>
          <cell r="S35">
            <v>0</v>
          </cell>
          <cell r="T35">
            <v>-1725</v>
          </cell>
          <cell r="U35">
            <v>-600</v>
          </cell>
          <cell r="V35">
            <v>-67933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175</v>
          </cell>
          <cell r="E37">
            <v>-175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137</v>
          </cell>
          <cell r="N37">
            <v>0</v>
          </cell>
          <cell r="O37">
            <v>-137</v>
          </cell>
          <cell r="Q37">
            <v>0</v>
          </cell>
          <cell r="S37">
            <v>0</v>
          </cell>
          <cell r="T37">
            <v>38</v>
          </cell>
          <cell r="U37">
            <v>0</v>
          </cell>
          <cell r="V37">
            <v>38</v>
          </cell>
        </row>
        <row r="39">
          <cell r="A39" t="str">
            <v>Global Markets Pre-tax Income</v>
          </cell>
          <cell r="C39">
            <v>79468.210999999996</v>
          </cell>
          <cell r="D39">
            <v>43418.577000000005</v>
          </cell>
          <cell r="E39">
            <v>36049.634000000005</v>
          </cell>
          <cell r="G39">
            <v>13860.898000000001</v>
          </cell>
          <cell r="H39">
            <v>0</v>
          </cell>
          <cell r="I39">
            <v>0</v>
          </cell>
          <cell r="J39">
            <v>13860.898000000001</v>
          </cell>
          <cell r="K39">
            <v>0</v>
          </cell>
          <cell r="L39">
            <v>0</v>
          </cell>
          <cell r="M39">
            <v>45105.577000000005</v>
          </cell>
          <cell r="N39">
            <v>0</v>
          </cell>
          <cell r="O39">
            <v>-31244.679000000004</v>
          </cell>
          <cell r="Q39">
            <v>-65607.312999999995</v>
          </cell>
          <cell r="R39">
            <v>0</v>
          </cell>
          <cell r="S39">
            <v>0</v>
          </cell>
          <cell r="T39">
            <v>-1687</v>
          </cell>
          <cell r="U39">
            <v>-600</v>
          </cell>
          <cell r="V39">
            <v>-67895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3"/>
      <sheetData sheetId="4">
        <row r="10">
          <cell r="D10">
            <v>9532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3282</v>
          </cell>
          <cell r="E11">
            <v>57.942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299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263.23200000000003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332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-83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26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356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880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1377</v>
          </cell>
          <cell r="E20">
            <v>1385</v>
          </cell>
        </row>
        <row r="21">
          <cell r="D21">
            <v>1538</v>
          </cell>
          <cell r="E21">
            <v>1536</v>
          </cell>
        </row>
        <row r="22">
          <cell r="D22">
            <v>615</v>
          </cell>
          <cell r="E22">
            <v>1454</v>
          </cell>
        </row>
        <row r="29">
          <cell r="D29">
            <v>26630</v>
          </cell>
          <cell r="E29">
            <v>26030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3" t="s">
        <v>70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60"/>
    </row>
    <row r="2" spans="1:24" ht="16.5">
      <c r="A2" s="284" t="s">
        <v>86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61"/>
    </row>
    <row r="3" spans="1:24" ht="13.5">
      <c r="A3" s="285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62"/>
    </row>
    <row r="4" spans="1:24" ht="3" customHeight="1"/>
    <row r="5" spans="1:24" s="34" customFormat="1" ht="15" customHeight="1">
      <c r="A5" s="106"/>
      <c r="C5" s="280" t="s">
        <v>8</v>
      </c>
      <c r="D5" s="281"/>
      <c r="E5" s="282"/>
      <c r="G5" s="280" t="s">
        <v>41</v>
      </c>
      <c r="H5" s="281"/>
      <c r="I5" s="281"/>
      <c r="J5" s="281"/>
      <c r="K5" s="281"/>
      <c r="L5" s="281"/>
      <c r="M5" s="281"/>
      <c r="N5" s="281"/>
      <c r="O5" s="282"/>
      <c r="Q5" s="280" t="s">
        <v>36</v>
      </c>
      <c r="R5" s="281"/>
      <c r="S5" s="281"/>
      <c r="T5" s="281"/>
      <c r="U5" s="281"/>
      <c r="V5" s="28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39077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39077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-2124.7433571884067</v>
      </c>
      <c r="P9" s="37"/>
      <c r="Q9" s="133">
        <f t="shared" ref="Q9:Q16" si="3">+J9-C9</f>
        <v>-40923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-41523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8889.2348000000002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8889.2348000000002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-7498.4652000000006</v>
      </c>
      <c r="P10" s="37"/>
      <c r="Q10" s="133">
        <f t="shared" si="3"/>
        <v>-29352.365200000007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-28783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-2742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-2742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-4819.2000000000007</v>
      </c>
      <c r="P11" s="37"/>
      <c r="Q11" s="133">
        <f t="shared" si="3"/>
        <v>-4992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-6112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10144.530000000001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10144.530000000001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4423.0300000000007</v>
      </c>
      <c r="P12" s="37"/>
      <c r="Q12" s="133">
        <f t="shared" si="3"/>
        <v>500.1299999999992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500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44383.7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44383.7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34654.649999999994</v>
      </c>
      <c r="P14" s="181"/>
      <c r="Q14" s="139">
        <f t="shared" si="3"/>
        <v>17506.688999999998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17507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350</v>
      </c>
      <c r="N16" s="36">
        <f>+'[1]Mgmt Summary'!N17+'[2]Mgmt Summary'!N17+'Mgmt Summary'!N17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-350</v>
      </c>
      <c r="U16" s="36">
        <f>'CapChrg-AllocExp'!M24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100972.46479999999</v>
      </c>
      <c r="H18" s="44">
        <f>SUM(H9:H16)</f>
        <v>0</v>
      </c>
      <c r="I18" s="45">
        <f>SUM(I15:I17)</f>
        <v>0</v>
      </c>
      <c r="J18" s="46">
        <f>SUM(J9:J17)</f>
        <v>100972.46479999999</v>
      </c>
      <c r="K18" s="44">
        <f>SUM(K15:K16)</f>
        <v>0</v>
      </c>
      <c r="L18" s="43">
        <f>SUM(L9:L17)</f>
        <v>1918.5</v>
      </c>
      <c r="M18" s="44">
        <f>SUM(M9:M17)</f>
        <v>45808.107468399008</v>
      </c>
      <c r="N18" s="44">
        <f>SUM(N9:N17)</f>
        <v>32716.985888789397</v>
      </c>
      <c r="O18" s="46">
        <f>SUM(O9:O17)</f>
        <v>20528.871442811585</v>
      </c>
      <c r="P18" s="44">
        <f>SUM(P15:P16)</f>
        <v>0</v>
      </c>
      <c r="Q18" s="43">
        <f>SUM(Q9:Q17)</f>
        <v>-89277.146200000003</v>
      </c>
      <c r="R18" s="44">
        <f>SUM(R15:R17)</f>
        <v>0</v>
      </c>
      <c r="S18" s="44">
        <f>SUM(S9:S17)</f>
        <v>189</v>
      </c>
      <c r="T18" s="44">
        <f>SUM(T9:T17)</f>
        <v>-1090</v>
      </c>
      <c r="U18" s="44">
        <f>SUM(U9:U17)</f>
        <v>-600</v>
      </c>
      <c r="V18" s="45">
        <f>SUM(V9:V17)</f>
        <v>-90778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26030</v>
      </c>
      <c r="E20" s="135">
        <f>C20-D20</f>
        <v>-26030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45910.512888789402</v>
      </c>
      <c r="N20" s="36">
        <f>+'[1]Mgmt Summary'!N21+'[2]Mgmt Summary'!N21+'Mgmt Summary'!N30</f>
        <v>-19280.512888789402</v>
      </c>
      <c r="O20" s="136">
        <f>J20-K20-M20-N20-L20</f>
        <v>-26630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-2854</v>
      </c>
      <c r="E22" s="135">
        <f>C22-D22</f>
        <v>2854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-2382.5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2382.5</v>
      </c>
      <c r="P22" s="37"/>
      <c r="Q22" s="133">
        <f>+J22-C22</f>
        <v>0</v>
      </c>
      <c r="R22" s="36"/>
      <c r="S22" s="36">
        <f>'CapChrg-AllocExp'!F28</f>
        <v>-362</v>
      </c>
      <c r="T22" s="36">
        <v>0</v>
      </c>
      <c r="U22" s="36">
        <v>0</v>
      </c>
      <c r="V22" s="135">
        <f>ROUND(SUM(Q22:U22),0)</f>
        <v>-362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100712.34999999999</v>
      </c>
      <c r="E24" s="45">
        <f>SUM(E18:E23)</f>
        <v>87809.434000000008</v>
      </c>
      <c r="F24" s="36"/>
      <c r="G24" s="43">
        <f t="shared" ref="G24:N24" si="5">SUM(G18:G23)</f>
        <v>99244.637799999982</v>
      </c>
      <c r="H24" s="44">
        <f t="shared" si="5"/>
        <v>0</v>
      </c>
      <c r="I24" s="44">
        <f t="shared" si="5"/>
        <v>0</v>
      </c>
      <c r="J24" s="46">
        <f t="shared" si="5"/>
        <v>99244.637799999982</v>
      </c>
      <c r="K24" s="44">
        <f t="shared" si="5"/>
        <v>0</v>
      </c>
      <c r="L24" s="43">
        <f t="shared" si="5"/>
        <v>-464</v>
      </c>
      <c r="M24" s="44">
        <f t="shared" si="5"/>
        <v>91718.620357188411</v>
      </c>
      <c r="N24" s="44">
        <f t="shared" si="5"/>
        <v>13436.472999999994</v>
      </c>
      <c r="O24" s="46">
        <f>J24-K24-M24-N24-L24</f>
        <v>-5446.455557188423</v>
      </c>
      <c r="P24" s="37"/>
      <c r="Q24" s="43">
        <f t="shared" ref="Q24:V24" si="6">SUM(Q18:Q23)</f>
        <v>-89277.146200000003</v>
      </c>
      <c r="R24" s="44">
        <f t="shared" si="6"/>
        <v>0</v>
      </c>
      <c r="S24" s="44">
        <f t="shared" si="6"/>
        <v>-173</v>
      </c>
      <c r="T24" s="44">
        <f t="shared" si="6"/>
        <v>-1690</v>
      </c>
      <c r="U24" s="44">
        <f t="shared" si="6"/>
        <v>-600</v>
      </c>
      <c r="V24" s="45">
        <f t="shared" si="6"/>
        <v>-91740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-3237</v>
      </c>
      <c r="E26" s="135">
        <f>C26-D26</f>
        <v>3237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-3341</v>
      </c>
      <c r="N26" s="36">
        <f>+'[1]Mgmt Summary'!N27+'[2]Mgmt Summary'!N27+'Mgmt Summary'!N37</f>
        <v>0</v>
      </c>
      <c r="O26" s="136">
        <f>J26-K26-M26-N26-L26</f>
        <v>3341</v>
      </c>
      <c r="P26" s="37"/>
      <c r="Q26" s="133">
        <f>+J26-C26</f>
        <v>0</v>
      </c>
      <c r="R26" s="36"/>
      <c r="S26" s="36">
        <v>0</v>
      </c>
      <c r="T26" s="36">
        <f>D26-M26</f>
        <v>104</v>
      </c>
      <c r="U26" s="36">
        <v>0</v>
      </c>
      <c r="V26" s="135">
        <f>ROUND(SUM(Q26:U26),0)</f>
        <v>104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97475.349999999991</v>
      </c>
      <c r="E28" s="41">
        <f>SUM(E24:E26)</f>
        <v>91046.434000000008</v>
      </c>
      <c r="F28" s="36"/>
      <c r="G28" s="39">
        <f t="shared" ref="G28:N28" si="7">SUM(G24:G26)</f>
        <v>99244.637799999982</v>
      </c>
      <c r="H28" s="40">
        <f t="shared" si="7"/>
        <v>0</v>
      </c>
      <c r="I28" s="40">
        <f t="shared" si="7"/>
        <v>0</v>
      </c>
      <c r="J28" s="42">
        <f t="shared" si="7"/>
        <v>99244.637799999982</v>
      </c>
      <c r="K28" s="40">
        <f t="shared" si="7"/>
        <v>0</v>
      </c>
      <c r="L28" s="39">
        <f t="shared" si="7"/>
        <v>-464</v>
      </c>
      <c r="M28" s="40">
        <f t="shared" si="7"/>
        <v>88377.620357188411</v>
      </c>
      <c r="N28" s="40">
        <f t="shared" si="7"/>
        <v>13436.472999999994</v>
      </c>
      <c r="O28" s="42">
        <f>J28-K28-M28-N28-L28</f>
        <v>-2105.455557188423</v>
      </c>
      <c r="P28" s="37"/>
      <c r="Q28" s="39">
        <f t="shared" ref="Q28:V28" si="8">SUM(Q24:Q26)</f>
        <v>-89277.146200000003</v>
      </c>
      <c r="R28" s="40">
        <f t="shared" si="8"/>
        <v>0</v>
      </c>
      <c r="S28" s="40">
        <f t="shared" si="8"/>
        <v>-173</v>
      </c>
      <c r="T28" s="40">
        <f t="shared" si="8"/>
        <v>-1586</v>
      </c>
      <c r="U28" s="40">
        <f t="shared" si="8"/>
        <v>-600</v>
      </c>
      <c r="V28" s="41">
        <f t="shared" si="8"/>
        <v>-91636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1"/>
  <sheetViews>
    <sheetView tabSelected="1" zoomScale="95" workbookViewId="0">
      <selection activeCell="H11" sqref="H11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 t="s">
        <v>92</v>
      </c>
      <c r="N2" s="194"/>
      <c r="O2" s="194"/>
      <c r="P2" s="194"/>
      <c r="Q2" s="194"/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 t="str">
        <f>+'Mgmt Summary'!A3</f>
        <v>Results based on activity through October 19, 2000</v>
      </c>
      <c r="N3"/>
      <c r="O3"/>
      <c r="P3"/>
      <c r="Q3"/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286" t="s">
        <v>88</v>
      </c>
      <c r="L5" s="287"/>
      <c r="M5" s="28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</row>
    <row r="8" spans="1:22" s="32" customFormat="1" ht="13.5" customHeight="1">
      <c r="A8" s="223" t="s">
        <v>79</v>
      </c>
      <c r="B8" s="224"/>
      <c r="C8" s="225">
        <f>+'Mgmt Summary'!J9</f>
        <v>-5122</v>
      </c>
      <c r="D8" s="226">
        <f>+'Mgmt Summary'!C9</f>
        <v>30000</v>
      </c>
      <c r="E8" s="227">
        <f t="shared" ref="E8:E13" si="0">-D8+C8</f>
        <v>-35122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-19814</v>
      </c>
      <c r="L8" s="226">
        <f t="shared" ref="K8:L13" si="2">D8-H8</f>
        <v>15908</v>
      </c>
      <c r="M8" s="227">
        <f t="shared" ref="M8:M13" si="3">K8-L8</f>
        <v>-35722</v>
      </c>
    </row>
    <row r="9" spans="1:22" s="32" customFormat="1" ht="13.5" customHeight="1">
      <c r="A9" s="223" t="s">
        <v>1</v>
      </c>
      <c r="B9" s="224"/>
      <c r="C9" s="225">
        <f>+'Mgmt Summary'!J10</f>
        <v>2521.2348000000002</v>
      </c>
      <c r="D9" s="226">
        <f>+'Mgmt Summary'!C10</f>
        <v>12747.2</v>
      </c>
      <c r="E9" s="227">
        <f t="shared" si="0"/>
        <v>-10225.965200000001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-2156.6651999999995</v>
      </c>
      <c r="L9" s="226">
        <f t="shared" si="2"/>
        <v>7500.3000000000011</v>
      </c>
      <c r="M9" s="227">
        <f t="shared" si="3"/>
        <v>-9656.9652000000006</v>
      </c>
    </row>
    <row r="10" spans="1:22" s="32" customFormat="1" ht="13.5" customHeight="1">
      <c r="A10" s="223" t="s">
        <v>44</v>
      </c>
      <c r="B10" s="224"/>
      <c r="C10" s="225">
        <f>+'Mgmt Summary'!J11</f>
        <v>502</v>
      </c>
      <c r="D10" s="226">
        <f>+'Mgmt Summary'!C11</f>
        <v>750</v>
      </c>
      <c r="E10" s="227">
        <f t="shared" si="0"/>
        <v>-248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-996.59999999999991</v>
      </c>
      <c r="L10" s="226">
        <f t="shared" si="2"/>
        <v>371.4</v>
      </c>
      <c r="M10" s="227">
        <f t="shared" si="3"/>
        <v>-1368</v>
      </c>
    </row>
    <row r="11" spans="1:22" s="32" customFormat="1" ht="13.5" customHeight="1">
      <c r="A11" s="223" t="s">
        <v>64</v>
      </c>
      <c r="B11" s="224"/>
      <c r="C11" s="225">
        <f>+'Mgmt Summary'!J12</f>
        <v>684.53</v>
      </c>
      <c r="D11" s="226">
        <f>+'Mgmt Summary'!C12</f>
        <v>3214.8</v>
      </c>
      <c r="E11" s="227">
        <f t="shared" si="0"/>
        <v>-2530.2700000000004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-1030.2700000000002</v>
      </c>
      <c r="L11" s="226">
        <f t="shared" si="2"/>
        <v>1500</v>
      </c>
      <c r="M11" s="227">
        <f t="shared" si="3"/>
        <v>-2530.2700000000004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</row>
    <row r="13" spans="1:22" s="32" customFormat="1" ht="13.5" customHeight="1">
      <c r="A13" s="223" t="s">
        <v>50</v>
      </c>
      <c r="B13" s="224"/>
      <c r="C13" s="225">
        <f>+'Mgmt Summary'!J14</f>
        <v>-1731</v>
      </c>
      <c r="D13" s="226">
        <f>+'Mgmt Summary'!C14</f>
        <v>8983.2109999999993</v>
      </c>
      <c r="E13" s="227">
        <f t="shared" si="0"/>
        <v>-10714.210999999999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-5141.25</v>
      </c>
      <c r="L13" s="226">
        <f t="shared" si="2"/>
        <v>5572.9609999999993</v>
      </c>
      <c r="M13" s="227">
        <f t="shared" si="3"/>
        <v>-10714.210999999999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4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5">C14-G14</f>
        <v>-980</v>
      </c>
      <c r="L14" s="226">
        <f t="shared" si="5"/>
        <v>0</v>
      </c>
      <c r="M14" s="227">
        <f t="shared" ref="M14:M22" si="6">K14-L14</f>
        <v>-980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5"/>
        <v>0</v>
      </c>
      <c r="L15" s="226">
        <f t="shared" si="5"/>
        <v>10100</v>
      </c>
      <c r="M15" s="227">
        <f>K15-L15</f>
        <v>-10100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350</v>
      </c>
      <c r="H16" s="226">
        <f>+Expenses!E16+'CapChrg-AllocExp'!L24</f>
        <v>0</v>
      </c>
      <c r="I16" s="227">
        <f>+H16-G16</f>
        <v>-350</v>
      </c>
      <c r="J16" s="228"/>
      <c r="K16" s="225">
        <f t="shared" si="5"/>
        <v>-350</v>
      </c>
      <c r="L16" s="226">
        <f t="shared" si="5"/>
        <v>0</v>
      </c>
      <c r="M16" s="227">
        <f>K16-L16</f>
        <v>-350</v>
      </c>
    </row>
    <row r="17" spans="1:13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</row>
    <row r="18" spans="1:13" s="220" customFormat="1" ht="16.5">
      <c r="A18" s="229" t="s">
        <v>107</v>
      </c>
      <c r="B18" s="219"/>
      <c r="C18" s="234">
        <f>SUM(C8:C17)</f>
        <v>-3145.2352000000001</v>
      </c>
      <c r="D18" s="235">
        <f t="shared" ref="D18:M18" si="7">SUM(D8:D17)</f>
        <v>73507.210999999996</v>
      </c>
      <c r="E18" s="236">
        <f t="shared" si="7"/>
        <v>-76652.446199999991</v>
      </c>
      <c r="F18" s="237">
        <f t="shared" si="7"/>
        <v>0</v>
      </c>
      <c r="G18" s="234">
        <f t="shared" si="7"/>
        <v>29003.05</v>
      </c>
      <c r="H18" s="235">
        <f t="shared" si="7"/>
        <v>26522.05</v>
      </c>
      <c r="I18" s="236">
        <f t="shared" si="7"/>
        <v>-2481</v>
      </c>
      <c r="J18" s="237">
        <f t="shared" si="7"/>
        <v>0</v>
      </c>
      <c r="K18" s="234">
        <f t="shared" si="7"/>
        <v>-32148.285199999998</v>
      </c>
      <c r="L18" s="235">
        <f t="shared" si="7"/>
        <v>46985.161000000007</v>
      </c>
      <c r="M18" s="236">
        <f t="shared" si="7"/>
        <v>-79133.446199999991</v>
      </c>
    </row>
    <row r="19" spans="1:13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</row>
    <row r="20" spans="1:13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4"/>
        <v>-1058</v>
      </c>
      <c r="F20" s="228"/>
      <c r="G20" s="225">
        <f>+Expenses!D20+'CapChrg-AllocExp'!K18+'CapChrg-AllocExp'!D18</f>
        <v>1189</v>
      </c>
      <c r="H20" s="226">
        <f>+Expenses!E20+'CapChrg-AllocExp'!L18+'CapChrg-AllocExp'!E18</f>
        <v>1370</v>
      </c>
      <c r="I20" s="227">
        <f>+H20-G20</f>
        <v>181</v>
      </c>
      <c r="J20" s="228"/>
      <c r="K20" s="225">
        <f t="shared" ref="K20:L22" si="8">C20-G20</f>
        <v>-1103</v>
      </c>
      <c r="L20" s="226">
        <f t="shared" si="8"/>
        <v>-226</v>
      </c>
      <c r="M20" s="227">
        <f t="shared" si="6"/>
        <v>-877</v>
      </c>
    </row>
    <row r="21" spans="1:13" s="32" customFormat="1" ht="13.5" customHeight="1">
      <c r="A21" s="223" t="s">
        <v>100</v>
      </c>
      <c r="B21" s="224"/>
      <c r="C21" s="225">
        <f>+'Mgmt Summary'!J22</f>
        <v>135</v>
      </c>
      <c r="D21" s="226">
        <f>+'Mgmt Summary'!C22</f>
        <v>3965</v>
      </c>
      <c r="E21" s="227">
        <f t="shared" si="4"/>
        <v>-3830</v>
      </c>
      <c r="F21" s="228"/>
      <c r="G21" s="225">
        <f>+Expenses!D21+'CapChrg-AllocExp'!K19+'CapChrg-AllocExp'!D19</f>
        <v>2190</v>
      </c>
      <c r="H21" s="226">
        <f>+Expenses!E21+'CapChrg-AllocExp'!L19+'CapChrg-AllocExp'!E19</f>
        <v>2188</v>
      </c>
      <c r="I21" s="227">
        <f>+H21-G21</f>
        <v>-2</v>
      </c>
      <c r="J21" s="228"/>
      <c r="K21" s="225">
        <f t="shared" si="8"/>
        <v>-2055</v>
      </c>
      <c r="L21" s="226">
        <f t="shared" si="8"/>
        <v>1777</v>
      </c>
      <c r="M21" s="227">
        <f t="shared" si="6"/>
        <v>-3832</v>
      </c>
    </row>
    <row r="22" spans="1:13" s="32" customFormat="1" ht="13.5" customHeight="1">
      <c r="A22" s="223" t="s">
        <v>101</v>
      </c>
      <c r="B22" s="224"/>
      <c r="C22" s="268">
        <f>+'Mgmt Summary'!J23</f>
        <v>-1079</v>
      </c>
      <c r="D22" s="269">
        <f>+'Mgmt Summary'!C23</f>
        <v>-143</v>
      </c>
      <c r="E22" s="270">
        <f t="shared" si="4"/>
        <v>-936</v>
      </c>
      <c r="F22" s="228"/>
      <c r="G22" s="268">
        <f>+Expenses!D22+'CapChrg-AllocExp'!K20+'CapChrg-AllocExp'!D20</f>
        <v>615</v>
      </c>
      <c r="H22" s="269">
        <f>+Expenses!E22+'CapChrg-AllocExp'!L20+'CapChrg-AllocExp'!E20</f>
        <v>1601</v>
      </c>
      <c r="I22" s="270">
        <f>+H22-G22</f>
        <v>986</v>
      </c>
      <c r="J22" s="228"/>
      <c r="K22" s="268">
        <f t="shared" si="8"/>
        <v>-1694</v>
      </c>
      <c r="L22" s="269">
        <f t="shared" si="8"/>
        <v>-1744</v>
      </c>
      <c r="M22" s="270">
        <f t="shared" si="6"/>
        <v>50</v>
      </c>
    </row>
    <row r="23" spans="1:13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</row>
    <row r="24" spans="1:13" s="220" customFormat="1" ht="16.5">
      <c r="A24" s="229" t="s">
        <v>116</v>
      </c>
      <c r="B24" s="219"/>
      <c r="C24" s="234">
        <f>SUM(C20:C23)</f>
        <v>-858</v>
      </c>
      <c r="D24" s="235">
        <f>SUM(D20:D23)</f>
        <v>4966</v>
      </c>
      <c r="E24" s="236">
        <f>SUM(E20:E23)</f>
        <v>-5824</v>
      </c>
      <c r="F24" s="237"/>
      <c r="G24" s="234">
        <f>SUM(G20:G23)</f>
        <v>3994</v>
      </c>
      <c r="H24" s="235">
        <f>SUM(H20:H23)</f>
        <v>5159</v>
      </c>
      <c r="I24" s="236">
        <f>SUM(I20:I23)</f>
        <v>1165</v>
      </c>
      <c r="J24" s="237"/>
      <c r="K24" s="234">
        <f>SUM(K20:K23)</f>
        <v>-4852</v>
      </c>
      <c r="L24" s="235">
        <f>SUM(L20:L23)</f>
        <v>-193</v>
      </c>
      <c r="M24" s="236">
        <f>SUM(M20:M23)</f>
        <v>-4659</v>
      </c>
    </row>
    <row r="25" spans="1:13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</row>
    <row r="26" spans="1:13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</row>
    <row r="27" spans="1:13" s="220" customFormat="1" ht="16.5">
      <c r="A27" s="229" t="s">
        <v>3</v>
      </c>
      <c r="B27" s="219"/>
      <c r="C27" s="234">
        <f>+C18+C24</f>
        <v>-4003.2352000000001</v>
      </c>
      <c r="D27" s="235">
        <f>+D18+D24</f>
        <v>78473.210999999996</v>
      </c>
      <c r="E27" s="236">
        <f>+E18+E24</f>
        <v>-82476.446199999991</v>
      </c>
      <c r="F27" s="237">
        <f>SUM(F24:F25)</f>
        <v>0</v>
      </c>
      <c r="G27" s="234">
        <f>+G18+G24</f>
        <v>32997.050000000003</v>
      </c>
      <c r="H27" s="235">
        <f>+H18+H24</f>
        <v>31681.05</v>
      </c>
      <c r="I27" s="236">
        <f>+I18+I24</f>
        <v>-1316</v>
      </c>
      <c r="J27" s="237">
        <f>SUM(J24:J25)</f>
        <v>0</v>
      </c>
      <c r="K27" s="234">
        <f>+K18+K24</f>
        <v>-37000.285199999998</v>
      </c>
      <c r="L27" s="235">
        <f>+L18+L24</f>
        <v>46792.161000000007</v>
      </c>
      <c r="M27" s="236">
        <f>+M18+M24</f>
        <v>-83792.446199999991</v>
      </c>
    </row>
    <row r="28" spans="1:13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</row>
    <row r="29" spans="1:13" s="32" customFormat="1" ht="13.5" customHeight="1">
      <c r="A29" s="223" t="s">
        <v>115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26630</v>
      </c>
      <c r="H29" s="226">
        <f>+'Mgmt Summary'!D30</f>
        <v>26030</v>
      </c>
      <c r="I29" s="227">
        <f>+H29-G29</f>
        <v>-600</v>
      </c>
      <c r="J29" s="228"/>
      <c r="K29" s="225">
        <f>C29-G29</f>
        <v>-26630</v>
      </c>
      <c r="L29" s="226">
        <f>D29-H29</f>
        <v>-26030</v>
      </c>
      <c r="M29" s="227">
        <f>K29-L29</f>
        <v>-600</v>
      </c>
    </row>
    <row r="30" spans="1:13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9">C30-G30</f>
        <v>13436.473000000002</v>
      </c>
      <c r="L30" s="226">
        <f t="shared" si="9"/>
        <v>12836.473000000002</v>
      </c>
      <c r="M30" s="227">
        <f>K30-L30</f>
        <v>600</v>
      </c>
    </row>
    <row r="31" spans="1:13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9"/>
        <v>-520</v>
      </c>
      <c r="L31" s="226">
        <f t="shared" si="9"/>
        <v>-520</v>
      </c>
      <c r="M31" s="227">
        <f>K31-L31</f>
        <v>0</v>
      </c>
    </row>
    <row r="32" spans="1:13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-1122</v>
      </c>
      <c r="H32" s="226">
        <f>+'CapChrg-AllocExp'!E28</f>
        <v>-1484</v>
      </c>
      <c r="I32" s="227">
        <f>+H32-G32</f>
        <v>-362</v>
      </c>
      <c r="J32" s="228"/>
      <c r="K32" s="225">
        <f t="shared" si="9"/>
        <v>1122</v>
      </c>
      <c r="L32" s="226">
        <f t="shared" si="9"/>
        <v>1484</v>
      </c>
      <c r="M32" s="227">
        <f>K32-L32</f>
        <v>-362</v>
      </c>
    </row>
    <row r="33" spans="1:13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</row>
    <row r="34" spans="1:13" s="220" customFormat="1" ht="16.5">
      <c r="A34" s="229" t="s">
        <v>74</v>
      </c>
      <c r="B34" s="219"/>
      <c r="C34" s="234">
        <f>SUM(C27:C32)</f>
        <v>-4523.2352000000001</v>
      </c>
      <c r="D34" s="235">
        <f>SUM(D27:D32)</f>
        <v>77953.210999999996</v>
      </c>
      <c r="E34" s="236">
        <f>SUM(E27:E32)</f>
        <v>-82476.446199999991</v>
      </c>
      <c r="F34" s="237"/>
      <c r="G34" s="234">
        <f>SUM(G27:G32)</f>
        <v>45068.577000000005</v>
      </c>
      <c r="H34" s="235">
        <f>SUM(H27:H32)</f>
        <v>43390.577000000005</v>
      </c>
      <c r="I34" s="236">
        <f>SUM(I27:I32)</f>
        <v>-1678</v>
      </c>
      <c r="J34" s="237"/>
      <c r="K34" s="234">
        <f>SUM(K27:K32)</f>
        <v>-49591.8122</v>
      </c>
      <c r="L34" s="235">
        <f>SUM(L27:L32)</f>
        <v>34562.634000000005</v>
      </c>
      <c r="M34" s="236">
        <f>SUM(M27:M32)</f>
        <v>-84154.446199999991</v>
      </c>
    </row>
    <row r="35" spans="1:13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</row>
    <row r="36" spans="1:13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71</v>
      </c>
      <c r="H36" s="226">
        <f>+'Mgmt Summary'!D37</f>
        <v>175</v>
      </c>
      <c r="I36" s="227">
        <f>+H36-G36</f>
        <v>104</v>
      </c>
      <c r="J36" s="228"/>
      <c r="K36" s="225">
        <f>C36-G36</f>
        <v>-71</v>
      </c>
      <c r="L36" s="226">
        <f>D36-H36</f>
        <v>-175</v>
      </c>
      <c r="M36" s="227">
        <f>K36-L36</f>
        <v>104</v>
      </c>
    </row>
    <row r="37" spans="1:13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</row>
    <row r="38" spans="1:13" s="220" customFormat="1" ht="17.25" thickBot="1">
      <c r="A38" s="230" t="s">
        <v>75</v>
      </c>
      <c r="B38" s="222"/>
      <c r="C38" s="239">
        <f>+C34-C36</f>
        <v>-4523.2352000000001</v>
      </c>
      <c r="D38" s="240">
        <f>+D34-D36</f>
        <v>77953.210999999996</v>
      </c>
      <c r="E38" s="274">
        <f>+E34-E36</f>
        <v>-82476.446199999991</v>
      </c>
      <c r="F38" s="241"/>
      <c r="G38" s="239">
        <f>SUM(G34:G36)</f>
        <v>45139.577000000005</v>
      </c>
      <c r="H38" s="240">
        <f>SUM(H34:H36)</f>
        <v>43565.577000000005</v>
      </c>
      <c r="I38" s="274">
        <f>SUM(I34:I36)</f>
        <v>-1574</v>
      </c>
      <c r="J38" s="241"/>
      <c r="K38" s="239">
        <f>SUM(K34:K36)</f>
        <v>-49662.8122</v>
      </c>
      <c r="L38" s="240">
        <f>SUM(L34:L36)</f>
        <v>34387.634000000005</v>
      </c>
      <c r="M38" s="274">
        <f>SUM(M34:M36)</f>
        <v>-84050.446199999991</v>
      </c>
    </row>
    <row r="39" spans="1:13" ht="3" customHeight="1">
      <c r="A39" s="66"/>
      <c r="C39" s="67"/>
      <c r="D39" s="22"/>
      <c r="E39" s="66"/>
      <c r="F39" s="23"/>
      <c r="I39" s="66"/>
    </row>
    <row r="40" spans="1:13">
      <c r="A40" s="250" t="s">
        <v>89</v>
      </c>
      <c r="C40" s="23"/>
      <c r="D40" s="22"/>
      <c r="E40" s="23"/>
      <c r="F40" s="23"/>
      <c r="I40" s="23"/>
    </row>
    <row r="41" spans="1:13">
      <c r="M41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8" zoomScaleNormal="100" workbookViewId="0">
      <selection activeCell="A29" sqref="A2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3" t="s">
        <v>70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60"/>
    </row>
    <row r="2" spans="1:24" ht="16.5">
      <c r="A2" s="284" t="s">
        <v>91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61"/>
    </row>
    <row r="3" spans="1:24" ht="13.5">
      <c r="A3" s="285" t="s">
        <v>114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62"/>
    </row>
    <row r="4" spans="1:24" ht="3" customHeight="1"/>
    <row r="5" spans="1:24" s="34" customFormat="1" ht="15" customHeight="1">
      <c r="A5" s="106"/>
      <c r="C5" s="280" t="s">
        <v>8</v>
      </c>
      <c r="D5" s="281"/>
      <c r="E5" s="282"/>
      <c r="G5" s="280" t="s">
        <v>41</v>
      </c>
      <c r="H5" s="281"/>
      <c r="I5" s="281"/>
      <c r="J5" s="281"/>
      <c r="K5" s="281"/>
      <c r="L5" s="281"/>
      <c r="M5" s="281"/>
      <c r="N5" s="281"/>
      <c r="O5" s="282"/>
      <c r="Q5" s="280" t="s">
        <v>36</v>
      </c>
      <c r="R5" s="281"/>
      <c r="S5" s="281"/>
      <c r="T5" s="281"/>
      <c r="U5" s="281"/>
      <c r="V5" s="28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-5122</v>
      </c>
      <c r="H9" s="36">
        <f>GrossMargin!J10</f>
        <v>0</v>
      </c>
      <c r="I9" s="36">
        <f>GrossMargin!K10</f>
        <v>0</v>
      </c>
      <c r="J9" s="136">
        <f t="shared" ref="J9:J15" si="1">SUM(G9:I9)</f>
        <v>-5122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-19814</v>
      </c>
      <c r="P9" s="37"/>
      <c r="Q9" s="133">
        <f t="shared" ref="Q9:Q15" si="3">+J9-C9</f>
        <v>-35122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-35722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2521.2348000000002</v>
      </c>
      <c r="H10" s="36">
        <f>GrossMargin!J11</f>
        <v>0</v>
      </c>
      <c r="I10" s="36">
        <f>GrossMargin!K11</f>
        <v>0</v>
      </c>
      <c r="J10" s="136">
        <f t="shared" si="1"/>
        <v>2521.2348000000002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-2156.6651999999995</v>
      </c>
      <c r="P10" s="37"/>
      <c r="Q10" s="133">
        <f t="shared" si="3"/>
        <v>-10225.965200000001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-9657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502</v>
      </c>
      <c r="H11" s="36">
        <f>GrossMargin!J12</f>
        <v>0</v>
      </c>
      <c r="I11" s="36">
        <f>GrossMargin!K12</f>
        <v>0</v>
      </c>
      <c r="J11" s="136">
        <f t="shared" si="1"/>
        <v>502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-996.59999999999991</v>
      </c>
      <c r="P11" s="37"/>
      <c r="Q11" s="133">
        <f t="shared" si="3"/>
        <v>-248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-1368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684.53</v>
      </c>
      <c r="H12" s="36">
        <f>GrossMargin!J13</f>
        <v>0</v>
      </c>
      <c r="I12" s="36">
        <f>GrossMargin!K13</f>
        <v>0</v>
      </c>
      <c r="J12" s="136">
        <f t="shared" si="1"/>
        <v>684.53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-1030.27</v>
      </c>
      <c r="P12" s="37"/>
      <c r="Q12" s="133">
        <f t="shared" si="3"/>
        <v>-2530.2700000000004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-2530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-1731</v>
      </c>
      <c r="H14" s="140">
        <f>GrossMargin!J15</f>
        <v>0</v>
      </c>
      <c r="I14" s="140">
        <f>+GrossMargin!K20</f>
        <v>0</v>
      </c>
      <c r="J14" s="179">
        <f t="shared" si="1"/>
        <v>-1731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-5141.25</v>
      </c>
      <c r="P14" s="181"/>
      <c r="Q14" s="139">
        <f t="shared" si="3"/>
        <v>-10714.210999999999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-10714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350</v>
      </c>
      <c r="N17" s="36">
        <f>'CapChrg-AllocExp'!K24</f>
        <v>0</v>
      </c>
      <c r="O17" s="136">
        <f>J17-K17-M17-N17-L17</f>
        <v>-350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-350</v>
      </c>
      <c r="U17" s="36">
        <f>'CapChrg-AllocExp'!M24</f>
        <v>0</v>
      </c>
      <c r="V17" s="135">
        <f>ROUND(SUM(Q17:U17),0)</f>
        <v>-350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-3145.2352000000001</v>
      </c>
      <c r="H19" s="44">
        <f t="shared" si="5"/>
        <v>0</v>
      </c>
      <c r="I19" s="45">
        <f t="shared" si="5"/>
        <v>0</v>
      </c>
      <c r="J19" s="46">
        <f t="shared" si="5"/>
        <v>-3145.2352000000001</v>
      </c>
      <c r="K19" s="44">
        <f t="shared" si="5"/>
        <v>0</v>
      </c>
      <c r="L19" s="43">
        <f t="shared" si="5"/>
        <v>658</v>
      </c>
      <c r="M19" s="44">
        <f t="shared" si="5"/>
        <v>14908.577000000001</v>
      </c>
      <c r="N19" s="44">
        <f t="shared" si="5"/>
        <v>13436.473000000002</v>
      </c>
      <c r="O19" s="46">
        <f t="shared" si="5"/>
        <v>-32148.285199999998</v>
      </c>
      <c r="P19" s="180"/>
      <c r="Q19" s="43">
        <f t="shared" ref="Q19:V19" si="6">SUM(Q9:Q18)</f>
        <v>-76652.446199999991</v>
      </c>
      <c r="R19" s="44">
        <f t="shared" si="6"/>
        <v>0</v>
      </c>
      <c r="S19" s="44">
        <f t="shared" si="6"/>
        <v>189</v>
      </c>
      <c r="T19" s="44">
        <f t="shared" si="6"/>
        <v>-2070</v>
      </c>
      <c r="U19" s="44">
        <f t="shared" si="6"/>
        <v>-600</v>
      </c>
      <c r="V19" s="45">
        <f t="shared" si="6"/>
        <v>-79133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-188</v>
      </c>
      <c r="M21" s="36">
        <f>Expenses!D20</f>
        <v>1377</v>
      </c>
      <c r="N21" s="140">
        <f>+'CapChrg-AllocExp'!K18</f>
        <v>0</v>
      </c>
      <c r="O21" s="179">
        <f>J21-K21-M21-N21-L21</f>
        <v>-1103</v>
      </c>
      <c r="P21" s="181"/>
      <c r="Q21" s="139">
        <f>+J21-C21</f>
        <v>-1058</v>
      </c>
      <c r="R21" s="140"/>
      <c r="S21" s="140">
        <f>+'CapChrg-AllocExp'!F18</f>
        <v>173</v>
      </c>
      <c r="T21" s="36">
        <f>Expenses!F20</f>
        <v>8</v>
      </c>
      <c r="U21" s="140">
        <f>+'CapChrg-AllocExp'!M18</f>
        <v>0</v>
      </c>
      <c r="V21" s="164">
        <f>ROUND(SUM(Q21:U21),0)</f>
        <v>-877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3965</v>
      </c>
      <c r="D22" s="140">
        <f>+Expenses!E21+'CapChrg-AllocExp'!E19+'CapChrg-AllocExp'!L19</f>
        <v>2188</v>
      </c>
      <c r="E22" s="164">
        <f>C22-D22</f>
        <v>1777</v>
      </c>
      <c r="F22" s="140"/>
      <c r="G22" s="139">
        <f>+GrossMargin!I28</f>
        <v>135</v>
      </c>
      <c r="H22" s="140">
        <f>GrossMargin!J18</f>
        <v>0</v>
      </c>
      <c r="I22" s="140">
        <f>+GrossMargin!K28</f>
        <v>0</v>
      </c>
      <c r="J22" s="179">
        <f>SUM(G22:I22)</f>
        <v>135</v>
      </c>
      <c r="K22" s="180"/>
      <c r="L22" s="139">
        <f>+'CapChrg-AllocExp'!D19</f>
        <v>652</v>
      </c>
      <c r="M22" s="36">
        <f>Expenses!D21</f>
        <v>1538</v>
      </c>
      <c r="N22" s="140">
        <f>+'CapChrg-AllocExp'!K19</f>
        <v>0</v>
      </c>
      <c r="O22" s="179">
        <f>J22-K22-M22-N22-L22</f>
        <v>-2055</v>
      </c>
      <c r="P22" s="181"/>
      <c r="Q22" s="139">
        <f>+J22-C22</f>
        <v>-3830</v>
      </c>
      <c r="R22" s="140"/>
      <c r="S22" s="140">
        <f>+'CapChrg-AllocExp'!F19</f>
        <v>0</v>
      </c>
      <c r="T22" s="36">
        <f>Expenses!F21</f>
        <v>-2</v>
      </c>
      <c r="U22" s="140">
        <f>+'CapChrg-AllocExp'!M19</f>
        <v>0</v>
      </c>
      <c r="V22" s="164">
        <f>ROUND(SUM(Q22:U22),0)</f>
        <v>-3832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-143</v>
      </c>
      <c r="D23" s="140">
        <f>+Expenses!E22+'CapChrg-AllocExp'!E20+'CapChrg-AllocExp'!L20</f>
        <v>1601</v>
      </c>
      <c r="E23" s="164">
        <f>C23-D23</f>
        <v>-1744</v>
      </c>
      <c r="F23" s="140"/>
      <c r="G23" s="139">
        <f>+GrossMargin!I29</f>
        <v>-1079</v>
      </c>
      <c r="H23" s="140">
        <f>GrossMargin!J19</f>
        <v>0</v>
      </c>
      <c r="I23" s="140">
        <f>+GrossMargin!K29</f>
        <v>0</v>
      </c>
      <c r="J23" s="179">
        <f>SUM(G23:I23)</f>
        <v>-1079</v>
      </c>
      <c r="K23" s="180"/>
      <c r="L23" s="139">
        <f>+'CapChrg-AllocExp'!D20</f>
        <v>0</v>
      </c>
      <c r="M23" s="36">
        <f>Expenses!D22</f>
        <v>615</v>
      </c>
      <c r="N23" s="140">
        <f>+'CapChrg-AllocExp'!K20</f>
        <v>0</v>
      </c>
      <c r="O23" s="179">
        <f>J23-K23-M23-N23-L23</f>
        <v>-1694</v>
      </c>
      <c r="P23" s="181"/>
      <c r="Q23" s="139">
        <f>+J23-C23</f>
        <v>-936</v>
      </c>
      <c r="R23" s="140"/>
      <c r="S23" s="140">
        <f>+'CapChrg-AllocExp'!F20</f>
        <v>0</v>
      </c>
      <c r="T23" s="36">
        <f>Expenses!F22</f>
        <v>986</v>
      </c>
      <c r="U23" s="140">
        <f>+'CapChrg-AllocExp'!M20</f>
        <v>0</v>
      </c>
      <c r="V23" s="164">
        <f>ROUND(SUM(Q23:U23),0)</f>
        <v>50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116</v>
      </c>
      <c r="B25" s="35"/>
      <c r="C25" s="43">
        <f>SUM(C21:C24)</f>
        <v>4966</v>
      </c>
      <c r="D25" s="44">
        <f>SUM(D21:D24)</f>
        <v>5159</v>
      </c>
      <c r="E25" s="45">
        <f>SUM(E21:E24)</f>
        <v>-193</v>
      </c>
      <c r="F25" s="36">
        <f>SUM(F19:F23)</f>
        <v>0</v>
      </c>
      <c r="G25" s="43">
        <f t="shared" ref="G25:O25" si="7">SUM(G21:G24)</f>
        <v>-858</v>
      </c>
      <c r="H25" s="44">
        <f t="shared" si="7"/>
        <v>0</v>
      </c>
      <c r="I25" s="45">
        <f t="shared" si="7"/>
        <v>0</v>
      </c>
      <c r="J25" s="46">
        <f t="shared" si="7"/>
        <v>-858</v>
      </c>
      <c r="K25" s="44">
        <f t="shared" si="7"/>
        <v>0</v>
      </c>
      <c r="L25" s="43">
        <f t="shared" si="7"/>
        <v>464</v>
      </c>
      <c r="M25" s="44">
        <f t="shared" si="7"/>
        <v>3530</v>
      </c>
      <c r="N25" s="44">
        <f t="shared" si="7"/>
        <v>0</v>
      </c>
      <c r="O25" s="46">
        <f t="shared" si="7"/>
        <v>-4852</v>
      </c>
      <c r="P25" s="180"/>
      <c r="Q25" s="43">
        <f t="shared" ref="Q25:V25" si="8">SUM(Q21:Q24)</f>
        <v>-5824</v>
      </c>
      <c r="R25" s="44">
        <f t="shared" si="8"/>
        <v>0</v>
      </c>
      <c r="S25" s="44">
        <f t="shared" si="8"/>
        <v>173</v>
      </c>
      <c r="T25" s="44">
        <f t="shared" si="8"/>
        <v>992</v>
      </c>
      <c r="U25" s="44">
        <f t="shared" si="8"/>
        <v>0</v>
      </c>
      <c r="V25" s="45">
        <f t="shared" si="8"/>
        <v>-4659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78473.210999999996</v>
      </c>
      <c r="D28" s="44">
        <f>+D19+D25</f>
        <v>31681.05</v>
      </c>
      <c r="E28" s="45">
        <f>+E19+E25</f>
        <v>46792.161000000007</v>
      </c>
      <c r="F28" s="36">
        <f>SUM(F25:F26)</f>
        <v>0</v>
      </c>
      <c r="G28" s="43">
        <f t="shared" ref="G28:O28" si="9">+G19+G25</f>
        <v>-4003.2352000000001</v>
      </c>
      <c r="H28" s="44">
        <f t="shared" si="9"/>
        <v>0</v>
      </c>
      <c r="I28" s="45">
        <f t="shared" si="9"/>
        <v>0</v>
      </c>
      <c r="J28" s="46">
        <f t="shared" si="9"/>
        <v>-4003.2352000000001</v>
      </c>
      <c r="K28" s="44">
        <f t="shared" si="9"/>
        <v>0</v>
      </c>
      <c r="L28" s="43">
        <f t="shared" si="9"/>
        <v>1122</v>
      </c>
      <c r="M28" s="44">
        <f t="shared" si="9"/>
        <v>18438.577000000001</v>
      </c>
      <c r="N28" s="44">
        <f t="shared" si="9"/>
        <v>13436.473000000002</v>
      </c>
      <c r="O28" s="46">
        <f t="shared" si="9"/>
        <v>-37000.285199999998</v>
      </c>
      <c r="P28" s="180"/>
      <c r="Q28" s="43">
        <f t="shared" ref="Q28:V28" si="10">+Q19+Q25</f>
        <v>-82476.446199999991</v>
      </c>
      <c r="R28" s="44">
        <f t="shared" si="10"/>
        <v>0</v>
      </c>
      <c r="S28" s="44">
        <f t="shared" si="10"/>
        <v>362</v>
      </c>
      <c r="T28" s="44">
        <f t="shared" si="10"/>
        <v>-1078</v>
      </c>
      <c r="U28" s="44">
        <f t="shared" si="10"/>
        <v>-600</v>
      </c>
      <c r="V28" s="45">
        <f t="shared" si="10"/>
        <v>-83792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115</v>
      </c>
      <c r="B30" s="35"/>
      <c r="C30" s="133">
        <v>0</v>
      </c>
      <c r="D30" s="36">
        <f>Expenses!E29</f>
        <v>26030</v>
      </c>
      <c r="E30" s="135">
        <f>C30-D30</f>
        <v>-26030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26630</v>
      </c>
      <c r="N30" s="36">
        <v>0</v>
      </c>
      <c r="O30" s="136">
        <f>J30-K30-M30-N30-L30</f>
        <v>-26630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Expenses!F30</f>
        <v>0</v>
      </c>
      <c r="U31" s="36"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-1484</v>
      </c>
      <c r="E33" s="135">
        <f>C33-D33</f>
        <v>1484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-1122</v>
      </c>
      <c r="M33" s="36">
        <v>0</v>
      </c>
      <c r="N33" s="36">
        <v>0</v>
      </c>
      <c r="O33" s="136">
        <f>J33-K33-M33-N33-L33</f>
        <v>1122</v>
      </c>
      <c r="P33" s="37"/>
      <c r="Q33" s="133">
        <f>+J33-C33</f>
        <v>0</v>
      </c>
      <c r="R33" s="36"/>
      <c r="S33" s="36">
        <f>'CapChrg-AllocExp'!F28</f>
        <v>-362</v>
      </c>
      <c r="T33" s="36">
        <v>0</v>
      </c>
      <c r="U33" s="36">
        <v>0</v>
      </c>
      <c r="V33" s="135">
        <f>ROUND(SUM(Q33:U33),0)</f>
        <v>-362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77953.210999999996</v>
      </c>
      <c r="D35" s="44">
        <f>SUM(D28:D34)</f>
        <v>43390.577000000005</v>
      </c>
      <c r="E35" s="45">
        <f>SUM(E28:E34)</f>
        <v>34562.634000000005</v>
      </c>
      <c r="F35" s="36"/>
      <c r="G35" s="43">
        <f t="shared" ref="G35:N35" si="11">SUM(G28:G34)</f>
        <v>-4523.2352000000001</v>
      </c>
      <c r="H35" s="44">
        <f t="shared" si="11"/>
        <v>0</v>
      </c>
      <c r="I35" s="44">
        <f t="shared" si="11"/>
        <v>0</v>
      </c>
      <c r="J35" s="46">
        <f t="shared" si="11"/>
        <v>-4523.2352000000001</v>
      </c>
      <c r="K35" s="44">
        <f t="shared" si="11"/>
        <v>0</v>
      </c>
      <c r="L35" s="43">
        <f t="shared" si="11"/>
        <v>0</v>
      </c>
      <c r="M35" s="44">
        <f t="shared" si="11"/>
        <v>45068.577000000005</v>
      </c>
      <c r="N35" s="44">
        <f t="shared" si="11"/>
        <v>0</v>
      </c>
      <c r="O35" s="46">
        <f>J35-K35-M35-N35-L35</f>
        <v>-49591.812200000008</v>
      </c>
      <c r="P35" s="37"/>
      <c r="Q35" s="43">
        <f t="shared" ref="Q35:V35" si="12">SUM(Q28:Q34)</f>
        <v>-82476.446199999991</v>
      </c>
      <c r="R35" s="44">
        <f t="shared" si="12"/>
        <v>0</v>
      </c>
      <c r="S35" s="44">
        <f t="shared" si="12"/>
        <v>0</v>
      </c>
      <c r="T35" s="44">
        <f t="shared" si="12"/>
        <v>-1678</v>
      </c>
      <c r="U35" s="44">
        <f t="shared" si="12"/>
        <v>-600</v>
      </c>
      <c r="V35" s="45">
        <f t="shared" si="12"/>
        <v>-84754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-127-375+147+652-122</f>
        <v>175</v>
      </c>
      <c r="E37" s="135">
        <f>C37-D37</f>
        <v>-175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-127-506+240+L21+L22</f>
        <v>71</v>
      </c>
      <c r="N37" s="36">
        <v>0</v>
      </c>
      <c r="O37" s="136">
        <f>J37-K37-M37-N37-L37</f>
        <v>-71</v>
      </c>
      <c r="P37" s="37"/>
      <c r="Q37" s="133">
        <f>+J37-C37</f>
        <v>0</v>
      </c>
      <c r="R37" s="36"/>
      <c r="S37" s="36">
        <v>0</v>
      </c>
      <c r="T37" s="36">
        <f>D37-M37</f>
        <v>104</v>
      </c>
      <c r="U37" s="36">
        <v>0</v>
      </c>
      <c r="V37" s="135">
        <f>ROUND(SUM(Q37:U37),0)</f>
        <v>104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77953.210999999996</v>
      </c>
      <c r="D39" s="40">
        <f>SUM(D35:D37)</f>
        <v>43565.577000000005</v>
      </c>
      <c r="E39" s="41">
        <f>SUM(E35:E37)</f>
        <v>34387.634000000005</v>
      </c>
      <c r="F39" s="36"/>
      <c r="G39" s="39">
        <f t="shared" ref="G39:V39" si="13">SUM(G35:G37)</f>
        <v>-4523.2352000000001</v>
      </c>
      <c r="H39" s="40">
        <f t="shared" si="13"/>
        <v>0</v>
      </c>
      <c r="I39" s="40">
        <f t="shared" si="13"/>
        <v>0</v>
      </c>
      <c r="J39" s="42">
        <f t="shared" si="13"/>
        <v>-4523.2352000000001</v>
      </c>
      <c r="K39" s="40">
        <f t="shared" si="13"/>
        <v>0</v>
      </c>
      <c r="L39" s="39">
        <f t="shared" si="13"/>
        <v>0</v>
      </c>
      <c r="M39" s="40">
        <f t="shared" si="13"/>
        <v>45139.577000000005</v>
      </c>
      <c r="N39" s="40">
        <f t="shared" si="13"/>
        <v>0</v>
      </c>
      <c r="O39" s="42">
        <f>J39-K39-M39-N39-L39</f>
        <v>-49662.812200000008</v>
      </c>
      <c r="P39" s="37"/>
      <c r="Q39" s="39">
        <f t="shared" si="13"/>
        <v>-82476.446199999991</v>
      </c>
      <c r="R39" s="40">
        <f t="shared" si="13"/>
        <v>0</v>
      </c>
      <c r="S39" s="40">
        <f t="shared" si="13"/>
        <v>0</v>
      </c>
      <c r="T39" s="40">
        <f t="shared" si="13"/>
        <v>-1574</v>
      </c>
      <c r="U39" s="40">
        <f t="shared" si="13"/>
        <v>-600</v>
      </c>
      <c r="V39" s="41">
        <f t="shared" si="13"/>
        <v>-84650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A31" sqref="A31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October 19,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-14654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-14654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-14654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-911</v>
      </c>
      <c r="D10" s="36">
        <f>+GrossMargin!E11-[3]GrossMargin!E11</f>
        <v>12.568800000000003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-898.43119999999999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-898.43119999999999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203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203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203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421.29799999999994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421.29799999999994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421.29799999999994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-2022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-2022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-2022</v>
      </c>
    </row>
    <row r="15" spans="1:11" ht="13.5" hidden="1" customHeight="1">
      <c r="A15" s="242" t="s">
        <v>84</v>
      </c>
      <c r="B15" s="249"/>
      <c r="C15" s="253">
        <f>+GrossMargin!D16-[3]GrossMargin!D16</f>
        <v>25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25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25</v>
      </c>
    </row>
    <row r="16" spans="1:11" ht="13.5" hidden="1" customHeight="1">
      <c r="A16" s="242" t="s">
        <v>82</v>
      </c>
      <c r="B16" s="249"/>
      <c r="C16" s="253">
        <f>+GrossMargin!D17-[3]GrossMargin!D17</f>
        <v>12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12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12</v>
      </c>
    </row>
    <row r="17" spans="1:11" ht="13.5" hidden="1" customHeight="1">
      <c r="A17" s="242" t="s">
        <v>83</v>
      </c>
      <c r="B17" s="249"/>
      <c r="C17" s="253">
        <f>+GrossMargin!D18-[3]GrossMargin!D18</f>
        <v>2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2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2</v>
      </c>
    </row>
    <row r="18" spans="1:11" ht="13.5" hidden="1" customHeight="1">
      <c r="A18" s="242" t="s">
        <v>85</v>
      </c>
      <c r="B18" s="249"/>
      <c r="C18" s="256">
        <f>+GrossMargin!D19-[3]GrossMargin!D19</f>
        <v>-20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-20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-20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-2003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-2003</v>
      </c>
      <c r="I19" s="133">
        <f t="shared" si="2"/>
        <v>0</v>
      </c>
      <c r="J19" s="36">
        <f t="shared" si="2"/>
        <v>0</v>
      </c>
      <c r="K19" s="135">
        <f t="shared" si="2"/>
        <v>-2003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-16943.701999999997</v>
      </c>
      <c r="D24" s="44">
        <f t="shared" si="3"/>
        <v>12.568800000000003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-16931.133199999997</v>
      </c>
      <c r="I24" s="44">
        <f t="shared" si="3"/>
        <v>0</v>
      </c>
      <c r="J24" s="44">
        <f t="shared" si="3"/>
        <v>0</v>
      </c>
      <c r="K24" s="45">
        <f t="shared" si="3"/>
        <v>-16931.133199999997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-270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-270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-270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-1183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-1183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-1183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117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-1453</v>
      </c>
      <c r="F30" s="44">
        <f t="shared" si="4"/>
        <v>0</v>
      </c>
      <c r="G30" s="45">
        <f t="shared" si="4"/>
        <v>0</v>
      </c>
      <c r="H30" s="46">
        <f t="shared" si="4"/>
        <v>-1453</v>
      </c>
      <c r="I30" s="44">
        <f t="shared" si="4"/>
        <v>0</v>
      </c>
      <c r="J30" s="44">
        <f t="shared" si="4"/>
        <v>0</v>
      </c>
      <c r="K30" s="45">
        <f t="shared" si="4"/>
        <v>-1453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-16943.701999999997</v>
      </c>
      <c r="D33" s="44">
        <f t="shared" ref="D33:K33" si="5">+D24+D30</f>
        <v>12.568800000000003</v>
      </c>
      <c r="E33" s="44">
        <f t="shared" si="5"/>
        <v>-1453</v>
      </c>
      <c r="F33" s="44">
        <f t="shared" si="5"/>
        <v>0</v>
      </c>
      <c r="G33" s="45">
        <f t="shared" si="5"/>
        <v>0</v>
      </c>
      <c r="H33" s="46">
        <f t="shared" si="5"/>
        <v>-18384.133199999997</v>
      </c>
      <c r="I33" s="44">
        <f t="shared" si="5"/>
        <v>0</v>
      </c>
      <c r="J33" s="44">
        <f t="shared" si="5"/>
        <v>0</v>
      </c>
      <c r="K33" s="45">
        <f t="shared" si="5"/>
        <v>-18384.133199999997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-16943.701999999997</v>
      </c>
      <c r="D37" s="40">
        <f>SUM(D33:D35)</f>
        <v>12.568800000000003</v>
      </c>
      <c r="E37" s="40">
        <f>SUM(E33:E36)</f>
        <v>-1453</v>
      </c>
      <c r="F37" s="40">
        <f>SUM(F33:F35)</f>
        <v>0</v>
      </c>
      <c r="G37" s="41">
        <f>SUM(G33:G35)</f>
        <v>0</v>
      </c>
      <c r="H37" s="39">
        <f>SUM(C37:G37)</f>
        <v>-18384.133199999997</v>
      </c>
      <c r="I37" s="39">
        <f>SUM(I33:I35)</f>
        <v>0</v>
      </c>
      <c r="J37" s="40">
        <f>SUM(J33:J35)</f>
        <v>0</v>
      </c>
      <c r="K37" s="41">
        <f>SUM(H37:J37)</f>
        <v>-18384.133199999997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65"/>
  <sheetViews>
    <sheetView topLeftCell="B5" zoomScaleNormal="100" workbookViewId="0">
      <selection activeCell="B32" sqref="B3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October 19,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275"/>
      <c r="F7" s="276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-5122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-5122</v>
      </c>
      <c r="J10" s="137"/>
      <c r="K10" s="36">
        <v>0</v>
      </c>
      <c r="L10" s="36">
        <f>+I10+K10</f>
        <v>-5122</v>
      </c>
      <c r="M10" s="257">
        <v>30000</v>
      </c>
      <c r="N10" s="135">
        <f t="shared" ref="N10:N29" si="1">L10-M10</f>
        <v>-35122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2371</v>
      </c>
      <c r="E11" s="140">
        <v>70.510800000000003</v>
      </c>
      <c r="F11" s="140">
        <v>79.724000000000004</v>
      </c>
      <c r="G11" s="140">
        <v>0</v>
      </c>
      <c r="H11" s="138">
        <v>0</v>
      </c>
      <c r="I11" s="136">
        <f t="shared" si="0"/>
        <v>2521.2348000000002</v>
      </c>
      <c r="J11" s="137"/>
      <c r="K11" s="36">
        <v>0</v>
      </c>
      <c r="L11" s="36">
        <f t="shared" ref="L11:L29" si="2">+I11+K11</f>
        <v>2521.2348000000002</v>
      </c>
      <c r="M11" s="257">
        <f>ROUND(_xll.HPVAL($A11,$A$1,$A$2,$A$3,$A$4,$A$6)/1000,1)</f>
        <v>12747.2</v>
      </c>
      <c r="N11" s="135">
        <f t="shared" si="1"/>
        <v>-10225.965200000001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502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502</v>
      </c>
      <c r="J12" s="137"/>
      <c r="K12" s="36">
        <v>0</v>
      </c>
      <c r="L12" s="36">
        <f t="shared" si="2"/>
        <v>502</v>
      </c>
      <c r="M12" s="257">
        <f>ROUND(_xll.HPVAL($A12,$A$1,$A$2,$A$3,$A$4,$A$6)/1000,1)</f>
        <v>750</v>
      </c>
      <c r="N12" s="135">
        <f t="shared" si="1"/>
        <v>-248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684.53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684.53</v>
      </c>
      <c r="J13" s="137"/>
      <c r="K13" s="36">
        <v>0</v>
      </c>
      <c r="L13" s="36">
        <f t="shared" si="2"/>
        <v>684.53</v>
      </c>
      <c r="M13" s="257">
        <f>ROUND(_xll.HPVAL($A13,$A$1,$A$2,$A$3,$A$4,$A$6)/1000,1)</f>
        <v>3214.8</v>
      </c>
      <c r="N13" s="135">
        <f t="shared" si="1"/>
        <v>-2530.2700000000004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-1690</v>
      </c>
      <c r="E15" s="245">
        <v>0</v>
      </c>
      <c r="F15" s="245">
        <v>0</v>
      </c>
      <c r="G15" s="246">
        <v>0</v>
      </c>
      <c r="H15" s="247">
        <v>0</v>
      </c>
      <c r="I15" s="248">
        <f t="shared" si="0"/>
        <v>-1690</v>
      </c>
      <c r="J15" s="246"/>
      <c r="K15" s="246">
        <v>0</v>
      </c>
      <c r="L15" s="36">
        <f t="shared" si="2"/>
        <v>-1690</v>
      </c>
      <c r="M15" s="257">
        <v>0</v>
      </c>
      <c r="N15" s="247">
        <f>L15-M15</f>
        <v>-1690</v>
      </c>
    </row>
    <row r="16" spans="1:16" ht="13.5" hidden="1" customHeight="1">
      <c r="B16" s="242" t="s">
        <v>84</v>
      </c>
      <c r="C16" s="243"/>
      <c r="D16" s="244">
        <v>-58</v>
      </c>
      <c r="E16" s="245">
        <v>0</v>
      </c>
      <c r="F16" s="245">
        <v>0</v>
      </c>
      <c r="G16" s="246">
        <v>0</v>
      </c>
      <c r="H16" s="247">
        <v>0</v>
      </c>
      <c r="I16" s="248">
        <f t="shared" si="0"/>
        <v>-58</v>
      </c>
      <c r="J16" s="246"/>
      <c r="K16" s="246">
        <v>0</v>
      </c>
      <c r="L16" s="36">
        <f t="shared" si="2"/>
        <v>-58</v>
      </c>
      <c r="M16" s="265">
        <v>0</v>
      </c>
      <c r="N16" s="247">
        <f>L16-M16</f>
        <v>-58</v>
      </c>
    </row>
    <row r="17" spans="1:15" ht="13.5" hidden="1" customHeight="1">
      <c r="B17" s="242" t="s">
        <v>82</v>
      </c>
      <c r="C17" s="243"/>
      <c r="D17" s="244">
        <v>6</v>
      </c>
      <c r="E17" s="245">
        <v>0</v>
      </c>
      <c r="F17" s="245">
        <v>0</v>
      </c>
      <c r="G17" s="246">
        <v>0</v>
      </c>
      <c r="H17" s="247">
        <v>0</v>
      </c>
      <c r="I17" s="248">
        <f t="shared" si="0"/>
        <v>6</v>
      </c>
      <c r="J17" s="246"/>
      <c r="K17" s="246">
        <v>0</v>
      </c>
      <c r="L17" s="36">
        <f t="shared" si="2"/>
        <v>6</v>
      </c>
      <c r="M17" s="265">
        <v>0</v>
      </c>
      <c r="N17" s="247">
        <f t="shared" si="1"/>
        <v>6</v>
      </c>
      <c r="O17" s="166"/>
    </row>
    <row r="18" spans="1:15" ht="13.5" hidden="1" customHeight="1">
      <c r="B18" s="242" t="s">
        <v>83</v>
      </c>
      <c r="C18" s="243"/>
      <c r="D18" s="244">
        <v>28</v>
      </c>
      <c r="E18" s="245">
        <v>0</v>
      </c>
      <c r="F18" s="245">
        <v>0</v>
      </c>
      <c r="G18" s="246">
        <v>0</v>
      </c>
      <c r="H18" s="247">
        <v>0</v>
      </c>
      <c r="I18" s="248">
        <f t="shared" si="0"/>
        <v>28</v>
      </c>
      <c r="J18" s="246"/>
      <c r="K18" s="246">
        <v>0</v>
      </c>
      <c r="L18" s="36">
        <f t="shared" si="2"/>
        <v>28</v>
      </c>
      <c r="M18" s="265">
        <v>0</v>
      </c>
      <c r="N18" s="247">
        <f t="shared" si="1"/>
        <v>28</v>
      </c>
    </row>
    <row r="19" spans="1:15" ht="13.5" hidden="1" customHeight="1">
      <c r="B19" s="242" t="s">
        <v>85</v>
      </c>
      <c r="C19" s="243"/>
      <c r="D19" s="252">
        <v>-17</v>
      </c>
      <c r="E19" s="264">
        <v>0</v>
      </c>
      <c r="F19" s="264">
        <v>0</v>
      </c>
      <c r="G19" s="266">
        <v>0</v>
      </c>
      <c r="H19" s="267">
        <v>0</v>
      </c>
      <c r="I19" s="277">
        <f t="shared" si="0"/>
        <v>-17</v>
      </c>
      <c r="J19" s="266"/>
      <c r="K19" s="266">
        <v>0</v>
      </c>
      <c r="L19" s="278">
        <f t="shared" si="2"/>
        <v>-17</v>
      </c>
      <c r="M19" s="279">
        <v>0</v>
      </c>
      <c r="N19" s="267">
        <f>L19-M19</f>
        <v>-17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-1731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-1731</v>
      </c>
      <c r="J20" s="137"/>
      <c r="K20" s="36">
        <f>SUM(K15:K19)</f>
        <v>0</v>
      </c>
      <c r="L20" s="36">
        <f t="shared" si="2"/>
        <v>-1731</v>
      </c>
      <c r="M20" s="257">
        <f>33848.881-22365.668-2500.002</f>
        <v>8983.2109999999993</v>
      </c>
      <c r="N20" s="135">
        <f>L20-M20</f>
        <v>-10714.210999999999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-3295.4700000000003</v>
      </c>
      <c r="E25" s="44">
        <f t="shared" ref="E25:N25" si="4">+E10+E11+E12+E13+E14+E20+E21+E22+E23</f>
        <v>70.510800000000003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-3145.2352000000001</v>
      </c>
      <c r="J25" s="44">
        <f t="shared" si="4"/>
        <v>0</v>
      </c>
      <c r="K25" s="44">
        <f t="shared" si="4"/>
        <v>0</v>
      </c>
      <c r="L25" s="44">
        <f t="shared" si="4"/>
        <v>-3145.2352000000001</v>
      </c>
      <c r="M25" s="45">
        <f t="shared" si="4"/>
        <v>73507.210999999996</v>
      </c>
      <c r="N25" s="45">
        <f t="shared" si="4"/>
        <v>-76652.446199999991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f>-517+652</f>
        <v>135</v>
      </c>
      <c r="G28" s="140">
        <v>0</v>
      </c>
      <c r="H28" s="138">
        <v>0</v>
      </c>
      <c r="I28" s="136">
        <f>SUM(D28:H28)</f>
        <v>135</v>
      </c>
      <c r="J28" s="137"/>
      <c r="K28" s="36">
        <v>0</v>
      </c>
      <c r="L28" s="36">
        <f t="shared" si="2"/>
        <v>135</v>
      </c>
      <c r="M28" s="138">
        <v>3965</v>
      </c>
      <c r="N28" s="135">
        <f t="shared" si="1"/>
        <v>-3830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-813-506+240</f>
        <v>-1079</v>
      </c>
      <c r="G29" s="140">
        <v>0</v>
      </c>
      <c r="H29" s="138">
        <v>0</v>
      </c>
      <c r="I29" s="136">
        <f>SUM(D29:H29)</f>
        <v>-1079</v>
      </c>
      <c r="J29" s="137"/>
      <c r="K29" s="36">
        <v>0</v>
      </c>
      <c r="L29" s="36">
        <f t="shared" si="2"/>
        <v>-1079</v>
      </c>
      <c r="M29" s="257">
        <f>85-375+147</f>
        <v>-143</v>
      </c>
      <c r="N29" s="135">
        <f t="shared" si="1"/>
        <v>-936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116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-858</v>
      </c>
      <c r="G31" s="44">
        <f t="shared" si="5"/>
        <v>0</v>
      </c>
      <c r="H31" s="45">
        <f t="shared" si="5"/>
        <v>0</v>
      </c>
      <c r="I31" s="46">
        <f t="shared" si="5"/>
        <v>-858</v>
      </c>
      <c r="J31" s="44">
        <f t="shared" si="5"/>
        <v>0</v>
      </c>
      <c r="K31" s="44">
        <f t="shared" si="5"/>
        <v>0</v>
      </c>
      <c r="L31" s="44">
        <f t="shared" si="5"/>
        <v>-858</v>
      </c>
      <c r="M31" s="45">
        <f t="shared" si="5"/>
        <v>4966</v>
      </c>
      <c r="N31" s="45">
        <f t="shared" si="5"/>
        <v>-5824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-3295.4700000000003</v>
      </c>
      <c r="E34" s="44">
        <f t="shared" ref="E34:N34" si="6">+E25+E31</f>
        <v>70.510800000000003</v>
      </c>
      <c r="F34" s="44">
        <f t="shared" si="6"/>
        <v>-778.27599999999995</v>
      </c>
      <c r="G34" s="44">
        <f t="shared" si="6"/>
        <v>0</v>
      </c>
      <c r="H34" s="45">
        <f t="shared" si="6"/>
        <v>0</v>
      </c>
      <c r="I34" s="46">
        <f t="shared" si="6"/>
        <v>-4003.2352000000001</v>
      </c>
      <c r="J34" s="44">
        <f t="shared" si="6"/>
        <v>0</v>
      </c>
      <c r="K34" s="44">
        <f t="shared" si="6"/>
        <v>0</v>
      </c>
      <c r="L34" s="44">
        <f t="shared" si="6"/>
        <v>-4003.2352000000001</v>
      </c>
      <c r="M34" s="45">
        <f t="shared" si="6"/>
        <v>78473.210999999996</v>
      </c>
      <c r="N34" s="45">
        <f t="shared" si="6"/>
        <v>-82476.446199999991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-3295.4700000000003</v>
      </c>
      <c r="E38" s="40">
        <f>+E34+E36</f>
        <v>70.510800000000003</v>
      </c>
      <c r="F38" s="40">
        <f>+F34+F36</f>
        <v>-778.27599999999995</v>
      </c>
      <c r="G38" s="40">
        <f>+G34+G36</f>
        <v>-520</v>
      </c>
      <c r="H38" s="41">
        <f>+H34+H36</f>
        <v>0</v>
      </c>
      <c r="I38" s="42">
        <f>SUM(I34:I36)</f>
        <v>-4523.2352000000001</v>
      </c>
      <c r="J38" s="40">
        <f>SUM(J34:J36)</f>
        <v>0</v>
      </c>
      <c r="K38" s="39">
        <f>+K34+K36</f>
        <v>0</v>
      </c>
      <c r="L38" s="40">
        <f>+L34+L36</f>
        <v>-4523.2352000000001</v>
      </c>
      <c r="M38" s="41">
        <f>+M34+M36</f>
        <v>77953.210999999996</v>
      </c>
      <c r="N38" s="41">
        <f>SUM(N34:N36)</f>
        <v>-82476.446199999991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B19" sqref="B19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98" t="s">
        <v>70</v>
      </c>
      <c r="C2" s="298"/>
      <c r="D2" s="298"/>
      <c r="E2" s="298"/>
      <c r="F2" s="298"/>
      <c r="G2" s="298"/>
      <c r="H2" s="298"/>
      <c r="I2" s="298"/>
      <c r="J2" s="298"/>
      <c r="K2" s="298"/>
      <c r="Q2" t="s">
        <v>59</v>
      </c>
    </row>
    <row r="3" spans="1:37" ht="15">
      <c r="A3" s="11">
        <v>36861</v>
      </c>
      <c r="B3" s="299" t="s">
        <v>95</v>
      </c>
      <c r="C3" s="299"/>
      <c r="D3" s="299"/>
      <c r="E3" s="299"/>
      <c r="F3" s="299"/>
      <c r="G3" s="299"/>
      <c r="H3" s="299"/>
      <c r="I3" s="299"/>
      <c r="J3" s="299"/>
      <c r="K3" s="299"/>
    </row>
    <row r="4" spans="1:37">
      <c r="A4" s="10" t="s">
        <v>22</v>
      </c>
      <c r="B4" s="300" t="str">
        <f>+GrossMargin!B4</f>
        <v>Results based on activity through October 19, 2000</v>
      </c>
      <c r="C4" s="300"/>
      <c r="D4" s="300"/>
      <c r="E4" s="300"/>
      <c r="F4" s="300"/>
      <c r="G4" s="300"/>
      <c r="H4" s="300"/>
      <c r="I4" s="300"/>
      <c r="J4" s="300"/>
      <c r="K4" s="300"/>
    </row>
    <row r="5" spans="1:37" ht="3" customHeight="1"/>
    <row r="6" spans="1:37" s="50" customFormat="1" ht="12">
      <c r="A6" s="10" t="s">
        <v>47</v>
      </c>
      <c r="B6" s="124"/>
      <c r="D6" s="292" t="s">
        <v>26</v>
      </c>
      <c r="E6" s="293"/>
      <c r="F6" s="294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5" t="s">
        <v>39</v>
      </c>
      <c r="I7" s="296"/>
      <c r="J7" s="296"/>
      <c r="K7" s="29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350</v>
      </c>
      <c r="E16" s="142">
        <v>0</v>
      </c>
      <c r="F16" s="143">
        <f>E16-D16</f>
        <v>-350</v>
      </c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118</v>
      </c>
      <c r="C18" s="50"/>
      <c r="D18" s="56">
        <f>SUM(D9:D17)</f>
        <v>14908.577000000001</v>
      </c>
      <c r="E18" s="57">
        <f>SUM(E9:E17)</f>
        <v>12838.577000000001</v>
      </c>
      <c r="F18" s="183">
        <f>SUM(F9:F17)</f>
        <v>-2070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v>1377</v>
      </c>
      <c r="E20" s="173">
        <v>1385</v>
      </c>
      <c r="F20" s="177">
        <f>E20-D20</f>
        <v>8</v>
      </c>
      <c r="G20" s="52"/>
      <c r="H20" s="251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1538</v>
      </c>
      <c r="E21" s="173">
        <v>1536</v>
      </c>
      <c r="F21" s="177">
        <f>E21-D21</f>
        <v>-2</v>
      </c>
      <c r="G21" s="52"/>
      <c r="H21" s="251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615</v>
      </c>
      <c r="E22" s="173">
        <f>1601</f>
        <v>1601</v>
      </c>
      <c r="F22" s="177">
        <f>E22-D22</f>
        <v>986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3530</v>
      </c>
      <c r="E24" s="57">
        <f>SUM(E20:E23)</f>
        <v>4522</v>
      </c>
      <c r="F24" s="183">
        <f>SUM(F20:F23)</f>
        <v>992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18438.577000000001</v>
      </c>
      <c r="E27" s="57">
        <f>+E18+E24</f>
        <v>17360.577000000001</v>
      </c>
      <c r="F27" s="183">
        <f>+F18+F24</f>
        <v>-1078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</f>
        <v>26630</v>
      </c>
      <c r="E29" s="142">
        <v>26030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45068.577000000005</v>
      </c>
      <c r="E32" s="48">
        <f>SUM(E27:E30)</f>
        <v>43390.577000000005</v>
      </c>
      <c r="F32" s="49">
        <f>SUM(F27:F30)</f>
        <v>-1678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01" t="s">
        <v>49</v>
      </c>
      <c r="E35" s="302"/>
      <c r="F35" s="303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289" t="s">
        <v>39</v>
      </c>
      <c r="I36" s="290"/>
      <c r="J36" s="290"/>
      <c r="K36" s="291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19" sqref="A19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298" t="s">
        <v>70</v>
      </c>
      <c r="B2" s="298"/>
      <c r="C2" s="298"/>
      <c r="D2" s="298"/>
      <c r="E2" s="298"/>
      <c r="F2" s="298"/>
      <c r="G2" s="298"/>
      <c r="H2" s="298"/>
      <c r="I2" s="298"/>
      <c r="J2" s="298"/>
    </row>
    <row r="3" spans="1:33" ht="15">
      <c r="A3" s="299" t="s">
        <v>96</v>
      </c>
      <c r="B3" s="299"/>
      <c r="C3" s="299"/>
      <c r="D3" s="299"/>
      <c r="E3" s="299"/>
      <c r="F3" s="299"/>
      <c r="G3" s="299"/>
      <c r="H3" s="299"/>
      <c r="I3" s="299"/>
      <c r="J3" s="299"/>
    </row>
    <row r="4" spans="1:33">
      <c r="A4" s="300" t="str">
        <f>+Expenses!B4</f>
        <v>Results based on activity through October 19, 2000</v>
      </c>
      <c r="B4" s="300"/>
      <c r="C4" s="300"/>
      <c r="D4" s="300"/>
      <c r="E4" s="300"/>
      <c r="F4" s="300"/>
      <c r="G4" s="300"/>
      <c r="H4" s="300"/>
      <c r="I4" s="300"/>
      <c r="J4" s="300"/>
    </row>
    <row r="5" spans="1:33" ht="3" customHeight="1"/>
    <row r="6" spans="1:33" s="31" customFormat="1">
      <c r="A6" s="124"/>
      <c r="B6" s="50"/>
      <c r="C6" s="292" t="s">
        <v>26</v>
      </c>
      <c r="D6" s="293"/>
      <c r="E6" s="294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5" t="s">
        <v>39</v>
      </c>
      <c r="H7" s="296"/>
      <c r="I7" s="296"/>
      <c r="J7" s="29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100</v>
      </c>
      <c r="D15" s="142">
        <f>+Expenses!E15-[3]Expenses!E15</f>
        <v>0</v>
      </c>
      <c r="E15" s="143">
        <f t="shared" si="0"/>
        <v>-100</v>
      </c>
      <c r="F15" s="52"/>
      <c r="G15" s="251" t="s">
        <v>103</v>
      </c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118</v>
      </c>
      <c r="B18" s="50"/>
      <c r="C18" s="47">
        <f>SUM(C9:C17)</f>
        <v>100</v>
      </c>
      <c r="D18" s="48">
        <f>SUM(D9:D17)</f>
        <v>0</v>
      </c>
      <c r="E18" s="49">
        <f>SUM(E9:E17)</f>
        <v>-100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147</v>
      </c>
      <c r="E22" s="143">
        <f>D22-C22</f>
        <v>147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0</v>
      </c>
      <c r="D24" s="48">
        <f>SUM(D20:D23)</f>
        <v>147</v>
      </c>
      <c r="E24" s="49">
        <f>SUM(E20:E23)</f>
        <v>147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100</v>
      </c>
      <c r="D27" s="48">
        <f>+D18+D24</f>
        <v>147</v>
      </c>
      <c r="E27" s="49">
        <f>+E18+E24</f>
        <v>47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100</v>
      </c>
      <c r="D32" s="48">
        <f>SUM(D27:D30)</f>
        <v>147</v>
      </c>
      <c r="E32" s="49">
        <f>SUM(E27:E30)</f>
        <v>47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292" t="s">
        <v>49</v>
      </c>
      <c r="D35" s="293"/>
      <c r="E35" s="294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295" t="s">
        <v>39</v>
      </c>
      <c r="H36" s="296"/>
      <c r="I36" s="296"/>
      <c r="J36" s="297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B23" sqref="B2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98" t="s">
        <v>70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t="s">
        <v>59</v>
      </c>
    </row>
    <row r="3" spans="1:20" ht="15">
      <c r="A3" s="10" t="s">
        <v>31</v>
      </c>
      <c r="B3" s="299" t="s">
        <v>97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</row>
    <row r="4" spans="1:20">
      <c r="A4" s="11">
        <v>36861</v>
      </c>
      <c r="B4" s="300" t="str">
        <f>'Mgmt Summary'!A3</f>
        <v>Results based on activity through October 19, 2000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5" t="s">
        <v>32</v>
      </c>
      <c r="E7" s="296"/>
      <c r="F7" s="296"/>
      <c r="G7" s="296"/>
      <c r="H7" s="296"/>
      <c r="I7" s="297"/>
      <c r="J7" s="50"/>
      <c r="K7" s="295" t="s">
        <v>55</v>
      </c>
      <c r="L7" s="296"/>
      <c r="M7" s="296"/>
      <c r="N7" s="296"/>
      <c r="O7" s="296"/>
      <c r="P7" s="297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04" t="s">
        <v>33</v>
      </c>
      <c r="H8" s="305"/>
      <c r="I8" s="306"/>
      <c r="J8" s="50"/>
      <c r="K8" s="86" t="s">
        <v>6</v>
      </c>
      <c r="L8" s="87" t="s">
        <v>8</v>
      </c>
      <c r="M8" s="74" t="s">
        <v>12</v>
      </c>
      <c r="N8" s="292" t="s">
        <v>33</v>
      </c>
      <c r="O8" s="293"/>
      <c r="P8" s="294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118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v>-188</v>
      </c>
      <c r="E18" s="173">
        <f>-10-5</f>
        <v>-15</v>
      </c>
      <c r="F18" s="174">
        <f>E18-D18</f>
        <v>173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0</v>
      </c>
      <c r="F20" s="174">
        <f>E20-D20</f>
        <v>0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464</v>
      </c>
      <c r="E22" s="57">
        <f>SUM(E18:E21)</f>
        <v>637</v>
      </c>
      <c r="F22" s="57">
        <f>SUM(F18:F21)</f>
        <v>173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173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1122</v>
      </c>
      <c r="E26" s="57">
        <f>+E17+E22</f>
        <v>1484</v>
      </c>
      <c r="F26" s="57">
        <f>+F17+F22</f>
        <v>362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-1122</v>
      </c>
      <c r="E28" s="142">
        <f>-(E26)</f>
        <v>-1484</v>
      </c>
      <c r="F28" s="158">
        <f>E28-D28</f>
        <v>-362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10" t="s">
        <v>70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</row>
    <row r="2" spans="1:40" ht="15">
      <c r="A2" s="10" t="s">
        <v>45</v>
      </c>
      <c r="B2" s="311" t="s">
        <v>67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</row>
    <row r="3" spans="1:40">
      <c r="A3" s="10" t="s">
        <v>46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7" t="s">
        <v>65</v>
      </c>
      <c r="E6" s="308"/>
      <c r="F6" s="309"/>
      <c r="G6" s="1"/>
      <c r="H6" s="307" t="s">
        <v>66</v>
      </c>
      <c r="I6" s="308"/>
      <c r="J6" s="309"/>
      <c r="K6" s="1"/>
      <c r="L6" s="307" t="s">
        <v>38</v>
      </c>
      <c r="M6" s="308"/>
      <c r="N6" s="30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2000-10-20T14:45:13Z</cp:lastPrinted>
  <dcterms:created xsi:type="dcterms:W3CDTF">1999-10-18T12:36:30Z</dcterms:created>
  <dcterms:modified xsi:type="dcterms:W3CDTF">2023-09-18T00:05:29Z</dcterms:modified>
</cp:coreProperties>
</file>