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AD182E-15AD-440E-BF5A-4D08D5AD7E7E}" xr6:coauthVersionLast="47" xr6:coauthVersionMax="47" xr10:uidLastSave="{00000000-0000-0000-0000-000000000000}"/>
  <bookViews>
    <workbookView xWindow="-120" yWindow="-120" windowWidth="38640" windowHeight="15720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'CapChrg-AllocExp'!$B$2:$P$53</definedName>
    <definedName name="_xlnm.Print_Area" localSheetId="9">Expenses!$B$2:$K$57</definedName>
    <definedName name="_xlnm.Print_Area" localSheetId="7">'GM-WklyChnge'!$A$1:$K$58</definedName>
    <definedName name="_xlnm.Print_Area" localSheetId="3">Greensheet!$A$1:$M$143</definedName>
    <definedName name="_xlnm.Print_Area" localSheetId="8">GrossMargin!$B$2:$O$53</definedName>
    <definedName name="_xlnm.Print_Area" localSheetId="12">Headcount!$B$1:$N$50</definedName>
    <definedName name="_xlnm.Print_Area" localSheetId="4">'Old Mgmt Summary'!$A$1:$V$65</definedName>
    <definedName name="_xlnm.Print_Area" localSheetId="1">'Q1 Mgmt Summary'!$A$1:$N$48</definedName>
    <definedName name="_xlnm.Print_Area" localSheetId="2">'QTD Mgmt Summary'!$A$1:$N$63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B4" i="4" l="1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D14" i="4"/>
  <c r="E14" i="4"/>
  <c r="F14" i="4"/>
  <c r="K14" i="4"/>
  <c r="L14" i="4"/>
  <c r="M14" i="4"/>
  <c r="F15" i="4"/>
  <c r="K15" i="4"/>
  <c r="L15" i="4"/>
  <c r="M15" i="4"/>
  <c r="F16" i="4"/>
  <c r="L16" i="4"/>
  <c r="M16" i="4"/>
  <c r="D17" i="4"/>
  <c r="E17" i="4"/>
  <c r="F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L23" i="4"/>
  <c r="M23" i="4"/>
  <c r="E24" i="4"/>
  <c r="F24" i="4"/>
  <c r="K24" i="4"/>
  <c r="L24" i="4"/>
  <c r="M24" i="4"/>
  <c r="F25" i="4"/>
  <c r="M25" i="4"/>
  <c r="F26" i="4"/>
  <c r="K26" i="4"/>
  <c r="M26" i="4"/>
  <c r="E27" i="4"/>
  <c r="F27" i="4"/>
  <c r="K27" i="4"/>
  <c r="L27" i="4"/>
  <c r="M27" i="4"/>
  <c r="E28" i="4"/>
  <c r="F28" i="4"/>
  <c r="L28" i="4"/>
  <c r="M28" i="4"/>
  <c r="D29" i="4"/>
  <c r="E29" i="4"/>
  <c r="F29" i="4"/>
  <c r="K29" i="4"/>
  <c r="L29" i="4"/>
  <c r="M29" i="4"/>
  <c r="D30" i="4"/>
  <c r="E30" i="4"/>
  <c r="F30" i="4"/>
  <c r="K30" i="4"/>
  <c r="L30" i="4"/>
  <c r="M30" i="4"/>
  <c r="E33" i="4"/>
  <c r="F33" i="4"/>
  <c r="K33" i="4"/>
  <c r="L33" i="4"/>
  <c r="M33" i="4"/>
  <c r="E34" i="4"/>
  <c r="F34" i="4"/>
  <c r="K34" i="4"/>
  <c r="L34" i="4"/>
  <c r="M34" i="4"/>
  <c r="D35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D38" i="4"/>
  <c r="E38" i="4"/>
  <c r="F38" i="4"/>
  <c r="K38" i="4"/>
  <c r="L38" i="4"/>
  <c r="M38" i="4"/>
  <c r="D40" i="4"/>
  <c r="E40" i="4"/>
  <c r="F40" i="4"/>
  <c r="K40" i="4"/>
  <c r="L40" i="4"/>
  <c r="M40" i="4"/>
  <c r="D42" i="4"/>
  <c r="E42" i="4"/>
  <c r="F42" i="4"/>
  <c r="L42" i="4"/>
  <c r="M42" i="4"/>
  <c r="D44" i="4"/>
  <c r="E44" i="4"/>
  <c r="F44" i="4"/>
  <c r="K44" i="4"/>
  <c r="D46" i="4"/>
  <c r="E46" i="4"/>
  <c r="F46" i="4"/>
  <c r="K46" i="4"/>
  <c r="L46" i="4"/>
  <c r="M46" i="4"/>
  <c r="D48" i="4"/>
  <c r="E48" i="4"/>
  <c r="F48" i="4"/>
  <c r="K48" i="4"/>
  <c r="L48" i="4"/>
  <c r="M48" i="4"/>
  <c r="M50" i="4"/>
  <c r="D52" i="4"/>
  <c r="E52" i="4"/>
  <c r="F52" i="4"/>
  <c r="K52" i="4"/>
  <c r="L52" i="4"/>
  <c r="M52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2" i="19"/>
  <c r="E32" i="19"/>
  <c r="F32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9" i="19"/>
  <c r="E39" i="19"/>
  <c r="F39" i="19"/>
  <c r="D41" i="19"/>
  <c r="E41" i="19"/>
  <c r="F41" i="19"/>
  <c r="D43" i="19"/>
  <c r="E43" i="19"/>
  <c r="F43" i="19"/>
  <c r="D45" i="19"/>
  <c r="E45" i="19"/>
  <c r="F45" i="19"/>
  <c r="D47" i="19"/>
  <c r="E47" i="19"/>
  <c r="F47" i="19"/>
  <c r="D49" i="19"/>
  <c r="E49" i="19"/>
  <c r="F49" i="19"/>
  <c r="D51" i="19"/>
  <c r="E51" i="19"/>
  <c r="F51" i="19"/>
  <c r="D56" i="19"/>
  <c r="E56" i="19"/>
  <c r="F56" i="19"/>
  <c r="D57" i="19"/>
  <c r="E57" i="19"/>
  <c r="F57" i="19"/>
  <c r="B4" i="3"/>
  <c r="D9" i="3"/>
  <c r="E9" i="3"/>
  <c r="F9" i="3"/>
  <c r="E10" i="3"/>
  <c r="F10" i="3"/>
  <c r="D11" i="3"/>
  <c r="E11" i="3"/>
  <c r="F11" i="3"/>
  <c r="E12" i="3"/>
  <c r="F12" i="3"/>
  <c r="E13" i="3"/>
  <c r="F13" i="3"/>
  <c r="E14" i="3"/>
  <c r="F14" i="3"/>
  <c r="D15" i="3"/>
  <c r="E15" i="3"/>
  <c r="F15" i="3"/>
  <c r="E16" i="3"/>
  <c r="F16" i="3"/>
  <c r="D17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E23" i="3"/>
  <c r="F23" i="3"/>
  <c r="D24" i="3"/>
  <c r="E24" i="3"/>
  <c r="F24" i="3"/>
  <c r="D25" i="3"/>
  <c r="E25" i="3"/>
  <c r="F25" i="3"/>
  <c r="E26" i="3"/>
  <c r="F26" i="3"/>
  <c r="E27" i="3"/>
  <c r="F27" i="3"/>
  <c r="E28" i="3"/>
  <c r="F28" i="3"/>
  <c r="D29" i="3"/>
  <c r="E29" i="3"/>
  <c r="F29" i="3"/>
  <c r="E32" i="3"/>
  <c r="F32" i="3"/>
  <c r="E33" i="3"/>
  <c r="F33" i="3"/>
  <c r="E34" i="3"/>
  <c r="F34" i="3"/>
  <c r="D35" i="3"/>
  <c r="E35" i="3"/>
  <c r="F35" i="3"/>
  <c r="D36" i="3"/>
  <c r="E36" i="3"/>
  <c r="F36" i="3"/>
  <c r="D37" i="3"/>
  <c r="E37" i="3"/>
  <c r="F37" i="3"/>
  <c r="E39" i="3"/>
  <c r="F39" i="3"/>
  <c r="D41" i="3"/>
  <c r="E41" i="3"/>
  <c r="F41" i="3"/>
  <c r="D43" i="3"/>
  <c r="E43" i="3"/>
  <c r="F43" i="3"/>
  <c r="D45" i="3"/>
  <c r="E45" i="3"/>
  <c r="F45" i="3"/>
  <c r="F47" i="3"/>
  <c r="E49" i="3"/>
  <c r="F49" i="3"/>
  <c r="D51" i="3"/>
  <c r="E51" i="3"/>
  <c r="F51" i="3"/>
  <c r="D56" i="3"/>
  <c r="F56" i="3"/>
  <c r="F57" i="3"/>
  <c r="D58" i="3"/>
  <c r="E58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J21" i="9"/>
  <c r="K21" i="9"/>
  <c r="C22" i="9"/>
  <c r="D22" i="9"/>
  <c r="E22" i="9"/>
  <c r="F22" i="9"/>
  <c r="G22" i="9"/>
  <c r="H22" i="9"/>
  <c r="J22" i="9"/>
  <c r="K22" i="9"/>
  <c r="C23" i="9"/>
  <c r="D23" i="9"/>
  <c r="E23" i="9"/>
  <c r="F23" i="9"/>
  <c r="G23" i="9"/>
  <c r="H23" i="9"/>
  <c r="J23" i="9"/>
  <c r="K23" i="9"/>
  <c r="C24" i="9"/>
  <c r="D24" i="9"/>
  <c r="E24" i="9"/>
  <c r="F24" i="9"/>
  <c r="G24" i="9"/>
  <c r="H24" i="9"/>
  <c r="J24" i="9"/>
  <c r="K24" i="9"/>
  <c r="C25" i="9"/>
  <c r="D25" i="9"/>
  <c r="E25" i="9"/>
  <c r="F25" i="9"/>
  <c r="G25" i="9"/>
  <c r="H25" i="9"/>
  <c r="J25" i="9"/>
  <c r="K25" i="9"/>
  <c r="C26" i="9"/>
  <c r="D26" i="9"/>
  <c r="E26" i="9"/>
  <c r="F26" i="9"/>
  <c r="H26" i="9"/>
  <c r="J26" i="9"/>
  <c r="K26" i="9"/>
  <c r="C27" i="9"/>
  <c r="D27" i="9"/>
  <c r="E27" i="9"/>
  <c r="F27" i="9"/>
  <c r="H27" i="9"/>
  <c r="J27" i="9"/>
  <c r="K27" i="9"/>
  <c r="C28" i="9"/>
  <c r="D28" i="9"/>
  <c r="E28" i="9"/>
  <c r="F28" i="9"/>
  <c r="G28" i="9"/>
  <c r="H28" i="9"/>
  <c r="J28" i="9"/>
  <c r="K28" i="9"/>
  <c r="C29" i="9"/>
  <c r="D29" i="9"/>
  <c r="E29" i="9"/>
  <c r="F29" i="9"/>
  <c r="G29" i="9"/>
  <c r="H29" i="9"/>
  <c r="J29" i="9"/>
  <c r="K29" i="9"/>
  <c r="C31" i="9"/>
  <c r="D31" i="9"/>
  <c r="E31" i="9"/>
  <c r="F31" i="9"/>
  <c r="G31" i="9"/>
  <c r="H31" i="9"/>
  <c r="J31" i="9"/>
  <c r="K31" i="9"/>
  <c r="C34" i="9"/>
  <c r="D34" i="9"/>
  <c r="E34" i="9"/>
  <c r="F34" i="9"/>
  <c r="G34" i="9"/>
  <c r="H34" i="9"/>
  <c r="J34" i="9"/>
  <c r="K34" i="9"/>
  <c r="C35" i="9"/>
  <c r="D35" i="9"/>
  <c r="E35" i="9"/>
  <c r="F35" i="9"/>
  <c r="G35" i="9"/>
  <c r="H35" i="9"/>
  <c r="J35" i="9"/>
  <c r="K35" i="9"/>
  <c r="C36" i="9"/>
  <c r="D36" i="9"/>
  <c r="E36" i="9"/>
  <c r="F36" i="9"/>
  <c r="G36" i="9"/>
  <c r="H36" i="9"/>
  <c r="J36" i="9"/>
  <c r="K36" i="9"/>
  <c r="C37" i="9"/>
  <c r="D37" i="9"/>
  <c r="E37" i="9"/>
  <c r="F37" i="9"/>
  <c r="G37" i="9"/>
  <c r="H37" i="9"/>
  <c r="J37" i="9"/>
  <c r="K37" i="9"/>
  <c r="C38" i="9"/>
  <c r="D38" i="9"/>
  <c r="E38" i="9"/>
  <c r="F38" i="9"/>
  <c r="G38" i="9"/>
  <c r="H38" i="9"/>
  <c r="J38" i="9"/>
  <c r="K38" i="9"/>
  <c r="C40" i="9"/>
  <c r="D40" i="9"/>
  <c r="E40" i="9"/>
  <c r="F40" i="9"/>
  <c r="G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G44" i="9"/>
  <c r="H44" i="9"/>
  <c r="J44" i="9"/>
  <c r="K44" i="9"/>
  <c r="C46" i="9"/>
  <c r="D46" i="9"/>
  <c r="E46" i="9"/>
  <c r="F46" i="9"/>
  <c r="G46" i="9"/>
  <c r="H46" i="9"/>
  <c r="J46" i="9"/>
  <c r="K46" i="9"/>
  <c r="C48" i="9"/>
  <c r="D48" i="9"/>
  <c r="E48" i="9"/>
  <c r="F48" i="9"/>
  <c r="G48" i="9"/>
  <c r="H48" i="9"/>
  <c r="J48" i="9"/>
  <c r="K48" i="9"/>
  <c r="C50" i="9"/>
  <c r="D50" i="9"/>
  <c r="E50" i="9"/>
  <c r="F50" i="9"/>
  <c r="G50" i="9"/>
  <c r="H50" i="9"/>
  <c r="J50" i="9"/>
  <c r="K50" i="9"/>
  <c r="I58" i="9"/>
  <c r="J58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J12" i="2"/>
  <c r="M12" i="2"/>
  <c r="N12" i="2"/>
  <c r="O12" i="2"/>
  <c r="R12" i="2"/>
  <c r="S12" i="2"/>
  <c r="T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D15" i="2"/>
  <c r="J15" i="2"/>
  <c r="M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E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N26" i="2"/>
  <c r="O26" i="2"/>
  <c r="H27" i="2"/>
  <c r="J27" i="2"/>
  <c r="M27" i="2"/>
  <c r="O27" i="2"/>
  <c r="J28" i="2"/>
  <c r="M28" i="2"/>
  <c r="N28" i="2"/>
  <c r="O28" i="2"/>
  <c r="R28" i="2"/>
  <c r="S28" i="2"/>
  <c r="T28" i="2"/>
  <c r="J29" i="2"/>
  <c r="M29" i="2"/>
  <c r="N29" i="2"/>
  <c r="O29" i="2"/>
  <c r="R29" i="2"/>
  <c r="S29" i="2"/>
  <c r="T29" i="2"/>
  <c r="J30" i="2"/>
  <c r="M30" i="2"/>
  <c r="N30" i="2"/>
  <c r="O30" i="2"/>
  <c r="R30" i="2"/>
  <c r="S30" i="2"/>
  <c r="T30" i="2"/>
  <c r="D32" i="2"/>
  <c r="E32" i="2"/>
  <c r="F32" i="2"/>
  <c r="G32" i="2"/>
  <c r="H32" i="2"/>
  <c r="I32" i="2"/>
  <c r="J32" i="2"/>
  <c r="K32" i="2"/>
  <c r="L32" i="2"/>
  <c r="M32" i="2"/>
  <c r="N32" i="2"/>
  <c r="O32" i="2"/>
  <c r="R32" i="2"/>
  <c r="S32" i="2"/>
  <c r="T32" i="2"/>
  <c r="J35" i="2"/>
  <c r="M35" i="2"/>
  <c r="N35" i="2"/>
  <c r="O35" i="2"/>
  <c r="R35" i="2"/>
  <c r="S35" i="2"/>
  <c r="T35" i="2"/>
  <c r="J36" i="2"/>
  <c r="M36" i="2"/>
  <c r="N36" i="2"/>
  <c r="O36" i="2"/>
  <c r="R36" i="2"/>
  <c r="S36" i="2"/>
  <c r="T36" i="2"/>
  <c r="E37" i="2"/>
  <c r="F37" i="2"/>
  <c r="J37" i="2"/>
  <c r="K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D39" i="2"/>
  <c r="E39" i="2"/>
  <c r="F39" i="2"/>
  <c r="H39" i="2"/>
  <c r="I39" i="2"/>
  <c r="J39" i="2"/>
  <c r="L39" i="2"/>
  <c r="M39" i="2"/>
  <c r="N39" i="2"/>
  <c r="O39" i="2"/>
  <c r="D41" i="2"/>
  <c r="E41" i="2"/>
  <c r="F41" i="2"/>
  <c r="H41" i="2"/>
  <c r="I41" i="2"/>
  <c r="J41" i="2"/>
  <c r="K41" i="2"/>
  <c r="L41" i="2"/>
  <c r="M41" i="2"/>
  <c r="N41" i="2"/>
  <c r="O41" i="2"/>
  <c r="R41" i="2"/>
  <c r="S41" i="2"/>
  <c r="T41" i="2"/>
  <c r="J43" i="2"/>
  <c r="M43" i="2"/>
  <c r="N43" i="2"/>
  <c r="O43" i="2"/>
  <c r="R43" i="2"/>
  <c r="S43" i="2"/>
  <c r="T43" i="2"/>
  <c r="J45" i="2"/>
  <c r="M45" i="2"/>
  <c r="O45" i="2"/>
  <c r="J47" i="2"/>
  <c r="M47" i="2"/>
  <c r="N47" i="2"/>
  <c r="O47" i="2"/>
  <c r="J49" i="2"/>
  <c r="M49" i="2"/>
  <c r="N49" i="2"/>
  <c r="O49" i="2"/>
  <c r="D51" i="2"/>
  <c r="E51" i="2"/>
  <c r="F51" i="2"/>
  <c r="H51" i="2"/>
  <c r="I51" i="2"/>
  <c r="J51" i="2"/>
  <c r="K51" i="2"/>
  <c r="L51" i="2"/>
  <c r="M51" i="2"/>
  <c r="N51" i="2"/>
  <c r="O51" i="2"/>
  <c r="D59" i="2"/>
  <c r="D60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9" i="1"/>
  <c r="E39" i="1"/>
  <c r="G39" i="1"/>
  <c r="I39" i="1"/>
  <c r="J39" i="1"/>
  <c r="O39" i="1"/>
  <c r="Q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D45" i="1"/>
  <c r="E45" i="1"/>
  <c r="M45" i="1"/>
  <c r="O45" i="1"/>
  <c r="T45" i="1"/>
  <c r="V45" i="1"/>
  <c r="E46" i="1"/>
  <c r="D47" i="1"/>
  <c r="E47" i="1"/>
  <c r="N47" i="1"/>
  <c r="O47" i="1"/>
  <c r="U47" i="1"/>
  <c r="V47" i="1"/>
  <c r="D49" i="1"/>
  <c r="E49" i="1"/>
  <c r="M49" i="1"/>
  <c r="O49" i="1"/>
  <c r="T49" i="1"/>
  <c r="V49" i="1"/>
  <c r="D51" i="1"/>
  <c r="E51" i="1"/>
  <c r="N51" i="1"/>
  <c r="O51" i="1"/>
  <c r="U51" i="1"/>
  <c r="V51" i="1"/>
  <c r="C53" i="1"/>
  <c r="D53" i="1"/>
  <c r="E53" i="1"/>
  <c r="G53" i="1"/>
  <c r="H53" i="1"/>
  <c r="I53" i="1"/>
  <c r="J53" i="1"/>
  <c r="M53" i="1"/>
  <c r="O53" i="1"/>
  <c r="Q53" i="1"/>
  <c r="T53" i="1"/>
  <c r="V53" i="1"/>
  <c r="D55" i="1"/>
  <c r="E55" i="1"/>
  <c r="J55" i="1"/>
  <c r="L55" i="1"/>
  <c r="O55" i="1"/>
  <c r="S55" i="1"/>
  <c r="V55" i="1"/>
  <c r="V56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E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J26" i="17"/>
  <c r="L26" i="17"/>
  <c r="M26" i="17"/>
  <c r="N26" i="17"/>
  <c r="E27" i="17"/>
  <c r="J27" i="17"/>
  <c r="L27" i="17"/>
  <c r="M27" i="17"/>
  <c r="N27" i="17"/>
  <c r="C28" i="17"/>
  <c r="D28" i="17"/>
  <c r="E28" i="17"/>
  <c r="G28" i="17"/>
  <c r="H28" i="17"/>
  <c r="I28" i="17"/>
  <c r="J28" i="17"/>
  <c r="L28" i="17"/>
  <c r="M28" i="17"/>
  <c r="N28" i="17"/>
  <c r="E30" i="17"/>
  <c r="J30" i="17"/>
  <c r="L30" i="17"/>
  <c r="M30" i="17"/>
  <c r="N30" i="17"/>
  <c r="E31" i="17"/>
  <c r="J31" i="17"/>
  <c r="L31" i="17"/>
  <c r="M31" i="17"/>
  <c r="N31" i="17"/>
  <c r="C32" i="17"/>
  <c r="E32" i="17"/>
  <c r="G32" i="17"/>
  <c r="H32" i="17"/>
  <c r="I32" i="17"/>
  <c r="J32" i="17"/>
  <c r="L32" i="17"/>
  <c r="M32" i="17"/>
  <c r="N32" i="17"/>
  <c r="C33" i="17"/>
  <c r="D33" i="17"/>
  <c r="E33" i="17"/>
  <c r="G33" i="17"/>
  <c r="H33" i="17"/>
  <c r="I33" i="17"/>
  <c r="J33" i="17"/>
  <c r="L33" i="17"/>
  <c r="M33" i="17"/>
  <c r="N33" i="17"/>
  <c r="E35" i="17"/>
  <c r="J35" i="17"/>
  <c r="L35" i="17"/>
  <c r="M35" i="17"/>
  <c r="N35" i="17"/>
  <c r="E36" i="17"/>
  <c r="J36" i="17"/>
  <c r="L36" i="17"/>
  <c r="M36" i="17"/>
  <c r="N36" i="17"/>
  <c r="E37" i="17"/>
  <c r="J37" i="17"/>
  <c r="L37" i="17"/>
  <c r="M37" i="17"/>
  <c r="N37" i="17"/>
  <c r="C38" i="17"/>
  <c r="D38" i="17"/>
  <c r="E38" i="17"/>
  <c r="G38" i="17"/>
  <c r="H38" i="17"/>
  <c r="I38" i="17"/>
  <c r="J38" i="17"/>
  <c r="L38" i="17"/>
  <c r="M38" i="17"/>
  <c r="N38" i="17"/>
  <c r="E40" i="17"/>
  <c r="J40" i="17"/>
  <c r="L40" i="17"/>
  <c r="M40" i="17"/>
  <c r="N40" i="17"/>
  <c r="E41" i="17"/>
  <c r="J41" i="17"/>
  <c r="L41" i="17"/>
  <c r="M41" i="17"/>
  <c r="N41" i="17"/>
  <c r="E42" i="17"/>
  <c r="J42" i="17"/>
  <c r="L42" i="17"/>
  <c r="M42" i="17"/>
  <c r="N42" i="17"/>
  <c r="C43" i="17"/>
  <c r="D43" i="17"/>
  <c r="E43" i="17"/>
  <c r="J43" i="17"/>
  <c r="L43" i="17"/>
  <c r="M43" i="17"/>
  <c r="N43" i="17"/>
  <c r="C44" i="17"/>
  <c r="D44" i="17"/>
  <c r="E44" i="17"/>
  <c r="G44" i="17"/>
  <c r="H44" i="17"/>
  <c r="I44" i="17"/>
  <c r="J44" i="17"/>
  <c r="L44" i="17"/>
  <c r="M44" i="17"/>
  <c r="N44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F28" i="13"/>
  <c r="G28" i="13"/>
  <c r="H28" i="13"/>
  <c r="I28" i="13"/>
  <c r="J28" i="13"/>
  <c r="L28" i="13"/>
  <c r="M28" i="13"/>
  <c r="N28" i="13"/>
  <c r="C30" i="13"/>
  <c r="D30" i="13"/>
  <c r="E30" i="13"/>
  <c r="G30" i="13"/>
  <c r="H30" i="13"/>
  <c r="I30" i="13"/>
  <c r="J30" i="13"/>
  <c r="L30" i="13"/>
  <c r="M30" i="13"/>
  <c r="N30" i="13"/>
  <c r="C31" i="13"/>
  <c r="D31" i="13"/>
  <c r="E31" i="13"/>
  <c r="G31" i="13"/>
  <c r="H31" i="13"/>
  <c r="I31" i="13"/>
  <c r="J31" i="13"/>
  <c r="L31" i="13"/>
  <c r="M31" i="13"/>
  <c r="N31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5" i="13"/>
  <c r="D35" i="13"/>
  <c r="E35" i="13"/>
  <c r="G35" i="13"/>
  <c r="H35" i="13"/>
  <c r="I35" i="13"/>
  <c r="J35" i="13"/>
  <c r="L35" i="13"/>
  <c r="M35" i="13"/>
  <c r="N35" i="13"/>
  <c r="C36" i="13"/>
  <c r="D36" i="13"/>
  <c r="E36" i="13"/>
  <c r="G36" i="13"/>
  <c r="H36" i="13"/>
  <c r="I36" i="13"/>
  <c r="J36" i="13"/>
  <c r="L36" i="13"/>
  <c r="M36" i="13"/>
  <c r="N36" i="13"/>
  <c r="C37" i="13"/>
  <c r="D37" i="13"/>
  <c r="E37" i="13"/>
  <c r="G37" i="13"/>
  <c r="H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E40" i="13"/>
  <c r="G40" i="13"/>
  <c r="H40" i="13"/>
  <c r="J40" i="13"/>
  <c r="L40" i="13"/>
  <c r="M40" i="13"/>
  <c r="N40" i="13"/>
  <c r="E41" i="13"/>
  <c r="G41" i="13"/>
  <c r="H41" i="13"/>
  <c r="J41" i="13"/>
  <c r="L41" i="13"/>
  <c r="M41" i="13"/>
  <c r="N41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C44" i="13"/>
  <c r="D44" i="13"/>
  <c r="E44" i="13"/>
  <c r="G44" i="13"/>
  <c r="H44" i="13"/>
  <c r="J44" i="13"/>
  <c r="L44" i="13"/>
  <c r="M44" i="13"/>
  <c r="N44" i="13"/>
  <c r="E45" i="13"/>
  <c r="G45" i="13"/>
  <c r="H45" i="13"/>
  <c r="I45" i="13"/>
  <c r="J45" i="13"/>
  <c r="L45" i="13"/>
  <c r="M45" i="13"/>
  <c r="N45" i="13"/>
  <c r="C46" i="13"/>
  <c r="D46" i="13"/>
  <c r="E46" i="13"/>
  <c r="G46" i="13"/>
  <c r="H46" i="13"/>
  <c r="I46" i="13"/>
  <c r="J46" i="13"/>
  <c r="L46" i="13"/>
  <c r="M46" i="13"/>
  <c r="N46" i="13"/>
  <c r="E47" i="13"/>
  <c r="G47" i="13"/>
  <c r="H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53" i="13"/>
  <c r="I53" i="13"/>
  <c r="E54" i="13"/>
  <c r="I54" i="13"/>
  <c r="E55" i="13"/>
  <c r="J55" i="13"/>
  <c r="E57" i="13"/>
  <c r="I57" i="13"/>
  <c r="E60" i="13"/>
  <c r="I60" i="13"/>
  <c r="E61" i="13"/>
  <c r="I61" i="13"/>
  <c r="E63" i="13"/>
  <c r="I63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C26" i="18"/>
  <c r="D26" i="18"/>
  <c r="E26" i="18"/>
  <c r="G26" i="18"/>
  <c r="H26" i="18"/>
  <c r="I26" i="18"/>
  <c r="J26" i="18"/>
  <c r="L26" i="18"/>
  <c r="M26" i="18"/>
  <c r="N26" i="18"/>
  <c r="C27" i="18"/>
  <c r="D27" i="18"/>
  <c r="E27" i="18"/>
  <c r="G27" i="18"/>
  <c r="H27" i="18"/>
  <c r="I27" i="18"/>
  <c r="J27" i="18"/>
  <c r="L27" i="18"/>
  <c r="M27" i="18"/>
  <c r="N27" i="18"/>
  <c r="C28" i="18"/>
  <c r="D28" i="18"/>
  <c r="E28" i="18"/>
  <c r="G28" i="18"/>
  <c r="H28" i="18"/>
  <c r="I28" i="18"/>
  <c r="J28" i="18"/>
  <c r="L28" i="18"/>
  <c r="M28" i="18"/>
  <c r="N28" i="18"/>
  <c r="C30" i="18"/>
  <c r="D30" i="18"/>
  <c r="E30" i="18"/>
  <c r="G30" i="18"/>
  <c r="H30" i="18"/>
  <c r="I30" i="18"/>
  <c r="J30" i="18"/>
  <c r="L30" i="18"/>
  <c r="M30" i="18"/>
  <c r="N30" i="18"/>
  <c r="C31" i="18"/>
  <c r="D31" i="18"/>
  <c r="E31" i="18"/>
  <c r="G31" i="18"/>
  <c r="H31" i="18"/>
  <c r="I31" i="18"/>
  <c r="J31" i="18"/>
  <c r="L31" i="18"/>
  <c r="M31" i="18"/>
  <c r="N31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5" i="18"/>
  <c r="D35" i="18"/>
  <c r="E35" i="18"/>
  <c r="G35" i="18"/>
  <c r="H35" i="18"/>
  <c r="I35" i="18"/>
  <c r="J35" i="18"/>
  <c r="L35" i="18"/>
  <c r="M35" i="18"/>
  <c r="N35" i="18"/>
  <c r="C36" i="18"/>
  <c r="D36" i="18"/>
  <c r="E36" i="18"/>
  <c r="G36" i="18"/>
  <c r="H36" i="18"/>
  <c r="I36" i="18"/>
  <c r="J36" i="18"/>
  <c r="L36" i="18"/>
  <c r="M36" i="18"/>
  <c r="N36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40" i="18"/>
  <c r="D40" i="18"/>
  <c r="E40" i="18"/>
  <c r="G40" i="18"/>
  <c r="H40" i="18"/>
  <c r="I40" i="18"/>
  <c r="J40" i="18"/>
  <c r="L40" i="18"/>
  <c r="M40" i="18"/>
  <c r="N40" i="18"/>
  <c r="C41" i="18"/>
  <c r="D41" i="18"/>
  <c r="E41" i="18"/>
  <c r="G41" i="18"/>
  <c r="H41" i="18"/>
  <c r="I41" i="18"/>
  <c r="J41" i="18"/>
  <c r="L41" i="18"/>
  <c r="M41" i="18"/>
  <c r="N41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<sst xmlns="http://schemas.openxmlformats.org/spreadsheetml/2006/main" count="1118" uniqueCount="302">
  <si>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</si>
  <si>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</si>
  <si>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</si>
  <si>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</si>
  <si>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</si>
  <si>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</si>
  <si>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</si>
  <si>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</si>
  <si>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</si>
  <si>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</si>
  <si>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</si>
  <si>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</si>
  <si>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</si>
  <si>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</si>
  <si>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</si>
  <si>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</si>
  <si>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</si>
  <si>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</si>
  <si>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</si>
  <si>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</si>
  <si>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</si>
  <si>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</si>
  <si>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</si>
  <si>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</si>
  <si>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</si>
  <si>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</si>
  <si>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</si>
  <si>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</si>
  <si>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</si>
  <si>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</si>
  <si>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</si>
  <si>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</si>
  <si>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</si>
  <si>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</si>
  <si>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</si>
  <si>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</si>
  <si>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</si>
  <si>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</si>
  <si>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</si>
  <si>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</si>
  <si>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</si>
  <si>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</si>
  <si>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</si>
  <si>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</si>
  <si>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</si>
  <si>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</si>
  <si>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</si>
  <si>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</si>
  <si>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</si>
  <si>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</si>
  <si>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</si>
  <si>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</si>
  <si>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</si>
  <si>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</si>
  <si>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</si>
  <si>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</si>
  <si>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</si>
  <si>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</si>
  <si>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</si>
  <si>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</si>
  <si>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</si>
  <si>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</si>
  <si>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</si>
  <si>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</si>
  <si>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</si>
  <si>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</si>
  <si>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</si>
  <si>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</si>
  <si>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</si>
  <si>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</si>
  <si>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</si>
  <si>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</si>
  <si>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</si>
  <si>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</si>
  <si>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</si>
  <si>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</si>
  <si>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</si>
  <si>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</si>
  <si>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</si>
  <si>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</si>
  <si>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</si>
  <si>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</si>
  <si>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</si>
  <si>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</si>
  <si>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</si>
  <si>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</si>
  <si>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</si>
  <si>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</si>
  <si>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</si>
  <si>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</si>
  <si>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</si>
  <si>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</si>
  <si>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</si>
  <si>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</si>
  <si>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</si>
  <si>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</si>
  <si>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</si>
  <si>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</si>
  <si>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</si>
  <si>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</si>
  <si>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</si>
  <si>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</si>
  <si>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</si>
  <si>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</si>
  <si>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</si>
  <si>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</si>
  <si>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</si>
  <si>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</si>
  <si>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</si>
  <si>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</si>
  <si>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</si>
  <si>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</si>
  <si>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</si>
  <si>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</si>
  <si>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</si>
  <si>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</si>
  <si>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</si>
  <si>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</si>
  <si>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</si>
  <si>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</si>
  <si>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</si>
  <si>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</si>
  <si>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</si>
  <si>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</si>
  <si>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</si>
  <si>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</si>
  <si>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</si>
  <si>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</si>
  <si>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</si>
  <si>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</si>
  <si>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</si>
  <si>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</si>
  <si>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</si>
  <si>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</si>
  <si>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</si>
  <si>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</si>
  <si>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</si>
  <si>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</si>
  <si>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</si>
  <si>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</si>
  <si>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</si>
  <si>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</si>
  <si>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</si>
  <si>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</si>
  <si>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</si>
  <si>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</si>
  <si>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</si>
  <si>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</si>
  <si>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</si>
  <si>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</si>
  <si>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</si>
  <si>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</si>
  <si>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</si>
  <si>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</si>
  <si>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</si>
  <si>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</si>
  <si>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</si>
  <si>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</si>
  <si>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</si>
  <si>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</si>
  <si>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</si>
  <si>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</si>
  <si>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</si>
  <si>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</si>
  <si>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</si>
  <si>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</si>
  <si>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</si>
  <si>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</si>
  <si>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</si>
  <si>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</si>
  <si>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</si>
  <si>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</si>
  <si>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</si>
  <si>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</si>
  <si>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</si>
  <si>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</si>
  <si>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</si>
  <si>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</si>
  <si>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</si>
  <si>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</si>
  <si>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</si>
  <si>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</si>
  <si>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</si>
  <si>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</si>
  <si>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</si>
  <si>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</si>
  <si>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</si>
  <si>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</si>
  <si>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</si>
  <si>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</si>
  <si>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</si>
  <si>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</si>
  <si>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</si>
  <si>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</si>
  <si>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</si>
  <si>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</si>
  <si>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</si>
  <si>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</si>
  <si>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</si>
  <si>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</si>
  <si>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</si>
  <si>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</si>
  <si>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</si>
  <si>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</si>
  <si>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</si>
  <si>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</si>
  <si>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</si>
  <si>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</si>
  <si>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</si>
  <si>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</si>
  <si>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</si>
  <si>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</si>
  <si>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</si>
  <si>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</si>
  <si>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</si>
  <si>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</si>
  <si>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</si>
  <si>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</si>
  <si>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</si>
  <si>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</si>
  <si>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</si>
  <si>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</si>
  <si>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</si>
  <si>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</si>
  <si>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</si>
  <si>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</si>
  <si>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</si>
  <si>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</si>
  <si>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</si>
  <si>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</si>
  <si>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</si>
  <si>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</si>
  <si>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</si>
  <si>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</si>
  <si>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</si>
  <si>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</si>
  <si>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</si>
  <si>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</si>
  <si>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</si>
  <si>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</si>
  <si>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</si>
  <si>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</si>
  <si>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</si>
  <si>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</si>
  <si>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</si>
  <si>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</si>
  <si>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</si>
  <si>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</si>
  <si>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</si>
  <si>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</si>
  <si>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</si>
  <si>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</si>
  <si>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</si>
  <si>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</si>
  <si>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</si>
  <si>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</si>
  <si>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</si>
  <si>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</si>
  <si>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</si>
  <si>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</si>
  <si>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</si>
  <si>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</si>
  <si>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</si>
  <si>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</si>
  <si>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</si>
  <si>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</si>
  <si>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</si>
  <si>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</si>
  <si>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</si>
  <si>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</si>
  <si>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</si>
  <si>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</si>
  <si>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</si>
  <si>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</si>
  <si>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</si>
  <si>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</si>
  <si>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</si>
  <si>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</si>
  <si>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</si>
  <si>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</si>
  <si>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</si>
  <si>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</si>
  <si>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>Canada Severance</t>
  </si>
  <si>
    <t xml:space="preserve">Turbines </t>
  </si>
  <si>
    <t>Headcount is over Plan by 24FTE's &amp; Ft. James</t>
  </si>
  <si>
    <t>Margin change from: 06/02/00</t>
  </si>
  <si>
    <t>Expense changes from: 06/02/00</t>
  </si>
  <si>
    <t>Results based on Activity through June 8, 2000</t>
  </si>
  <si>
    <t>RC's moved from finance to trading per Jill Louie</t>
  </si>
  <si>
    <t>Enron Compressor services had Gas purchases.  They had not done so before.</t>
  </si>
  <si>
    <t>2 New groups in Denver that had no plan sent in a forecast</t>
  </si>
  <si>
    <t>FTE's over by 20, Increased special pays, Franchise taxes paid in April</t>
  </si>
  <si>
    <t>All Operating costs have gone through the DPR</t>
  </si>
  <si>
    <t>All Operating expenses went through the DPR</t>
  </si>
  <si>
    <t>Entire cap charge number in DPR</t>
  </si>
  <si>
    <t>Special Pays in May</t>
  </si>
  <si>
    <t>Special Pay in April &amp; May</t>
  </si>
  <si>
    <t>Offset in allocated expenses &amp; Bonus Accrual</t>
  </si>
  <si>
    <t>2000 Bonus Accrual</t>
  </si>
  <si>
    <t xml:space="preserve"> </t>
  </si>
  <si>
    <t>MPR Change</t>
  </si>
  <si>
    <t>Other Margin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</si>
</sst>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9" fontId="3" fillId="0" borderId="14" xfId="2" applyNumberFormat="1" applyFont="1" applyBorder="1"/>
    <xf numFmtId="165" fontId="3" fillId="0" borderId="1" xfId="0" applyNumberFormat="1" applyFont="1" applyBorder="1"/>
    <xf numFmtId="169" fontId="3" fillId="0" borderId="3" xfId="2" applyNumberFormat="1" applyFont="1" applyBorder="1"/>
    <xf numFmtId="169" fontId="3" fillId="0" borderId="7" xfId="2" applyNumberFormat="1" applyFont="1" applyBorder="1"/>
    <xf numFmtId="169" fontId="3" fillId="0" borderId="13" xfId="2" applyNumberFormat="1" applyFont="1" applyBorder="1"/>
    <xf numFmtId="0" fontId="2" fillId="0" borderId="2" xfId="0" applyFont="1" applyBorder="1" applyAlignment="1">
      <alignment horizontal="left"/>
    </xf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>
          <a:extLst>
            <a:ext uri="{FF2B5EF4-FFF2-40B4-BE49-F238E27FC236}">
              <a16:creationId xmlns:a16="http://schemas.microsoft.com/office/drawing/2014/main" id="{63C6E8BE-E27F-CE5A-5E82-E91AD8AA6347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>
          <a:extLst>
            <a:ext uri="{FF2B5EF4-FFF2-40B4-BE49-F238E27FC236}">
              <a16:creationId xmlns:a16="http://schemas.microsoft.com/office/drawing/2014/main" id="{391D064B-8680-46E5-902E-6BBDE110217D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>
          <a:extLst>
            <a:ext uri="{FF2B5EF4-FFF2-40B4-BE49-F238E27FC236}">
              <a16:creationId xmlns:a16="http://schemas.microsoft.com/office/drawing/2014/main" id="{3DF5EEBF-347A-E703-B9C9-228055F163F9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>
          <a:extLst>
            <a:ext uri="{FF2B5EF4-FFF2-40B4-BE49-F238E27FC236}">
              <a16:creationId xmlns:a16="http://schemas.microsoft.com/office/drawing/2014/main" id="{715CC292-2849-0FAB-AEB6-56D98819F0A3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>
          <a:extLst>
            <a:ext uri="{FF2B5EF4-FFF2-40B4-BE49-F238E27FC236}">
              <a16:creationId xmlns:a16="http://schemas.microsoft.com/office/drawing/2014/main" id="{F206C95B-EEC9-7D71-A92B-E3F834EB69C8}"/>
            </a:ext>
          </a:extLst>
        </xdr:cNvPr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>
          <a:extLst>
            <a:ext uri="{FF2B5EF4-FFF2-40B4-BE49-F238E27FC236}">
              <a16:creationId xmlns:a16="http://schemas.microsoft.com/office/drawing/2014/main" id="{8B2E2CAD-33A9-B905-9737-43A21112795A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C7855A18-596E-57F0-07D5-728ABF4C0035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AA91AFB2-BCA7-1369-CF67-E305B1AAF9A2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8212B6CF-5BCD-2C13-1A07-448931831E4D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F7BC35F4-7505-F2D2-9220-ACB318C62A6D}"/>
            </a:ext>
          </a:extLst>
        </xdr:cNvPr>
        <xdr:cNvSpPr txBox="1">
          <a:spLocks noChangeArrowheads="1"/>
        </xdr:cNvSpPr>
      </xdr:nvSpPr>
      <xdr:spPr bwMode="auto">
        <a:xfrm>
          <a:off x="795337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>
          <a:extLst>
            <a:ext uri="{FF2B5EF4-FFF2-40B4-BE49-F238E27FC236}">
              <a16:creationId xmlns:a16="http://schemas.microsoft.com/office/drawing/2014/main" id="{A7FDAFED-C52C-B255-0908-5B507457C701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07F42418-7508-3182-99C7-FE42F43ED62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82D399EB-3CEA-7AC4-F319-2960530AEC98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79A203A6-60AC-1081-0198-0CD9A66E3EDE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5F0ECB28-3AEF-ABEE-61B1-9FA55DAD860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9B0EBE56-569F-F5C8-B198-34F434B7E2A6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>
          <a:extLst>
            <a:ext uri="{FF2B5EF4-FFF2-40B4-BE49-F238E27FC236}">
              <a16:creationId xmlns:a16="http://schemas.microsoft.com/office/drawing/2014/main" id="{C3220494-4F36-A878-E13E-1049A4662F85}"/>
            </a:ext>
          </a:extLst>
        </xdr:cNvPr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AF09EE35-D871-88C1-6EF4-480E4338DCD2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ECCCBA0B-2866-EB79-82B8-FDF038CA3F2A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>
          <a:extLst>
            <a:ext uri="{FF2B5EF4-FFF2-40B4-BE49-F238E27FC236}">
              <a16:creationId xmlns:a16="http://schemas.microsoft.com/office/drawing/2014/main" id="{1A0FE9F7-9043-A408-BA7D-E39FAB883EBB}"/>
            </a:ext>
          </a:extLst>
        </xdr:cNvPr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>
          <a:extLst>
            <a:ext uri="{FF2B5EF4-FFF2-40B4-BE49-F238E27FC236}">
              <a16:creationId xmlns:a16="http://schemas.microsoft.com/office/drawing/2014/main" id="{877ED4B6-D1D4-236F-8DDD-17A916B3CD22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210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>
          <a:extLst>
            <a:ext uri="{FF2B5EF4-FFF2-40B4-BE49-F238E27FC236}">
              <a16:creationId xmlns:a16="http://schemas.microsoft.com/office/drawing/2014/main" id="{8ED9DEEC-68C1-8858-AAA0-0D46D6D89EEE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104B1AF8-F72D-0D09-F25A-32100415DF5B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5189BBC9-A43D-2D08-3A29-CAF144106B8E}"/>
            </a:ext>
          </a:extLst>
        </xdr:cNvPr>
        <xdr:cNvSpPr txBox="1">
          <a:spLocks noChangeArrowheads="1"/>
        </xdr:cNvSpPr>
      </xdr:nvSpPr>
      <xdr:spPr bwMode="auto">
        <a:xfrm>
          <a:off x="8305800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A07222CB-3299-8DF3-81D3-5F60B7EE5C20}"/>
            </a:ext>
          </a:extLst>
        </xdr:cNvPr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66D292C5-5AC9-6CAC-2EB6-234457DA2BC0}"/>
            </a:ext>
          </a:extLst>
        </xdr:cNvPr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C35F0A3D-D4EC-E086-E89E-B1E105C33FC4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2B19145D-ADB7-97E1-5CC3-82C0D3EAD73B}"/>
            </a:ext>
          </a:extLst>
        </xdr:cNvPr>
        <xdr:cNvSpPr txBox="1">
          <a:spLocks noChangeArrowheads="1"/>
        </xdr:cNvSpPr>
      </xdr:nvSpPr>
      <xdr:spPr bwMode="auto">
        <a:xfrm>
          <a:off x="7200900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-06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Hotlist - Identified 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  <sheetName val="Hotlist - Completed"/>
    </sheetNames>
    <sheetDataSet>
      <sheetData sheetId="0" refreshError="1"/>
      <sheetData sheetId="1" refreshError="1"/>
      <sheetData sheetId="2">
        <row r="48">
          <cell r="C48">
            <v>366247.5</v>
          </cell>
          <cell r="G48">
            <v>217950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D10">
            <v>189609</v>
          </cell>
        </row>
        <row r="11">
          <cell r="D11">
            <v>45804</v>
          </cell>
        </row>
        <row r="12">
          <cell r="D12">
            <v>88520</v>
          </cell>
        </row>
        <row r="13">
          <cell r="D13">
            <v>23724</v>
          </cell>
        </row>
        <row r="14">
          <cell r="D14">
            <v>10200</v>
          </cell>
        </row>
        <row r="15">
          <cell r="D15">
            <v>16913</v>
          </cell>
        </row>
        <row r="16">
          <cell r="D16">
            <v>1102</v>
          </cell>
        </row>
        <row r="17">
          <cell r="D17">
            <v>2728</v>
          </cell>
        </row>
        <row r="18">
          <cell r="D18">
            <v>-4100</v>
          </cell>
        </row>
        <row r="23">
          <cell r="E23">
            <v>506</v>
          </cell>
        </row>
        <row r="24">
          <cell r="D24">
            <v>2847</v>
          </cell>
          <cell r="E24">
            <v>-76</v>
          </cell>
          <cell r="F24">
            <v>0</v>
          </cell>
        </row>
        <row r="25">
          <cell r="E25">
            <v>16150</v>
          </cell>
        </row>
        <row r="26">
          <cell r="E26">
            <v>169</v>
          </cell>
          <cell r="F26">
            <v>37</v>
          </cell>
        </row>
        <row r="27">
          <cell r="E27">
            <v>2710</v>
          </cell>
          <cell r="H27">
            <v>5320</v>
          </cell>
        </row>
        <row r="28">
          <cell r="D28">
            <v>1692</v>
          </cell>
          <cell r="E28">
            <v>115</v>
          </cell>
          <cell r="F28">
            <v>16542</v>
          </cell>
          <cell r="H28">
            <v>4891</v>
          </cell>
        </row>
        <row r="29">
          <cell r="H29">
            <v>653</v>
          </cell>
        </row>
        <row r="35">
          <cell r="E35">
            <v>-30584</v>
          </cell>
          <cell r="F35">
            <v>0</v>
          </cell>
        </row>
        <row r="36">
          <cell r="E36">
            <v>3208</v>
          </cell>
          <cell r="F36">
            <v>0</v>
          </cell>
        </row>
        <row r="37">
          <cell r="E37">
            <v>-21519</v>
          </cell>
          <cell r="F37">
            <v>-276</v>
          </cell>
          <cell r="K37">
            <v>0</v>
          </cell>
        </row>
        <row r="38">
          <cell r="E38">
            <v>8442</v>
          </cell>
          <cell r="F38">
            <v>-43</v>
          </cell>
          <cell r="H38">
            <v>0</v>
          </cell>
        </row>
        <row r="39">
          <cell r="D39">
            <v>0</v>
          </cell>
          <cell r="E39">
            <v>-13077</v>
          </cell>
          <cell r="F39">
            <v>-319</v>
          </cell>
          <cell r="H39">
            <v>0</v>
          </cell>
        </row>
        <row r="43">
          <cell r="E43">
            <v>0.5</v>
          </cell>
        </row>
        <row r="47">
          <cell r="E47">
            <v>-3776</v>
          </cell>
          <cell r="F47">
            <v>-15261</v>
          </cell>
        </row>
      </sheetData>
      <sheetData sheetId="10">
        <row r="9">
          <cell r="D9">
            <v>3212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7523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1434</v>
          </cell>
          <cell r="E13">
            <v>1442</v>
          </cell>
        </row>
        <row r="14">
          <cell r="D14">
            <v>1147</v>
          </cell>
          <cell r="E14">
            <v>1384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9051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1449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797</v>
          </cell>
        </row>
        <row r="26">
          <cell r="D26">
            <v>5856</v>
          </cell>
          <cell r="E26">
            <v>5557</v>
          </cell>
        </row>
        <row r="27">
          <cell r="D27">
            <v>1364</v>
          </cell>
          <cell r="E27">
            <v>1298</v>
          </cell>
        </row>
        <row r="28">
          <cell r="D28">
            <v>1740</v>
          </cell>
          <cell r="E28">
            <v>2005</v>
          </cell>
        </row>
        <row r="32">
          <cell r="D32">
            <v>773</v>
          </cell>
          <cell r="E32">
            <v>735</v>
          </cell>
        </row>
        <row r="33">
          <cell r="D33">
            <v>1307</v>
          </cell>
          <cell r="E33">
            <v>1307</v>
          </cell>
        </row>
        <row r="34">
          <cell r="D34">
            <v>335</v>
          </cell>
          <cell r="E34">
            <v>839</v>
          </cell>
        </row>
        <row r="35">
          <cell r="D35">
            <v>0</v>
          </cell>
          <cell r="E35">
            <v>0</v>
          </cell>
        </row>
        <row r="36">
          <cell r="D36">
            <v>335</v>
          </cell>
          <cell r="E36">
            <v>839</v>
          </cell>
        </row>
        <row r="39">
          <cell r="D39">
            <v>6035</v>
          </cell>
          <cell r="E39">
            <v>4617</v>
          </cell>
        </row>
        <row r="41">
          <cell r="D41">
            <v>3230</v>
          </cell>
          <cell r="E41">
            <v>2430</v>
          </cell>
        </row>
        <row r="45">
          <cell r="D45">
            <v>60230</v>
          </cell>
          <cell r="E45">
            <v>59297</v>
          </cell>
        </row>
        <row r="47">
          <cell r="D47">
            <v>13698</v>
          </cell>
          <cell r="E47">
            <v>13698</v>
          </cell>
        </row>
        <row r="49">
          <cell r="D49">
            <v>22625</v>
          </cell>
          <cell r="E49">
            <v>26684</v>
          </cell>
        </row>
        <row r="56">
          <cell r="D56">
            <v>6379</v>
          </cell>
          <cell r="E56">
            <v>8789</v>
          </cell>
        </row>
        <row r="57">
          <cell r="D57">
            <v>39626</v>
          </cell>
          <cell r="E57">
            <v>36998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19" workbookViewId="0">
      <selection activeCell="C36" sqref="C36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67">
        <f>'Q1 Mgmt Summary'!C8+'QTD Mgmt Summary'!C8</f>
        <v>259466</v>
      </c>
      <c r="D8" s="60">
        <f>'Q1 Mgmt Summary'!D8+'QTD Mgmt Summary'!D8</f>
        <v>83089</v>
      </c>
      <c r="E8" s="211">
        <f>+C8-D8</f>
        <v>176377</v>
      </c>
      <c r="F8" s="241"/>
      <c r="G8" s="267">
        <f>'Q1 Mgmt Summary'!G8+'QTD Mgmt Summary'!G8</f>
        <v>31914</v>
      </c>
      <c r="H8" s="60">
        <f>'Q1 Mgmt Summary'!H8+'QTD Mgmt Summary'!H8</f>
        <v>31131</v>
      </c>
      <c r="I8" s="82">
        <f>'QTD Mgmt Summary'!I8+'Q1 Mgmt Summary'!I8</f>
        <v>0</v>
      </c>
      <c r="J8" s="211">
        <f>'QTD Mgmt Summary'!J8+'Q1 Mgmt Summary'!J8</f>
        <v>-783</v>
      </c>
      <c r="K8" s="214"/>
      <c r="L8" s="210">
        <f t="shared" ref="L8:M10" si="0">+C8-G8</f>
        <v>227552</v>
      </c>
      <c r="M8" s="59">
        <f t="shared" si="0"/>
        <v>51958</v>
      </c>
      <c r="N8" s="211">
        <f>+L8-M8</f>
        <v>175594</v>
      </c>
    </row>
    <row r="9" spans="1:23" ht="12" customHeight="1" x14ac:dyDescent="0.25">
      <c r="A9" s="207" t="s">
        <v>273</v>
      </c>
      <c r="B9" s="237"/>
      <c r="C9" s="268">
        <f>+'Q1 Mgmt Summary'!C9+'QTD Mgmt Summary'!C9</f>
        <v>63841</v>
      </c>
      <c r="D9" s="43">
        <f>+'Q1 Mgmt Summary'!D9+'QTD Mgmt Summary'!D9</f>
        <v>15006</v>
      </c>
      <c r="E9" s="213">
        <f>+C9-D9</f>
        <v>48835</v>
      </c>
      <c r="F9" s="241"/>
      <c r="G9" s="268">
        <f>+'Q1 Mgmt Summary'!G9+'QTD Mgmt Summary'!G9</f>
        <v>5972</v>
      </c>
      <c r="H9" s="43">
        <f>+'Q1 Mgmt Summary'!H9+'QTD Mgmt Summary'!H9</f>
        <v>6513</v>
      </c>
      <c r="I9" s="65">
        <f>'QTD Mgmt Summary'!I9+'Q1 Mgmt Summary'!I9</f>
        <v>0</v>
      </c>
      <c r="J9" s="213">
        <f>'QTD Mgmt Summary'!J9+'Q1 Mgmt Summary'!J9</f>
        <v>541</v>
      </c>
      <c r="K9" s="214"/>
      <c r="L9" s="212">
        <f t="shared" si="0"/>
        <v>57869</v>
      </c>
      <c r="M9" s="41">
        <f t="shared" si="0"/>
        <v>8493</v>
      </c>
      <c r="N9" s="213">
        <f>+L9-M9</f>
        <v>49376</v>
      </c>
    </row>
    <row r="10" spans="1:23" ht="12" customHeight="1" x14ac:dyDescent="0.25">
      <c r="A10" s="207" t="s">
        <v>106</v>
      </c>
      <c r="B10" s="237"/>
      <c r="C10" s="268">
        <f>+'Q1 Mgmt Summary'!C10+'QTD Mgmt Summary'!C10</f>
        <v>221847</v>
      </c>
      <c r="D10" s="43">
        <f>+'Q1 Mgmt Summary'!D10+'QTD Mgmt Summary'!D10</f>
        <v>97187</v>
      </c>
      <c r="E10" s="213">
        <f>+C10-D10</f>
        <v>124660</v>
      </c>
      <c r="F10" s="241"/>
      <c r="G10" s="268">
        <f>+'Q1 Mgmt Summary'!G10+'QTD Mgmt Summary'!G10</f>
        <v>37333</v>
      </c>
      <c r="H10" s="43">
        <f>+'Q1 Mgmt Summary'!H10+'QTD Mgmt Summary'!H10</f>
        <v>52050</v>
      </c>
      <c r="I10" s="65">
        <f>'QTD Mgmt Summary'!I10+'Q1 Mgmt Summary'!I10</f>
        <v>9269</v>
      </c>
      <c r="J10" s="213">
        <f>'QTD Mgmt Summary'!J10+'Q1 Mgmt Summary'!J10</f>
        <v>5448</v>
      </c>
      <c r="K10" s="214"/>
      <c r="L10" s="212">
        <f t="shared" si="0"/>
        <v>184514</v>
      </c>
      <c r="M10" s="41">
        <f t="shared" si="0"/>
        <v>45137</v>
      </c>
      <c r="N10" s="213">
        <f>+L10-M10</f>
        <v>139377</v>
      </c>
    </row>
    <row r="11" spans="1:23" ht="12" customHeight="1" x14ac:dyDescent="0.25">
      <c r="A11" s="207" t="s">
        <v>132</v>
      </c>
      <c r="B11" s="237"/>
      <c r="C11" s="268">
        <f>+'Q1 Mgmt Summary'!C11+'QTD Mgmt Summary'!C11</f>
        <v>53146</v>
      </c>
      <c r="D11" s="43">
        <f>+'Q1 Mgmt Summary'!D11+'QTD Mgmt Summary'!D11</f>
        <v>44804</v>
      </c>
      <c r="E11" s="213">
        <f t="shared" ref="E11:E16" si="1">+C11-D11</f>
        <v>8342</v>
      </c>
      <c r="F11" s="241"/>
      <c r="G11" s="268">
        <f>+'Q1 Mgmt Summary'!G11+'QTD Mgmt Summary'!G11</f>
        <v>3849</v>
      </c>
      <c r="H11" s="43">
        <f>+'Q1 Mgmt Summary'!H11+'QTD Mgmt Summary'!H11</f>
        <v>3237</v>
      </c>
      <c r="I11" s="65">
        <f>'QTD Mgmt Summary'!I11+'Q1 Mgmt Summary'!I11</f>
        <v>0</v>
      </c>
      <c r="J11" s="213">
        <f>'QTD Mgmt Summary'!J11+'Q1 Mgmt Summary'!J11</f>
        <v>-612</v>
      </c>
      <c r="K11" s="214"/>
      <c r="L11" s="212">
        <f t="shared" ref="L11:M16" si="2">+C11-G11</f>
        <v>49297</v>
      </c>
      <c r="M11" s="41">
        <f t="shared" si="2"/>
        <v>41567</v>
      </c>
      <c r="N11" s="213">
        <f t="shared" ref="N11:N16" si="3">+L11-M11</f>
        <v>7730</v>
      </c>
    </row>
    <row r="12" spans="1:23" ht="12" customHeight="1" x14ac:dyDescent="0.25">
      <c r="A12" s="207" t="s">
        <v>133</v>
      </c>
      <c r="B12" s="237"/>
      <c r="C12" s="268">
        <f>+'Q1 Mgmt Summary'!C12+'QTD Mgmt Summary'!C12</f>
        <v>45356</v>
      </c>
      <c r="D12" s="43">
        <f>+'Q1 Mgmt Summary'!D12+'QTD Mgmt Summary'!D12</f>
        <v>22894</v>
      </c>
      <c r="E12" s="213">
        <f t="shared" si="1"/>
        <v>22462</v>
      </c>
      <c r="F12" s="241"/>
      <c r="G12" s="268">
        <f>+'Q1 Mgmt Summary'!G12+'QTD Mgmt Summary'!G12</f>
        <v>4342</v>
      </c>
      <c r="H12" s="43">
        <f>+'Q1 Mgmt Summary'!H12+'QTD Mgmt Summary'!H12</f>
        <v>4932</v>
      </c>
      <c r="I12" s="65">
        <f>'QTD Mgmt Summary'!I12+'Q1 Mgmt Summary'!I12</f>
        <v>0</v>
      </c>
      <c r="J12" s="213">
        <f>'QTD Mgmt Summary'!J12+'Q1 Mgmt Summary'!J12</f>
        <v>590</v>
      </c>
      <c r="K12" s="214"/>
      <c r="L12" s="212">
        <f t="shared" si="2"/>
        <v>41014</v>
      </c>
      <c r="M12" s="41">
        <f t="shared" si="2"/>
        <v>17962</v>
      </c>
      <c r="N12" s="213">
        <f t="shared" si="3"/>
        <v>23052</v>
      </c>
    </row>
    <row r="13" spans="1:23" ht="12" customHeight="1" x14ac:dyDescent="0.25">
      <c r="A13" s="207" t="s">
        <v>251</v>
      </c>
      <c r="B13" s="237"/>
      <c r="C13" s="268">
        <f>+'Q1 Mgmt Summary'!C13+'QTD Mgmt Summary'!C13</f>
        <v>36622</v>
      </c>
      <c r="D13" s="43">
        <f>+'Q1 Mgmt Summary'!D13+'QTD Mgmt Summary'!D13</f>
        <v>34668</v>
      </c>
      <c r="E13" s="213">
        <f t="shared" si="1"/>
        <v>1954</v>
      </c>
      <c r="F13" s="241"/>
      <c r="G13" s="268">
        <f>+'Q1 Mgmt Summary'!G13+'QTD Mgmt Summary'!G13</f>
        <v>5348</v>
      </c>
      <c r="H13" s="43">
        <f>+'Q1 Mgmt Summary'!H13+'QTD Mgmt Summary'!H13</f>
        <v>6439</v>
      </c>
      <c r="I13" s="65">
        <f>'QTD Mgmt Summary'!I13+'Q1 Mgmt Summary'!I13</f>
        <v>0</v>
      </c>
      <c r="J13" s="213">
        <f>'QTD Mgmt Summary'!J13+'Q1 Mgmt Summary'!J13</f>
        <v>1091</v>
      </c>
      <c r="K13" s="214"/>
      <c r="L13" s="212">
        <f t="shared" si="2"/>
        <v>31274</v>
      </c>
      <c r="M13" s="41">
        <f t="shared" si="2"/>
        <v>28229</v>
      </c>
      <c r="N13" s="213">
        <f t="shared" si="3"/>
        <v>3045</v>
      </c>
    </row>
    <row r="14" spans="1:23" ht="12" customHeight="1" x14ac:dyDescent="0.25">
      <c r="A14" s="207" t="s">
        <v>262</v>
      </c>
      <c r="B14" s="237"/>
      <c r="C14" s="268">
        <f>+'Q1 Mgmt Summary'!C14+'QTD Mgmt Summary'!C14</f>
        <v>4484</v>
      </c>
      <c r="D14" s="43">
        <f>+'Q1 Mgmt Summary'!D14+'QTD Mgmt Summary'!D14</f>
        <v>19282</v>
      </c>
      <c r="E14" s="213">
        <f t="shared" si="1"/>
        <v>-14798</v>
      </c>
      <c r="F14" s="241"/>
      <c r="G14" s="268">
        <f>+'Q1 Mgmt Summary'!G14+'QTD Mgmt Summary'!G14</f>
        <v>8744</v>
      </c>
      <c r="H14" s="43">
        <f>+'Q1 Mgmt Summary'!H14+'QTD Mgmt Summary'!H14</f>
        <v>6766</v>
      </c>
      <c r="I14" s="65">
        <f>'QTD Mgmt Summary'!I14+'Q1 Mgmt Summary'!I14</f>
        <v>0</v>
      </c>
      <c r="J14" s="213">
        <f>'QTD Mgmt Summary'!J14+'Q1 Mgmt Summary'!J14</f>
        <v>-2015</v>
      </c>
      <c r="K14" s="214"/>
      <c r="L14" s="212">
        <f t="shared" si="2"/>
        <v>-4260</v>
      </c>
      <c r="M14" s="41">
        <f t="shared" si="2"/>
        <v>12516</v>
      </c>
      <c r="N14" s="213">
        <f t="shared" si="3"/>
        <v>-16776</v>
      </c>
    </row>
    <row r="15" spans="1:23" ht="12" customHeight="1" x14ac:dyDescent="0.25">
      <c r="A15" s="207" t="s">
        <v>155</v>
      </c>
      <c r="B15" s="237"/>
      <c r="C15" s="268">
        <f>+'Q1 Mgmt Summary'!C15+'QTD Mgmt Summary'!C15</f>
        <v>8274</v>
      </c>
      <c r="D15" s="43">
        <f>+'Q1 Mgmt Summary'!D15+'QTD Mgmt Summary'!D15</f>
        <v>6430</v>
      </c>
      <c r="E15" s="213">
        <f t="shared" si="1"/>
        <v>1844</v>
      </c>
      <c r="F15" s="241"/>
      <c r="G15" s="268">
        <f>+'Q1 Mgmt Summary'!G15+'QTD Mgmt Summary'!G15</f>
        <v>4420</v>
      </c>
      <c r="H15" s="43">
        <f>+'Q1 Mgmt Summary'!H15+'QTD Mgmt Summary'!H15</f>
        <v>3383</v>
      </c>
      <c r="I15" s="65">
        <f>'QTD Mgmt Summary'!I15+'Q1 Mgmt Summary'!I15</f>
        <v>0</v>
      </c>
      <c r="J15" s="213">
        <f>'QTD Mgmt Summary'!J15+'Q1 Mgmt Summary'!J15</f>
        <v>-1037</v>
      </c>
      <c r="K15" s="214"/>
      <c r="L15" s="212">
        <f t="shared" si="2"/>
        <v>3854</v>
      </c>
      <c r="M15" s="41">
        <f t="shared" si="2"/>
        <v>3047</v>
      </c>
      <c r="N15" s="213">
        <f t="shared" si="3"/>
        <v>807</v>
      </c>
    </row>
    <row r="16" spans="1:23" ht="12" customHeight="1" x14ac:dyDescent="0.25">
      <c r="A16" s="207" t="s">
        <v>107</v>
      </c>
      <c r="B16" s="237"/>
      <c r="C16" s="268">
        <f>+'Q1 Mgmt Summary'!C16+'QTD Mgmt Summary'!C16</f>
        <v>-15</v>
      </c>
      <c r="D16" s="43">
        <f>+'Q1 Mgmt Summary'!D16+'QTD Mgmt Summary'!D16</f>
        <v>1500</v>
      </c>
      <c r="E16" s="213">
        <f t="shared" si="1"/>
        <v>-1515</v>
      </c>
      <c r="F16" s="241"/>
      <c r="G16" s="268">
        <f>+'Q1 Mgmt Summary'!G16+'QTD Mgmt Summary'!G16</f>
        <v>604</v>
      </c>
      <c r="H16" s="43">
        <f>+'Q1 Mgmt Summary'!H16+'QTD Mgmt Summary'!H16</f>
        <v>680</v>
      </c>
      <c r="I16" s="65">
        <f>'QTD Mgmt Summary'!I16+'Q1 Mgmt Summary'!I16</f>
        <v>0</v>
      </c>
      <c r="J16" s="213">
        <f>'QTD Mgmt Summary'!J16+'Q1 Mgmt Summary'!J16</f>
        <v>76</v>
      </c>
      <c r="K16" s="214"/>
      <c r="L16" s="212">
        <f t="shared" si="2"/>
        <v>-619</v>
      </c>
      <c r="M16" s="41">
        <f t="shared" si="2"/>
        <v>820</v>
      </c>
      <c r="N16" s="213">
        <f t="shared" si="3"/>
        <v>-1439</v>
      </c>
    </row>
    <row r="17" spans="1:14" s="202" customFormat="1" ht="12" customHeight="1" x14ac:dyDescent="0.2">
      <c r="A17" s="229" t="s">
        <v>130</v>
      </c>
      <c r="B17" s="238"/>
      <c r="C17" s="259">
        <f>SUM(C8:C16)</f>
        <v>693021</v>
      </c>
      <c r="D17" s="259">
        <f>SUM(D8:D16)</f>
        <v>324860</v>
      </c>
      <c r="E17" s="260">
        <f>SUM(E8:E16)</f>
        <v>368161</v>
      </c>
      <c r="F17" s="242">
        <v>129970</v>
      </c>
      <c r="G17" s="259">
        <f>SUM(G8:G16)</f>
        <v>102526</v>
      </c>
      <c r="H17" s="259">
        <f>SUM(H8:H16)</f>
        <v>115131</v>
      </c>
      <c r="I17" s="259">
        <f>SUM(I8:I16)</f>
        <v>9269</v>
      </c>
      <c r="J17" s="260">
        <f>SUM(J8:J16)</f>
        <v>3299</v>
      </c>
      <c r="K17" s="215"/>
      <c r="L17" s="230">
        <f>SUM(L8:L16)</f>
        <v>590495</v>
      </c>
      <c r="M17" s="231">
        <f>SUM(M8:M16)</f>
        <v>209729</v>
      </c>
      <c r="N17" s="260">
        <f>SUM(N8:N16)</f>
        <v>380766</v>
      </c>
    </row>
    <row r="18" spans="1:14" ht="12" customHeight="1" x14ac:dyDescent="0.25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68">
        <f>+'Q1 Mgmt Summary'!C19+'QTD Mgmt Summary'!C19</f>
        <v>2838</v>
      </c>
      <c r="D19" s="43">
        <f>+'Q1 Mgmt Summary'!D19+'QTD Mgmt Summary'!D19</f>
        <v>34736</v>
      </c>
      <c r="E19" s="213">
        <f t="shared" ref="E19:E27" si="4">+C19-D19</f>
        <v>-31898</v>
      </c>
      <c r="F19" s="241"/>
      <c r="G19" s="268">
        <f>+'Q1 Mgmt Summary'!G19+'QTD Mgmt Summary'!G19</f>
        <v>17703</v>
      </c>
      <c r="H19" s="43">
        <f>+'Q1 Mgmt Summary'!H19+'QTD Mgmt Summary'!H19</f>
        <v>15369</v>
      </c>
      <c r="I19" s="65">
        <f>'QTD Mgmt Summary'!I19+'Q1 Mgmt Summary'!I19</f>
        <v>0</v>
      </c>
      <c r="J19" s="213">
        <f>'QTD Mgmt Summary'!J19+'Q1 Mgmt Summary'!J19</f>
        <v>-2334</v>
      </c>
      <c r="K19" s="214"/>
      <c r="L19" s="212">
        <f t="shared" ref="L19:M21" si="5">+C19-G19</f>
        <v>-14865</v>
      </c>
      <c r="M19" s="41">
        <f t="shared" si="5"/>
        <v>19367</v>
      </c>
      <c r="N19" s="213">
        <f t="shared" ref="N19:N27" si="6">+L19-M19</f>
        <v>-34232</v>
      </c>
    </row>
    <row r="20" spans="1:14" ht="12" customHeight="1" x14ac:dyDescent="0.25">
      <c r="A20" s="207" t="s">
        <v>89</v>
      </c>
      <c r="B20" s="237"/>
      <c r="C20" s="268">
        <f>+'Q1 Mgmt Summary'!C20+'QTD Mgmt Summary'!C20</f>
        <v>8862</v>
      </c>
      <c r="D20" s="43">
        <f>+'Q1 Mgmt Summary'!D20+'QTD Mgmt Summary'!D20</f>
        <v>26470</v>
      </c>
      <c r="E20" s="213">
        <f t="shared" si="4"/>
        <v>-17608</v>
      </c>
      <c r="F20" s="241"/>
      <c r="G20" s="268">
        <f>+'Q1 Mgmt Summary'!G20+'QTD Mgmt Summary'!G20</f>
        <v>13504</v>
      </c>
      <c r="H20" s="43">
        <f>+'Q1 Mgmt Summary'!H20+'QTD Mgmt Summary'!H20</f>
        <v>14730</v>
      </c>
      <c r="I20" s="65">
        <f>'QTD Mgmt Summary'!I20+'Q1 Mgmt Summary'!I20</f>
        <v>-1254</v>
      </c>
      <c r="J20" s="213">
        <f>'QTD Mgmt Summary'!J20+'Q1 Mgmt Summary'!J20</f>
        <v>2480</v>
      </c>
      <c r="K20" s="214"/>
      <c r="L20" s="212">
        <f t="shared" si="5"/>
        <v>-4642</v>
      </c>
      <c r="M20" s="41">
        <f t="shared" si="5"/>
        <v>11740</v>
      </c>
      <c r="N20" s="213">
        <f t="shared" si="6"/>
        <v>-16382</v>
      </c>
    </row>
    <row r="21" spans="1:14" ht="12" customHeight="1" x14ac:dyDescent="0.25">
      <c r="A21" s="207" t="s">
        <v>233</v>
      </c>
      <c r="B21" s="237"/>
      <c r="C21" s="268">
        <f>+'Q1 Mgmt Summary'!C21+'QTD Mgmt Summary'!C21</f>
        <v>5846</v>
      </c>
      <c r="D21" s="43">
        <f>+'Q1 Mgmt Summary'!D21+'QTD Mgmt Summary'!D21</f>
        <v>39722</v>
      </c>
      <c r="E21" s="213">
        <f t="shared" si="4"/>
        <v>-33876</v>
      </c>
      <c r="F21" s="241"/>
      <c r="G21" s="268">
        <f>+'Q1 Mgmt Summary'!G21+'QTD Mgmt Summary'!G21</f>
        <v>14142</v>
      </c>
      <c r="H21" s="43">
        <f>+'Q1 Mgmt Summary'!H21+'QTD Mgmt Summary'!H21</f>
        <v>18610</v>
      </c>
      <c r="I21" s="65">
        <f>'QTD Mgmt Summary'!I21+'Q1 Mgmt Summary'!I21</f>
        <v>2372</v>
      </c>
      <c r="J21" s="213">
        <f>'QTD Mgmt Summary'!J21+'Q1 Mgmt Summary'!J21</f>
        <v>2096</v>
      </c>
      <c r="K21" s="214"/>
      <c r="L21" s="212">
        <f t="shared" si="5"/>
        <v>-8296</v>
      </c>
      <c r="M21" s="41">
        <f t="shared" si="5"/>
        <v>21112</v>
      </c>
      <c r="N21" s="213">
        <f t="shared" si="6"/>
        <v>-29408</v>
      </c>
    </row>
    <row r="22" spans="1:14" ht="12" customHeight="1" x14ac:dyDescent="0.25">
      <c r="A22" s="207" t="s">
        <v>266</v>
      </c>
      <c r="B22" s="237"/>
      <c r="C22" s="268">
        <f>+'Q1 Mgmt Summary'!C22+'QTD Mgmt Summary'!C22</f>
        <v>23369</v>
      </c>
      <c r="D22" s="43">
        <f>+'Q1 Mgmt Summary'!D22+'QTD Mgmt Summary'!D22</f>
        <v>37422</v>
      </c>
      <c r="E22" s="213">
        <f>+C22-D22</f>
        <v>-14053</v>
      </c>
      <c r="F22" s="241"/>
      <c r="G22" s="268">
        <f>+'Q1 Mgmt Summary'!G22+'QTD Mgmt Summary'!G22</f>
        <v>17975</v>
      </c>
      <c r="H22" s="43">
        <f>+'Q1 Mgmt Summary'!H22+'QTD Mgmt Summary'!H22</f>
        <v>18852</v>
      </c>
      <c r="I22" s="65">
        <f>'QTD Mgmt Summary'!I22+'Q1 Mgmt Summary'!I22</f>
        <v>661</v>
      </c>
      <c r="J22" s="213">
        <f>'QTD Mgmt Summary'!J22+'Q1 Mgmt Summary'!J22</f>
        <v>216</v>
      </c>
      <c r="K22" s="214"/>
      <c r="L22" s="212">
        <f t="shared" ref="L22:M26" si="7">+C22-G22</f>
        <v>5394</v>
      </c>
      <c r="M22" s="41">
        <f t="shared" si="7"/>
        <v>18570</v>
      </c>
      <c r="N22" s="213">
        <f>+L22-M22</f>
        <v>-13176</v>
      </c>
    </row>
    <row r="23" spans="1:14" ht="12" customHeight="1" x14ac:dyDescent="0.25">
      <c r="A23" s="207" t="s">
        <v>264</v>
      </c>
      <c r="B23" s="237"/>
      <c r="C23" s="268">
        <f>+'Q1 Mgmt Summary'!C23+'QTD Mgmt Summary'!C23</f>
        <v>-830</v>
      </c>
      <c r="D23" s="43">
        <f>+'Q1 Mgmt Summary'!D23+'QTD Mgmt Summary'!D23</f>
        <v>6212</v>
      </c>
      <c r="E23" s="213">
        <f>+C23-D23</f>
        <v>-7042</v>
      </c>
      <c r="F23" s="241"/>
      <c r="G23" s="268">
        <f>+'Q1 Mgmt Summary'!G23+'QTD Mgmt Summary'!G23</f>
        <v>2990</v>
      </c>
      <c r="H23" s="43">
        <f>+'Q1 Mgmt Summary'!H23+'QTD Mgmt Summary'!H23</f>
        <v>2755</v>
      </c>
      <c r="I23" s="65">
        <f>'QTD Mgmt Summary'!I23+'Q1 Mgmt Summary'!I23</f>
        <v>115</v>
      </c>
      <c r="J23" s="213">
        <f>'QTD Mgmt Summary'!J23+'Q1 Mgmt Summary'!J23</f>
        <v>-313</v>
      </c>
      <c r="K23" s="214"/>
      <c r="L23" s="212">
        <f t="shared" si="7"/>
        <v>-3820</v>
      </c>
      <c r="M23" s="41">
        <f t="shared" si="7"/>
        <v>3457</v>
      </c>
      <c r="N23" s="213">
        <f>+L23-M23</f>
        <v>-7277</v>
      </c>
    </row>
    <row r="24" spans="1:14" ht="12" customHeight="1" x14ac:dyDescent="0.25">
      <c r="A24" s="207" t="s">
        <v>252</v>
      </c>
      <c r="B24" s="237"/>
      <c r="C24" s="268">
        <f>+'Q1 Mgmt Summary'!C24+'QTD Mgmt Summary'!C24</f>
        <v>9186</v>
      </c>
      <c r="D24" s="43">
        <f>+'Q1 Mgmt Summary'!D24+'QTD Mgmt Summary'!D24</f>
        <v>11556</v>
      </c>
      <c r="E24" s="213">
        <f t="shared" si="4"/>
        <v>-2370</v>
      </c>
      <c r="F24" s="241"/>
      <c r="G24" s="268">
        <f>+'Q1 Mgmt Summary'!G24+'QTD Mgmt Summary'!G24</f>
        <v>3666</v>
      </c>
      <c r="H24" s="43">
        <f>+'Q1 Mgmt Summary'!H24+'QTD Mgmt Summary'!H24</f>
        <v>4070</v>
      </c>
      <c r="I24" s="65">
        <f>'QTD Mgmt Summary'!I24+'Q1 Mgmt Summary'!I24</f>
        <v>394</v>
      </c>
      <c r="J24" s="213">
        <f>'QTD Mgmt Summary'!J24+'Q1 Mgmt Summary'!J24</f>
        <v>10</v>
      </c>
      <c r="K24" s="214"/>
      <c r="L24" s="212">
        <f t="shared" si="7"/>
        <v>5520</v>
      </c>
      <c r="M24" s="41">
        <f t="shared" si="7"/>
        <v>7486</v>
      </c>
      <c r="N24" s="213">
        <f t="shared" si="6"/>
        <v>-1966</v>
      </c>
    </row>
    <row r="25" spans="1:14" ht="12" customHeight="1" x14ac:dyDescent="0.25">
      <c r="A25" s="207" t="s">
        <v>248</v>
      </c>
      <c r="B25" s="237"/>
      <c r="C25" s="268">
        <f>+'Q1 Mgmt Summary'!C25+'QTD Mgmt Summary'!C25</f>
        <v>47911</v>
      </c>
      <c r="D25" s="43">
        <f>+'Q1 Mgmt Summary'!D25+'QTD Mgmt Summary'!D25</f>
        <v>61179</v>
      </c>
      <c r="E25" s="213">
        <f>+C25-D25</f>
        <v>-13268</v>
      </c>
      <c r="F25" s="241"/>
      <c r="G25" s="268">
        <f>+'Q1 Mgmt Summary'!G25+'QTD Mgmt Summary'!G25</f>
        <v>127897</v>
      </c>
      <c r="H25" s="43">
        <f>+'Q1 Mgmt Summary'!H25+'QTD Mgmt Summary'!H25</f>
        <v>121276</v>
      </c>
      <c r="I25" s="65">
        <f>'QTD Mgmt Summary'!I25+'Q1 Mgmt Summary'!I25</f>
        <v>1406</v>
      </c>
      <c r="J25" s="213">
        <f>'QTD Mgmt Summary'!J25+'Q1 Mgmt Summary'!J25</f>
        <v>-8027</v>
      </c>
      <c r="K25" s="214"/>
      <c r="L25" s="212">
        <f>+C25-G25</f>
        <v>-79986</v>
      </c>
      <c r="M25" s="41">
        <f>+D25-H25</f>
        <v>-60097</v>
      </c>
      <c r="N25" s="213">
        <f>+L25-M25</f>
        <v>-19889</v>
      </c>
    </row>
    <row r="26" spans="1:14" ht="12" customHeight="1" x14ac:dyDescent="0.25">
      <c r="A26" s="207" t="s">
        <v>156</v>
      </c>
      <c r="B26" s="237"/>
      <c r="C26" s="268">
        <f>+'Q1 Mgmt Summary'!C26+'QTD Mgmt Summary'!C26</f>
        <v>653</v>
      </c>
      <c r="D26" s="43">
        <f>+'Q1 Mgmt Summary'!D26+'QTD Mgmt Summary'!D26</f>
        <v>15424</v>
      </c>
      <c r="E26" s="213">
        <f>+C26-D26</f>
        <v>-14771</v>
      </c>
      <c r="F26" s="241"/>
      <c r="G26" s="268">
        <f>+'Q1 Mgmt Summary'!G26+'QTD Mgmt Summary'!G26</f>
        <v>2756</v>
      </c>
      <c r="H26" s="43">
        <f>+'Q1 Mgmt Summary'!H26+'QTD Mgmt Summary'!H26</f>
        <v>2551</v>
      </c>
      <c r="I26" s="65">
        <f>'QTD Mgmt Summary'!I26+'Q1 Mgmt Summary'!I26</f>
        <v>510</v>
      </c>
      <c r="J26" s="213">
        <f>'QTD Mgmt Summary'!J26+'Q1 Mgmt Summary'!J26</f>
        <v>-715</v>
      </c>
      <c r="K26" s="214"/>
      <c r="L26" s="212">
        <f t="shared" si="7"/>
        <v>-2103</v>
      </c>
      <c r="M26" s="41">
        <f t="shared" si="7"/>
        <v>12873</v>
      </c>
      <c r="N26" s="213">
        <f>+L26-M26</f>
        <v>-14976</v>
      </c>
    </row>
    <row r="27" spans="1:14" ht="12" customHeight="1" x14ac:dyDescent="0.25">
      <c r="A27" s="207" t="s">
        <v>0</v>
      </c>
      <c r="B27" s="237"/>
      <c r="C27" s="269">
        <f>+'Q1 Mgmt Summary'!C27+'QTD Mgmt Summary'!C27</f>
        <v>11</v>
      </c>
      <c r="D27" s="43">
        <f>+'Q1 Mgmt Summary'!D27+'QTD Mgmt Summary'!D27</f>
        <v>9312</v>
      </c>
      <c r="E27" s="213">
        <f t="shared" si="4"/>
        <v>-9301</v>
      </c>
      <c r="F27" s="241"/>
      <c r="G27" s="269">
        <f>+'Q1 Mgmt Summary'!G27+'QTD Mgmt Summary'!G27</f>
        <v>4455</v>
      </c>
      <c r="H27" s="43">
        <f>+'Q1 Mgmt Summary'!H27+'QTD Mgmt Summary'!H27</f>
        <v>5082</v>
      </c>
      <c r="I27" s="65">
        <f>'QTD Mgmt Summary'!I27+'Q1 Mgmt Summary'!I27</f>
        <v>0</v>
      </c>
      <c r="J27" s="213">
        <f>'QTD Mgmt Summary'!J27+'Q1 Mgmt Summary'!J27</f>
        <v>627</v>
      </c>
      <c r="K27" s="214"/>
      <c r="L27" s="212">
        <f>+C27-G27</f>
        <v>-4444</v>
      </c>
      <c r="M27" s="41">
        <f>+D27-H27</f>
        <v>4230</v>
      </c>
      <c r="N27" s="213">
        <f t="shared" si="6"/>
        <v>-8674</v>
      </c>
    </row>
    <row r="28" spans="1:14" s="202" customFormat="1" ht="12" customHeight="1" x14ac:dyDescent="0.2">
      <c r="A28" s="229" t="s">
        <v>1</v>
      </c>
      <c r="B28" s="238"/>
      <c r="C28" s="259">
        <f>SUM(C19:C27)</f>
        <v>97846</v>
      </c>
      <c r="D28" s="259">
        <f>SUM(D19:D27)</f>
        <v>242033</v>
      </c>
      <c r="E28" s="232">
        <f>SUM(E19:E27)</f>
        <v>-144187</v>
      </c>
      <c r="F28" s="242">
        <v>0</v>
      </c>
      <c r="G28" s="259">
        <f>SUM(G19:G27)</f>
        <v>205088</v>
      </c>
      <c r="H28" s="259">
        <f>SUM(H19:H27)</f>
        <v>203295</v>
      </c>
      <c r="I28" s="259">
        <f>SUM(I19:I27)</f>
        <v>4204</v>
      </c>
      <c r="J28" s="232">
        <f>SUM(J19:J27)</f>
        <v>-5960</v>
      </c>
      <c r="K28" s="215"/>
      <c r="L28" s="230">
        <f>SUM(L19:L27)</f>
        <v>-107242</v>
      </c>
      <c r="M28" s="231">
        <f>SUM(M19:M27)</f>
        <v>38738</v>
      </c>
      <c r="N28" s="232">
        <f>SUM(N19:N27)</f>
        <v>-145980</v>
      </c>
    </row>
    <row r="29" spans="1:14" ht="12" customHeight="1" x14ac:dyDescent="0.25">
      <c r="A29" s="207"/>
      <c r="B29" s="237"/>
      <c r="C29" s="212"/>
      <c r="D29" s="257"/>
      <c r="E29" s="213"/>
      <c r="F29" s="241"/>
      <c r="G29" s="212"/>
      <c r="H29" s="257"/>
      <c r="I29" s="41"/>
      <c r="J29" s="213"/>
      <c r="K29" s="214"/>
      <c r="L29" s="212"/>
      <c r="M29" s="41"/>
      <c r="N29" s="213"/>
    </row>
    <row r="30" spans="1:14" ht="12" customHeight="1" x14ac:dyDescent="0.25">
      <c r="A30" s="207" t="s">
        <v>9</v>
      </c>
      <c r="B30" s="237"/>
      <c r="C30" s="268">
        <f>+'Q1 Mgmt Summary'!C30+'QTD Mgmt Summary'!C30</f>
        <v>64335</v>
      </c>
      <c r="D30" s="43">
        <f>+'Q1 Mgmt Summary'!D30+'QTD Mgmt Summary'!D30</f>
        <v>30764</v>
      </c>
      <c r="E30" s="213">
        <f>+C30-D30</f>
        <v>33571</v>
      </c>
      <c r="F30" s="241"/>
      <c r="G30" s="268">
        <f>+'Q1 Mgmt Summary'!G30+'QTD Mgmt Summary'!G30</f>
        <v>4873</v>
      </c>
      <c r="H30" s="43">
        <f>+'Q1 Mgmt Summary'!H30+'QTD Mgmt Summary'!H30</f>
        <v>6895</v>
      </c>
      <c r="I30" s="65">
        <f>'QTD Mgmt Summary'!I30+'Q1 Mgmt Summary'!I30</f>
        <v>2012</v>
      </c>
      <c r="J30" s="213">
        <f>'QTD Mgmt Summary'!J30+'Q1 Mgmt Summary'!J30</f>
        <v>10</v>
      </c>
      <c r="K30" s="214"/>
      <c r="L30" s="212">
        <f t="shared" ref="L30:M32" si="8">+C30-G30</f>
        <v>59462</v>
      </c>
      <c r="M30" s="41">
        <f t="shared" si="8"/>
        <v>23869</v>
      </c>
      <c r="N30" s="213">
        <f>+L30-M30</f>
        <v>35593</v>
      </c>
    </row>
    <row r="31" spans="1:14" ht="12" customHeight="1" x14ac:dyDescent="0.25">
      <c r="A31" s="207" t="s">
        <v>257</v>
      </c>
      <c r="B31" s="237"/>
      <c r="C31" s="268">
        <f>+'Q1 Mgmt Summary'!C31+'QTD Mgmt Summary'!C31</f>
        <v>3719</v>
      </c>
      <c r="D31" s="43">
        <f>+'Q1 Mgmt Summary'!D31+'QTD Mgmt Summary'!D31</f>
        <v>2000</v>
      </c>
      <c r="E31" s="213">
        <f>+C31-D31</f>
        <v>1719</v>
      </c>
      <c r="F31" s="241"/>
      <c r="G31" s="268">
        <f>+'Q1 Mgmt Summary'!G31+'QTD Mgmt Summary'!G31</f>
        <v>11569</v>
      </c>
      <c r="H31" s="43">
        <f>+'Q1 Mgmt Summary'!H31+'QTD Mgmt Summary'!H31</f>
        <v>14296</v>
      </c>
      <c r="I31" s="65">
        <f>'QTD Mgmt Summary'!I31+'Q1 Mgmt Summary'!I31</f>
        <v>3281</v>
      </c>
      <c r="J31" s="213">
        <f>'QTD Mgmt Summary'!J31+'Q1 Mgmt Summary'!J31</f>
        <v>-554</v>
      </c>
      <c r="K31" s="214"/>
      <c r="L31" s="212">
        <f t="shared" si="8"/>
        <v>-7850</v>
      </c>
      <c r="M31" s="41">
        <f t="shared" si="8"/>
        <v>-12296</v>
      </c>
      <c r="N31" s="213">
        <f>+L31-M31</f>
        <v>4446</v>
      </c>
    </row>
    <row r="32" spans="1:14" x14ac:dyDescent="0.25">
      <c r="A32" s="207" t="s">
        <v>154</v>
      </c>
      <c r="B32" s="237"/>
      <c r="C32" s="269">
        <f>+'Q1 Mgmt Summary'!C32+'QTD Mgmt Summary'!C32</f>
        <v>-14559</v>
      </c>
      <c r="D32" s="51">
        <f>+'Q1 Mgmt Summary'!D32+'QTD Mgmt Summary'!D32</f>
        <v>29109</v>
      </c>
      <c r="E32" s="213">
        <f>+C32-D32</f>
        <v>-43668</v>
      </c>
      <c r="F32" s="206"/>
      <c r="G32" s="269">
        <f>+'Q1 Mgmt Summary'!G32+'QTD Mgmt Summary'!G32</f>
        <v>20530</v>
      </c>
      <c r="H32" s="51">
        <f>+'Q1 Mgmt Summary'!H32+'QTD Mgmt Summary'!H32</f>
        <v>20771</v>
      </c>
      <c r="I32" s="65">
        <f>'QTD Mgmt Summary'!I32+'Q1 Mgmt Summary'!I32</f>
        <v>-324</v>
      </c>
      <c r="J32" s="213">
        <f>'QTD Mgmt Summary'!J32+'Q1 Mgmt Summary'!J32</f>
        <v>565</v>
      </c>
      <c r="K32" s="206"/>
      <c r="L32" s="212">
        <f t="shared" si="8"/>
        <v>-35089</v>
      </c>
      <c r="M32" s="41">
        <f t="shared" si="8"/>
        <v>8338</v>
      </c>
      <c r="N32" s="213">
        <f>+L32-M32</f>
        <v>-43427</v>
      </c>
    </row>
    <row r="33" spans="1:14" s="202" customFormat="1" ht="12" customHeight="1" x14ac:dyDescent="0.2">
      <c r="A33" s="229" t="s">
        <v>87</v>
      </c>
      <c r="B33" s="238"/>
      <c r="C33" s="259">
        <f>SUM(C30:C32)</f>
        <v>53495</v>
      </c>
      <c r="D33" s="259">
        <f>SUM(D30:D32)</f>
        <v>61873</v>
      </c>
      <c r="E33" s="232">
        <f>SUM(E30:E32)</f>
        <v>-8378</v>
      </c>
      <c r="F33" s="242"/>
      <c r="G33" s="259">
        <f>SUM(G30:G32)</f>
        <v>36972</v>
      </c>
      <c r="H33" s="259">
        <f>SUM(H30:H32)</f>
        <v>41962</v>
      </c>
      <c r="I33" s="259">
        <f>SUM(I30:I32)</f>
        <v>4969</v>
      </c>
      <c r="J33" s="232">
        <f>SUM(J30:J32)</f>
        <v>21</v>
      </c>
      <c r="K33" s="215"/>
      <c r="L33" s="230">
        <f>SUM(L30:L32)</f>
        <v>16523</v>
      </c>
      <c r="M33" s="231">
        <f>SUM(M30:M32)</f>
        <v>19911</v>
      </c>
      <c r="N33" s="232">
        <f>SUM(N30:N32)</f>
        <v>-3388</v>
      </c>
    </row>
    <row r="34" spans="1:14" ht="12" customHeight="1" x14ac:dyDescent="0.25">
      <c r="A34" s="217"/>
      <c r="B34" s="237"/>
      <c r="C34" s="218"/>
      <c r="D34" s="262"/>
      <c r="E34" s="219"/>
      <c r="F34" s="241"/>
      <c r="G34" s="218"/>
      <c r="H34" s="262"/>
      <c r="I34" s="104"/>
      <c r="J34" s="219"/>
      <c r="K34" s="214"/>
      <c r="L34" s="218"/>
      <c r="M34" s="104"/>
      <c r="N34" s="219"/>
    </row>
    <row r="35" spans="1:14" ht="12" customHeight="1" x14ac:dyDescent="0.25">
      <c r="A35" s="217" t="s">
        <v>8</v>
      </c>
      <c r="B35" s="237"/>
      <c r="C35" s="268">
        <f>+'Q1 Mgmt Summary'!C35+'QTD Mgmt Summary'!C35</f>
        <v>1400.5</v>
      </c>
      <c r="D35" s="43">
        <f>+'Q1 Mgmt Summary'!D35+'QTD Mgmt Summary'!D35</f>
        <v>5000</v>
      </c>
      <c r="E35" s="213">
        <f>+C35-D35</f>
        <v>-3599.5</v>
      </c>
      <c r="F35" s="241"/>
      <c r="G35" s="268">
        <f>+'Q1 Mgmt Summary'!G35+'QTD Mgmt Summary'!G35</f>
        <v>17571</v>
      </c>
      <c r="H35" s="43">
        <f>+'Q1 Mgmt Summary'!H35+'QTD Mgmt Summary'!H35</f>
        <v>16200</v>
      </c>
      <c r="I35" s="65">
        <f>'QTD Mgmt Summary'!I35+'Q1 Mgmt Summary'!I35</f>
        <v>0</v>
      </c>
      <c r="J35" s="213">
        <f>'QTD Mgmt Summary'!J35+'Q1 Mgmt Summary'!J35</f>
        <v>-1371</v>
      </c>
      <c r="K35" s="214"/>
      <c r="L35" s="212">
        <f t="shared" ref="L35:M37" si="9">+C35-G35</f>
        <v>-16170.5</v>
      </c>
      <c r="M35" s="41">
        <f t="shared" si="9"/>
        <v>-11200</v>
      </c>
      <c r="N35" s="213">
        <f>+L35-M35</f>
        <v>-4970.5</v>
      </c>
    </row>
    <row r="36" spans="1:14" ht="12" customHeight="1" x14ac:dyDescent="0.25">
      <c r="A36" s="217" t="s">
        <v>7</v>
      </c>
      <c r="B36" s="237"/>
      <c r="C36" s="268">
        <f>+'Q1 Mgmt Summary'!C36+'QTD Mgmt Summary'!C36</f>
        <v>0</v>
      </c>
      <c r="D36" s="43">
        <f>+'Q1 Mgmt Summary'!D36+'QTD Mgmt Summary'!D36</f>
        <v>0</v>
      </c>
      <c r="E36" s="213">
        <f>+C36-D36</f>
        <v>0</v>
      </c>
      <c r="F36" s="241"/>
      <c r="G36" s="268">
        <f>+'Q1 Mgmt Summary'!G36+'QTD Mgmt Summary'!G36</f>
        <v>15801</v>
      </c>
      <c r="H36" s="43">
        <f>+'Q1 Mgmt Summary'!H36+'QTD Mgmt Summary'!H36</f>
        <v>14751</v>
      </c>
      <c r="I36" s="65">
        <f>'QTD Mgmt Summary'!I36+'Q1 Mgmt Summary'!I36</f>
        <v>0</v>
      </c>
      <c r="J36" s="213">
        <f>'QTD Mgmt Summary'!J36+'Q1 Mgmt Summary'!J36</f>
        <v>-1050</v>
      </c>
      <c r="K36" s="214"/>
      <c r="L36" s="212">
        <f t="shared" si="9"/>
        <v>-15801</v>
      </c>
      <c r="M36" s="41">
        <f t="shared" si="9"/>
        <v>-14751</v>
      </c>
      <c r="N36" s="213">
        <f>+L36-M36</f>
        <v>-1050</v>
      </c>
    </row>
    <row r="37" spans="1:14" ht="12" customHeight="1" x14ac:dyDescent="0.25">
      <c r="A37" s="217" t="s">
        <v>19</v>
      </c>
      <c r="B37" s="237"/>
      <c r="C37" s="269">
        <f>+'Q1 Mgmt Summary'!C37+'QTD Mgmt Summary'!C37</f>
        <v>0</v>
      </c>
      <c r="D37" s="51">
        <f>+'Q1 Mgmt Summary'!D37+'QTD Mgmt Summary'!D37</f>
        <v>100909</v>
      </c>
      <c r="E37" s="213">
        <f>+C37-D37</f>
        <v>-100909</v>
      </c>
      <c r="F37" s="241"/>
      <c r="G37" s="269">
        <f>+'Q1 Mgmt Summary'!G37+'QTD Mgmt Summary'!G37</f>
        <v>0</v>
      </c>
      <c r="H37" s="51">
        <f>+'Q1 Mgmt Summary'!H37+'QTD Mgmt Summary'!H37</f>
        <v>0</v>
      </c>
      <c r="I37" s="65">
        <f>'QTD Mgmt Summary'!I37+'Q1 Mgmt Summary'!I37</f>
        <v>0</v>
      </c>
      <c r="J37" s="213">
        <f>'QTD Mgmt Summary'!J37+'Q1 Mgmt Summary'!J37</f>
        <v>0</v>
      </c>
      <c r="K37" s="214"/>
      <c r="L37" s="212">
        <f t="shared" si="9"/>
        <v>0</v>
      </c>
      <c r="M37" s="41">
        <f t="shared" si="9"/>
        <v>100909</v>
      </c>
      <c r="N37" s="213">
        <f>+L37-M37</f>
        <v>-100909</v>
      </c>
    </row>
    <row r="38" spans="1:14" s="202" customFormat="1" ht="12" customHeight="1" x14ac:dyDescent="0.2">
      <c r="A38" s="229" t="s">
        <v>10</v>
      </c>
      <c r="B38" s="238"/>
      <c r="C38" s="259">
        <f>C37+C36+C35+C33+C28+C17</f>
        <v>845762.5</v>
      </c>
      <c r="D38" s="259">
        <f>D37+D36+D35+D33+D28+D17</f>
        <v>734675</v>
      </c>
      <c r="E38" s="232">
        <f>E37+E36+E35+E33+E28+E17</f>
        <v>111087.5</v>
      </c>
      <c r="F38" s="242"/>
      <c r="G38" s="259">
        <f>G37+G36+G35+G33+G28+G17</f>
        <v>377958</v>
      </c>
      <c r="H38" s="259">
        <f>H37+H36+H35+H33+H28+H17</f>
        <v>391339</v>
      </c>
      <c r="I38" s="259">
        <f>I37+I36+I35+I33+I28+I17</f>
        <v>18442</v>
      </c>
      <c r="J38" s="232">
        <f>J37+J36+J35+J33+J28+J17</f>
        <v>-5061</v>
      </c>
      <c r="K38" s="215"/>
      <c r="L38" s="259">
        <f>L37+L36+L35+L33+L28+L17</f>
        <v>467804.5</v>
      </c>
      <c r="M38" s="259">
        <f>M37+M36+M35+M33+M28+M17</f>
        <v>343336</v>
      </c>
      <c r="N38" s="232">
        <f>N37+N36+N35+N33+N28+N17</f>
        <v>124468.5</v>
      </c>
    </row>
    <row r="39" spans="1:14" ht="12" customHeight="1" x14ac:dyDescent="0.25">
      <c r="A39" s="217"/>
      <c r="B39" s="237"/>
      <c r="C39" s="218"/>
      <c r="D39" s="262"/>
      <c r="E39" s="219"/>
      <c r="F39" s="241"/>
      <c r="G39" s="218"/>
      <c r="H39" s="262"/>
      <c r="I39" s="104"/>
      <c r="J39" s="219"/>
      <c r="K39" s="214"/>
      <c r="L39" s="218"/>
      <c r="M39" s="104"/>
      <c r="N39" s="219"/>
    </row>
    <row r="40" spans="1:14" ht="12" customHeight="1" x14ac:dyDescent="0.25">
      <c r="A40" s="217" t="s">
        <v>236</v>
      </c>
      <c r="B40" s="237"/>
      <c r="C40" s="268">
        <f>+'Q1 Mgmt Summary'!C40+'QTD Mgmt Summary'!C40</f>
        <v>0</v>
      </c>
      <c r="D40" s="43">
        <f>+'Q1 Mgmt Summary'!D40+'QTD Mgmt Summary'!D40</f>
        <v>0</v>
      </c>
      <c r="E40" s="213">
        <f>+C40-D40</f>
        <v>0</v>
      </c>
      <c r="F40" s="241"/>
      <c r="G40" s="268">
        <f>+'Q1 Mgmt Summary'!G40+'QTD Mgmt Summary'!G40</f>
        <v>169398</v>
      </c>
      <c r="H40" s="43">
        <f>+'Q1 Mgmt Summary'!H40+'QTD Mgmt Summary'!H40</f>
        <v>122673</v>
      </c>
      <c r="I40" s="65">
        <f>'QTD Mgmt Summary'!I40+'Q1 Mgmt Summary'!I40</f>
        <v>0</v>
      </c>
      <c r="J40" s="213">
        <f>'QTD Mgmt Summary'!J40+'Q1 Mgmt Summary'!J40</f>
        <v>-46725</v>
      </c>
      <c r="K40" s="214"/>
      <c r="L40" s="212">
        <f>+C40-G40</f>
        <v>-169398</v>
      </c>
      <c r="M40" s="41">
        <f>+D40-H40</f>
        <v>-122673</v>
      </c>
      <c r="N40" s="213">
        <f>+L40-M40</f>
        <v>-46725</v>
      </c>
    </row>
    <row r="41" spans="1:14" ht="12" customHeight="1" x14ac:dyDescent="0.25">
      <c r="A41" s="217" t="s">
        <v>237</v>
      </c>
      <c r="B41" s="237"/>
      <c r="C41" s="268">
        <f>+'Q1 Mgmt Summary'!C41+'QTD Mgmt Summary'!C41</f>
        <v>0</v>
      </c>
      <c r="D41" s="43">
        <f>+'Q1 Mgmt Summary'!D41+'QTD Mgmt Summary'!D41</f>
        <v>0</v>
      </c>
      <c r="E41" s="213">
        <f>+C41-D41</f>
        <v>0</v>
      </c>
      <c r="F41" s="241"/>
      <c r="G41" s="268">
        <f>+'Q1 Mgmt Summary'!G41+'QTD Mgmt Summary'!G41</f>
        <v>-92110</v>
      </c>
      <c r="H41" s="43">
        <f>+'Q1 Mgmt Summary'!H41+'QTD Mgmt Summary'!H41</f>
        <v>-98755</v>
      </c>
      <c r="I41" s="65">
        <f>'QTD Mgmt Summary'!I41+'Q1 Mgmt Summary'!I41</f>
        <v>0</v>
      </c>
      <c r="J41" s="213">
        <f>'QTD Mgmt Summary'!J41+'Q1 Mgmt Summary'!J41</f>
        <v>-6645</v>
      </c>
      <c r="K41" s="214"/>
      <c r="L41" s="212">
        <f t="shared" ref="L41:M43" si="10">+C41-G41</f>
        <v>92110</v>
      </c>
      <c r="M41" s="41">
        <f t="shared" si="10"/>
        <v>98755</v>
      </c>
      <c r="N41" s="213">
        <f>+L41-M41</f>
        <v>-6645</v>
      </c>
    </row>
    <row r="42" spans="1:14" ht="12" customHeight="1" x14ac:dyDescent="0.25">
      <c r="A42" s="217" t="s">
        <v>18</v>
      </c>
      <c r="B42" s="237"/>
      <c r="C42" s="268">
        <f>+'Q1 Mgmt Summary'!C42+'QTD Mgmt Summary'!C44</f>
        <v>-41335</v>
      </c>
      <c r="D42" s="43">
        <f>+'Q1 Mgmt Summary'!D42+'QTD Mgmt Summary'!D44</f>
        <v>-21590</v>
      </c>
      <c r="E42" s="213">
        <f>+C42-D42</f>
        <v>-19745</v>
      </c>
      <c r="F42" s="243"/>
      <c r="G42" s="268">
        <f>+'Q1 Mgmt Summary'!G42+'QTD Mgmt Summary'!G44</f>
        <v>37352</v>
      </c>
      <c r="H42" s="43">
        <f>+'Q1 Mgmt Summary'!H42+'QTD Mgmt Summary'!H44</f>
        <v>49287</v>
      </c>
      <c r="I42" s="65">
        <f>'QTD Mgmt Summary'!I44+'Q1 Mgmt Summary'!I42</f>
        <v>0</v>
      </c>
      <c r="J42" s="213">
        <f>'QTD Mgmt Summary'!J44+'Q1 Mgmt Summary'!J42</f>
        <v>11935</v>
      </c>
      <c r="K42" s="214"/>
      <c r="L42" s="212">
        <f t="shared" si="10"/>
        <v>-78687</v>
      </c>
      <c r="M42" s="41">
        <f t="shared" si="10"/>
        <v>-70877</v>
      </c>
      <c r="N42" s="213">
        <f>+L42-M42</f>
        <v>-7810</v>
      </c>
    </row>
    <row r="43" spans="1:14" ht="12" customHeight="1" x14ac:dyDescent="0.25">
      <c r="A43" s="217" t="s">
        <v>60</v>
      </c>
      <c r="B43" s="237"/>
      <c r="C43" s="268">
        <f>+'Q1 Mgmt Summary'!C43+'QTD Mgmt Summary'!C45</f>
        <v>0</v>
      </c>
      <c r="D43" s="43">
        <f>+'Q1 Mgmt Summary'!D43+'QTD Mgmt Summary'!D45</f>
        <v>0</v>
      </c>
      <c r="E43" s="213">
        <f>+C43-D43</f>
        <v>0</v>
      </c>
      <c r="F43" s="241"/>
      <c r="G43" s="268">
        <f>+'Q1 Mgmt Summary'!G43+'QTD Mgmt Summary'!G45</f>
        <v>-64372</v>
      </c>
      <c r="H43" s="43">
        <f>+'Q1 Mgmt Summary'!H43+'QTD Mgmt Summary'!H45</f>
        <v>-82814</v>
      </c>
      <c r="I43" s="65">
        <f>'QTD Mgmt Summary'!I45+'Q1 Mgmt Summary'!I43</f>
        <v>-18442</v>
      </c>
      <c r="J43" s="213">
        <f>'QTD Mgmt Summary'!J45+'Q1 Mgmt Summary'!J43</f>
        <v>0</v>
      </c>
      <c r="K43" s="214"/>
      <c r="L43" s="212">
        <f t="shared" si="10"/>
        <v>64372</v>
      </c>
      <c r="M43" s="41">
        <f t="shared" si="10"/>
        <v>82814</v>
      </c>
      <c r="N43" s="213">
        <f>+L43-M43</f>
        <v>-18442</v>
      </c>
    </row>
    <row r="44" spans="1:14" s="202" customFormat="1" ht="12" customHeight="1" x14ac:dyDescent="0.2">
      <c r="A44" s="229" t="s">
        <v>65</v>
      </c>
      <c r="B44" s="238"/>
      <c r="C44" s="259">
        <f>SUM(C38:C43)</f>
        <v>804427.5</v>
      </c>
      <c r="D44" s="259">
        <f>SUM(D38:D43)</f>
        <v>713085</v>
      </c>
      <c r="E44" s="233">
        <f>SUM(E38:E43)</f>
        <v>91342.5</v>
      </c>
      <c r="F44" s="242"/>
      <c r="G44" s="259">
        <f>SUM(G38:G43)</f>
        <v>428226</v>
      </c>
      <c r="H44" s="259">
        <f>SUM(H38:H43)</f>
        <v>381730</v>
      </c>
      <c r="I44" s="259">
        <f>SUM(I38:I43)</f>
        <v>0</v>
      </c>
      <c r="J44" s="233">
        <f>SUM(J38:J43)</f>
        <v>-46496</v>
      </c>
      <c r="K44" s="215"/>
      <c r="L44" s="259">
        <f>SUM(L38:L43)</f>
        <v>376201.5</v>
      </c>
      <c r="M44" s="259">
        <f>SUM(M38:M43)</f>
        <v>331355</v>
      </c>
      <c r="N44" s="233">
        <f>SUM(N38:N43)</f>
        <v>44846.5</v>
      </c>
    </row>
    <row r="45" spans="1:14" ht="12" customHeight="1" thickBot="1" x14ac:dyDescent="0.3">
      <c r="A45" s="217" t="s">
        <v>150</v>
      </c>
      <c r="B45" s="237"/>
      <c r="C45" s="212">
        <f>+'[1]1Q'!C46+'[1]2QTD'!C46</f>
        <v>0</v>
      </c>
      <c r="D45" s="257">
        <f>+'[1]1Q'!D46+'[1]2QTD'!D46</f>
        <v>0</v>
      </c>
      <c r="E45" s="213">
        <f>+C45-D45</f>
        <v>0</v>
      </c>
      <c r="F45" s="241"/>
      <c r="G45" s="212">
        <f>+'[1]1Q'!G46+'[1]2QTD'!G46</f>
        <v>9823</v>
      </c>
      <c r="H45" s="257">
        <f>+'[1]1Q'!H46+'[1]2QTD'!H46</f>
        <v>20600</v>
      </c>
      <c r="I45" s="65">
        <f>'QTD Mgmt Summary'!I47+'Q1 Mgmt Summary'!I45</f>
        <v>0</v>
      </c>
      <c r="J45" s="213">
        <f>'QTD Mgmt Summary'!J47+'Q1 Mgmt Summary'!J45</f>
        <v>4677</v>
      </c>
      <c r="K45" s="214"/>
      <c r="L45" s="212">
        <f>+C45-G45</f>
        <v>-9823</v>
      </c>
      <c r="M45" s="41">
        <f>+D45-H45</f>
        <v>-20600</v>
      </c>
      <c r="N45" s="213">
        <f>+L45-M45</f>
        <v>10777</v>
      </c>
    </row>
    <row r="46" spans="1:14" s="202" customFormat="1" ht="12" customHeight="1" thickBot="1" x14ac:dyDescent="0.25">
      <c r="A46" s="249" t="s">
        <v>66</v>
      </c>
      <c r="B46" s="250"/>
      <c r="C46" s="264">
        <f>SUM(C44:C45)</f>
        <v>804427.5</v>
      </c>
      <c r="D46" s="264">
        <f>SUM(D44:D45)</f>
        <v>713085</v>
      </c>
      <c r="E46" s="253">
        <f>SUM(E44:E45)</f>
        <v>91342.5</v>
      </c>
      <c r="F46" s="254"/>
      <c r="G46" s="264">
        <f>SUM(G44:G45)</f>
        <v>438049</v>
      </c>
      <c r="H46" s="264">
        <f>SUM(H44:H45)</f>
        <v>402330</v>
      </c>
      <c r="I46" s="264">
        <f>SUM(I44:I45)</f>
        <v>0</v>
      </c>
      <c r="J46" s="253">
        <f>SUM(J44:J45)</f>
        <v>-41819</v>
      </c>
      <c r="K46" s="254"/>
      <c r="L46" s="264">
        <f>SUM(L44:L45)</f>
        <v>366378.5</v>
      </c>
      <c r="M46" s="264">
        <f>SUM(M44:M45)</f>
        <v>310755</v>
      </c>
      <c r="N46" s="253">
        <f>SUM(N44:N45)</f>
        <v>55623.5</v>
      </c>
    </row>
    <row r="47" spans="1:14" ht="3" customHeight="1" x14ac:dyDescent="0.25">
      <c r="A47" s="184"/>
      <c r="C47" s="185"/>
      <c r="D47" s="42"/>
      <c r="E47" s="184"/>
      <c r="F47" s="44"/>
      <c r="J47" s="176"/>
    </row>
    <row r="48" spans="1:14" x14ac:dyDescent="0.25">
      <c r="A48" s="176" t="s">
        <v>149</v>
      </c>
      <c r="C48" s="44"/>
      <c r="D48" s="42"/>
      <c r="E48" s="44"/>
      <c r="F48" s="44"/>
    </row>
    <row r="49" spans="4:9" ht="13.5" customHeight="1" x14ac:dyDescent="0.25">
      <c r="D49" s="38"/>
      <c r="E49" s="38"/>
      <c r="F49" s="38"/>
      <c r="G49" s="38"/>
      <c r="H49" s="38"/>
      <c r="I49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3"/>
  <sheetViews>
    <sheetView topLeftCell="B16" workbookViewId="0">
      <selection activeCell="A51" sqref="A51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5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E9+1975</f>
        <v>5187</v>
      </c>
      <c r="E9" s="63">
        <f>ROUND(_xll.HPVAL($A9,$A$1,$A$2,$A$3,$A$4,$A$6)/1000,0)</f>
        <v>3212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>
        <f>ROUND(_xll.HPVAL($A10,$A$1,$A$2,$A$3,$A$4,$A$6)/1000,0)</f>
        <v>717</v>
      </c>
      <c r="F10" s="123">
        <f>E10-D10</f>
        <v>61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0">
        <f>5723+1800</f>
        <v>7523</v>
      </c>
      <c r="E11" s="12">
        <f>ROUND(_xll.HPVAL($A11,$A$1,$A$2,$A$3,$A$4,$A$6)/1000,0)</f>
        <v>4712</v>
      </c>
      <c r="F11" s="123">
        <f t="shared" ref="F11:F17" si="0">E11-D11</f>
        <v>-2811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0">
        <v>1063</v>
      </c>
      <c r="E12" s="12">
        <f>ROUND(_xll.HPVAL($A12,$A$1,$A$2,$A$3,$A$4,$A$6)*0.8577/1000,0)</f>
        <v>655</v>
      </c>
      <c r="F12" s="123">
        <f t="shared" si="0"/>
        <v>-408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0">
        <v>1434</v>
      </c>
      <c r="E13" s="12">
        <f>ROUND(_xll.HPVAL($A13,$A$1,$A$2,$A$3,$A$4,$A$6)/1000,0)-E12</f>
        <v>1442</v>
      </c>
      <c r="F13" s="123">
        <f>E13-D13</f>
        <v>8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254</v>
      </c>
      <c r="B14" s="7" t="s">
        <v>251</v>
      </c>
      <c r="C14" s="72"/>
      <c r="D14" s="20">
        <v>1147</v>
      </c>
      <c r="E14" s="12">
        <f>ROUND(_xll.HPVAL($A14,$A$1,$A$2,$A$3,$A$4,$A$6)/1000,0)</f>
        <v>1852</v>
      </c>
      <c r="F14" s="123">
        <f>E14-D14</f>
        <v>705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275</v>
      </c>
      <c r="D15" s="20">
        <f>E15</f>
        <v>1224</v>
      </c>
      <c r="E15" s="12">
        <f>ROUND(_xll.HPVAL($A15,$A$1,$A$2,$A$3,$A$4,$A$6)/1000,0)/2</f>
        <v>1224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0">
        <v>892</v>
      </c>
      <c r="E16" s="12">
        <f>ROUND(_xll.HPVAL($A16,$A$1,$A$2,$A$3,$A$4,$A$6)/1000,0)</f>
        <v>892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107</v>
      </c>
      <c r="D17" s="20">
        <f>E17</f>
        <v>104</v>
      </c>
      <c r="E17" s="12">
        <f>ROUND(_xll.HPVAL($A17,$A$1,$A$2,$A$3,$A$4,$A$6)/1000,0)</f>
        <v>104</v>
      </c>
      <c r="F17" s="12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19230</v>
      </c>
      <c r="E18" s="121">
        <f>SUM(E9:E17)</f>
        <v>14810</v>
      </c>
      <c r="F18" s="113">
        <f>SUM(F9:F17)</f>
        <v>-4420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>
        <f>E20+3000+541+541</f>
        <v>9051</v>
      </c>
      <c r="E20" s="12">
        <f>ROUND(_xll.HPVAL($A20,$A$1,$A$2,$A$3,$A$4,$A$6)/1000,0)</f>
        <v>4969</v>
      </c>
      <c r="F20" s="123">
        <f t="shared" ref="F20:F28" si="1">E20-D20</f>
        <v>-4082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>
        <f>E21+541</f>
        <v>5215</v>
      </c>
      <c r="E21" s="12">
        <f>ROUND(_xll.HPVAL($A21,$A$1,$A$2,$A$3,$A$4,$A$6)/1000,0)</f>
        <v>4674</v>
      </c>
      <c r="F21" s="123">
        <f t="shared" si="1"/>
        <v>-541</v>
      </c>
      <c r="G21" s="5"/>
      <c r="H21" s="4" t="s">
        <v>283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0">
        <f>E22</f>
        <v>5360</v>
      </c>
      <c r="E22" s="12">
        <f>ROUND(_xll.HPVAL($A22,$A$1,$A$2,$A$3,$A$4,$A$6)/1000,0)</f>
        <v>5360</v>
      </c>
      <c r="F22" s="123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">
      <c r="A23" s="23" t="s">
        <v>37</v>
      </c>
      <c r="B23" s="7" t="s">
        <v>67</v>
      </c>
      <c r="D23" s="20">
        <v>1721</v>
      </c>
      <c r="E23" s="12">
        <f>ROUND(_xll.HPVAL($A23,$A$1,$A$2,$A$3,$A$4,$A$6)/1000,0)</f>
        <v>1294</v>
      </c>
      <c r="F23" s="123">
        <f>E23-D23</f>
        <v>-427</v>
      </c>
      <c r="G23" s="5"/>
      <c r="H23" s="4" t="s">
        <v>296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0">
        <f>E24</f>
        <v>1224</v>
      </c>
      <c r="E24" s="12">
        <f>2448/2</f>
        <v>1224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253</v>
      </c>
      <c r="B25" s="7" t="s">
        <v>252</v>
      </c>
      <c r="D25" s="20">
        <f>1298-800</f>
        <v>498</v>
      </c>
      <c r="E25" s="12">
        <f>ROUND(_xll.HPVAL($A25,$A$1,$A$2,$A$3,$A$4,$A$6)/1000,0)</f>
        <v>329</v>
      </c>
      <c r="F25" s="123">
        <f t="shared" si="1"/>
        <v>-169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80" t="s">
        <v>41</v>
      </c>
      <c r="B26" s="29" t="s">
        <v>248</v>
      </c>
      <c r="C26" s="72"/>
      <c r="D26" s="20">
        <v>6135</v>
      </c>
      <c r="E26" s="12">
        <f>ROUND(_xll.HPVAL($A26,$A$1,$A$2,$A$3,$A$4,$A$6)/1000,0)</f>
        <v>5557</v>
      </c>
      <c r="F26" s="123">
        <f>E26-D26</f>
        <v>-578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73</v>
      </c>
      <c r="B27" s="7" t="s">
        <v>156</v>
      </c>
      <c r="D27" s="20">
        <v>1364</v>
      </c>
      <c r="E27" s="12">
        <f>ROUND(_xll.HPVAL($A27,$A$1,$A$2,$A$3,$A$4,$A$6)/1000,0)</f>
        <v>1298</v>
      </c>
      <c r="F27" s="123">
        <f t="shared" si="1"/>
        <v>-66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36</v>
      </c>
      <c r="B28" s="7" t="s">
        <v>0</v>
      </c>
      <c r="D28" s="20">
        <v>1616</v>
      </c>
      <c r="E28" s="12">
        <f>ROUND(_xll.HPVAL($A28,$A$1,$A$2,$A$3,$A$4,$A$6)/1000,0)</f>
        <v>2005</v>
      </c>
      <c r="F28" s="123">
        <f t="shared" si="1"/>
        <v>389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B29" s="115" t="s">
        <v>1</v>
      </c>
      <c r="C29" s="114"/>
      <c r="D29" s="120">
        <f>D20+D21+D22+D23+D24+D25+D28+D27+D26</f>
        <v>32184</v>
      </c>
      <c r="E29" s="121">
        <f>E20+E21+E22+E23+E24+E25+E28+E27+E26</f>
        <v>26710</v>
      </c>
      <c r="F29" s="113">
        <f>F20+F21+F22+F23+F24+F25+F26+F27+F28</f>
        <v>-5474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40</v>
      </c>
      <c r="B32" s="7" t="s">
        <v>9</v>
      </c>
      <c r="D32" s="20">
        <v>635</v>
      </c>
      <c r="E32" s="12">
        <f>ROUND(_xll.HPVAL($A32,$A$1,$A$2,$A$3,$A$4,$A$6)/1000,0)</f>
        <v>735</v>
      </c>
      <c r="F32" s="123">
        <f>E32-D32</f>
        <v>100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39</v>
      </c>
      <c r="B33" s="7" t="s">
        <v>267</v>
      </c>
      <c r="D33" s="20">
        <v>1433</v>
      </c>
      <c r="E33" s="12">
        <f>ROUND(_xll.HPVAL($A33,$A$1,$A$2,$A$3,$A$4,$A$6)/1000,0)</f>
        <v>1307</v>
      </c>
      <c r="F33" s="123">
        <f>E33-D33</f>
        <v>-126</v>
      </c>
      <c r="G33" s="5"/>
      <c r="H33" s="4" t="s">
        <v>295</v>
      </c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">
      <c r="A34" s="23" t="s">
        <v>153</v>
      </c>
      <c r="B34" s="291" t="s">
        <v>180</v>
      </c>
      <c r="D34" s="20">
        <v>402</v>
      </c>
      <c r="E34" s="12">
        <f>ROUND(_xll.HPVAL($A34,$A$1,$A$2,$A$3,$A$4,$A$6)/1000,0)</f>
        <v>839</v>
      </c>
      <c r="F34" s="123">
        <f>E34-D34</f>
        <v>437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157</v>
      </c>
      <c r="B35" s="291" t="s">
        <v>154</v>
      </c>
      <c r="D35" s="20">
        <f>E35</f>
        <v>0</v>
      </c>
      <c r="E35" s="12">
        <f>ROUND(_xll.HPVAL($A35,$A$1,$A$2,$A$3,$A$4,$A$6)/1000,0)</f>
        <v>0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B36" s="7" t="s">
        <v>154</v>
      </c>
      <c r="D36" s="226">
        <f>SUM(D34:D35)</f>
        <v>402</v>
      </c>
      <c r="E36" s="227">
        <f>SUM(E34:E35)</f>
        <v>839</v>
      </c>
      <c r="F36" s="297">
        <f>SUM(F34:F35)</f>
        <v>437</v>
      </c>
      <c r="G36" s="225"/>
      <c r="K36" s="283"/>
    </row>
    <row r="37" spans="1:37" ht="11.25" customHeight="1" x14ac:dyDescent="0.2">
      <c r="B37" s="115" t="s">
        <v>87</v>
      </c>
      <c r="C37" s="114"/>
      <c r="D37" s="120">
        <f>SUM(D32:D35)</f>
        <v>2470</v>
      </c>
      <c r="E37" s="121">
        <f>SUM(E32:E35)</f>
        <v>2881</v>
      </c>
      <c r="F37" s="113">
        <f>SUM(F32:F35)</f>
        <v>411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82</v>
      </c>
      <c r="B39" s="7" t="s">
        <v>8</v>
      </c>
      <c r="C39" s="72"/>
      <c r="D39" s="20">
        <v>6035</v>
      </c>
      <c r="E39" s="12">
        <f>ROUND(_xll.HPVAL($A39,$A$1,$A$2,$A$3,$A$4,$A$6)/1000,0)</f>
        <v>4617</v>
      </c>
      <c r="F39" s="123">
        <f>E39-D39</f>
        <v>-1418</v>
      </c>
      <c r="G39" s="5"/>
      <c r="H39" s="4" t="s">
        <v>279</v>
      </c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44</v>
      </c>
      <c r="B41" s="7" t="s">
        <v>7</v>
      </c>
      <c r="C41" s="72"/>
      <c r="D41" s="20">
        <f>23130-17600-2300</f>
        <v>3230</v>
      </c>
      <c r="E41" s="12">
        <f>ROUND(_xll.HPVAL($A41,$A$1,$A$2,$A$3,$A$4,$A$6)/1000,0)</f>
        <v>2430</v>
      </c>
      <c r="F41" s="123">
        <f>E41-D41</f>
        <v>-800</v>
      </c>
      <c r="G41" s="5"/>
      <c r="H41" s="4" t="s">
        <v>282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">
      <c r="A43" s="23"/>
      <c r="B43" s="115" t="s">
        <v>10</v>
      </c>
      <c r="D43" s="120">
        <f>SUM(D37:D41)+D18+D29</f>
        <v>63149</v>
      </c>
      <c r="E43" s="121">
        <f>SUM(E37:E41)+E18+E29</f>
        <v>51448</v>
      </c>
      <c r="F43" s="113">
        <f>SUM(F37:F41)+F18+F29</f>
        <v>-11701</v>
      </c>
      <c r="G43" s="116"/>
      <c r="H43" s="117"/>
      <c r="I43" s="118"/>
      <c r="J43" s="118"/>
      <c r="K43" s="119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45</v>
      </c>
      <c r="B45" s="7" t="s">
        <v>48</v>
      </c>
      <c r="C45" s="72"/>
      <c r="D45" s="20">
        <f>75928-15698+30000</f>
        <v>90230</v>
      </c>
      <c r="E45" s="12">
        <f>ROUND(_xll.HPVAL($A45,$A$1,$A$2,$A$3,$A$4,$A$6)/1000,0)-13698</f>
        <v>59297</v>
      </c>
      <c r="F45" s="123">
        <f>E45-D45</f>
        <v>-30933</v>
      </c>
      <c r="G45" s="5"/>
      <c r="H45" s="4" t="s">
        <v>297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">
      <c r="B47" s="7" t="s">
        <v>274</v>
      </c>
      <c r="D47" s="20">
        <v>13698</v>
      </c>
      <c r="E47" s="12">
        <v>13698</v>
      </c>
      <c r="F47" s="123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46</v>
      </c>
      <c r="B49" s="7" t="s">
        <v>18</v>
      </c>
      <c r="C49" s="72"/>
      <c r="D49" s="20">
        <v>22625</v>
      </c>
      <c r="E49" s="12">
        <f>ROUND(_xll.HPVAL($A49,$A$1,$A$2,$A$3,$A$4,$A$6)/1000,0)</f>
        <v>26684</v>
      </c>
      <c r="F49" s="123">
        <f>E49-D49</f>
        <v>4059</v>
      </c>
      <c r="G49" s="5"/>
      <c r="H49" s="4" t="s">
        <v>281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">
      <c r="B51" s="115" t="s">
        <v>14</v>
      </c>
      <c r="D51" s="108">
        <f>D43+D45+D49+D47</f>
        <v>189702</v>
      </c>
      <c r="E51" s="109">
        <f>E43+E45+E49+E47</f>
        <v>151127</v>
      </c>
      <c r="F51" s="110">
        <f>F43+F45+F49+F47</f>
        <v>-38575</v>
      </c>
      <c r="G51" s="116"/>
      <c r="H51" s="117"/>
      <c r="I51" s="118"/>
      <c r="J51" s="118"/>
      <c r="K51" s="119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33</v>
      </c>
      <c r="D56" s="181">
        <f>9833-9833</f>
        <v>0</v>
      </c>
      <c r="E56" s="182">
        <v>8789</v>
      </c>
      <c r="F56" s="179">
        <f>E56-D56</f>
        <v>8789</v>
      </c>
      <c r="G56" s="1"/>
      <c r="H56" s="9" t="s">
        <v>292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92</v>
      </c>
      <c r="D57" s="21">
        <v>40367</v>
      </c>
      <c r="E57" s="15">
        <v>36998</v>
      </c>
      <c r="F57" s="180">
        <f>E57-D57</f>
        <v>-3369</v>
      </c>
      <c r="G57" s="1"/>
      <c r="H57" s="13" t="s">
        <v>271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279">
        <f>SUM(D56:D57)</f>
        <v>40367</v>
      </c>
      <c r="E58" s="279">
        <f>SUM(E56:E57)</f>
        <v>45787</v>
      </c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3"/>
  <sheetViews>
    <sheetView topLeftCell="B17" workbookViewId="0">
      <selection activeCell="A51" sqref="A51"/>
    </sheetView>
  </sheetViews>
  <sheetFormatPr defaultRowHeight="12.75" x14ac:dyDescent="0.2"/>
  <cols>
    <col min="1" max="1" width="16.8554687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5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Expenses!B4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Expenses!D9-[2]Expenses!D9</f>
        <v>1975</v>
      </c>
      <c r="E9" s="63">
        <f>Expenses!E9-[2]Expenses!E9</f>
        <v>0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>
        <f>Expenses!E10-[2]Expenses!E10</f>
        <v>0</v>
      </c>
      <c r="F10" s="295">
        <f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93">
        <f>Expenses!D11-[2]Expenses!D11</f>
        <v>0</v>
      </c>
      <c r="E11" s="294">
        <f>Expenses!E11-[2]Expenses!E11</f>
        <v>0</v>
      </c>
      <c r="F11" s="295">
        <f t="shared" ref="F11:F17" si="0">E11-D11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93">
        <f>Expenses!D12-[2]Expenses!D12</f>
        <v>0</v>
      </c>
      <c r="E12" s="294">
        <f>Expenses!E12-[2]Expenses!E12</f>
        <v>0</v>
      </c>
      <c r="F12" s="295">
        <f t="shared" si="0"/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93">
        <f>Expenses!D13-[2]Expenses!D13</f>
        <v>0</v>
      </c>
      <c r="E13" s="294">
        <f>Expenses!E13-[2]Expenses!E13</f>
        <v>0</v>
      </c>
      <c r="F13" s="295">
        <f t="shared" si="0"/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43</v>
      </c>
      <c r="B14" s="7" t="s">
        <v>251</v>
      </c>
      <c r="C14" s="72"/>
      <c r="D14" s="293">
        <f>Expenses!D14-[2]Expenses!D14</f>
        <v>0</v>
      </c>
      <c r="E14" s="294">
        <f>Expenses!E14-[2]Expenses!E14</f>
        <v>468</v>
      </c>
      <c r="F14" s="295">
        <f t="shared" si="0"/>
        <v>468</v>
      </c>
      <c r="G14" s="5"/>
      <c r="H14" s="4" t="s">
        <v>288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262</v>
      </c>
      <c r="D15" s="293">
        <f>Expenses!D15-[2]Expenses!D15</f>
        <v>0</v>
      </c>
      <c r="E15" s="294">
        <f>Expenses!E15-[2]Expenses!E15</f>
        <v>0</v>
      </c>
      <c r="F15" s="295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93">
        <f>Expenses!D16-[2]Expenses!D16</f>
        <v>0</v>
      </c>
      <c r="E16" s="294">
        <f>Expenses!E16-[2]Expenses!E16</f>
        <v>0</v>
      </c>
      <c r="F16" s="295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107</v>
      </c>
      <c r="D17" s="293">
        <f>Expenses!D17-[2]Expenses!D17</f>
        <v>0</v>
      </c>
      <c r="E17" s="294">
        <f>Expenses!E17-[2]Expenses!E17</f>
        <v>0</v>
      </c>
      <c r="F17" s="295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1975</v>
      </c>
      <c r="E18" s="121">
        <f>SUM(E9:E17)</f>
        <v>468</v>
      </c>
      <c r="F18" s="113">
        <f>SUM(F9:F17)</f>
        <v>-1507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93">
        <f>Expenses!D20-[2]Expenses!D20</f>
        <v>0</v>
      </c>
      <c r="E20" s="294">
        <f>Expenses!E20-[2]Expenses!E20</f>
        <v>0</v>
      </c>
      <c r="F20" s="295">
        <f t="shared" ref="F20:F28" si="1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93">
        <f>Expenses!D21-[2]Expenses!D21</f>
        <v>0</v>
      </c>
      <c r="E21" s="294">
        <f>Expenses!E21-[2]Expenses!E21</f>
        <v>0</v>
      </c>
      <c r="F21" s="295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93">
        <f>Expenses!D22-[2]Expenses!D22</f>
        <v>0</v>
      </c>
      <c r="E22" s="294">
        <f>Expenses!E22-[2]Expenses!E22</f>
        <v>0</v>
      </c>
      <c r="F22" s="295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37</v>
      </c>
      <c r="B23" s="7" t="s">
        <v>67</v>
      </c>
      <c r="D23" s="293">
        <f>Expenses!D23-[2]Expenses!D23</f>
        <v>272</v>
      </c>
      <c r="E23" s="294">
        <f>Expenses!E23-[2]Expenses!E23</f>
        <v>0</v>
      </c>
      <c r="F23" s="295">
        <f>E23-D23</f>
        <v>-272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93">
        <f>Expenses!D24-[2]Expenses!D24</f>
        <v>0</v>
      </c>
      <c r="E24" s="294">
        <f>Expenses!E24-[2]Expenses!E24</f>
        <v>0</v>
      </c>
      <c r="F24" s="295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B25" s="7" t="s">
        <v>252</v>
      </c>
      <c r="D25" s="293">
        <f>Expenses!D25-[2]Expenses!D25</f>
        <v>0</v>
      </c>
      <c r="E25" s="294">
        <f>Expenses!E25-[2]Expenses!E25</f>
        <v>-468</v>
      </c>
      <c r="F25" s="295">
        <f t="shared" si="1"/>
        <v>-468</v>
      </c>
      <c r="G25" s="5"/>
      <c r="H25" s="4" t="s">
        <v>288</v>
      </c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41</v>
      </c>
      <c r="B26" s="29" t="s">
        <v>248</v>
      </c>
      <c r="C26" s="72"/>
      <c r="D26" s="293">
        <f>Expenses!D26-[2]Expenses!D26</f>
        <v>279</v>
      </c>
      <c r="E26" s="294">
        <f>Expenses!E26-[2]Expenses!E26</f>
        <v>0</v>
      </c>
      <c r="F26" s="295">
        <f t="shared" si="1"/>
        <v>-279</v>
      </c>
      <c r="G26" s="5"/>
      <c r="H26" s="4" t="s">
        <v>290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73</v>
      </c>
      <c r="B27" s="7" t="s">
        <v>156</v>
      </c>
      <c r="D27" s="293">
        <f>Expenses!D27-[2]Expenses!D27</f>
        <v>0</v>
      </c>
      <c r="E27" s="294">
        <f>Expenses!E27-[2]Expenses!E27</f>
        <v>0</v>
      </c>
      <c r="F27" s="295">
        <f t="shared" si="1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36</v>
      </c>
      <c r="B28" s="7" t="s">
        <v>0</v>
      </c>
      <c r="D28" s="293">
        <f>Expenses!D28-[2]Expenses!D28</f>
        <v>-124</v>
      </c>
      <c r="E28" s="294">
        <f>Expenses!E28-[2]Expenses!E28</f>
        <v>0</v>
      </c>
      <c r="F28" s="295">
        <f t="shared" si="1"/>
        <v>124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B29" s="115" t="s">
        <v>1</v>
      </c>
      <c r="C29" s="114"/>
      <c r="D29" s="120">
        <f>SUM(D20:D28)</f>
        <v>427</v>
      </c>
      <c r="E29" s="121">
        <f>SUM(E20:E28)</f>
        <v>-468</v>
      </c>
      <c r="F29" s="113">
        <f>SUM(F20:F28)</f>
        <v>-895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40</v>
      </c>
      <c r="B32" s="7" t="s">
        <v>9</v>
      </c>
      <c r="D32" s="293">
        <f>Expenses!D32-[2]Expenses!D32</f>
        <v>-138</v>
      </c>
      <c r="E32" s="294">
        <f>Expenses!E32-[2]Expenses!E32</f>
        <v>0</v>
      </c>
      <c r="F32" s="295">
        <f>E32-D32</f>
        <v>138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39</v>
      </c>
      <c r="B33" s="7" t="s">
        <v>267</v>
      </c>
      <c r="D33" s="293">
        <f>Expenses!D33-[2]Expenses!D33</f>
        <v>126</v>
      </c>
      <c r="E33" s="294">
        <f>Expenses!E33-[2]Expenses!E33</f>
        <v>0</v>
      </c>
      <c r="F33" s="295">
        <f>E33-D33</f>
        <v>-126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">
      <c r="A34" s="23" t="s">
        <v>153</v>
      </c>
      <c r="B34" s="291" t="s">
        <v>180</v>
      </c>
      <c r="D34" s="293">
        <f>Expenses!D34-[2]Expenses!D34</f>
        <v>67</v>
      </c>
      <c r="E34" s="294">
        <f>Expenses!E34-[2]Expenses!E34</f>
        <v>0</v>
      </c>
      <c r="F34" s="295">
        <f>E34-D34</f>
        <v>-67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157</v>
      </c>
      <c r="B35" s="291" t="s">
        <v>154</v>
      </c>
      <c r="D35" s="293">
        <f>Expenses!D35-[2]Expenses!D35</f>
        <v>0</v>
      </c>
      <c r="E35" s="294">
        <f>Expenses!E35-[2]Expenses!E35</f>
        <v>0</v>
      </c>
      <c r="F35" s="295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B36" s="7" t="s">
        <v>154</v>
      </c>
      <c r="D36" s="293">
        <f>Expenses!D36-[2]Expenses!D36</f>
        <v>67</v>
      </c>
      <c r="E36" s="294">
        <f>Expenses!E36-[2]Expenses!E36</f>
        <v>0</v>
      </c>
      <c r="F36" s="295">
        <f>E36-D36</f>
        <v>-67</v>
      </c>
      <c r="G36" s="225"/>
      <c r="K36" s="283"/>
    </row>
    <row r="37" spans="1:37" ht="11.25" customHeight="1" x14ac:dyDescent="0.2">
      <c r="B37" s="115" t="s">
        <v>87</v>
      </c>
      <c r="C37" s="114"/>
      <c r="D37" s="120">
        <f>SUM(D32:D35)</f>
        <v>55</v>
      </c>
      <c r="E37" s="121">
        <f>SUM(E32:E35)</f>
        <v>0</v>
      </c>
      <c r="F37" s="113">
        <f>SUM(F32:F35)</f>
        <v>-55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82</v>
      </c>
      <c r="B39" s="7" t="s">
        <v>8</v>
      </c>
      <c r="C39" s="72"/>
      <c r="D39" s="293">
        <f>Expenses!D39-[2]Expenses!D39</f>
        <v>0</v>
      </c>
      <c r="E39" s="294">
        <f>Expenses!E39-[2]Expenses!E39</f>
        <v>0</v>
      </c>
      <c r="F39" s="295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44</v>
      </c>
      <c r="B41" s="7" t="s">
        <v>7</v>
      </c>
      <c r="C41" s="72"/>
      <c r="D41" s="293">
        <f>Expenses!D41-[2]Expenses!D41</f>
        <v>0</v>
      </c>
      <c r="E41" s="294">
        <f>Expenses!E41-[2]Expenses!E41</f>
        <v>0</v>
      </c>
      <c r="F41" s="295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">
      <c r="A43" s="23"/>
      <c r="B43" s="115" t="s">
        <v>10</v>
      </c>
      <c r="D43" s="120">
        <f>SUM(D37:D41)+D18+D29</f>
        <v>2457</v>
      </c>
      <c r="E43" s="121">
        <f>SUM(E37:E41)+E18+E29</f>
        <v>0</v>
      </c>
      <c r="F43" s="113">
        <f>SUM(F37:F41)+F18+F29</f>
        <v>-2457</v>
      </c>
      <c r="G43" s="116"/>
      <c r="H43" s="117"/>
      <c r="I43" s="118"/>
      <c r="J43" s="118"/>
      <c r="K43" s="119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45</v>
      </c>
      <c r="B45" s="7" t="s">
        <v>48</v>
      </c>
      <c r="C45" s="72"/>
      <c r="D45" s="293">
        <f>Expenses!D45-[2]Expenses!D45</f>
        <v>30000</v>
      </c>
      <c r="E45" s="294">
        <f>Expenses!E45-[2]Expenses!E45</f>
        <v>0</v>
      </c>
      <c r="F45" s="295">
        <f>E45-D45</f>
        <v>-30000</v>
      </c>
      <c r="G45" s="5"/>
      <c r="H45" s="4" t="s">
        <v>298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">
      <c r="B47" s="7" t="s">
        <v>274</v>
      </c>
      <c r="D47" s="293">
        <f>Expenses!D47-[2]Expenses!D47</f>
        <v>0</v>
      </c>
      <c r="E47" s="294">
        <f>Expenses!E47-[2]Expenses!E47</f>
        <v>0</v>
      </c>
      <c r="F47" s="295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46</v>
      </c>
      <c r="B49" s="7" t="s">
        <v>18</v>
      </c>
      <c r="C49" s="72"/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">
      <c r="B51" s="115" t="s">
        <v>14</v>
      </c>
      <c r="D51" s="108">
        <f>D43+D45+D49+D47</f>
        <v>32457</v>
      </c>
      <c r="E51" s="109">
        <f>E43+E45+E49+E47</f>
        <v>0</v>
      </c>
      <c r="F51" s="110">
        <f>F43+F45+F49+F47</f>
        <v>-32457</v>
      </c>
      <c r="G51" s="116"/>
      <c r="H51" s="117"/>
      <c r="I51" s="118"/>
      <c r="J51" s="118"/>
      <c r="K51" s="119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33</v>
      </c>
      <c r="D56" s="298">
        <f>Expenses!D56-[2]Expenses!D56</f>
        <v>-6379</v>
      </c>
      <c r="E56" s="299">
        <f>Expenses!E56-[2]Expenses!E56</f>
        <v>0</v>
      </c>
      <c r="F56" s="122">
        <f>E56-D56</f>
        <v>6379</v>
      </c>
      <c r="G56" s="1"/>
      <c r="H56" s="9" t="s">
        <v>293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92</v>
      </c>
      <c r="D57" s="300">
        <f>Expenses!D57-[2]Expenses!D57</f>
        <v>741</v>
      </c>
      <c r="E57" s="296">
        <f>Expenses!E57-[2]Expenses!E57</f>
        <v>0</v>
      </c>
      <c r="F57" s="296">
        <f>E57-D57</f>
        <v>-741</v>
      </c>
      <c r="G57" s="1"/>
      <c r="H57" s="13" t="s">
        <v>289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7:K7"/>
    <mergeCell ref="D54:F54"/>
    <mergeCell ref="H55:K55"/>
    <mergeCell ref="B2:K2"/>
    <mergeCell ref="B3:K3"/>
    <mergeCell ref="B4:K4"/>
    <mergeCell ref="D6:F6"/>
  </mergeCells>
  <pageMargins left="0.75" right="0.75" top="1" bottom="1" header="0.5" footer="0.5"/>
  <pageSetup scale="9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zoomScaleNormal="100" workbookViewId="0">
      <pane xSplit="3" ySplit="9" topLeftCell="D10" activePane="bottomRight" state="frozen"/>
      <selection activeCell="A51" sqref="A51"/>
      <selection pane="topRight" activeCell="A51" sqref="A51"/>
      <selection pane="bottomLeft" activeCell="A51" sqref="A51"/>
      <selection pane="bottomRight" activeCell="A51" sqref="A51"/>
    </sheetView>
  </sheetViews>
  <sheetFormatPr defaultRowHeight="12.75" x14ac:dyDescent="0.2"/>
  <cols>
    <col min="1" max="1" width="16.85546875" style="23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5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">
      <c r="A4" s="24">
        <v>36678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232</v>
      </c>
      <c r="B10" s="7" t="s">
        <v>3</v>
      </c>
      <c r="D10" s="62"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>
        <f>E11</f>
        <v>0</v>
      </c>
      <c r="E11" s="12">
        <f>ROUND(_xll.HPVAL($A11,$A$1,$A$2,$A$4,$A$5,$A$6)/1000,0)</f>
        <v>0</v>
      </c>
      <c r="F11" s="125">
        <f>E11-D11</f>
        <v>0</v>
      </c>
      <c r="G11" s="2"/>
      <c r="H11" s="2"/>
      <c r="I11" s="3"/>
      <c r="J11" s="1"/>
      <c r="K11" s="20">
        <f>L11</f>
        <v>2441</v>
      </c>
      <c r="L11" s="12">
        <f>ROUND(_xll.HPVAL($A11,$A$1,$A$3,$A$4,$A$5,$A$6)/1000,0)</f>
        <v>2441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105</v>
      </c>
      <c r="B12" s="7" t="s">
        <v>106</v>
      </c>
      <c r="D12" s="20">
        <f>7803-7803</f>
        <v>0</v>
      </c>
      <c r="E12" s="12">
        <f>ROUND(_xll.HPVAL($A12,$A$1,$A$2,$A$4,$A$5,$A$6)/1000,0)</f>
        <v>8791</v>
      </c>
      <c r="F12" s="125">
        <f t="shared" ref="F12:F18" si="0">E12-D12</f>
        <v>8791</v>
      </c>
      <c r="G12" s="2" t="s">
        <v>294</v>
      </c>
      <c r="H12" s="2"/>
      <c r="I12" s="3"/>
      <c r="J12" s="1"/>
      <c r="K12" s="20">
        <f t="shared" ref="K12:K18" si="1">L12</f>
        <v>5942</v>
      </c>
      <c r="L12" s="12">
        <f>ROUND(_xll.HPVAL($A12,$A$1,$A$3,$A$4,$A$5,$A$6)/1000,0)</f>
        <v>5942</v>
      </c>
      <c r="M12" s="125">
        <f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27</v>
      </c>
      <c r="B13" s="7" t="s">
        <v>132</v>
      </c>
      <c r="D13" s="20">
        <f t="shared" ref="D13:D18" si="2">E13</f>
        <v>0</v>
      </c>
      <c r="E13" s="12">
        <f>ROUND(_xll.HPVAL($A13,$A$1,$A$2,$A$4,$A$5,$A$6)/1000,0)</f>
        <v>0</v>
      </c>
      <c r="F13" s="125">
        <f t="shared" si="0"/>
        <v>0</v>
      </c>
      <c r="G13" s="2"/>
      <c r="H13" s="2"/>
      <c r="I13" s="3"/>
      <c r="J13" s="1"/>
      <c r="K13" s="20">
        <f t="shared" si="1"/>
        <v>952</v>
      </c>
      <c r="L13" s="12">
        <f>ROUND(_xll.HPVAL($A13,$A$1,$A$3,$A$4,$A$5,$A$6)*0.8577/1000,0)</f>
        <v>952</v>
      </c>
      <c r="M13" s="125">
        <f t="shared" ref="M13:M18" si="3"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134</v>
      </c>
      <c r="B14" s="7" t="s">
        <v>133</v>
      </c>
      <c r="D14" s="20">
        <f t="shared" si="2"/>
        <v>0</v>
      </c>
      <c r="E14" s="12">
        <f>ROUND(_xll.HPVAL($A14,$A$1,$A$2,$A$4,$A$5,$A$6)/1000,0)</f>
        <v>0</v>
      </c>
      <c r="F14" s="125">
        <f>E14-D14</f>
        <v>0</v>
      </c>
      <c r="G14" s="2"/>
      <c r="H14" s="2"/>
      <c r="I14" s="3"/>
      <c r="J14" s="1"/>
      <c r="K14" s="20">
        <f>L14</f>
        <v>1054</v>
      </c>
      <c r="L14" s="12">
        <f>ROUND(_xll.HPVAL("ECT_INV_IRFX",$A$1,$A$3,$A$4,$A$5,$A$6)/1000,0)-L13</f>
        <v>1054</v>
      </c>
      <c r="M14" s="125">
        <f>ROUND(L14-K14,0)</f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>
        <f t="shared" si="1"/>
        <v>1195</v>
      </c>
      <c r="L15" s="12">
        <f>ROUND(_xll.HPVAL($A15,$A$1,$A$3,$A$4,$A$5,$A$6)/1000,0)/2</f>
        <v>1195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>
        <f>ROUND(_xll.HPVAL($A16,$A$1,$A$3,$A$4,$A$5,$A$6)/1000,0)/2</f>
        <v>814</v>
      </c>
      <c r="M16" s="125">
        <f t="shared" si="3"/>
        <v>-313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30</v>
      </c>
      <c r="B17" s="7" t="s">
        <v>155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v>919</v>
      </c>
      <c r="L17" s="12">
        <f>ROUND(_xll.HPVAL($A17,$A$1,$A$3,$A$4,$A$5,$A$6)/1000,0)</f>
        <v>769</v>
      </c>
      <c r="M17" s="125">
        <f t="shared" si="3"/>
        <v>-150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4</v>
      </c>
      <c r="B18" s="7" t="s">
        <v>107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 t="shared" si="1"/>
        <v>234</v>
      </c>
      <c r="L18" s="12">
        <f>ROUND(_xll.HPVAL($A18,$A$1,$A$3,$A$4,$A$5,$A$6)/1000,0)</f>
        <v>234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>
        <f>SUM(D10:D18)</f>
        <v>0</v>
      </c>
      <c r="E19" s="121">
        <f>SUM(E10:E18)</f>
        <v>8791</v>
      </c>
      <c r="F19" s="121">
        <f>SUM(F10:F18)</f>
        <v>8791</v>
      </c>
      <c r="G19" s="118"/>
      <c r="H19" s="118"/>
      <c r="I19" s="119"/>
      <c r="J19" s="114"/>
      <c r="K19" s="120">
        <f>SUM(K10:K18)</f>
        <v>25509</v>
      </c>
      <c r="L19" s="121">
        <f>SUM(L10:L18)</f>
        <v>25046</v>
      </c>
      <c r="M19" s="121">
        <f>SUM(M10:M18)</f>
        <v>-463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29" si="4">E21-D21</f>
        <v>0</v>
      </c>
      <c r="G21" s="2"/>
      <c r="H21" s="2"/>
      <c r="I21" s="3"/>
      <c r="J21" s="1"/>
      <c r="K21" s="20">
        <f>L21</f>
        <v>3837</v>
      </c>
      <c r="L21" s="12">
        <f>ROUND(_xll.HPVAL($A21,$A$1,$A$3,$A$4,$A$5,$A$6)/1000,0)</f>
        <v>3837</v>
      </c>
      <c r="M21" s="125">
        <f t="shared" ref="M21:M29" si="5"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938</v>
      </c>
      <c r="E22" s="12">
        <f>ROUND(_xll.HPVAL($A22,$A$1,$A$2,$A$4,$A$5,$A$6)/1000,0)</f>
        <v>288</v>
      </c>
      <c r="F22" s="125">
        <f t="shared" si="4"/>
        <v>-650</v>
      </c>
      <c r="G22" s="2" t="s">
        <v>190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 t="shared" si="5"/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230</v>
      </c>
      <c r="B23" s="7" t="s">
        <v>229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191</v>
      </c>
      <c r="H23" s="2"/>
      <c r="I23" s="3"/>
      <c r="J23" s="1"/>
      <c r="K23" s="20">
        <v>2620</v>
      </c>
      <c r="L23" s="12">
        <f>ROUND(_xll.HPVAL($A23,$A$1,$A$3,$A$4,$A$5,$A$6)/1000,0)</f>
        <v>2463</v>
      </c>
      <c r="M23" s="125">
        <f t="shared" si="5"/>
        <v>-157</v>
      </c>
      <c r="N23" s="2"/>
      <c r="O23" s="2"/>
      <c r="P23" s="3"/>
      <c r="Q23" s="1"/>
      <c r="R23" s="1"/>
      <c r="S23" s="1"/>
      <c r="T23" s="1"/>
    </row>
    <row r="24" spans="1:20" ht="12" customHeight="1" x14ac:dyDescent="0.2">
      <c r="A24" s="23" t="s">
        <v>37</v>
      </c>
      <c r="B24" s="7" t="s">
        <v>67</v>
      </c>
      <c r="D24" s="20">
        <v>6038</v>
      </c>
      <c r="E24" s="12">
        <f>ROUND(_xll.HPVAL($A24,$A$1,$A$2,$A$4,$A$5,$A$6)/1000,0)</f>
        <v>6294</v>
      </c>
      <c r="F24" s="125">
        <f>E24-D24</f>
        <v>256</v>
      </c>
      <c r="G24" s="2"/>
      <c r="H24" s="2"/>
      <c r="I24" s="3"/>
      <c r="J24" s="1"/>
      <c r="K24" s="20">
        <f>L24</f>
        <v>660</v>
      </c>
      <c r="L24" s="12">
        <f>ROUND(_xll.HPVAL($A24,$A$1,$A$3,$A$4,$A$5,$A$6)/1000,0)</f>
        <v>660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B25" s="7" t="s">
        <v>264</v>
      </c>
      <c r="D25" s="20">
        <v>639</v>
      </c>
      <c r="E25" s="12">
        <v>717</v>
      </c>
      <c r="F25" s="125">
        <f t="shared" si="4"/>
        <v>78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B26" s="7" t="s">
        <v>252</v>
      </c>
      <c r="D26" s="20">
        <v>165</v>
      </c>
      <c r="E26" s="12">
        <v>376</v>
      </c>
      <c r="F26" s="125">
        <f t="shared" si="4"/>
        <v>211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41</v>
      </c>
      <c r="B27" s="29" t="s">
        <v>248</v>
      </c>
      <c r="C27" s="72"/>
      <c r="D27" s="20">
        <v>12003</v>
      </c>
      <c r="E27" s="12">
        <f>ROUND(_xll.HPVAL($A27,$A$1,$A$2,$A$4,$A$5,$A$6)/1000,0)</f>
        <v>11065</v>
      </c>
      <c r="F27" s="125">
        <f>E27-D27</f>
        <v>-938</v>
      </c>
      <c r="G27" s="2"/>
      <c r="H27" s="2"/>
      <c r="I27" s="3"/>
      <c r="J27" s="1"/>
      <c r="K27" s="20">
        <f>L27</f>
        <v>6963</v>
      </c>
      <c r="L27" s="12">
        <f>ROUND(_xll.HPVAL($A27,$A$1,$A$3,$A$4,$A$5,$A$6)/1000,0)</f>
        <v>6963</v>
      </c>
      <c r="M27" s="125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73</v>
      </c>
      <c r="B28" s="7" t="s">
        <v>156</v>
      </c>
      <c r="D28" s="20">
        <v>-510</v>
      </c>
      <c r="E28" s="12">
        <f>ROUND(_xll.HPVAL($A28,$A$1,$A$2,$A$4,$A$5,$A$6)/1000,0)</f>
        <v>0</v>
      </c>
      <c r="F28" s="125">
        <f>E28-D28</f>
        <v>510</v>
      </c>
      <c r="G28" s="2"/>
      <c r="H28" s="2"/>
      <c r="I28" s="3"/>
      <c r="J28" s="1"/>
      <c r="K28" s="20">
        <v>418</v>
      </c>
      <c r="L28" s="12">
        <f>ROUND(_xll.HPVAL($A28,$A$1,$A$3,$A$4,$A$5,$A$6)/1000,0)</f>
        <v>36</v>
      </c>
      <c r="M28" s="125">
        <f>ROUND(L28-K28,0)</f>
        <v>-382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36</v>
      </c>
      <c r="B29" s="7" t="s">
        <v>0</v>
      </c>
      <c r="D29" s="20">
        <f>E29</f>
        <v>0</v>
      </c>
      <c r="E29" s="12">
        <f>ROUND(_xll.HPVAL($A29,$A$1,$A$2,$A$4,$A$5,$A$6)/1000,0)</f>
        <v>0</v>
      </c>
      <c r="F29" s="125">
        <f t="shared" si="4"/>
        <v>0</v>
      </c>
      <c r="G29" s="2"/>
      <c r="H29" s="2"/>
      <c r="I29" s="3"/>
      <c r="J29" s="1"/>
      <c r="K29" s="20">
        <f>L29</f>
        <v>621</v>
      </c>
      <c r="L29" s="12">
        <f>ROUND(_xll.HPVAL($A29,$A$1,$A$3,$A$4,$A$5,$A$6)/1000,0)</f>
        <v>621</v>
      </c>
      <c r="M29" s="125">
        <f t="shared" si="5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B30" s="115" t="s">
        <v>1</v>
      </c>
      <c r="C30" s="114"/>
      <c r="D30" s="120">
        <f>D21+D22+D23+D24+D25+D26+D29+D28+D27</f>
        <v>19382</v>
      </c>
      <c r="E30" s="121">
        <f>E21+E22+E23+E24+E25+E26+E29+E28+E27</f>
        <v>19826</v>
      </c>
      <c r="F30" s="121">
        <f>F21+F22+F23+F24+F25+F26+F29+F28+F27</f>
        <v>444</v>
      </c>
      <c r="G30" s="118"/>
      <c r="H30" s="118"/>
      <c r="I30" s="119"/>
      <c r="J30" s="114"/>
      <c r="K30" s="120">
        <f>K21+K22+K23+K24+K25+K26+K29+K28+K27</f>
        <v>19745</v>
      </c>
      <c r="L30" s="121">
        <f>L21+L22+L23+L24+L25+L26+L29+L28+L27</f>
        <v>18893</v>
      </c>
      <c r="M30" s="121">
        <f>M21+M22+M23+M24+M25+M26+M29+M28+M27</f>
        <v>-852</v>
      </c>
      <c r="N30" s="118"/>
      <c r="O30" s="118"/>
      <c r="P30" s="119"/>
      <c r="Q30" s="1"/>
      <c r="R30" s="1"/>
      <c r="S30" s="1"/>
      <c r="T30" s="1"/>
    </row>
    <row r="31" spans="1:20" ht="3" customHeight="1" x14ac:dyDescent="0.2">
      <c r="B31" s="7"/>
      <c r="D31" s="20"/>
      <c r="E31" s="12"/>
      <c r="F31" s="125"/>
      <c r="G31" s="2"/>
      <c r="H31" s="2"/>
      <c r="I31" s="3"/>
      <c r="J31" s="1"/>
      <c r="K31" s="20"/>
      <c r="L31" s="12"/>
      <c r="M31" s="125"/>
      <c r="N31" s="2"/>
      <c r="O31" s="2"/>
      <c r="P31" s="3"/>
      <c r="Q31" s="1"/>
      <c r="R31" s="1"/>
      <c r="S31" s="1"/>
      <c r="T31" s="1"/>
    </row>
    <row r="32" spans="1:20" ht="3" customHeight="1" x14ac:dyDescent="0.2">
      <c r="B32" s="7"/>
      <c r="D32" s="20"/>
      <c r="E32" s="12"/>
      <c r="F32" s="125"/>
      <c r="G32" s="2"/>
      <c r="H32" s="2"/>
      <c r="I32" s="3"/>
      <c r="J32" s="1"/>
      <c r="K32" s="20"/>
      <c r="L32" s="12"/>
      <c r="M32" s="125"/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40</v>
      </c>
      <c r="B33" s="7" t="s">
        <v>9</v>
      </c>
      <c r="D33" s="20">
        <v>655</v>
      </c>
      <c r="E33" s="12">
        <f>ROUND(_xll.HPVAL($A33,$A$1,$A$2,$A$4,$A$5,$A$6)/1000,0)</f>
        <v>2042</v>
      </c>
      <c r="F33" s="125">
        <f>E33-D33</f>
        <v>1387</v>
      </c>
      <c r="G33" s="2" t="s">
        <v>192</v>
      </c>
      <c r="H33" s="2"/>
      <c r="I33" s="3"/>
      <c r="J33" s="1"/>
      <c r="K33" s="20">
        <f>L33</f>
        <v>914</v>
      </c>
      <c r="L33" s="12">
        <f>ROUND(_xll.HPVAL($A33,$A$1,$A$3,$A$4,$A$5,$A$6)/1000,0)</f>
        <v>914</v>
      </c>
      <c r="M33" s="12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0.5" customHeight="1" x14ac:dyDescent="0.2">
      <c r="A34" s="23" t="s">
        <v>39</v>
      </c>
      <c r="B34" s="7" t="s">
        <v>267</v>
      </c>
      <c r="D34" s="20">
        <v>2495</v>
      </c>
      <c r="E34" s="12">
        <f>ROUND(_xll.HPVAL($A34,$A$1,$A$2,$A$4,$A$5,$A$6)/1000,0)</f>
        <v>4237</v>
      </c>
      <c r="F34" s="125">
        <f>E34-D34</f>
        <v>1742</v>
      </c>
      <c r="G34" s="163" t="s">
        <v>258</v>
      </c>
      <c r="H34" s="2"/>
      <c r="I34" s="3"/>
      <c r="J34" s="1"/>
      <c r="K34" s="20">
        <f>L34</f>
        <v>1614</v>
      </c>
      <c r="L34" s="12">
        <f>ROUND(_xll.HPVAL($A34,$A$1,$A$3,$A$4,$A$5,$A$6)/1000,0)</f>
        <v>1614</v>
      </c>
      <c r="M34" s="12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153</v>
      </c>
      <c r="B35" s="291" t="s">
        <v>180</v>
      </c>
      <c r="D35" s="20">
        <f>2252+1805</f>
        <v>4057</v>
      </c>
      <c r="E35" s="12">
        <f>ROUND(_xll.HPVAL($A35,$A$1,$A$2,$A$4,$A$5,$A$6)/1000,0)</f>
        <v>5483</v>
      </c>
      <c r="F35" s="125">
        <f>E35-D35</f>
        <v>1426</v>
      </c>
      <c r="G35" s="162"/>
      <c r="H35" s="2"/>
      <c r="I35" s="3"/>
      <c r="J35" s="1"/>
      <c r="K35" s="20">
        <f>L35</f>
        <v>1516</v>
      </c>
      <c r="L35" s="12">
        <f>ROUND(_xll.HPVAL($A35,$A$1,$A$3,$A$4,$A$5,$A$6)/1000,0)</f>
        <v>1516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157</v>
      </c>
      <c r="B36" s="291" t="s">
        <v>154</v>
      </c>
      <c r="D36" s="20">
        <v>5042</v>
      </c>
      <c r="E36" s="12">
        <f>ROUND(_xll.HPVAL($A36,$A$1,$A$2,$A$4,$A$5,$A$6)/1000,0)</f>
        <v>2561</v>
      </c>
      <c r="F36" s="125">
        <f>E36-D36</f>
        <v>-2481</v>
      </c>
      <c r="G36" s="2"/>
      <c r="H36" s="2"/>
      <c r="I36" s="3"/>
      <c r="J36" s="1"/>
      <c r="K36" s="20">
        <f>L36</f>
        <v>0</v>
      </c>
      <c r="L36" s="12">
        <f>ROUND(_xll.HPVAL($A36,$A$1,$A$3,$A$4,$A$5,$A$6)/1000,0)</f>
        <v>0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B37" s="7" t="s">
        <v>154</v>
      </c>
      <c r="D37" s="20">
        <f>SUM(D35:D36)</f>
        <v>9099</v>
      </c>
      <c r="E37" s="12">
        <f>SUM(E35:E36)</f>
        <v>8044</v>
      </c>
      <c r="F37" s="125">
        <f>SUM(F35:F36)</f>
        <v>-1055</v>
      </c>
      <c r="G37" s="2"/>
      <c r="H37" s="2"/>
      <c r="I37" s="3"/>
      <c r="J37" s="1"/>
      <c r="K37" s="20">
        <f>SUM(K35:K36)</f>
        <v>1516</v>
      </c>
      <c r="L37" s="12">
        <f>SUM(L35:L36)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B38" s="115" t="s">
        <v>87</v>
      </c>
      <c r="C38" s="114"/>
      <c r="D38" s="120">
        <f>SUM(D33:D36)</f>
        <v>12249</v>
      </c>
      <c r="E38" s="121">
        <f>SUM(E33:E36)</f>
        <v>14323</v>
      </c>
      <c r="F38" s="121">
        <f>SUM(F33:F36)</f>
        <v>2074</v>
      </c>
      <c r="G38" s="118"/>
      <c r="H38" s="118"/>
      <c r="I38" s="119"/>
      <c r="J38" s="114"/>
      <c r="K38" s="120">
        <f>SUM(K33:K36)</f>
        <v>4044</v>
      </c>
      <c r="L38" s="121">
        <f>SUM(L33:L36)</f>
        <v>4044</v>
      </c>
      <c r="M38" s="121">
        <f>SUM(M33:M37)</f>
        <v>0</v>
      </c>
      <c r="N38" s="118"/>
      <c r="O38" s="118"/>
      <c r="P38" s="119"/>
      <c r="Q38" s="1"/>
      <c r="R38" s="1"/>
      <c r="S38" s="1"/>
      <c r="T38" s="1"/>
    </row>
    <row r="39" spans="1:20" ht="3" customHeight="1" x14ac:dyDescent="0.2">
      <c r="B39" s="7"/>
      <c r="D39" s="20"/>
      <c r="E39" s="12"/>
      <c r="F39" s="125"/>
      <c r="G39" s="2"/>
      <c r="H39" s="2"/>
      <c r="I39" s="3"/>
      <c r="J39" s="1"/>
      <c r="K39" s="20"/>
      <c r="L39" s="12"/>
      <c r="M39" s="125"/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82</v>
      </c>
      <c r="B40" s="7" t="s">
        <v>8</v>
      </c>
      <c r="C40" s="72"/>
      <c r="D40" s="20">
        <f>E40</f>
        <v>0</v>
      </c>
      <c r="E40" s="12">
        <f>ROUND(_xll.HPVAL($A40,$A$1,$A$2,$A$4,$A$5,$A$6)/1000,0)</f>
        <v>0</v>
      </c>
      <c r="F40" s="125">
        <f>E40-D40</f>
        <v>0</v>
      </c>
      <c r="G40" s="2"/>
      <c r="H40" s="2"/>
      <c r="I40" s="3"/>
      <c r="J40" s="1"/>
      <c r="K40" s="20">
        <f>L40</f>
        <v>3069</v>
      </c>
      <c r="L40" s="12">
        <f>ROUND(_xll.HPVAL($A40,$A$1,$A$3,$A$4,$A$5,$A$6)/1000,0)</f>
        <v>3069</v>
      </c>
      <c r="M40" s="12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3" customHeight="1" x14ac:dyDescent="0.2">
      <c r="B41" s="7"/>
      <c r="C41" s="72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44</v>
      </c>
      <c r="B42" s="7" t="s">
        <v>7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v>4286</v>
      </c>
      <c r="L42" s="12">
        <f>ROUND(_xll.HPVAL($A42,$A$1,$A$3,$A$4,$A$5,$A$6)/1000,0)</f>
        <v>4669</v>
      </c>
      <c r="M42" s="125">
        <f>ROUND(L42-K42,0)</f>
        <v>383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B44" s="7" t="s">
        <v>60</v>
      </c>
      <c r="C44" s="72"/>
      <c r="D44" s="20">
        <f>-SUM(D38:D42,D19,D30)</f>
        <v>-31631</v>
      </c>
      <c r="E44" s="12">
        <f>-SUM(E38:E42,E19,E30)</f>
        <v>-42940</v>
      </c>
      <c r="F44" s="125">
        <f>E44-D44</f>
        <v>-11309</v>
      </c>
      <c r="G44" s="2"/>
      <c r="H44" s="2"/>
      <c r="I44" s="3"/>
      <c r="J44" s="1"/>
      <c r="K44" s="20">
        <f>L44</f>
        <v>0</v>
      </c>
      <c r="L44" s="12"/>
      <c r="M44" s="125"/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s="114" customFormat="1" ht="11.25" customHeight="1" x14ac:dyDescent="0.2">
      <c r="B46" s="115" t="s">
        <v>10</v>
      </c>
      <c r="D46" s="120">
        <f>SUM(D38:D44)+D30+D19</f>
        <v>0</v>
      </c>
      <c r="E46" s="121">
        <f>SUM(E38:E44)+E30+E19</f>
        <v>0</v>
      </c>
      <c r="F46" s="121">
        <f>SUM(F38:F44)+F30+F19</f>
        <v>0</v>
      </c>
      <c r="G46" s="118"/>
      <c r="H46" s="118"/>
      <c r="I46" s="119"/>
      <c r="K46" s="120">
        <f>SUM(K38:K44)+K30+K19</f>
        <v>56653</v>
      </c>
      <c r="L46" s="121">
        <f>SUM(L38:L44)+L30+L19</f>
        <v>55721</v>
      </c>
      <c r="M46" s="121">
        <f>SUM(M38:M44)+M30+M19</f>
        <v>-932</v>
      </c>
      <c r="N46" s="118"/>
      <c r="O46" s="118"/>
      <c r="P46" s="119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A48" s="23" t="s">
        <v>45</v>
      </c>
      <c r="B48" s="7" t="s">
        <v>48</v>
      </c>
      <c r="C48" s="72"/>
      <c r="D48" s="20">
        <f>E48</f>
        <v>0</v>
      </c>
      <c r="E48" s="12">
        <f>_xll.HPVAL($A48,$A$1,$A$2,$A$4,$A$5,$A$6)/1000</f>
        <v>0</v>
      </c>
      <c r="F48" s="125">
        <f>E48-D48</f>
        <v>0</v>
      </c>
      <c r="G48" s="2"/>
      <c r="H48" s="2"/>
      <c r="I48" s="3"/>
      <c r="J48" s="1"/>
      <c r="K48" s="20">
        <f>-K46+13343</f>
        <v>-43310</v>
      </c>
      <c r="L48" s="12">
        <f>-L46+13343</f>
        <v>-42378</v>
      </c>
      <c r="M48" s="125">
        <f>ROUND(L48-K48,0)</f>
        <v>932</v>
      </c>
      <c r="N48" s="2"/>
      <c r="O48" s="2"/>
      <c r="P48" s="3"/>
      <c r="Q48" s="1"/>
      <c r="R48" s="1"/>
      <c r="S48" s="1"/>
      <c r="T48" s="1"/>
    </row>
    <row r="49" spans="2:20" ht="3" customHeight="1" x14ac:dyDescent="0.2">
      <c r="B49" s="7"/>
      <c r="C49" s="72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2:20" ht="11.25" customHeight="1" x14ac:dyDescent="0.2">
      <c r="B50" s="7" t="s">
        <v>274</v>
      </c>
      <c r="C50" s="72"/>
      <c r="D50" s="20">
        <v>0</v>
      </c>
      <c r="E50" s="12">
        <v>0</v>
      </c>
      <c r="F50" s="125">
        <v>0</v>
      </c>
      <c r="G50" s="2"/>
      <c r="H50" s="2"/>
      <c r="I50" s="3"/>
      <c r="J50" s="1"/>
      <c r="K50" s="20">
        <v>-13343</v>
      </c>
      <c r="L50" s="12">
        <v>-13343</v>
      </c>
      <c r="M50" s="125">
        <f>ROUND(L50-K50,0)</f>
        <v>0</v>
      </c>
      <c r="N50" s="2"/>
      <c r="O50" s="2"/>
      <c r="P50" s="3"/>
      <c r="Q50" s="1"/>
      <c r="R50" s="1"/>
      <c r="S50" s="1"/>
      <c r="T50" s="1"/>
    </row>
    <row r="51" spans="2:20" ht="3" customHeight="1" x14ac:dyDescent="0.2">
      <c r="B51" s="7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2:20" s="114" customFormat="1" ht="11.25" customHeight="1" x14ac:dyDescent="0.2">
      <c r="B52" s="115" t="s">
        <v>14</v>
      </c>
      <c r="D52" s="108">
        <f>D48+D46</f>
        <v>0</v>
      </c>
      <c r="E52" s="109">
        <f>E48+E46</f>
        <v>0</v>
      </c>
      <c r="F52" s="109">
        <f>F48+F46</f>
        <v>0</v>
      </c>
      <c r="G52" s="118"/>
      <c r="H52" s="118"/>
      <c r="I52" s="119"/>
      <c r="K52" s="108">
        <f>K48+K46+K50</f>
        <v>0</v>
      </c>
      <c r="L52" s="109">
        <f>L48+L46+L50</f>
        <v>0</v>
      </c>
      <c r="M52" s="109">
        <f>M48+M46+M50</f>
        <v>0</v>
      </c>
      <c r="N52" s="118"/>
      <c r="O52" s="118"/>
      <c r="P52" s="119"/>
    </row>
    <row r="53" spans="2:20" ht="3" customHeight="1" x14ac:dyDescent="0.2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2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2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2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2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2:20" x14ac:dyDescent="0.2">
      <c r="D58" s="5"/>
      <c r="E58" s="5"/>
      <c r="F58" s="5"/>
      <c r="G58" s="1"/>
      <c r="H58" s="1"/>
      <c r="I58" s="1"/>
      <c r="J58" s="1"/>
      <c r="K58" s="5"/>
      <c r="L58" s="5"/>
      <c r="M58" s="5" t="s">
        <v>299</v>
      </c>
      <c r="N58" s="1"/>
      <c r="O58" s="1"/>
      <c r="P58" s="1"/>
      <c r="Q58" s="1"/>
      <c r="R58" s="1"/>
      <c r="S58" s="1"/>
      <c r="T58" s="1"/>
    </row>
    <row r="59" spans="2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2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2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2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2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2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5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232</v>
      </c>
      <c r="B9" s="7" t="s">
        <v>3</v>
      </c>
      <c r="D9" s="87">
        <f>_xll.HPVAL($A9,$A$49,$A$2,$A$5,$A$6,$A$7)</f>
        <v>55</v>
      </c>
      <c r="E9" s="88">
        <f>_xll.HPVAL($A9,$A$49,$A$3,$A$5,$A$6,$A$7)</f>
        <v>24</v>
      </c>
      <c r="F9" s="89">
        <f>+D9+E9</f>
        <v>79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3</v>
      </c>
      <c r="M9" s="88">
        <f>+E9-I9</f>
        <v>13</v>
      </c>
      <c r="N9" s="89">
        <f>+L9+M9</f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>
        <f>_xll.HPVAL($A10,$A$49,$A$2,$A$5,$A$6,$A$7)</f>
        <v>47</v>
      </c>
      <c r="E10" s="88">
        <f>_xll.HPVAL($A10,$A$49,$A$3,$A$5,$A$6,$A$7)</f>
        <v>86.8</v>
      </c>
      <c r="F10" s="89">
        <f t="shared" ref="F10:F17" si="0">+D10+E10</f>
        <v>133.80000000000001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-1</v>
      </c>
      <c r="M10" s="88">
        <f t="shared" ref="M10:M17" si="3">+E10-I10</f>
        <v>11.799999999999997</v>
      </c>
      <c r="N10" s="89">
        <f t="shared" ref="N10:N17" si="4">+L10+M10</f>
        <v>10.799999999999997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>
        <f>_xll.HPVAL($A11,$A$49,$A$2,$A$5,$A$6,$A$7)</f>
        <v>10</v>
      </c>
      <c r="E11" s="88">
        <f>_xll.HPVAL($A11,$A$49,$A$3,$A$5,$A$6,$A$7)</f>
        <v>6</v>
      </c>
      <c r="F11" s="89">
        <f t="shared" si="0"/>
        <v>16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0</v>
      </c>
      <c r="M11" s="88">
        <f t="shared" si="3"/>
        <v>3</v>
      </c>
      <c r="N11" s="89">
        <f t="shared" si="4"/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>
        <f>_xll.HPVAL($A12,$A$49,$A$2,$A$5,$A$6,$A$7)</f>
        <v>8</v>
      </c>
      <c r="E12" s="88">
        <f>_xll.HPVAL($A12,$A$49,$A$3,$A$5,$A$6,$A$7)</f>
        <v>10</v>
      </c>
      <c r="F12" s="89">
        <f>+D12+E12</f>
        <v>18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-2</v>
      </c>
      <c r="M12" s="88">
        <f>+E12-I12</f>
        <v>2</v>
      </c>
      <c r="N12" s="89">
        <f>+L12+M12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251</v>
      </c>
      <c r="C13" s="72"/>
      <c r="D13" s="87">
        <f>_xll.HPVAL($A13,$A$49,$A$2,$A$5,$A$6,$A$7)</f>
        <v>19</v>
      </c>
      <c r="E13" s="88">
        <f>_xll.HPVAL($A13,$A$49,$A$3,$A$5,$A$6,$A$7)</f>
        <v>20</v>
      </c>
      <c r="F13" s="89">
        <f t="shared" si="0"/>
        <v>39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3.5</v>
      </c>
      <c r="M13" s="88">
        <f t="shared" si="3"/>
        <v>-9</v>
      </c>
      <c r="N13" s="8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262</v>
      </c>
      <c r="D14" s="87">
        <f>_xll.HPVAL($A14,$A$49,$A$2,$A$5,$A$6,$A$7)</f>
        <v>15</v>
      </c>
      <c r="E14" s="88">
        <f>_xll.HPVAL($A14,$A$49,$A$3,$A$5,$A$6,$A$7)</f>
        <v>7</v>
      </c>
      <c r="F14" s="89">
        <f t="shared" si="0"/>
        <v>22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-9</v>
      </c>
      <c r="M14" s="88">
        <f t="shared" si="3"/>
        <v>-10</v>
      </c>
      <c r="N14" s="89">
        <f t="shared" si="4"/>
        <v>-19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>
        <f>_xll.HPVAL($A15,$A$49,$A$2,$A$5,$A$6,$A$7)</f>
        <v>6</v>
      </c>
      <c r="E15" s="88">
        <f>_xll.HPVAL($A15,$A$49,$A$3,$A$5,$A$6,$A$7)</f>
        <v>8</v>
      </c>
      <c r="F15" s="89">
        <f t="shared" si="0"/>
        <v>14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-3</v>
      </c>
      <c r="M15" s="88">
        <f t="shared" si="3"/>
        <v>-6</v>
      </c>
      <c r="N15" s="89">
        <f t="shared" si="4"/>
        <v>-9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1</v>
      </c>
      <c r="F16" s="89">
        <f t="shared" si="0"/>
        <v>1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0</v>
      </c>
      <c r="N16" s="8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>
        <f>_xll.HPVAL($A17,$A$49,$A$2,$A$5,$A$6,$A$7)</f>
        <v>8</v>
      </c>
      <c r="E17" s="88">
        <f>_xll.HPVAL($A17,$A$49,$A$3,$A$5,$A$6,$A$7)</f>
        <v>8</v>
      </c>
      <c r="F17" s="89">
        <f t="shared" si="0"/>
        <v>16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-2</v>
      </c>
      <c r="M17" s="88">
        <f t="shared" si="3"/>
        <v>-5</v>
      </c>
      <c r="N17" s="89">
        <f t="shared" si="4"/>
        <v>-7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>
        <f>SUM(D9:D17)</f>
        <v>168</v>
      </c>
      <c r="E18" s="112">
        <f>SUM(E9:E17)</f>
        <v>170.8</v>
      </c>
      <c r="F18" s="130">
        <f>SUM(F9:F17)</f>
        <v>338.8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-11.5</v>
      </c>
      <c r="M18" s="112">
        <f>SUM(M9:M17)</f>
        <v>-0.20000000000000284</v>
      </c>
      <c r="N18" s="130">
        <f>SUM(N9:N17)</f>
        <v>-11.700000000000003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>
        <f>_xll.HPVAL($A20,$A$49,$A$2,$A$5,$A$6,$A$7)</f>
        <v>33.5</v>
      </c>
      <c r="E20" s="88">
        <f>_xll.HPVAL($A20,$A$49,$A$3,$A$5,$A$6,$A$7)</f>
        <v>13</v>
      </c>
      <c r="F20" s="89">
        <f>+D20+E20</f>
        <v>46.5</v>
      </c>
      <c r="G20" s="5"/>
      <c r="H20" s="87">
        <f>_xll.HPVAL($A20,$A$1,$A$2,$A$5,$A$6,$A$7)</f>
        <v>45</v>
      </c>
      <c r="I20" s="88">
        <f>_xll.HPVAL($A20,$A$1,$A$3,$A$5,$A$6,$A$7)</f>
        <v>21</v>
      </c>
      <c r="J20" s="89">
        <f>+H20+I20</f>
        <v>66</v>
      </c>
      <c r="K20" s="1"/>
      <c r="L20" s="87">
        <f t="shared" ref="L20:M26" si="5">+D20-H20</f>
        <v>-11.5</v>
      </c>
      <c r="M20" s="88">
        <f t="shared" si="5"/>
        <v>-8</v>
      </c>
      <c r="N20" s="89">
        <f>+L20+M20</f>
        <v>-19.5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>
        <f>_xll.HPVAL($A21,$A$49,$A$2,$A$5,$A$6,$A$7)</f>
        <v>14</v>
      </c>
      <c r="E21" s="88">
        <f>_xll.HPVAL($A21,$A$49,$A$3,$A$5,$A$6,$A$7)</f>
        <v>16.8</v>
      </c>
      <c r="F21" s="89">
        <f>+D21+E21</f>
        <v>30.8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-9</v>
      </c>
      <c r="M21" s="88">
        <f t="shared" si="5"/>
        <v>1.8000000000000007</v>
      </c>
      <c r="N21" s="89">
        <f>+L21+M21</f>
        <v>-7.1999999999999993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230</v>
      </c>
      <c r="B22" s="7" t="s">
        <v>90</v>
      </c>
      <c r="D22" s="87">
        <f>_xll.HPVAL($A22,$A$49,$A$2,$A$5,$A$6,$A$7)</f>
        <v>41</v>
      </c>
      <c r="E22" s="88">
        <f>_xll.HPVAL($A22,$A$49,$A$3,$A$5,$A$6,$A$7)</f>
        <v>10</v>
      </c>
      <c r="F22" s="89">
        <f>+D22+E22</f>
        <v>51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-15</v>
      </c>
      <c r="M22" s="88">
        <f t="shared" si="5"/>
        <v>-8</v>
      </c>
      <c r="N22" s="89">
        <f>+L22+M22</f>
        <v>-23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>
        <f>_xll.HPVAL($A23,$A$49,$A$2,$A$5,$A$6,$A$7)</f>
        <v>13</v>
      </c>
      <c r="E23" s="88">
        <f>_xll.HPVAL($A23,$A$49,$A$3,$A$5,$A$6,$A$7)</f>
        <v>6</v>
      </c>
      <c r="F23" s="89">
        <f>+D23+E23</f>
        <v>19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</v>
      </c>
      <c r="M23" s="88">
        <f t="shared" si="5"/>
        <v>-3</v>
      </c>
      <c r="N23" s="89">
        <f>+L23+M23</f>
        <v>-4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36</v>
      </c>
      <c r="B26" s="7" t="s">
        <v>0</v>
      </c>
      <c r="D26" s="87">
        <f>_xll.HPVAL($A26,$A$49,$A$2,$A$5,$A$6,$A$7)</f>
        <v>3</v>
      </c>
      <c r="E26" s="88">
        <f>_xll.HPVAL($A26,$A$49,$A$3,$A$5,$A$6,$A$7)</f>
        <v>2</v>
      </c>
      <c r="F26" s="89">
        <f>+D26+E26</f>
        <v>5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>+H26+I26</f>
        <v>22</v>
      </c>
      <c r="K26" s="1"/>
      <c r="L26" s="87">
        <f t="shared" si="5"/>
        <v>-8</v>
      </c>
      <c r="M26" s="88">
        <f t="shared" si="5"/>
        <v>-9</v>
      </c>
      <c r="N26" s="89">
        <f>+L26+M26</f>
        <v>-17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15" t="s">
        <v>1</v>
      </c>
      <c r="C27" s="114"/>
      <c r="D27" s="111">
        <f>SUM(D20:D26)</f>
        <v>104.5</v>
      </c>
      <c r="E27" s="112">
        <f>SUM(E20:E26)</f>
        <v>47.8</v>
      </c>
      <c r="F27" s="130">
        <f>SUM(F20:F26)</f>
        <v>152.30000000000001</v>
      </c>
      <c r="G27" s="116"/>
      <c r="H27" s="111">
        <f>SUM(H20:H26)</f>
        <v>149</v>
      </c>
      <c r="I27" s="112">
        <f>SUM(I20:I26)</f>
        <v>74</v>
      </c>
      <c r="J27" s="130">
        <f>SUM(J20:J26)</f>
        <v>223</v>
      </c>
      <c r="K27" s="114"/>
      <c r="L27" s="111">
        <f>SUM(L20:L26)</f>
        <v>-44.5</v>
      </c>
      <c r="M27" s="112">
        <f>SUM(M20:M26)</f>
        <v>-26.2</v>
      </c>
      <c r="N27" s="130">
        <f>SUM(N20:N26)</f>
        <v>-70.7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37</v>
      </c>
      <c r="B29" s="7" t="s">
        <v>67</v>
      </c>
      <c r="D29" s="87">
        <f>_xll.HPVAL($A29,$A$49,$A$2,$A$5,$A$6,$A$7)</f>
        <v>6</v>
      </c>
      <c r="E29" s="88">
        <f>_xll.HPVAL($A29,$A$49,$A$3,$A$5,$A$6,$A$7)</f>
        <v>3</v>
      </c>
      <c r="F29" s="89">
        <f>+D29+E29</f>
        <v>9</v>
      </c>
      <c r="G29" s="5"/>
      <c r="H29" s="87">
        <f>_xll.HPVAL($A29,$A$1,$A$2,$A$5,$A$6,$A$7)</f>
        <v>8</v>
      </c>
      <c r="I29" s="88">
        <f>_xll.HPVAL($A29,$A$1,$A$3,$A$5,$A$6,$A$7)</f>
        <v>6</v>
      </c>
      <c r="J29" s="89">
        <f>+H29+I29</f>
        <v>14</v>
      </c>
      <c r="K29" s="1"/>
      <c r="L29" s="87">
        <f t="shared" ref="L29:M31" si="6">+D29-H29</f>
        <v>-2</v>
      </c>
      <c r="M29" s="88">
        <f t="shared" si="6"/>
        <v>-3</v>
      </c>
      <c r="N29" s="89">
        <f>+L29+M29</f>
        <v>-5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>
        <f>_xll.HPVAL($A30,$A$49,$A$2,$A$5,$A$6,$A$7)</f>
        <v>55</v>
      </c>
      <c r="E30" s="88">
        <f>_xll.HPVAL($A30,$A$49,$A$3,$A$5,$A$6,$A$7)</f>
        <v>88</v>
      </c>
      <c r="F30" s="89">
        <f>+D30+E30</f>
        <v>143</v>
      </c>
      <c r="G30" s="5"/>
      <c r="H30" s="87">
        <f>_xll.HPVAL($A30,$A$1,$A$2,$A$5,$A$6,$A$7)</f>
        <v>58</v>
      </c>
      <c r="I30" s="88">
        <f>_xll.HPVAL($A30,$A$1,$A$3,$A$5,$A$6,$A$7)</f>
        <v>107</v>
      </c>
      <c r="J30" s="89">
        <f>+H30+I30</f>
        <v>165</v>
      </c>
      <c r="K30" s="1"/>
      <c r="L30" s="87">
        <f t="shared" si="6"/>
        <v>-3</v>
      </c>
      <c r="M30" s="88">
        <f t="shared" si="6"/>
        <v>-19</v>
      </c>
      <c r="N30" s="89">
        <f>+L30+M30</f>
        <v>-22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>
        <f>_xll.HPVAL($A31,$A$49,$A$2,$A$5,$A$6,$A$7)</f>
        <v>4</v>
      </c>
      <c r="E31" s="88">
        <f>_xll.HPVAL($A31,$A$49,$A$3,$A$5,$A$6,$A$7)</f>
        <v>13</v>
      </c>
      <c r="F31" s="89">
        <f>+D31+E31</f>
        <v>17</v>
      </c>
      <c r="G31" s="5"/>
      <c r="H31" s="87">
        <f>_xll.HPVAL($A31,$A$1,$A$2,$A$5,$A$6,$A$7)</f>
        <v>6</v>
      </c>
      <c r="I31" s="88">
        <f>_xll.HPVAL($A31,$A$1,$A$3,$A$5,$A$6,$A$7)</f>
        <v>18</v>
      </c>
      <c r="J31" s="89">
        <f>+H31+I31</f>
        <v>24</v>
      </c>
      <c r="K31" s="1"/>
      <c r="L31" s="87">
        <f t="shared" si="6"/>
        <v>-2</v>
      </c>
      <c r="M31" s="88">
        <f t="shared" si="6"/>
        <v>-5</v>
      </c>
      <c r="N31" s="89">
        <f>+L31+M31</f>
        <v>-7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B32" s="115" t="s">
        <v>86</v>
      </c>
      <c r="C32" s="114"/>
      <c r="D32" s="111">
        <f>SUM(D29:D31)</f>
        <v>65</v>
      </c>
      <c r="E32" s="112">
        <f>SUM(E29:E31)</f>
        <v>104</v>
      </c>
      <c r="F32" s="130">
        <f>SUM(F29:F31)</f>
        <v>169</v>
      </c>
      <c r="G32" s="116"/>
      <c r="H32" s="111">
        <f>SUM(H29:H31)</f>
        <v>72</v>
      </c>
      <c r="I32" s="112">
        <f>SUM(I29:I31)</f>
        <v>131</v>
      </c>
      <c r="J32" s="130">
        <f>SUM(J29:J31)</f>
        <v>203</v>
      </c>
      <c r="K32" s="114"/>
      <c r="L32" s="111">
        <f>SUM(L29:L31)</f>
        <v>-7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40</v>
      </c>
      <c r="B34" s="7" t="s">
        <v>9</v>
      </c>
      <c r="D34" s="87">
        <f>_xll.HPVAL($A34,$A$49,$A$2,$A$5,$A$6,$A$7)</f>
        <v>5.5</v>
      </c>
      <c r="E34" s="88">
        <f>_xll.HPVAL($A34,$A$49,$A$3,$A$5,$A$6,$A$7)</f>
        <v>6</v>
      </c>
      <c r="F34" s="89">
        <f>+D34+E34</f>
        <v>11.5</v>
      </c>
      <c r="G34" s="5"/>
      <c r="H34" s="87">
        <f>_xll.HPVAL($A34,$A$1,$A$2,$A$5,$A$6,$A$7)</f>
        <v>9</v>
      </c>
      <c r="I34" s="88">
        <f>_xll.HPVAL($A34,$A$1,$A$3,$A$5,$A$6,$A$7)</f>
        <v>8</v>
      </c>
      <c r="J34" s="89">
        <f>+H34+I34</f>
        <v>17</v>
      </c>
      <c r="K34" s="1"/>
      <c r="L34" s="87">
        <f t="shared" ref="L34:M36" si="7">+D34-H34</f>
        <v>-3.5</v>
      </c>
      <c r="M34" s="88">
        <f t="shared" si="7"/>
        <v>-2</v>
      </c>
      <c r="N34" s="89">
        <f>+L34+M34</f>
        <v>-5.5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39</v>
      </c>
      <c r="B35" s="7" t="s">
        <v>267</v>
      </c>
      <c r="D35" s="87">
        <f>_xll.HPVAL($A35,$A$49,$A$2,$A$5,$A$6,$A$7)</f>
        <v>6</v>
      </c>
      <c r="E35" s="88">
        <f>_xll.HPVAL($A35,$A$49,$A$3,$A$5,$A$6,$A$7)</f>
        <v>12</v>
      </c>
      <c r="F35" s="89">
        <f>+D35+E35</f>
        <v>18</v>
      </c>
      <c r="G35" s="5"/>
      <c r="H35" s="87">
        <f>_xll.HPVAL($A35,$A$1,$A$2,$A$5,$A$6,$A$7)</f>
        <v>7</v>
      </c>
      <c r="I35" s="88">
        <f>_xll.HPVAL($A35,$A$1,$A$3,$A$5,$A$6,$A$7)</f>
        <v>8</v>
      </c>
      <c r="J35" s="89">
        <f>+H35+I35</f>
        <v>15</v>
      </c>
      <c r="K35" s="1"/>
      <c r="L35" s="87">
        <f t="shared" si="7"/>
        <v>-1</v>
      </c>
      <c r="M35" s="88">
        <f t="shared" si="7"/>
        <v>4</v>
      </c>
      <c r="N35" s="89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153</v>
      </c>
      <c r="B36" s="291" t="s">
        <v>180</v>
      </c>
      <c r="D36" s="87">
        <f>_xll.HPVAL($A36,$A$49,$A$2,$A$5,$A$6,$A$7)</f>
        <v>5</v>
      </c>
      <c r="E36" s="88">
        <f>_xll.HPVAL($A36,$A$49,$A$3,$A$5,$A$6,$A$7)</f>
        <v>3</v>
      </c>
      <c r="F36" s="89">
        <f>+D36+E36</f>
        <v>8</v>
      </c>
      <c r="G36" s="5"/>
      <c r="H36" s="87">
        <f>_xll.HPVAL($A36,$A$1,$A$2,$A$5,$A$6,$A$7)</f>
        <v>12</v>
      </c>
      <c r="I36" s="88">
        <f>_xll.HPVAL($A36,$A$1,$A$3,$A$5,$A$6,$A$7)</f>
        <v>8</v>
      </c>
      <c r="J36" s="89">
        <f>+H36+I36</f>
        <v>20</v>
      </c>
      <c r="K36" s="1"/>
      <c r="L36" s="87">
        <f t="shared" si="7"/>
        <v>-7</v>
      </c>
      <c r="M36" s="88">
        <f t="shared" si="7"/>
        <v>-5</v>
      </c>
      <c r="N36" s="89">
        <f>+L36+M36</f>
        <v>-12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157</v>
      </c>
      <c r="B37" s="291" t="s">
        <v>154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0</v>
      </c>
      <c r="I37" s="88">
        <f>_xll.HPVAL($A37,$A$1,$A$3,$A$5,$A$6,$A$7)</f>
        <v>0</v>
      </c>
      <c r="J37" s="89">
        <f>+H37+I37</f>
        <v>0</v>
      </c>
      <c r="K37" s="1"/>
      <c r="L37" s="87">
        <f>+D37-H37</f>
        <v>0</v>
      </c>
      <c r="M37" s="88">
        <f>+E37-I37</f>
        <v>0</v>
      </c>
      <c r="N37" s="89">
        <f>+L37+M37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B38" s="7" t="s">
        <v>154</v>
      </c>
      <c r="D38" s="87">
        <f>SUM(D36:D37)</f>
        <v>5</v>
      </c>
      <c r="E38" s="88">
        <f>SUM(E36:E37)</f>
        <v>3</v>
      </c>
      <c r="F38" s="89">
        <f>SUM(F36:F37)</f>
        <v>8</v>
      </c>
      <c r="G38" s="5"/>
      <c r="H38" s="87">
        <f>SUM(H36:H37)</f>
        <v>12</v>
      </c>
      <c r="I38" s="88">
        <f>SUM(I36:I37)</f>
        <v>8</v>
      </c>
      <c r="J38" s="89">
        <f>SUM(J36:J37)</f>
        <v>20</v>
      </c>
      <c r="K38" s="1"/>
      <c r="L38" s="87">
        <f>SUM(L36:L37)</f>
        <v>-7</v>
      </c>
      <c r="M38" s="88">
        <f>SUM(M36:M37)</f>
        <v>-5</v>
      </c>
      <c r="N38" s="89">
        <f>SUM(N36:N37)</f>
        <v>-12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15" t="s">
        <v>87</v>
      </c>
      <c r="C39" s="114"/>
      <c r="D39" s="111">
        <f>SUM(D34:D37)</f>
        <v>16.5</v>
      </c>
      <c r="E39" s="112">
        <f>SUM(E34:E37)</f>
        <v>21</v>
      </c>
      <c r="F39" s="130">
        <f>SUM(F34:F37)</f>
        <v>37.5</v>
      </c>
      <c r="G39" s="116"/>
      <c r="H39" s="111">
        <f>SUM(H34:H37)</f>
        <v>28</v>
      </c>
      <c r="I39" s="112">
        <f>SUM(I34:I37)</f>
        <v>24</v>
      </c>
      <c r="J39" s="130">
        <f>SUM(J34:J37)</f>
        <v>52</v>
      </c>
      <c r="K39" s="114"/>
      <c r="L39" s="111">
        <f>SUM(L34:L37)</f>
        <v>-11.5</v>
      </c>
      <c r="M39" s="112">
        <f>SUM(M34:M37)</f>
        <v>-3</v>
      </c>
      <c r="N39" s="130">
        <f>SUM(N34:N37)</f>
        <v>-14.5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82</v>
      </c>
      <c r="B41" s="7" t="s">
        <v>8</v>
      </c>
      <c r="C41" s="72"/>
      <c r="D41" s="87">
        <f>_xll.HPVAL($A41,$A$49,$A$2,$A$5,$A$6,$A$7)</f>
        <v>66.5</v>
      </c>
      <c r="E41" s="88">
        <f>_xll.HPVAL($A41,$A$49,$A$3,$A$5,$A$6,$A$7)</f>
        <v>89</v>
      </c>
      <c r="F41" s="89">
        <f>+D41+E41</f>
        <v>155.5</v>
      </c>
      <c r="G41" s="5"/>
      <c r="H41" s="87">
        <f>_xll.HPVAL($A41,$A$1,$A$2,$A$5,$A$6,$A$7)</f>
        <v>62</v>
      </c>
      <c r="I41" s="88">
        <f>_xll.HPVAL($A41,$A$1,$A$3,$A$5,$A$6,$A$7)</f>
        <v>67</v>
      </c>
      <c r="J41" s="89">
        <f>+H41+I41</f>
        <v>129</v>
      </c>
      <c r="K41" s="1"/>
      <c r="L41" s="87">
        <f>+D41-H41</f>
        <v>4.5</v>
      </c>
      <c r="M41" s="88">
        <f>+E41-I41</f>
        <v>22</v>
      </c>
      <c r="N41" s="89">
        <f>+L41+M41</f>
        <v>26.5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44</v>
      </c>
      <c r="B43" s="7" t="s">
        <v>7</v>
      </c>
      <c r="C43" s="72"/>
      <c r="D43" s="87">
        <f>_xll.HPVAL($A43,$A$49,$A$2,$A$5,$A$6,$A$7)</f>
        <v>21</v>
      </c>
      <c r="E43" s="88">
        <f>_xll.HPVAL($A43,$A$49,$A$3,$A$5,$A$6,$A$7)</f>
        <v>35</v>
      </c>
      <c r="F43" s="89">
        <f>+D43+E43</f>
        <v>56</v>
      </c>
      <c r="G43" s="5"/>
      <c r="H43" s="87">
        <f>_xll.HPVAL($A43,$A$1,$A$2,$A$5,$A$6,$A$7)</f>
        <v>18</v>
      </c>
      <c r="I43" s="88">
        <f>_xll.HPVAL($A43,$A$1,$A$3,$A$5,$A$6,$A$7)</f>
        <v>30</v>
      </c>
      <c r="J43" s="89">
        <f>+H43+I43</f>
        <v>48</v>
      </c>
      <c r="K43" s="1"/>
      <c r="L43" s="87">
        <f>+D43-H43</f>
        <v>3</v>
      </c>
      <c r="M43" s="88">
        <f>+E43-I43</f>
        <v>5</v>
      </c>
      <c r="N43" s="89">
        <f>+L43+M43</f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">
      <c r="A45" s="23"/>
      <c r="B45" s="115" t="s">
        <v>10</v>
      </c>
      <c r="D45" s="111">
        <f>SUM(D39:D43)+D18+D27+D32</f>
        <v>441.5</v>
      </c>
      <c r="E45" s="112">
        <f>SUM(E39:E43)+E18+E27+E32</f>
        <v>467.6</v>
      </c>
      <c r="F45" s="130">
        <f>SUM(F39:F43)+F18+F27+F32</f>
        <v>909.09999999999991</v>
      </c>
      <c r="G45" s="116"/>
      <c r="H45" s="111">
        <f>SUM(H39:H43)+H18+H27+H32</f>
        <v>508.5</v>
      </c>
      <c r="I45" s="112">
        <f>SUM(I39:I43)+I18+I27+I32</f>
        <v>497</v>
      </c>
      <c r="J45" s="130">
        <f>SUM(J39:J43)+J18+J27+J32</f>
        <v>1005.5</v>
      </c>
      <c r="L45" s="111">
        <f>SUM(L39:L43)+L18+L27+L32</f>
        <v>-67</v>
      </c>
      <c r="M45" s="112" t="e">
        <f>SUM(M39:M43)+M18+M27+M32</f>
        <v>#VALUE!</v>
      </c>
      <c r="N45" s="130">
        <f>SUM(N39:N43)+N18+N27+N32</f>
        <v>4937.6000000000004</v>
      </c>
    </row>
    <row r="46" spans="1:40" ht="3" customHeight="1" x14ac:dyDescent="0.2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881</v>
      </c>
      <c r="F47" s="89">
        <f>+D47+E47</f>
        <v>881</v>
      </c>
      <c r="G47" s="5"/>
      <c r="H47" s="87"/>
      <c r="I47" s="88">
        <f>_xll.HPVAL($A47,$A$1,"total_headcount",$A$5,$A$6,$A$7)</f>
        <v>971.55</v>
      </c>
      <c r="J47" s="89">
        <f>+H47+I47</f>
        <v>971.55</v>
      </c>
      <c r="K47" s="1"/>
      <c r="L47" s="87">
        <f>+D47-H47</f>
        <v>0</v>
      </c>
      <c r="M47" s="88">
        <f>+E47-I47</f>
        <v>-90.549999999999955</v>
      </c>
      <c r="N47" s="89">
        <f>+L47+M47</f>
        <v>-90.549999999999955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64</v>
      </c>
      <c r="B49" s="107" t="s">
        <v>14</v>
      </c>
      <c r="D49" s="111">
        <f>D45+D47</f>
        <v>441.5</v>
      </c>
      <c r="E49" s="112">
        <f>E45+E47</f>
        <v>1348.6</v>
      </c>
      <c r="F49" s="130">
        <f>F45+F47</f>
        <v>1790.1</v>
      </c>
      <c r="G49" s="5"/>
      <c r="H49" s="111">
        <f>H45+H47</f>
        <v>508.5</v>
      </c>
      <c r="I49" s="112">
        <f>I45+I47</f>
        <v>1468.55</v>
      </c>
      <c r="J49" s="130">
        <f>J45+J47</f>
        <v>1977.05</v>
      </c>
      <c r="K49" s="1"/>
      <c r="L49" s="111">
        <f>L45+L47</f>
        <v>-67</v>
      </c>
      <c r="M49" s="112" t="e">
        <f>M45+M47</f>
        <v>#VALUE!</v>
      </c>
      <c r="N49" s="130">
        <f>N45+N47</f>
        <v>4847.05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workbookViewId="0">
      <selection activeCell="A3" sqref="A3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5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5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5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5">
      <c r="A12" s="207" t="s">
        <v>133</v>
      </c>
      <c r="B12" s="237"/>
      <c r="C12" s="41">
        <v>35765</v>
      </c>
      <c r="D12" s="41">
        <v>11447</v>
      </c>
      <c r="E12" s="213">
        <f t="shared" si="1"/>
        <v>24318</v>
      </c>
      <c r="F12" s="241"/>
      <c r="G12" s="42">
        <v>1854</v>
      </c>
      <c r="H12" s="257">
        <v>2436</v>
      </c>
      <c r="I12" s="64">
        <v>0</v>
      </c>
      <c r="J12" s="213">
        <f t="shared" si="2"/>
        <v>582</v>
      </c>
      <c r="K12" s="214"/>
      <c r="L12" s="212">
        <f t="shared" si="3"/>
        <v>33911</v>
      </c>
      <c r="M12" s="41">
        <f t="shared" si="3"/>
        <v>9011</v>
      </c>
      <c r="N12" s="213">
        <f t="shared" si="4"/>
        <v>24900</v>
      </c>
    </row>
    <row r="13" spans="1:23" ht="12" customHeight="1" x14ac:dyDescent="0.25">
      <c r="A13" s="207" t="s">
        <v>251</v>
      </c>
      <c r="B13" s="237"/>
      <c r="C13" s="41">
        <f>22243-815</f>
        <v>21428</v>
      </c>
      <c r="D13" s="41">
        <v>23112</v>
      </c>
      <c r="E13" s="213">
        <f t="shared" si="1"/>
        <v>-1684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18422</v>
      </c>
      <c r="M13" s="41">
        <f t="shared" si="3"/>
        <v>19720</v>
      </c>
      <c r="N13" s="213">
        <f t="shared" si="4"/>
        <v>-1298</v>
      </c>
    </row>
    <row r="14" spans="1:23" ht="12" customHeight="1" x14ac:dyDescent="0.25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5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5">
      <c r="A16" s="207" t="s">
        <v>107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">
      <c r="A17" s="229" t="s">
        <v>130</v>
      </c>
      <c r="B17" s="258"/>
      <c r="C17" s="259">
        <f>SUM(C8:C16)</f>
        <v>248906</v>
      </c>
      <c r="D17" s="259">
        <f>SUM(D8:D16)</f>
        <v>152652</v>
      </c>
      <c r="E17" s="260">
        <f>SUM(E8:E16)</f>
        <v>96254</v>
      </c>
      <c r="F17" s="242">
        <v>129970</v>
      </c>
      <c r="G17" s="259">
        <f>SUM(G8:G16)</f>
        <v>57787</v>
      </c>
      <c r="H17" s="259">
        <f>SUM(H8:H16)</f>
        <v>57695</v>
      </c>
      <c r="I17" s="259">
        <f>SUM(I8:I16)</f>
        <v>478</v>
      </c>
      <c r="J17" s="260">
        <f>SUM(J8:J16)</f>
        <v>-607</v>
      </c>
      <c r="K17" s="215"/>
      <c r="L17" s="230">
        <f>SUM(L8:L16)</f>
        <v>191119</v>
      </c>
      <c r="M17" s="231">
        <f>SUM(M8:M16)</f>
        <v>94957</v>
      </c>
      <c r="N17" s="260">
        <f>SUM(N8:N16)</f>
        <v>96162</v>
      </c>
    </row>
    <row r="18" spans="1:14" ht="12" customHeight="1" x14ac:dyDescent="0.25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61"/>
      <c r="C19" s="257">
        <v>2838</v>
      </c>
      <c r="D19" s="257">
        <v>14243</v>
      </c>
      <c r="E19" s="213">
        <f t="shared" ref="E19:E27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7" si="6">(H19-G19)-I19</f>
        <v>1748</v>
      </c>
      <c r="K19" s="214"/>
      <c r="L19" s="212">
        <f t="shared" ref="L19:M27" si="7">+C19-G19</f>
        <v>-1977</v>
      </c>
      <c r="M19" s="41">
        <f t="shared" si="7"/>
        <v>7680</v>
      </c>
      <c r="N19" s="213">
        <f t="shared" ref="N19:N27" si="8">+L19-M19</f>
        <v>-9657</v>
      </c>
    </row>
    <row r="20" spans="1:14" ht="12" customHeight="1" x14ac:dyDescent="0.25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5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5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5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6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5">
      <c r="A24" s="207" t="s">
        <v>252</v>
      </c>
      <c r="B24" s="261"/>
      <c r="C24" s="257">
        <v>815</v>
      </c>
      <c r="D24" s="257">
        <v>0</v>
      </c>
      <c r="E24" s="213">
        <f t="shared" si="5"/>
        <v>815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-993</v>
      </c>
      <c r="M24" s="41">
        <f t="shared" si="9"/>
        <v>-2170</v>
      </c>
      <c r="N24" s="213">
        <f t="shared" si="8"/>
        <v>1177</v>
      </c>
    </row>
    <row r="25" spans="1:14" ht="12" customHeight="1" x14ac:dyDescent="0.25">
      <c r="A25" s="207" t="s">
        <v>92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5">
      <c r="A26" s="207" t="s">
        <v>156</v>
      </c>
      <c r="B26" s="237"/>
      <c r="C26" s="41">
        <v>0</v>
      </c>
      <c r="D26" s="41">
        <v>7712</v>
      </c>
      <c r="E26" s="213">
        <f t="shared" si="5"/>
        <v>-7712</v>
      </c>
      <c r="F26" s="241"/>
      <c r="G26" s="42">
        <v>1484</v>
      </c>
      <c r="H26" s="128">
        <v>1217</v>
      </c>
      <c r="I26" s="64">
        <v>0</v>
      </c>
      <c r="J26" s="213">
        <f t="shared" si="6"/>
        <v>-267</v>
      </c>
      <c r="K26" s="214"/>
      <c r="L26" s="212">
        <f t="shared" si="9"/>
        <v>-1484</v>
      </c>
      <c r="M26" s="41">
        <f t="shared" si="9"/>
        <v>6495</v>
      </c>
      <c r="N26" s="213">
        <f t="shared" si="8"/>
        <v>-7979</v>
      </c>
    </row>
    <row r="27" spans="1:14" ht="12" customHeight="1" x14ac:dyDescent="0.25">
      <c r="A27" s="207" t="s">
        <v>0</v>
      </c>
      <c r="B27" s="261"/>
      <c r="C27" s="257">
        <v>11</v>
      </c>
      <c r="D27" s="257">
        <v>4656</v>
      </c>
      <c r="E27" s="213">
        <f t="shared" si="5"/>
        <v>-4645</v>
      </c>
      <c r="F27" s="241"/>
      <c r="G27" s="257">
        <v>2218</v>
      </c>
      <c r="H27" s="257">
        <v>2456</v>
      </c>
      <c r="I27" s="64">
        <v>0</v>
      </c>
      <c r="J27" s="213">
        <f t="shared" si="6"/>
        <v>238</v>
      </c>
      <c r="K27" s="214"/>
      <c r="L27" s="212">
        <f t="shared" si="7"/>
        <v>-2207</v>
      </c>
      <c r="M27" s="41">
        <f t="shared" si="7"/>
        <v>2200</v>
      </c>
      <c r="N27" s="213">
        <f t="shared" si="8"/>
        <v>-4407</v>
      </c>
    </row>
    <row r="28" spans="1:14" s="202" customFormat="1" ht="12" customHeight="1" x14ac:dyDescent="0.2">
      <c r="A28" s="229" t="s">
        <v>1</v>
      </c>
      <c r="B28" s="258"/>
      <c r="C28" s="259">
        <f>SUM(C19:C27)</f>
        <v>44420</v>
      </c>
      <c r="D28" s="259">
        <f>SUM(D19:D27)</f>
        <v>105738</v>
      </c>
      <c r="E28" s="232">
        <f>SUM(E19:E27)</f>
        <v>-61318</v>
      </c>
      <c r="F28" s="242">
        <v>0</v>
      </c>
      <c r="G28" s="259">
        <f>SUM(G19:G27)</f>
        <v>93410</v>
      </c>
      <c r="H28" s="259">
        <f>SUM(H19:H27)</f>
        <v>100868</v>
      </c>
      <c r="I28" s="259">
        <f>SUM(I19:I27)</f>
        <v>3760</v>
      </c>
      <c r="J28" s="232">
        <f>SUM(J19:J27)</f>
        <v>3735</v>
      </c>
      <c r="K28" s="215"/>
      <c r="L28" s="230">
        <f>SUM(L19:L27)</f>
        <v>-48990</v>
      </c>
      <c r="M28" s="231">
        <f>SUM(M19:M27)</f>
        <v>4870</v>
      </c>
      <c r="N28" s="232">
        <f>SUM(N19:N27)</f>
        <v>-53860</v>
      </c>
    </row>
    <row r="29" spans="1:14" ht="12" customHeight="1" x14ac:dyDescent="0.25">
      <c r="A29" s="207"/>
      <c r="B29" s="261"/>
      <c r="C29" s="257"/>
      <c r="D29" s="257"/>
      <c r="E29" s="213"/>
      <c r="F29" s="241"/>
      <c r="G29" s="257"/>
      <c r="H29" s="257"/>
      <c r="I29" s="41"/>
      <c r="J29" s="213"/>
      <c r="K29" s="214"/>
      <c r="L29" s="212"/>
      <c r="M29" s="41"/>
      <c r="N29" s="213"/>
    </row>
    <row r="30" spans="1:14" ht="12" customHeight="1" x14ac:dyDescent="0.25">
      <c r="A30" s="207" t="s">
        <v>9</v>
      </c>
      <c r="B30" s="261"/>
      <c r="C30" s="257">
        <v>93673</v>
      </c>
      <c r="D30" s="257">
        <v>15379</v>
      </c>
      <c r="E30" s="213">
        <f>+C30-D30</f>
        <v>78294</v>
      </c>
      <c r="F30" s="241"/>
      <c r="G30" s="257">
        <v>2669</v>
      </c>
      <c r="H30" s="257">
        <v>3204</v>
      </c>
      <c r="I30" s="64">
        <v>625</v>
      </c>
      <c r="J30" s="213">
        <f>(H30-G30)-I30</f>
        <v>-90</v>
      </c>
      <c r="K30" s="214"/>
      <c r="L30" s="212">
        <f t="shared" ref="L30:M32" si="10">+C30-G30</f>
        <v>91004</v>
      </c>
      <c r="M30" s="41">
        <f t="shared" si="10"/>
        <v>12175</v>
      </c>
      <c r="N30" s="213">
        <f>+L30-M30</f>
        <v>78829</v>
      </c>
    </row>
    <row r="31" spans="1:14" ht="12" customHeight="1" x14ac:dyDescent="0.25">
      <c r="A31" s="207" t="s">
        <v>257</v>
      </c>
      <c r="B31" s="261"/>
      <c r="C31" s="257">
        <v>858</v>
      </c>
      <c r="D31" s="257">
        <v>0</v>
      </c>
      <c r="E31" s="213">
        <f>+C31-D31</f>
        <v>858</v>
      </c>
      <c r="F31" s="241"/>
      <c r="G31" s="257">
        <v>6027</v>
      </c>
      <c r="H31" s="257">
        <v>7138</v>
      </c>
      <c r="I31" s="64">
        <v>1539</v>
      </c>
      <c r="J31" s="213">
        <f>(H31-G31)-I31</f>
        <v>-428</v>
      </c>
      <c r="K31" s="214"/>
      <c r="L31" s="212">
        <f t="shared" si="10"/>
        <v>-5169</v>
      </c>
      <c r="M31" s="41">
        <f t="shared" si="10"/>
        <v>-7138</v>
      </c>
      <c r="N31" s="213">
        <f>+L31-M31</f>
        <v>1969</v>
      </c>
    </row>
    <row r="32" spans="1:14" x14ac:dyDescent="0.25">
      <c r="A32" s="207" t="s">
        <v>154</v>
      </c>
      <c r="B32" s="261"/>
      <c r="C32" s="257">
        <f>26838-27505</f>
        <v>-667</v>
      </c>
      <c r="D32" s="257">
        <v>14404</v>
      </c>
      <c r="E32" s="213">
        <f>+C32-D32</f>
        <v>-15071</v>
      </c>
      <c r="F32" s="206"/>
      <c r="G32" s="257">
        <f>3379+6134</f>
        <v>9513</v>
      </c>
      <c r="H32" s="257">
        <f>2561+7811</f>
        <v>10372</v>
      </c>
      <c r="I32" s="64">
        <f>1549-818</f>
        <v>731</v>
      </c>
      <c r="J32" s="213">
        <f>(H32-G32)-I32</f>
        <v>128</v>
      </c>
      <c r="K32" s="206"/>
      <c r="L32" s="212">
        <f t="shared" si="10"/>
        <v>-10180</v>
      </c>
      <c r="M32" s="41">
        <f t="shared" si="10"/>
        <v>4032</v>
      </c>
      <c r="N32" s="213">
        <f>+L32-M32</f>
        <v>-14212</v>
      </c>
    </row>
    <row r="33" spans="1:14" s="202" customFormat="1" ht="12" customHeight="1" x14ac:dyDescent="0.2">
      <c r="A33" s="229" t="s">
        <v>87</v>
      </c>
      <c r="B33" s="258"/>
      <c r="C33" s="259">
        <f>SUM(C30:C32)</f>
        <v>93864</v>
      </c>
      <c r="D33" s="259">
        <f>SUM(D30:D32)</f>
        <v>29783</v>
      </c>
      <c r="E33" s="232">
        <f>SUM(E30:E32)</f>
        <v>64081</v>
      </c>
      <c r="F33" s="242"/>
      <c r="G33" s="259">
        <f>SUM(G30:G32)</f>
        <v>18209</v>
      </c>
      <c r="H33" s="259">
        <f>SUM(H30:H32)</f>
        <v>20714</v>
      </c>
      <c r="I33" s="259">
        <f>SUM(I30:I32)</f>
        <v>2895</v>
      </c>
      <c r="J33" s="232">
        <f>SUM(J30:J32)</f>
        <v>-390</v>
      </c>
      <c r="K33" s="215"/>
      <c r="L33" s="230">
        <f>SUM(L30:L32)</f>
        <v>75655</v>
      </c>
      <c r="M33" s="231">
        <f>SUM(M30:M32)</f>
        <v>9069</v>
      </c>
      <c r="N33" s="232">
        <f>SUM(N30:N32)</f>
        <v>66586</v>
      </c>
    </row>
    <row r="34" spans="1:14" ht="12" customHeight="1" x14ac:dyDescent="0.25">
      <c r="A34" s="217"/>
      <c r="B34" s="261"/>
      <c r="C34" s="262"/>
      <c r="D34" s="262"/>
      <c r="E34" s="219"/>
      <c r="F34" s="241"/>
      <c r="G34" s="262"/>
      <c r="H34" s="262"/>
      <c r="I34" s="104"/>
      <c r="J34" s="219"/>
      <c r="K34" s="214"/>
      <c r="L34" s="218"/>
      <c r="M34" s="104"/>
      <c r="N34" s="219"/>
    </row>
    <row r="35" spans="1:14" ht="12" customHeight="1" x14ac:dyDescent="0.25">
      <c r="A35" s="217" t="s">
        <v>8</v>
      </c>
      <c r="B35" s="261"/>
      <c r="C35" s="257">
        <v>1400</v>
      </c>
      <c r="D35" s="257">
        <v>2500</v>
      </c>
      <c r="E35" s="213">
        <f>+C35-D35</f>
        <v>-1100</v>
      </c>
      <c r="F35" s="241"/>
      <c r="G35" s="257">
        <v>8467</v>
      </c>
      <c r="H35" s="257">
        <v>8514</v>
      </c>
      <c r="I35" s="64">
        <v>0</v>
      </c>
      <c r="J35" s="213">
        <f>(H35-G35)-I35</f>
        <v>47</v>
      </c>
      <c r="K35" s="214"/>
      <c r="L35" s="212">
        <f t="shared" ref="L35:M37" si="11">+C35-G35</f>
        <v>-7067</v>
      </c>
      <c r="M35" s="41">
        <f t="shared" si="11"/>
        <v>-6014</v>
      </c>
      <c r="N35" s="213">
        <f>+L35-M35</f>
        <v>-1053</v>
      </c>
    </row>
    <row r="36" spans="1:14" ht="12" customHeight="1" x14ac:dyDescent="0.25">
      <c r="A36" s="217" t="s">
        <v>7</v>
      </c>
      <c r="B36" s="261"/>
      <c r="C36" s="262">
        <v>0</v>
      </c>
      <c r="D36" s="262">
        <v>0</v>
      </c>
      <c r="E36" s="213">
        <f>+C36-D36</f>
        <v>0</v>
      </c>
      <c r="F36" s="241"/>
      <c r="G36" s="262">
        <v>8285</v>
      </c>
      <c r="H36" s="262">
        <v>7652</v>
      </c>
      <c r="I36" s="105">
        <v>0</v>
      </c>
      <c r="J36" s="213">
        <f>(H36-G36)-I36</f>
        <v>-633</v>
      </c>
      <c r="K36" s="214"/>
      <c r="L36" s="212">
        <f t="shared" si="11"/>
        <v>-8285</v>
      </c>
      <c r="M36" s="41">
        <f t="shared" si="11"/>
        <v>-7652</v>
      </c>
      <c r="N36" s="213">
        <f>+L36-M36</f>
        <v>-633</v>
      </c>
    </row>
    <row r="37" spans="1:14" ht="12" customHeight="1" x14ac:dyDescent="0.25">
      <c r="A37" s="217" t="s">
        <v>19</v>
      </c>
      <c r="B37" s="261"/>
      <c r="C37" s="257">
        <v>0</v>
      </c>
      <c r="D37" s="257">
        <v>48693</v>
      </c>
      <c r="E37" s="213">
        <f>+C37-D37</f>
        <v>-48693</v>
      </c>
      <c r="F37" s="241"/>
      <c r="G37" s="257">
        <v>0</v>
      </c>
      <c r="H37" s="257">
        <v>0</v>
      </c>
      <c r="I37" s="64">
        <v>0</v>
      </c>
      <c r="J37" s="213">
        <f>(H37-G37)-I37</f>
        <v>0</v>
      </c>
      <c r="K37" s="214"/>
      <c r="L37" s="212">
        <f t="shared" si="11"/>
        <v>0</v>
      </c>
      <c r="M37" s="41">
        <f t="shared" si="11"/>
        <v>48693</v>
      </c>
      <c r="N37" s="213">
        <f>+L37-M37</f>
        <v>-48693</v>
      </c>
    </row>
    <row r="38" spans="1:14" s="202" customFormat="1" ht="12" customHeight="1" x14ac:dyDescent="0.2">
      <c r="A38" s="229" t="s">
        <v>10</v>
      </c>
      <c r="B38" s="258"/>
      <c r="C38" s="259">
        <f>C37+C36+C35+C33+C28+C17</f>
        <v>388590</v>
      </c>
      <c r="D38" s="259">
        <f>D37+D36+D35+D33+D28+D17</f>
        <v>339366</v>
      </c>
      <c r="E38" s="232">
        <f>E37+E36+E35+E33+E28+E17</f>
        <v>49224</v>
      </c>
      <c r="F38" s="242"/>
      <c r="G38" s="259">
        <f>G37+G36+G35+G33+G28+G17</f>
        <v>186158</v>
      </c>
      <c r="H38" s="259">
        <f>H37+H36+H35+H33+H28+H17</f>
        <v>195443</v>
      </c>
      <c r="I38" s="259">
        <f>I37+I36+I35+I33+I28+I17</f>
        <v>7133</v>
      </c>
      <c r="J38" s="232">
        <f>J37+J36+J35+J33+J28+J17</f>
        <v>2152</v>
      </c>
      <c r="K38" s="215"/>
      <c r="L38" s="259">
        <f>L37+L36+L35+L33+L28+L17</f>
        <v>202432</v>
      </c>
      <c r="M38" s="259">
        <f>M37+M36+M35+M33+M28+M17</f>
        <v>143923</v>
      </c>
      <c r="N38" s="232">
        <f>N37+N36+N35+N33+N28+N17</f>
        <v>58509</v>
      </c>
    </row>
    <row r="39" spans="1:14" ht="12" customHeight="1" x14ac:dyDescent="0.25">
      <c r="A39" s="217"/>
      <c r="B39" s="261"/>
      <c r="C39" s="262"/>
      <c r="D39" s="262"/>
      <c r="E39" s="219"/>
      <c r="F39" s="241"/>
      <c r="G39" s="262"/>
      <c r="H39" s="262"/>
      <c r="I39" s="104"/>
      <c r="J39" s="219"/>
      <c r="K39" s="214"/>
      <c r="L39" s="218"/>
      <c r="M39" s="104"/>
      <c r="N39" s="219"/>
    </row>
    <row r="40" spans="1:14" ht="12" customHeight="1" x14ac:dyDescent="0.25">
      <c r="A40" s="217" t="s">
        <v>236</v>
      </c>
      <c r="B40" s="261"/>
      <c r="C40" s="262"/>
      <c r="D40" s="262"/>
      <c r="E40" s="213">
        <f>+C40-D40</f>
        <v>0</v>
      </c>
      <c r="F40" s="241"/>
      <c r="G40" s="262">
        <v>79168</v>
      </c>
      <c r="H40" s="262">
        <v>63376</v>
      </c>
      <c r="I40" s="105"/>
      <c r="J40" s="213">
        <f>(H40-G40)-I40</f>
        <v>-15792</v>
      </c>
      <c r="K40" s="214"/>
      <c r="L40" s="212">
        <f>+C40-G40</f>
        <v>-79168</v>
      </c>
      <c r="M40" s="41">
        <f>+D40-H40</f>
        <v>-63376</v>
      </c>
      <c r="N40" s="213">
        <f>+L40-M40</f>
        <v>-15792</v>
      </c>
    </row>
    <row r="41" spans="1:14" ht="12" customHeight="1" x14ac:dyDescent="0.25">
      <c r="A41" s="217" t="s">
        <v>237</v>
      </c>
      <c r="B41" s="261"/>
      <c r="C41" s="262">
        <v>0</v>
      </c>
      <c r="D41" s="262"/>
      <c r="E41" s="213">
        <f>+C41-D41</f>
        <v>0</v>
      </c>
      <c r="F41" s="241"/>
      <c r="G41" s="262">
        <v>-48800</v>
      </c>
      <c r="H41" s="262">
        <v>-56377</v>
      </c>
      <c r="I41" s="105">
        <v>0</v>
      </c>
      <c r="J41" s="213">
        <f>(H41-G41)-I41</f>
        <v>-7577</v>
      </c>
      <c r="K41" s="214"/>
      <c r="L41" s="212">
        <f t="shared" ref="L41:M43" si="12">+C41-G41</f>
        <v>48800</v>
      </c>
      <c r="M41" s="41">
        <f t="shared" si="12"/>
        <v>56377</v>
      </c>
      <c r="N41" s="213">
        <f>+L41-M41</f>
        <v>-7577</v>
      </c>
    </row>
    <row r="42" spans="1:14" ht="12" customHeight="1" x14ac:dyDescent="0.25">
      <c r="A42" s="217" t="s">
        <v>18</v>
      </c>
      <c r="B42" s="261"/>
      <c r="C42" s="257">
        <v>-22158</v>
      </c>
      <c r="D42" s="257">
        <v>-10795</v>
      </c>
      <c r="E42" s="213">
        <f>+C42-D42</f>
        <v>-11363</v>
      </c>
      <c r="F42" s="243"/>
      <c r="G42" s="257">
        <v>14727</v>
      </c>
      <c r="H42" s="257">
        <v>22603</v>
      </c>
      <c r="I42" s="64">
        <v>0</v>
      </c>
      <c r="J42" s="213">
        <f>(H42-G42)-I42</f>
        <v>7876</v>
      </c>
      <c r="K42" s="214"/>
      <c r="L42" s="212">
        <f t="shared" si="12"/>
        <v>-36885</v>
      </c>
      <c r="M42" s="41">
        <f t="shared" si="12"/>
        <v>-33398</v>
      </c>
      <c r="N42" s="213">
        <f>+L42-M42</f>
        <v>-3487</v>
      </c>
    </row>
    <row r="43" spans="1:14" ht="12" customHeight="1" x14ac:dyDescent="0.25">
      <c r="A43" s="217" t="s">
        <v>60</v>
      </c>
      <c r="B43" s="261"/>
      <c r="C43" s="262">
        <f>SUM(C39)</f>
        <v>0</v>
      </c>
      <c r="D43" s="262">
        <f>SUM(D39)</f>
        <v>0</v>
      </c>
      <c r="E43" s="213">
        <f>+C43-D43</f>
        <v>0</v>
      </c>
      <c r="F43" s="241"/>
      <c r="G43" s="262">
        <v>-32741</v>
      </c>
      <c r="H43" s="262">
        <v>-39874</v>
      </c>
      <c r="I43" s="105">
        <v>-7133</v>
      </c>
      <c r="J43" s="213">
        <f>(H43-G43)-I43</f>
        <v>0</v>
      </c>
      <c r="K43" s="214"/>
      <c r="L43" s="212">
        <f t="shared" si="12"/>
        <v>32741</v>
      </c>
      <c r="M43" s="41">
        <f t="shared" si="12"/>
        <v>39874</v>
      </c>
      <c r="N43" s="213">
        <f>+L43-M43</f>
        <v>-7133</v>
      </c>
    </row>
    <row r="44" spans="1:14" s="202" customFormat="1" ht="12" customHeight="1" x14ac:dyDescent="0.2">
      <c r="A44" s="229" t="s">
        <v>65</v>
      </c>
      <c r="B44" s="258"/>
      <c r="C44" s="259">
        <f>SUM(C38:C43)</f>
        <v>366432</v>
      </c>
      <c r="D44" s="259">
        <f>SUM(D38:D43)</f>
        <v>328571</v>
      </c>
      <c r="E44" s="233">
        <f>SUM(E38:E43)</f>
        <v>37861</v>
      </c>
      <c r="F44" s="242"/>
      <c r="G44" s="259">
        <f>SUM(G38:G43)</f>
        <v>198512</v>
      </c>
      <c r="H44" s="259">
        <f>SUM(H38:H43)</f>
        <v>185171</v>
      </c>
      <c r="I44" s="259">
        <f>SUM(I38:I43)</f>
        <v>0</v>
      </c>
      <c r="J44" s="233">
        <f>SUM(J38:J43)</f>
        <v>-13341</v>
      </c>
      <c r="K44" s="215"/>
      <c r="L44" s="259">
        <f>SUM(L38:L43)</f>
        <v>167920</v>
      </c>
      <c r="M44" s="259">
        <f>SUM(M38:M43)</f>
        <v>143400</v>
      </c>
      <c r="N44" s="233">
        <f>SUM(N38:N43)</f>
        <v>24520</v>
      </c>
    </row>
    <row r="45" spans="1:14" ht="12" customHeight="1" thickBot="1" x14ac:dyDescent="0.3">
      <c r="A45" s="217" t="s">
        <v>150</v>
      </c>
      <c r="B45" s="261"/>
      <c r="C45" s="262"/>
      <c r="D45" s="262"/>
      <c r="E45" s="213">
        <f>+C45-D45</f>
        <v>0</v>
      </c>
      <c r="F45" s="241"/>
      <c r="G45" s="262">
        <v>1223</v>
      </c>
      <c r="H45" s="262">
        <v>12000</v>
      </c>
      <c r="I45" s="64">
        <v>0</v>
      </c>
      <c r="J45" s="213">
        <f>+H45-G45</f>
        <v>10777</v>
      </c>
      <c r="K45" s="214"/>
      <c r="L45" s="212">
        <f>+C45-G45</f>
        <v>-1223</v>
      </c>
      <c r="M45" s="212">
        <f>+D45-H45</f>
        <v>-12000</v>
      </c>
      <c r="N45" s="213">
        <f>+L45-M45</f>
        <v>10777</v>
      </c>
    </row>
    <row r="46" spans="1:14" s="202" customFormat="1" ht="12" customHeight="1" thickBot="1" x14ac:dyDescent="0.25">
      <c r="A46" s="249" t="s">
        <v>66</v>
      </c>
      <c r="B46" s="263"/>
      <c r="C46" s="264">
        <f>SUM(C44:C45)</f>
        <v>366432</v>
      </c>
      <c r="D46" s="264">
        <f>SUM(D44:D45)</f>
        <v>328571</v>
      </c>
      <c r="E46" s="253">
        <f>SUM(E44:E45)</f>
        <v>37861</v>
      </c>
      <c r="F46" s="254"/>
      <c r="G46" s="264">
        <f>SUM(G44:G45)</f>
        <v>199735</v>
      </c>
      <c r="H46" s="264">
        <f>SUM(H44:H45)</f>
        <v>197171</v>
      </c>
      <c r="I46" s="264">
        <f>SUM(I44:I45)</f>
        <v>0</v>
      </c>
      <c r="J46" s="253">
        <f>SUM(J44:J45)</f>
        <v>-2564</v>
      </c>
      <c r="K46" s="254"/>
      <c r="L46" s="264">
        <f>SUM(L44:L45)</f>
        <v>166697</v>
      </c>
      <c r="M46" s="264">
        <f>SUM(M44:M45)</f>
        <v>131400</v>
      </c>
      <c r="N46" s="253">
        <f>SUM(N44:N45)</f>
        <v>35297</v>
      </c>
    </row>
    <row r="47" spans="1:14" ht="3" customHeight="1" x14ac:dyDescent="0.25">
      <c r="A47" s="184"/>
      <c r="C47" s="185"/>
      <c r="D47" s="42"/>
      <c r="E47" s="184"/>
      <c r="F47" s="44"/>
      <c r="J47" s="176"/>
    </row>
    <row r="48" spans="1:14" x14ac:dyDescent="0.25">
      <c r="A48" s="176" t="s">
        <v>149</v>
      </c>
      <c r="C48" s="44"/>
      <c r="D48" s="42"/>
      <c r="E48" s="44"/>
      <c r="F48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abSelected="1" workbookViewId="0">
      <selection activeCell="A55" sqref="A55"/>
    </sheetView>
  </sheetViews>
  <sheetFormatPr defaultRowHeight="12.75" x14ac:dyDescent="0.25"/>
  <cols>
    <col min="1" max="1" width="22.570312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10">
        <f>GrossMargin!J10</f>
        <v>206743</v>
      </c>
      <c r="D8" s="59">
        <f>GrossMargin!N10</f>
        <v>41497</v>
      </c>
      <c r="E8" s="211">
        <f t="shared" ref="E8:E16" si="0">-D8+C8</f>
        <v>165246</v>
      </c>
      <c r="F8" s="241"/>
      <c r="G8" s="212">
        <f>Expenses!D9+'CapChrg-AllocExp'!D10+'CapChrg-AllocExp'!K10</f>
        <v>16832</v>
      </c>
      <c r="H8" s="41">
        <f>Expenses!E9+'CapChrg-AllocExp'!E10+'CapChrg-AllocExp'!L10</f>
        <v>14857</v>
      </c>
      <c r="I8" s="64">
        <f>'CapChrg-AllocExp'!F10</f>
        <v>0</v>
      </c>
      <c r="J8" s="213">
        <f>(H8-G8)-I8</f>
        <v>-1975</v>
      </c>
      <c r="K8" s="214"/>
      <c r="L8" s="210">
        <f t="shared" ref="L8:L16" si="1">C8-G8</f>
        <v>189911</v>
      </c>
      <c r="M8" s="59">
        <f t="shared" ref="M8:M16" si="2">D8-H8</f>
        <v>26640</v>
      </c>
      <c r="N8" s="211">
        <f t="shared" ref="N8:N16" si="3">L8-M8</f>
        <v>163271</v>
      </c>
    </row>
    <row r="9" spans="1:23" ht="12" customHeight="1" x14ac:dyDescent="0.25">
      <c r="A9" s="207" t="s">
        <v>273</v>
      </c>
      <c r="B9" s="278"/>
      <c r="C9" s="212">
        <f>GrossMargin!J11</f>
        <v>46648</v>
      </c>
      <c r="D9" s="41">
        <f>GrossMargin!N11</f>
        <v>7570</v>
      </c>
      <c r="E9" s="213">
        <f>-D9+C9</f>
        <v>39078</v>
      </c>
      <c r="F9" s="241"/>
      <c r="G9" s="212">
        <f>Expenses!D10+'CapChrg-AllocExp'!D11+'CapChrg-AllocExp'!K11</f>
        <v>3097</v>
      </c>
      <c r="H9" s="41">
        <f>Expenses!E10+'CapChrg-AllocExp'!E11+'CapChrg-AllocExp'!L11</f>
        <v>3158</v>
      </c>
      <c r="I9" s="64">
        <f>'CapChrg-AllocExp'!F11</f>
        <v>0</v>
      </c>
      <c r="J9" s="213">
        <f>(H9-G9)-I9</f>
        <v>61</v>
      </c>
      <c r="K9" s="214"/>
      <c r="L9" s="212">
        <f>C9-G9</f>
        <v>43551</v>
      </c>
      <c r="M9" s="41">
        <f>D9-H9</f>
        <v>4412</v>
      </c>
      <c r="N9" s="213">
        <f>L9-M9</f>
        <v>39139</v>
      </c>
    </row>
    <row r="10" spans="1:23" ht="12" customHeight="1" x14ac:dyDescent="0.25">
      <c r="A10" s="207" t="s">
        <v>106</v>
      </c>
      <c r="B10" s="237"/>
      <c r="C10" s="212">
        <f>GrossMargin!J12</f>
        <v>138753</v>
      </c>
      <c r="D10" s="41">
        <f>GrossMargin!N12</f>
        <v>67236</v>
      </c>
      <c r="E10" s="213">
        <f t="shared" si="0"/>
        <v>71517</v>
      </c>
      <c r="F10" s="241"/>
      <c r="G10" s="212">
        <f>Expenses!D11+'CapChrg-AllocExp'!D12+'CapChrg-AllocExp'!K12+Expenses!D56</f>
        <v>13465</v>
      </c>
      <c r="H10" s="41">
        <f>Expenses!E11+'CapChrg-AllocExp'!E12+'CapChrg-AllocExp'!L12+Expenses!E56</f>
        <v>28234</v>
      </c>
      <c r="I10" s="64">
        <f>'CapChrg-AllocExp'!F12</f>
        <v>8791</v>
      </c>
      <c r="J10" s="213">
        <f>(H10-G10)-I10</f>
        <v>5978</v>
      </c>
      <c r="K10" s="214"/>
      <c r="L10" s="212">
        <f t="shared" si="1"/>
        <v>125288</v>
      </c>
      <c r="M10" s="41">
        <f t="shared" si="2"/>
        <v>39002</v>
      </c>
      <c r="N10" s="213">
        <f t="shared" si="3"/>
        <v>86286</v>
      </c>
    </row>
    <row r="11" spans="1:23" ht="12" customHeight="1" x14ac:dyDescent="0.25">
      <c r="A11" s="207" t="s">
        <v>132</v>
      </c>
      <c r="B11" s="237"/>
      <c r="C11" s="212">
        <f>GrossMargin!J13</f>
        <v>27181</v>
      </c>
      <c r="D11" s="41">
        <f>GrossMargin!N13</f>
        <v>22402</v>
      </c>
      <c r="E11" s="213">
        <f t="shared" si="0"/>
        <v>4779</v>
      </c>
      <c r="F11" s="241"/>
      <c r="G11" s="212">
        <f>Expenses!D12+'CapChrg-AllocExp'!D13+'CapChrg-AllocExp'!K13</f>
        <v>2015</v>
      </c>
      <c r="H11" s="41">
        <f>Expenses!E12+'CapChrg-AllocExp'!E13+'CapChrg-AllocExp'!L13</f>
        <v>1607</v>
      </c>
      <c r="I11" s="64">
        <f>'CapChrg-AllocExp'!F13</f>
        <v>0</v>
      </c>
      <c r="J11" s="213">
        <f t="shared" ref="J11:J16" si="4">(H11-G11)-I11</f>
        <v>-408</v>
      </c>
      <c r="K11" s="214"/>
      <c r="L11" s="212">
        <f t="shared" si="1"/>
        <v>25166</v>
      </c>
      <c r="M11" s="41">
        <f t="shared" si="2"/>
        <v>20795</v>
      </c>
      <c r="N11" s="213">
        <f t="shared" si="3"/>
        <v>4371</v>
      </c>
    </row>
    <row r="12" spans="1:23" ht="12" customHeight="1" x14ac:dyDescent="0.25">
      <c r="A12" s="207" t="s">
        <v>133</v>
      </c>
      <c r="B12" s="237"/>
      <c r="C12" s="212">
        <f>GrossMargin!J14</f>
        <v>9591</v>
      </c>
      <c r="D12" s="41">
        <f>GrossMargin!N14</f>
        <v>11447</v>
      </c>
      <c r="E12" s="213">
        <f t="shared" si="0"/>
        <v>-1856</v>
      </c>
      <c r="F12" s="241"/>
      <c r="G12" s="212">
        <f>Expenses!D13+'CapChrg-AllocExp'!D14+'CapChrg-AllocExp'!K14</f>
        <v>2488</v>
      </c>
      <c r="H12" s="41">
        <f>Expenses!E13+'CapChrg-AllocExp'!E14+'CapChrg-AllocExp'!L14</f>
        <v>2496</v>
      </c>
      <c r="I12" s="64">
        <f>'CapChrg-AllocExp'!F14</f>
        <v>0</v>
      </c>
      <c r="J12" s="213">
        <f t="shared" si="4"/>
        <v>8</v>
      </c>
      <c r="K12" s="214"/>
      <c r="L12" s="212">
        <f t="shared" si="1"/>
        <v>7103</v>
      </c>
      <c r="M12" s="41">
        <f t="shared" si="2"/>
        <v>8951</v>
      </c>
      <c r="N12" s="213">
        <f t="shared" si="3"/>
        <v>-1848</v>
      </c>
    </row>
    <row r="13" spans="1:23" ht="12" customHeight="1" x14ac:dyDescent="0.25">
      <c r="A13" s="207" t="s">
        <v>251</v>
      </c>
      <c r="B13" s="237"/>
      <c r="C13" s="212">
        <f>GrossMargin!J15</f>
        <v>15194</v>
      </c>
      <c r="D13" s="41">
        <f>(GrossMargin!N15)</f>
        <v>11556</v>
      </c>
      <c r="E13" s="213">
        <f t="shared" si="0"/>
        <v>3638</v>
      </c>
      <c r="F13" s="241"/>
      <c r="G13" s="212">
        <f>Expenses!D14+'CapChrg-AllocExp'!D15+'CapChrg-AllocExp'!K15</f>
        <v>2342</v>
      </c>
      <c r="H13" s="41">
        <f>(Expenses!E14+'CapChrg-AllocExp'!E15+'CapChrg-AllocExp'!L15)</f>
        <v>3047</v>
      </c>
      <c r="I13" s="64">
        <f>'CapChrg-AllocExp'!F15</f>
        <v>0</v>
      </c>
      <c r="J13" s="213">
        <f t="shared" si="4"/>
        <v>705</v>
      </c>
      <c r="K13" s="214"/>
      <c r="L13" s="212">
        <f t="shared" si="1"/>
        <v>12852</v>
      </c>
      <c r="M13" s="41">
        <f t="shared" si="2"/>
        <v>8509</v>
      </c>
      <c r="N13" s="213">
        <f t="shared" si="3"/>
        <v>4343</v>
      </c>
    </row>
    <row r="14" spans="1:23" ht="12" customHeight="1" x14ac:dyDescent="0.25">
      <c r="A14" s="207" t="s">
        <v>275</v>
      </c>
      <c r="B14" s="237"/>
      <c r="C14" s="212">
        <f>GrossMargin!J16</f>
        <v>1086</v>
      </c>
      <c r="D14" s="41">
        <f>GrossMargin!N16</f>
        <v>6535</v>
      </c>
      <c r="E14" s="213">
        <f t="shared" si="0"/>
        <v>-5449</v>
      </c>
      <c r="F14" s="241"/>
      <c r="G14" s="212">
        <f>Expenses!D15+'CapChrg-AllocExp'!D16+'CapChrg-AllocExp'!K16</f>
        <v>2351</v>
      </c>
      <c r="H14" s="41">
        <f>Expenses!E15+'CapChrg-AllocExp'!E16+'CapChrg-AllocExp'!L16</f>
        <v>2038</v>
      </c>
      <c r="I14" s="64">
        <f>'CapChrg-AllocExp'!F16</f>
        <v>0</v>
      </c>
      <c r="J14" s="213">
        <f t="shared" si="4"/>
        <v>-313</v>
      </c>
      <c r="K14" s="214"/>
      <c r="L14" s="212">
        <f t="shared" si="1"/>
        <v>-1265</v>
      </c>
      <c r="M14" s="41">
        <f t="shared" si="2"/>
        <v>4497</v>
      </c>
      <c r="N14" s="213">
        <f t="shared" si="3"/>
        <v>-5762</v>
      </c>
    </row>
    <row r="15" spans="1:23" ht="12" customHeight="1" x14ac:dyDescent="0.25">
      <c r="A15" s="207" t="s">
        <v>155</v>
      </c>
      <c r="B15" s="237"/>
      <c r="C15" s="212">
        <f>GrossMargin!J17</f>
        <v>2608</v>
      </c>
      <c r="D15" s="41">
        <f>GrossMargin!N17</f>
        <v>3215</v>
      </c>
      <c r="E15" s="213">
        <f t="shared" si="0"/>
        <v>-607</v>
      </c>
      <c r="F15" s="241"/>
      <c r="G15" s="212">
        <f>Expenses!D16+'CapChrg-AllocExp'!D17+'CapChrg-AllocExp'!K17</f>
        <v>1811</v>
      </c>
      <c r="H15" s="41">
        <f>Expenses!E16+'CapChrg-AllocExp'!E17+'CapChrg-AllocExp'!L17</f>
        <v>1661</v>
      </c>
      <c r="I15" s="64">
        <f>'CapChrg-AllocExp'!F17</f>
        <v>0</v>
      </c>
      <c r="J15" s="213">
        <f t="shared" si="4"/>
        <v>-150</v>
      </c>
      <c r="K15" s="214"/>
      <c r="L15" s="212">
        <f t="shared" si="1"/>
        <v>797</v>
      </c>
      <c r="M15" s="41">
        <f t="shared" si="2"/>
        <v>1554</v>
      </c>
      <c r="N15" s="213">
        <f t="shared" si="3"/>
        <v>-757</v>
      </c>
    </row>
    <row r="16" spans="1:23" ht="12" customHeight="1" x14ac:dyDescent="0.25">
      <c r="A16" s="207" t="s">
        <v>107</v>
      </c>
      <c r="B16" s="237"/>
      <c r="C16" s="212">
        <f>GrossMargin!J18</f>
        <v>-3689</v>
      </c>
      <c r="D16" s="41">
        <f>GrossMargin!N18</f>
        <v>750</v>
      </c>
      <c r="E16" s="213">
        <f t="shared" si="0"/>
        <v>-4439</v>
      </c>
      <c r="F16" s="241"/>
      <c r="G16" s="212">
        <f>Expenses!D17+'CapChrg-AllocExp'!D18+'CapChrg-AllocExp'!K18</f>
        <v>338</v>
      </c>
      <c r="H16" s="41">
        <f>Expenses!E17+'CapChrg-AllocExp'!E18+'CapChrg-AllocExp'!L18</f>
        <v>338</v>
      </c>
      <c r="I16" s="64">
        <f>'CapChrg-AllocExp'!F18</f>
        <v>0</v>
      </c>
      <c r="J16" s="213">
        <f t="shared" si="4"/>
        <v>0</v>
      </c>
      <c r="K16" s="214"/>
      <c r="L16" s="212">
        <f t="shared" si="1"/>
        <v>-4027</v>
      </c>
      <c r="M16" s="41">
        <f t="shared" si="2"/>
        <v>412</v>
      </c>
      <c r="N16" s="213">
        <f t="shared" si="3"/>
        <v>-4439</v>
      </c>
    </row>
    <row r="17" spans="1:14" s="202" customFormat="1" ht="12" customHeight="1" x14ac:dyDescent="0.2">
      <c r="A17" s="229" t="s">
        <v>276</v>
      </c>
      <c r="B17" s="238"/>
      <c r="C17" s="230">
        <f>SUM(C8:C16)</f>
        <v>444115</v>
      </c>
      <c r="D17" s="231">
        <f>SUM(D8:D16)</f>
        <v>172208</v>
      </c>
      <c r="E17" s="232">
        <f>SUM(E8:E16)</f>
        <v>271907</v>
      </c>
      <c r="F17" s="242">
        <f>SUM(D17:E17)</f>
        <v>444115</v>
      </c>
      <c r="G17" s="230">
        <f>SUM(G8:G16)</f>
        <v>44739</v>
      </c>
      <c r="H17" s="231">
        <f>SUM(H8:H16)</f>
        <v>57436</v>
      </c>
      <c r="I17" s="231">
        <f>SUM(I8:I16)</f>
        <v>8791</v>
      </c>
      <c r="J17" s="232">
        <f>SUM(J8:J16)</f>
        <v>3906</v>
      </c>
      <c r="K17" s="215"/>
      <c r="L17" s="230">
        <f>SUM(L8:L16)</f>
        <v>399376</v>
      </c>
      <c r="M17" s="231">
        <f>SUM(M8:M16)</f>
        <v>114772</v>
      </c>
      <c r="N17" s="232">
        <f>SUM(N8:N16)</f>
        <v>284604</v>
      </c>
    </row>
    <row r="18" spans="1:14" ht="12" customHeight="1" x14ac:dyDescent="0.25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12">
        <f>GrossMargin!J22</f>
        <v>0</v>
      </c>
      <c r="D19" s="41">
        <f>GrossMargin!N22</f>
        <v>20493</v>
      </c>
      <c r="E19" s="213">
        <f t="shared" ref="E19:E27" si="5">-D19+C19</f>
        <v>-20493</v>
      </c>
      <c r="F19" s="241"/>
      <c r="G19" s="212">
        <f>Expenses!D20+'CapChrg-AllocExp'!D21+'CapChrg-AllocExp'!K21</f>
        <v>12888</v>
      </c>
      <c r="H19" s="41">
        <f>Expenses!E20+'CapChrg-AllocExp'!E21+'CapChrg-AllocExp'!L21</f>
        <v>8806</v>
      </c>
      <c r="I19" s="64">
        <f>'CapChrg-AllocExp'!F21</f>
        <v>0</v>
      </c>
      <c r="J19" s="213">
        <f t="shared" ref="J19:J27" si="6">(H19-G19)-I19</f>
        <v>-4082</v>
      </c>
      <c r="K19" s="214"/>
      <c r="L19" s="212">
        <f t="shared" ref="L19:M21" si="7">C19-G19</f>
        <v>-12888</v>
      </c>
      <c r="M19" s="41">
        <f t="shared" si="7"/>
        <v>11687</v>
      </c>
      <c r="N19" s="213">
        <f t="shared" ref="N19:N27" si="8">L19-M19</f>
        <v>-24575</v>
      </c>
    </row>
    <row r="20" spans="1:14" ht="12" customHeight="1" x14ac:dyDescent="0.25">
      <c r="A20" s="207" t="s">
        <v>89</v>
      </c>
      <c r="B20" s="237"/>
      <c r="C20" s="212">
        <f>GrossMargin!J23</f>
        <v>506</v>
      </c>
      <c r="D20" s="41">
        <f>GrossMargin!N23</f>
        <v>13235</v>
      </c>
      <c r="E20" s="213">
        <f t="shared" si="5"/>
        <v>-12729</v>
      </c>
      <c r="F20" s="241"/>
      <c r="G20" s="212">
        <f>Expenses!D21+'CapChrg-AllocExp'!D22+'CapChrg-AllocExp'!K22</f>
        <v>8457</v>
      </c>
      <c r="H20" s="41">
        <f>Expenses!E21+'CapChrg-AllocExp'!E22+'CapChrg-AllocExp'!L22</f>
        <v>7266</v>
      </c>
      <c r="I20" s="64">
        <f>'CapChrg-AllocExp'!F22</f>
        <v>-650</v>
      </c>
      <c r="J20" s="213">
        <f t="shared" si="6"/>
        <v>-541</v>
      </c>
      <c r="K20" s="214"/>
      <c r="L20" s="212">
        <f t="shared" si="7"/>
        <v>-7951</v>
      </c>
      <c r="M20" s="41">
        <f t="shared" si="7"/>
        <v>5969</v>
      </c>
      <c r="N20" s="213">
        <f t="shared" si="8"/>
        <v>-13920</v>
      </c>
    </row>
    <row r="21" spans="1:14" ht="12" customHeight="1" x14ac:dyDescent="0.25">
      <c r="A21" s="207" t="s">
        <v>233</v>
      </c>
      <c r="B21" s="237"/>
      <c r="C21" s="212">
        <f>GrossMargin!J24</f>
        <v>2616</v>
      </c>
      <c r="D21" s="41">
        <f>GrossMargin!N24</f>
        <v>22861</v>
      </c>
      <c r="E21" s="213">
        <f t="shared" si="5"/>
        <v>-20245</v>
      </c>
      <c r="F21" s="241"/>
      <c r="G21" s="212">
        <f>Expenses!D22+'CapChrg-AllocExp'!D23+'CapChrg-AllocExp'!K23</f>
        <v>8089</v>
      </c>
      <c r="H21" s="41">
        <f>Expenses!E22+'CapChrg-AllocExp'!E23+'CapChrg-AllocExp'!L23</f>
        <v>8909</v>
      </c>
      <c r="I21" s="64">
        <f>'CapChrg-AllocExp'!F23</f>
        <v>977</v>
      </c>
      <c r="J21" s="213">
        <f t="shared" si="6"/>
        <v>-157</v>
      </c>
      <c r="K21" s="214"/>
      <c r="L21" s="212">
        <f t="shared" si="7"/>
        <v>-5473</v>
      </c>
      <c r="M21" s="41">
        <f t="shared" si="7"/>
        <v>13952</v>
      </c>
      <c r="N21" s="213">
        <f t="shared" si="8"/>
        <v>-19425</v>
      </c>
    </row>
    <row r="22" spans="1:14" ht="12" customHeight="1" x14ac:dyDescent="0.25">
      <c r="A22" s="207" t="s">
        <v>67</v>
      </c>
      <c r="B22" s="237"/>
      <c r="C22" s="212">
        <f>GrossMargin!J25</f>
        <v>16150</v>
      </c>
      <c r="D22" s="41">
        <f>GrossMargin!N25</f>
        <v>18711</v>
      </c>
      <c r="E22" s="213">
        <f>-D22+C22</f>
        <v>-2561</v>
      </c>
      <c r="F22" s="241"/>
      <c r="G22" s="212">
        <f>Expenses!D23+'CapChrg-AllocExp'!D24+'CapChrg-AllocExp'!K24</f>
        <v>8419</v>
      </c>
      <c r="H22" s="41">
        <f>Expenses!E23+'CapChrg-AllocExp'!E24+'CapChrg-AllocExp'!L24</f>
        <v>8248</v>
      </c>
      <c r="I22" s="64">
        <f>'CapChrg-AllocExp'!F24</f>
        <v>256</v>
      </c>
      <c r="J22" s="213">
        <f>(H22-G22)-I22</f>
        <v>-427</v>
      </c>
      <c r="K22" s="214"/>
      <c r="L22" s="212">
        <f>C22-G22</f>
        <v>7731</v>
      </c>
      <c r="M22" s="41">
        <f>D22-H22</f>
        <v>10463</v>
      </c>
      <c r="N22" s="213">
        <f>L22-M22</f>
        <v>-2732</v>
      </c>
    </row>
    <row r="23" spans="1:14" ht="12" customHeight="1" x14ac:dyDescent="0.25">
      <c r="A23" s="207" t="s">
        <v>264</v>
      </c>
      <c r="B23" s="237"/>
      <c r="C23" s="212">
        <f>GrossMargin!J26</f>
        <v>297</v>
      </c>
      <c r="D23" s="41">
        <f>GrossMargin!N26</f>
        <v>6212</v>
      </c>
      <c r="E23" s="213">
        <f>-D23+C23</f>
        <v>-5915</v>
      </c>
      <c r="F23" s="241"/>
      <c r="G23" s="212">
        <f>Expenses!D24+'CapChrg-AllocExp'!D25+'CapChrg-AllocExp'!K25</f>
        <v>2990</v>
      </c>
      <c r="H23" s="41">
        <f>Expenses!E24+'CapChrg-AllocExp'!E25+'CapChrg-AllocExp'!L25</f>
        <v>2755</v>
      </c>
      <c r="I23" s="64">
        <f>'CapChrg-AllocExp'!F25</f>
        <v>78</v>
      </c>
      <c r="J23" s="213">
        <f>(H23-G23)-I23</f>
        <v>-313</v>
      </c>
      <c r="K23" s="214"/>
      <c r="L23" s="212">
        <f t="shared" ref="L23:M26" si="9">C23-G23</f>
        <v>-2693</v>
      </c>
      <c r="M23" s="41">
        <f t="shared" si="9"/>
        <v>3457</v>
      </c>
      <c r="N23" s="213">
        <f>L23-M23</f>
        <v>-6150</v>
      </c>
    </row>
    <row r="24" spans="1:14" ht="12" customHeight="1" x14ac:dyDescent="0.25">
      <c r="A24" s="207" t="s">
        <v>252</v>
      </c>
      <c r="B24" s="237"/>
      <c r="C24" s="212">
        <f>GrossMargin!J27</f>
        <v>8371</v>
      </c>
      <c r="D24" s="41">
        <f>GrossMargin!N27</f>
        <v>11556</v>
      </c>
      <c r="E24" s="213">
        <f t="shared" si="5"/>
        <v>-3185</v>
      </c>
      <c r="F24" s="241"/>
      <c r="G24" s="212">
        <f>Expenses!D25+'CapChrg-AllocExp'!D26+'CapChrg-AllocExp'!K26</f>
        <v>1858</v>
      </c>
      <c r="H24" s="41">
        <f>Expenses!E25+'CapChrg-AllocExp'!E26+'CapChrg-AllocExp'!L26</f>
        <v>1900</v>
      </c>
      <c r="I24" s="64">
        <f>'CapChrg-AllocExp'!F26</f>
        <v>211</v>
      </c>
      <c r="J24" s="213">
        <f t="shared" si="6"/>
        <v>-169</v>
      </c>
      <c r="K24" s="214"/>
      <c r="L24" s="212">
        <f t="shared" si="9"/>
        <v>6513</v>
      </c>
      <c r="M24" s="41">
        <f t="shared" si="9"/>
        <v>9656</v>
      </c>
      <c r="N24" s="213">
        <f t="shared" si="8"/>
        <v>-3143</v>
      </c>
    </row>
    <row r="25" spans="1:14" ht="12" customHeight="1" x14ac:dyDescent="0.25">
      <c r="A25" s="207" t="s">
        <v>248</v>
      </c>
      <c r="B25" s="278"/>
      <c r="C25" s="212">
        <f>GrossMargin!J28</f>
        <v>24833</v>
      </c>
      <c r="D25" s="41">
        <f>GrossMargin!N28</f>
        <v>30859</v>
      </c>
      <c r="E25" s="213">
        <f>-D25+C25</f>
        <v>-6026</v>
      </c>
      <c r="F25" s="241"/>
      <c r="G25" s="212">
        <f>Expenses!D26+'CapChrg-AllocExp'!D27+'CapChrg-AllocExp'!K27+Expenses!D57</f>
        <v>65468</v>
      </c>
      <c r="H25" s="41">
        <f>Expenses!E26+'CapChrg-AllocExp'!E27+'CapChrg-AllocExp'!L27+Expenses!E57</f>
        <v>60583</v>
      </c>
      <c r="I25" s="64">
        <f>'CapChrg-AllocExp'!F27</f>
        <v>-938</v>
      </c>
      <c r="J25" s="213">
        <f>(H25-G25)-I25</f>
        <v>-3947</v>
      </c>
      <c r="K25" s="214"/>
      <c r="L25" s="212">
        <f>C25-G25</f>
        <v>-40635</v>
      </c>
      <c r="M25" s="41">
        <f>D25-H25</f>
        <v>-29724</v>
      </c>
      <c r="N25" s="213">
        <f>L25-M25</f>
        <v>-10911</v>
      </c>
    </row>
    <row r="26" spans="1:14" ht="12" customHeight="1" x14ac:dyDescent="0.25">
      <c r="A26" s="207" t="s">
        <v>156</v>
      </c>
      <c r="B26" s="237"/>
      <c r="C26" s="212">
        <f>GrossMargin!J29</f>
        <v>653</v>
      </c>
      <c r="D26" s="41">
        <f>GrossMargin!N29</f>
        <v>7712</v>
      </c>
      <c r="E26" s="213">
        <f>-D26+C26</f>
        <v>-7059</v>
      </c>
      <c r="F26" s="241"/>
      <c r="G26" s="212">
        <f>Expenses!D27+'CapChrg-AllocExp'!D28+'CapChrg-AllocExp'!K28</f>
        <v>1272</v>
      </c>
      <c r="H26" s="41">
        <f>Expenses!E27+'CapChrg-AllocExp'!E28+'CapChrg-AllocExp'!L28</f>
        <v>1334</v>
      </c>
      <c r="I26" s="64">
        <f>'CapChrg-AllocExp'!F28</f>
        <v>510</v>
      </c>
      <c r="J26" s="213">
        <f>(H26-G26)-I26</f>
        <v>-448</v>
      </c>
      <c r="K26" s="214"/>
      <c r="L26" s="212">
        <f t="shared" si="9"/>
        <v>-619</v>
      </c>
      <c r="M26" s="41">
        <f t="shared" si="9"/>
        <v>6378</v>
      </c>
      <c r="N26" s="213">
        <f>L26-M26</f>
        <v>-6997</v>
      </c>
    </row>
    <row r="27" spans="1:14" ht="12" customHeight="1" x14ac:dyDescent="0.25">
      <c r="A27" s="207" t="s">
        <v>0</v>
      </c>
      <c r="B27" s="237"/>
      <c r="C27" s="212">
        <f>GrossMargin!J30</f>
        <v>0</v>
      </c>
      <c r="D27" s="41">
        <f>GrossMargin!N30</f>
        <v>4656</v>
      </c>
      <c r="E27" s="213">
        <f t="shared" si="5"/>
        <v>-4656</v>
      </c>
      <c r="F27" s="241"/>
      <c r="G27" s="212">
        <f>Expenses!D28+'CapChrg-AllocExp'!D29+'CapChrg-AllocExp'!K29</f>
        <v>2237</v>
      </c>
      <c r="H27" s="41">
        <f>Expenses!E28+'CapChrg-AllocExp'!E29+'CapChrg-AllocExp'!L29</f>
        <v>2626</v>
      </c>
      <c r="I27" s="64">
        <f>'CapChrg-AllocExp'!F29</f>
        <v>0</v>
      </c>
      <c r="J27" s="213">
        <f t="shared" si="6"/>
        <v>389</v>
      </c>
      <c r="K27" s="214"/>
      <c r="L27" s="212">
        <f>C27-G27</f>
        <v>-2237</v>
      </c>
      <c r="M27" s="41">
        <f>D27-H27</f>
        <v>2030</v>
      </c>
      <c r="N27" s="213">
        <f t="shared" si="8"/>
        <v>-4267</v>
      </c>
    </row>
    <row r="28" spans="1:14" s="202" customFormat="1" ht="12" customHeight="1" x14ac:dyDescent="0.2">
      <c r="A28" s="229" t="s">
        <v>1</v>
      </c>
      <c r="B28" s="238"/>
      <c r="C28" s="230">
        <f t="shared" ref="C28:J28" si="10">SUM(C19:C27)</f>
        <v>53426</v>
      </c>
      <c r="D28" s="231">
        <f t="shared" si="10"/>
        <v>136295</v>
      </c>
      <c r="E28" s="232">
        <f t="shared" si="10"/>
        <v>-82869</v>
      </c>
      <c r="F28" s="242">
        <f t="shared" si="10"/>
        <v>0</v>
      </c>
      <c r="G28" s="230">
        <f t="shared" si="10"/>
        <v>111678</v>
      </c>
      <c r="H28" s="231">
        <f t="shared" si="10"/>
        <v>102427</v>
      </c>
      <c r="I28" s="231">
        <f t="shared" si="10"/>
        <v>444</v>
      </c>
      <c r="J28" s="232">
        <f t="shared" si="10"/>
        <v>-9695</v>
      </c>
      <c r="K28" s="215"/>
      <c r="L28" s="230">
        <f>SUM(L19:L27)</f>
        <v>-58252</v>
      </c>
      <c r="M28" s="231">
        <f>SUM(M19:M27)</f>
        <v>33868</v>
      </c>
      <c r="N28" s="232">
        <f>SUM(N19:N27)</f>
        <v>-92120</v>
      </c>
    </row>
    <row r="29" spans="1:14" ht="12" customHeight="1" x14ac:dyDescent="0.25">
      <c r="A29" s="207"/>
      <c r="B29" s="237"/>
      <c r="C29" s="212"/>
      <c r="D29" s="41"/>
      <c r="E29" s="213"/>
      <c r="F29" s="241"/>
      <c r="G29" s="216"/>
      <c r="H29" s="41"/>
      <c r="I29" s="41"/>
      <c r="J29" s="213"/>
      <c r="K29" s="214"/>
      <c r="L29" s="212"/>
      <c r="M29" s="41"/>
      <c r="N29" s="213"/>
    </row>
    <row r="30" spans="1:14" ht="12" customHeight="1" x14ac:dyDescent="0.25">
      <c r="A30" s="207" t="s">
        <v>9</v>
      </c>
      <c r="B30" s="237"/>
      <c r="C30" s="212">
        <f>GrossMargin!J35</f>
        <v>-29338</v>
      </c>
      <c r="D30" s="41">
        <f>GrossMargin!N35</f>
        <v>15385</v>
      </c>
      <c r="E30" s="213">
        <f>-D30+C30</f>
        <v>-44723</v>
      </c>
      <c r="F30" s="241"/>
      <c r="G30" s="212">
        <f>Expenses!D32+'CapChrg-AllocExp'!D33+'CapChrg-AllocExp'!K33</f>
        <v>2204</v>
      </c>
      <c r="H30" s="41">
        <f>Expenses!E32+'CapChrg-AllocExp'!E33+'CapChrg-AllocExp'!L33</f>
        <v>3691</v>
      </c>
      <c r="I30" s="64">
        <f>'CapChrg-AllocExp'!F33</f>
        <v>1387</v>
      </c>
      <c r="J30" s="213">
        <f>(H30-G30)-I30</f>
        <v>100</v>
      </c>
      <c r="K30" s="214"/>
      <c r="L30" s="212">
        <f t="shared" ref="L30:M32" si="11">C30-G30</f>
        <v>-31542</v>
      </c>
      <c r="M30" s="41">
        <f t="shared" si="11"/>
        <v>11694</v>
      </c>
      <c r="N30" s="213">
        <f>L30-M30</f>
        <v>-43236</v>
      </c>
    </row>
    <row r="31" spans="1:14" ht="12" customHeight="1" x14ac:dyDescent="0.25">
      <c r="A31" s="207" t="s">
        <v>267</v>
      </c>
      <c r="B31" s="237"/>
      <c r="C31" s="212">
        <f>GrossMargin!J36</f>
        <v>2861</v>
      </c>
      <c r="D31" s="41">
        <f>GrossMargin!N36</f>
        <v>2000</v>
      </c>
      <c r="E31" s="213">
        <f>-D31+C31</f>
        <v>861</v>
      </c>
      <c r="F31" s="241"/>
      <c r="G31" s="212">
        <f>Expenses!D33+'CapChrg-AllocExp'!D34+'CapChrg-AllocExp'!K34</f>
        <v>5542</v>
      </c>
      <c r="H31" s="41">
        <f>Expenses!E33+'CapChrg-AllocExp'!E34+'CapChrg-AllocExp'!L34</f>
        <v>7158</v>
      </c>
      <c r="I31" s="64">
        <f>'CapChrg-AllocExp'!F34</f>
        <v>1742</v>
      </c>
      <c r="J31" s="213">
        <f>(H31-G31)-I31</f>
        <v>-126</v>
      </c>
      <c r="K31" s="214"/>
      <c r="L31" s="212">
        <f t="shared" si="11"/>
        <v>-2681</v>
      </c>
      <c r="M31" s="41">
        <f t="shared" si="11"/>
        <v>-5158</v>
      </c>
      <c r="N31" s="213">
        <f>L31-M31</f>
        <v>2477</v>
      </c>
    </row>
    <row r="32" spans="1:14" x14ac:dyDescent="0.25">
      <c r="A32" s="207" t="s">
        <v>154</v>
      </c>
      <c r="B32" s="237"/>
      <c r="C32" s="212">
        <f>GrossMargin!J39</f>
        <v>-13892</v>
      </c>
      <c r="D32" s="41">
        <f>GrossMargin!N39</f>
        <v>14705</v>
      </c>
      <c r="E32" s="213">
        <f>-D32+C32</f>
        <v>-28597</v>
      </c>
      <c r="F32" s="206"/>
      <c r="G32" s="212">
        <f>Expenses!D36+'CapChrg-AllocExp'!D37+'CapChrg-AllocExp'!K37</f>
        <v>11017</v>
      </c>
      <c r="H32" s="41">
        <f>Expenses!E36+'CapChrg-AllocExp'!E37+'CapChrg-AllocExp'!L37</f>
        <v>10399</v>
      </c>
      <c r="I32" s="64">
        <f>'CapChrg-AllocExp'!F37</f>
        <v>-1055</v>
      </c>
      <c r="J32" s="213">
        <f>(H32-G32)-I32</f>
        <v>437</v>
      </c>
      <c r="K32" s="206"/>
      <c r="L32" s="212">
        <f t="shared" si="11"/>
        <v>-24909</v>
      </c>
      <c r="M32" s="41">
        <f t="shared" si="11"/>
        <v>4306</v>
      </c>
      <c r="N32" s="213">
        <f>L32-M32</f>
        <v>-29215</v>
      </c>
    </row>
    <row r="33" spans="1:14" s="202" customFormat="1" ht="12" customHeight="1" x14ac:dyDescent="0.2">
      <c r="A33" s="229" t="s">
        <v>87</v>
      </c>
      <c r="B33" s="238"/>
      <c r="C33" s="230">
        <f>C30+C31+C32</f>
        <v>-40369</v>
      </c>
      <c r="D33" s="231">
        <f>D30+D31+D32</f>
        <v>32090</v>
      </c>
      <c r="E33" s="232">
        <f>SUM(E30:E32)</f>
        <v>-72459</v>
      </c>
      <c r="F33" s="242"/>
      <c r="G33" s="230">
        <f>G30+G31+G32</f>
        <v>18763</v>
      </c>
      <c r="H33" s="231">
        <f>H30+H31+H32</f>
        <v>21248</v>
      </c>
      <c r="I33" s="231">
        <f>I30+I31+I32</f>
        <v>2074</v>
      </c>
      <c r="J33" s="232">
        <f>SUM(J30:J32)</f>
        <v>411</v>
      </c>
      <c r="K33" s="215"/>
      <c r="L33" s="230">
        <f>L30+L31+L32</f>
        <v>-59132</v>
      </c>
      <c r="M33" s="231">
        <f>M30+M31+M32</f>
        <v>10842</v>
      </c>
      <c r="N33" s="232">
        <f>SUM(N30:N32)</f>
        <v>-69974</v>
      </c>
    </row>
    <row r="34" spans="1:14" ht="12" customHeight="1" x14ac:dyDescent="0.25">
      <c r="A34" s="217"/>
      <c r="B34" s="237"/>
      <c r="C34" s="218"/>
      <c r="D34" s="104"/>
      <c r="E34" s="219"/>
      <c r="F34" s="241"/>
      <c r="G34" s="220"/>
      <c r="H34" s="104"/>
      <c r="I34" s="104"/>
      <c r="J34" s="219"/>
      <c r="K34" s="214"/>
      <c r="L34" s="218"/>
      <c r="M34" s="104"/>
      <c r="N34" s="219"/>
    </row>
    <row r="35" spans="1:14" ht="12" customHeight="1" x14ac:dyDescent="0.25">
      <c r="A35" s="217" t="s">
        <v>8</v>
      </c>
      <c r="B35" s="237"/>
      <c r="C35" s="218">
        <f>GrossMargin!J43</f>
        <v>0.5</v>
      </c>
      <c r="D35" s="104">
        <f>GrossMargin!N43</f>
        <v>2500</v>
      </c>
      <c r="E35" s="219">
        <f>-D35+C35</f>
        <v>-2499.5</v>
      </c>
      <c r="F35" s="241"/>
      <c r="G35" s="218">
        <f>Expenses!D39+'CapChrg-AllocExp'!D40+'CapChrg-AllocExp'!K40</f>
        <v>9104</v>
      </c>
      <c r="H35" s="104">
        <f>Expenses!E39+'CapChrg-AllocExp'!E40+'CapChrg-AllocExp'!L40</f>
        <v>7686</v>
      </c>
      <c r="I35" s="105">
        <f>'CapChrg-AllocExp'!F40</f>
        <v>0</v>
      </c>
      <c r="J35" s="213">
        <f>(H35-G35)-I35</f>
        <v>-1418</v>
      </c>
      <c r="K35" s="214"/>
      <c r="L35" s="218">
        <f t="shared" ref="L35:M37" si="12">C35-G35</f>
        <v>-9103.5</v>
      </c>
      <c r="M35" s="104">
        <f t="shared" si="12"/>
        <v>-5186</v>
      </c>
      <c r="N35" s="219">
        <f>L35-M35</f>
        <v>-3917.5</v>
      </c>
    </row>
    <row r="36" spans="1:14" ht="12" customHeight="1" x14ac:dyDescent="0.25">
      <c r="A36" s="217" t="s">
        <v>7</v>
      </c>
      <c r="B36" s="237"/>
      <c r="C36" s="218">
        <f>GrossMargin!J45</f>
        <v>0</v>
      </c>
      <c r="D36" s="104">
        <f>GrossMargin!N45</f>
        <v>0</v>
      </c>
      <c r="E36" s="219">
        <f>-D36+C36</f>
        <v>0</v>
      </c>
      <c r="F36" s="241"/>
      <c r="G36" s="218">
        <f>Expenses!D41+'CapChrg-AllocExp'!D42+'CapChrg-AllocExp'!K42</f>
        <v>7516</v>
      </c>
      <c r="H36" s="104">
        <f>Expenses!E41+'CapChrg-AllocExp'!E42+'CapChrg-AllocExp'!L42</f>
        <v>7099</v>
      </c>
      <c r="I36" s="105">
        <f>'CapChrg-AllocExp'!F42</f>
        <v>0</v>
      </c>
      <c r="J36" s="213">
        <f>(H36-G36)-I36</f>
        <v>-417</v>
      </c>
      <c r="K36" s="214"/>
      <c r="L36" s="218">
        <f t="shared" si="12"/>
        <v>-7516</v>
      </c>
      <c r="M36" s="104">
        <f t="shared" si="12"/>
        <v>-7099</v>
      </c>
      <c r="N36" s="219">
        <f>L36-M36</f>
        <v>-417</v>
      </c>
    </row>
    <row r="37" spans="1:14" ht="12" customHeight="1" x14ac:dyDescent="0.25">
      <c r="A37" s="217" t="s">
        <v>19</v>
      </c>
      <c r="B37" s="237"/>
      <c r="C37" s="218">
        <f>GrossMargin!J49</f>
        <v>0</v>
      </c>
      <c r="D37" s="104">
        <f>GrossMargin!N49</f>
        <v>52216</v>
      </c>
      <c r="E37" s="219">
        <f>-D37+C37</f>
        <v>-52216</v>
      </c>
      <c r="F37" s="241"/>
      <c r="G37" s="218">
        <f>Expenses!D53+'CapChrg-AllocExp'!D54+'CapChrg-AllocExp'!K54</f>
        <v>0</v>
      </c>
      <c r="H37" s="104">
        <f>Expenses!E53+'CapChrg-AllocExp'!E54+'CapChrg-AllocExp'!L54</f>
        <v>0</v>
      </c>
      <c r="I37" s="105">
        <v>0</v>
      </c>
      <c r="J37" s="213">
        <f>(H37-G37)-I37</f>
        <v>0</v>
      </c>
      <c r="K37" s="214"/>
      <c r="L37" s="218">
        <f t="shared" si="12"/>
        <v>0</v>
      </c>
      <c r="M37" s="104">
        <f t="shared" si="12"/>
        <v>52216</v>
      </c>
      <c r="N37" s="219">
        <f>L37-M37</f>
        <v>-52216</v>
      </c>
    </row>
    <row r="38" spans="1:14" s="202" customFormat="1" ht="12" customHeight="1" x14ac:dyDescent="0.2">
      <c r="A38" s="229" t="s">
        <v>10</v>
      </c>
      <c r="B38" s="238"/>
      <c r="C38" s="230">
        <f>SUM(C33:C37)+C17+C28</f>
        <v>457172.5</v>
      </c>
      <c r="D38" s="231">
        <f>SUM(D33:D37)+D17+D28</f>
        <v>395309</v>
      </c>
      <c r="E38" s="232">
        <f>SUM(E33:E37)+E17+E28</f>
        <v>61863.5</v>
      </c>
      <c r="F38" s="242"/>
      <c r="G38" s="230">
        <f>SUM(G33:G37)+G17+G28</f>
        <v>191800</v>
      </c>
      <c r="H38" s="231">
        <f>SUM(H33:H37)+H17+H28</f>
        <v>195896</v>
      </c>
      <c r="I38" s="231">
        <f>SUM(I33:I37)+I17+I28</f>
        <v>11309</v>
      </c>
      <c r="J38" s="232">
        <f>SUM(J33:J37)+J17+J28</f>
        <v>-7213</v>
      </c>
      <c r="K38" s="215"/>
      <c r="L38" s="230">
        <f>SUM(L33:L37)+L17+L28</f>
        <v>265372.5</v>
      </c>
      <c r="M38" s="231">
        <f>SUM(M33:M37)+M17+M28</f>
        <v>199413</v>
      </c>
      <c r="N38" s="232">
        <f>SUM(N33:N37)+N17+N28</f>
        <v>65959.5</v>
      </c>
    </row>
    <row r="39" spans="1:14" ht="12" customHeight="1" x14ac:dyDescent="0.25">
      <c r="A39" s="217"/>
      <c r="B39" s="237"/>
      <c r="C39" s="218"/>
      <c r="D39" s="104"/>
      <c r="E39" s="219"/>
      <c r="F39" s="241"/>
      <c r="G39" s="220"/>
      <c r="H39" s="104"/>
      <c r="I39" s="104"/>
      <c r="J39" s="219"/>
      <c r="K39" s="214"/>
      <c r="L39" s="218"/>
      <c r="M39" s="104"/>
      <c r="N39" s="219"/>
    </row>
    <row r="40" spans="1:14" ht="12" customHeight="1" x14ac:dyDescent="0.25">
      <c r="A40" s="217" t="s">
        <v>236</v>
      </c>
      <c r="B40" s="237"/>
      <c r="C40" s="218">
        <v>0</v>
      </c>
      <c r="D40" s="104">
        <v>0</v>
      </c>
      <c r="E40" s="219">
        <f t="shared" ref="E40:E45" si="13">-D40+C40</f>
        <v>0</v>
      </c>
      <c r="F40" s="241"/>
      <c r="G40" s="218">
        <f>Expenses!D45</f>
        <v>90230</v>
      </c>
      <c r="H40" s="104">
        <f>Expenses!E45</f>
        <v>59297</v>
      </c>
      <c r="I40" s="104">
        <v>0</v>
      </c>
      <c r="J40" s="213">
        <f t="shared" ref="J40:J45" si="14">(H40-G40)-I40</f>
        <v>-30933</v>
      </c>
      <c r="K40" s="214"/>
      <c r="L40" s="218">
        <f t="shared" ref="L40:M45" si="15">C40-G40</f>
        <v>-90230</v>
      </c>
      <c r="M40" s="104">
        <f t="shared" si="15"/>
        <v>-59297</v>
      </c>
      <c r="N40" s="219">
        <f t="shared" ref="N40:N45" si="16">L40-M40</f>
        <v>-30933</v>
      </c>
    </row>
    <row r="41" spans="1:14" ht="12" customHeight="1" x14ac:dyDescent="0.25">
      <c r="A41" s="217" t="s">
        <v>237</v>
      </c>
      <c r="B41" s="237"/>
      <c r="C41" s="218">
        <v>0</v>
      </c>
      <c r="D41" s="104">
        <v>0</v>
      </c>
      <c r="E41" s="219">
        <f t="shared" si="13"/>
        <v>0</v>
      </c>
      <c r="F41" s="241"/>
      <c r="G41" s="218">
        <f>'CapChrg-AllocExp'!K48</f>
        <v>-43310</v>
      </c>
      <c r="H41" s="104">
        <f>'CapChrg-AllocExp'!L48</f>
        <v>-42378</v>
      </c>
      <c r="I41" s="104">
        <v>0</v>
      </c>
      <c r="J41" s="213">
        <f t="shared" si="14"/>
        <v>932</v>
      </c>
      <c r="K41" s="214"/>
      <c r="L41" s="218">
        <f t="shared" si="15"/>
        <v>43310</v>
      </c>
      <c r="M41" s="104">
        <f t="shared" si="15"/>
        <v>42378</v>
      </c>
      <c r="N41" s="219">
        <f t="shared" si="16"/>
        <v>932</v>
      </c>
    </row>
    <row r="42" spans="1:14" ht="12" customHeight="1" x14ac:dyDescent="0.25">
      <c r="A42" s="217" t="s">
        <v>274</v>
      </c>
      <c r="B42" s="237"/>
      <c r="C42" s="218">
        <v>0</v>
      </c>
      <c r="D42" s="104">
        <v>0</v>
      </c>
      <c r="E42" s="219">
        <f t="shared" si="13"/>
        <v>0</v>
      </c>
      <c r="F42" s="241"/>
      <c r="G42" s="218">
        <f>Expenses!D47</f>
        <v>13698</v>
      </c>
      <c r="H42" s="104">
        <f>Expenses!E47</f>
        <v>13698</v>
      </c>
      <c r="I42" s="104">
        <v>0</v>
      </c>
      <c r="J42" s="213">
        <f t="shared" si="14"/>
        <v>0</v>
      </c>
      <c r="K42" s="214"/>
      <c r="L42" s="218">
        <f>C42-G42</f>
        <v>-13698</v>
      </c>
      <c r="M42" s="104">
        <f>D42-H42</f>
        <v>-13698</v>
      </c>
      <c r="N42" s="219">
        <f t="shared" si="16"/>
        <v>0</v>
      </c>
    </row>
    <row r="43" spans="1:14" ht="12" customHeight="1" x14ac:dyDescent="0.25">
      <c r="A43" s="217" t="s">
        <v>277</v>
      </c>
      <c r="B43" s="237"/>
      <c r="C43" s="218">
        <v>0</v>
      </c>
      <c r="D43" s="104">
        <v>0</v>
      </c>
      <c r="E43" s="219">
        <f t="shared" si="13"/>
        <v>0</v>
      </c>
      <c r="F43" s="241"/>
      <c r="G43" s="218">
        <f>'CapChrg-AllocExp'!K50</f>
        <v>-13343</v>
      </c>
      <c r="H43" s="104">
        <f>'CapChrg-AllocExp'!K50</f>
        <v>-13343</v>
      </c>
      <c r="I43" s="104">
        <v>0</v>
      </c>
      <c r="J43" s="213">
        <f t="shared" si="14"/>
        <v>0</v>
      </c>
      <c r="K43" s="214"/>
      <c r="L43" s="218">
        <f>C43-G43</f>
        <v>13343</v>
      </c>
      <c r="M43" s="104">
        <f>D43-H43</f>
        <v>13343</v>
      </c>
      <c r="N43" s="219">
        <f t="shared" si="16"/>
        <v>0</v>
      </c>
    </row>
    <row r="44" spans="1:14" ht="12" customHeight="1" x14ac:dyDescent="0.25">
      <c r="A44" s="217" t="s">
        <v>18</v>
      </c>
      <c r="B44" s="237"/>
      <c r="C44" s="218">
        <f>GrossMargin!J47</f>
        <v>-19177</v>
      </c>
      <c r="D44" s="104">
        <f>GrossMargin!N47</f>
        <v>-10795</v>
      </c>
      <c r="E44" s="219">
        <f t="shared" si="13"/>
        <v>-8382</v>
      </c>
      <c r="F44" s="243"/>
      <c r="G44" s="218">
        <f>Expenses!D49</f>
        <v>22625</v>
      </c>
      <c r="H44" s="104">
        <f>Expenses!E49</f>
        <v>26684</v>
      </c>
      <c r="I44" s="104">
        <v>0</v>
      </c>
      <c r="J44" s="213">
        <f t="shared" si="14"/>
        <v>4059</v>
      </c>
      <c r="K44" s="214"/>
      <c r="L44" s="218">
        <f t="shared" si="15"/>
        <v>-41802</v>
      </c>
      <c r="M44" s="104">
        <f t="shared" si="15"/>
        <v>-37479</v>
      </c>
      <c r="N44" s="219">
        <f t="shared" si="16"/>
        <v>-4323</v>
      </c>
    </row>
    <row r="45" spans="1:14" ht="12" customHeight="1" x14ac:dyDescent="0.25">
      <c r="A45" s="217" t="s">
        <v>60</v>
      </c>
      <c r="B45" s="237"/>
      <c r="C45" s="218">
        <v>0</v>
      </c>
      <c r="D45" s="104">
        <v>0</v>
      </c>
      <c r="E45" s="219">
        <f t="shared" si="13"/>
        <v>0</v>
      </c>
      <c r="F45" s="241"/>
      <c r="G45" s="218">
        <f>'CapChrg-AllocExp'!D44</f>
        <v>-31631</v>
      </c>
      <c r="H45" s="104">
        <f>'CapChrg-AllocExp'!E44</f>
        <v>-42940</v>
      </c>
      <c r="I45" s="104">
        <f>'CapChrg-AllocExp'!F44</f>
        <v>-11309</v>
      </c>
      <c r="J45" s="213">
        <f t="shared" si="14"/>
        <v>0</v>
      </c>
      <c r="K45" s="214"/>
      <c r="L45" s="218">
        <f t="shared" si="15"/>
        <v>31631</v>
      </c>
      <c r="M45" s="104">
        <f t="shared" si="15"/>
        <v>42940</v>
      </c>
      <c r="N45" s="219">
        <f t="shared" si="16"/>
        <v>-11309</v>
      </c>
    </row>
    <row r="46" spans="1:14" s="202" customFormat="1" ht="12" customHeight="1" x14ac:dyDescent="0.2">
      <c r="A46" s="229" t="s">
        <v>65</v>
      </c>
      <c r="B46" s="238"/>
      <c r="C46" s="230">
        <f>SUM(C38:C45)</f>
        <v>437995.5</v>
      </c>
      <c r="D46" s="231">
        <f>SUM(D38:D45)</f>
        <v>384514</v>
      </c>
      <c r="E46" s="233">
        <f>SUM(E38:E45)</f>
        <v>53481.5</v>
      </c>
      <c r="F46" s="242"/>
      <c r="G46" s="230">
        <f>SUM(G38:G45)</f>
        <v>230069</v>
      </c>
      <c r="H46" s="231">
        <f>SUM(H38:H45)</f>
        <v>196914</v>
      </c>
      <c r="I46" s="231">
        <f>SUM(I38:I45)</f>
        <v>0</v>
      </c>
      <c r="J46" s="233">
        <f>SUM(J38:J45)</f>
        <v>-33155</v>
      </c>
      <c r="K46" s="215"/>
      <c r="L46" s="230">
        <f>SUM(L38:L45)</f>
        <v>207926.5</v>
      </c>
      <c r="M46" s="231">
        <f>SUM(M38:M45)</f>
        <v>187600</v>
      </c>
      <c r="N46" s="233">
        <f>SUM(N38:N45)</f>
        <v>20326.5</v>
      </c>
    </row>
    <row r="47" spans="1:14" ht="12" customHeight="1" thickBot="1" x14ac:dyDescent="0.3">
      <c r="A47" s="217" t="s">
        <v>150</v>
      </c>
      <c r="B47" s="237"/>
      <c r="C47" s="218">
        <v>0</v>
      </c>
      <c r="D47" s="104">
        <v>0</v>
      </c>
      <c r="E47" s="219">
        <f>D47-C47</f>
        <v>0</v>
      </c>
      <c r="F47" s="241"/>
      <c r="G47" s="218">
        <f>'Old Mgmt Summary'!M59</f>
        <v>14700</v>
      </c>
      <c r="H47" s="104">
        <f>'Old Mgmt Summary'!D59</f>
        <v>8600</v>
      </c>
      <c r="I47" s="104"/>
      <c r="J47" s="219">
        <f>H47-G47</f>
        <v>-6100</v>
      </c>
      <c r="K47" s="214"/>
      <c r="L47" s="218">
        <f>C47-G47</f>
        <v>-14700</v>
      </c>
      <c r="M47" s="104">
        <f>D47-H47</f>
        <v>-8600</v>
      </c>
      <c r="N47" s="219">
        <f>L47-M47</f>
        <v>-6100</v>
      </c>
    </row>
    <row r="48" spans="1:14" s="202" customFormat="1" ht="12" customHeight="1" thickBot="1" x14ac:dyDescent="0.25">
      <c r="A48" s="249" t="s">
        <v>66</v>
      </c>
      <c r="B48" s="250"/>
      <c r="C48" s="251">
        <f>SUM(C46:C47)</f>
        <v>437995.5</v>
      </c>
      <c r="D48" s="252">
        <f>SUM(D46:D47)</f>
        <v>384514</v>
      </c>
      <c r="E48" s="253">
        <f>SUM(E46:E47)</f>
        <v>53481.5</v>
      </c>
      <c r="F48" s="254"/>
      <c r="G48" s="251">
        <f>SUM(G46:G47)</f>
        <v>244769</v>
      </c>
      <c r="H48" s="252">
        <f>SUM(H46:H47)</f>
        <v>205514</v>
      </c>
      <c r="I48" s="252">
        <f>SUM(I46:I47)</f>
        <v>0</v>
      </c>
      <c r="J48" s="253">
        <f>SUM(J46:J47)</f>
        <v>-39255</v>
      </c>
      <c r="K48" s="254"/>
      <c r="L48" s="251">
        <f>SUM(L46:L47)</f>
        <v>193226.5</v>
      </c>
      <c r="M48" s="252">
        <f>SUM(M46:M47)</f>
        <v>179000</v>
      </c>
      <c r="N48" s="253">
        <f>SUM(N46:N47)</f>
        <v>14226.5</v>
      </c>
    </row>
    <row r="49" spans="1:13" ht="3" customHeight="1" x14ac:dyDescent="0.25">
      <c r="A49" s="184"/>
      <c r="C49" s="185"/>
      <c r="D49" s="42"/>
      <c r="E49" s="184"/>
      <c r="F49" s="44"/>
      <c r="J49" s="176"/>
    </row>
    <row r="50" spans="1:13" x14ac:dyDescent="0.25">
      <c r="A50" s="176" t="s">
        <v>149</v>
      </c>
      <c r="C50" s="44"/>
      <c r="D50" s="42"/>
      <c r="E50" s="44"/>
      <c r="F50" s="44"/>
    </row>
    <row r="51" spans="1:13" ht="13.5" customHeight="1" x14ac:dyDescent="0.25">
      <c r="A51" s="176"/>
      <c r="D51" s="38"/>
      <c r="E51" s="38"/>
      <c r="F51" s="38"/>
      <c r="G51" s="38"/>
      <c r="H51" s="38"/>
      <c r="I51" s="38"/>
    </row>
    <row r="52" spans="1:13" ht="13.5" x14ac:dyDescent="0.25">
      <c r="C52" s="307" t="s">
        <v>285</v>
      </c>
      <c r="D52" s="308"/>
      <c r="E52" s="309"/>
      <c r="G52" s="307" t="s">
        <v>286</v>
      </c>
      <c r="H52" s="308"/>
      <c r="I52" s="308"/>
      <c r="J52" s="309"/>
    </row>
    <row r="53" spans="1:13" x14ac:dyDescent="0.25">
      <c r="C53" s="221" t="s">
        <v>247</v>
      </c>
      <c r="D53" s="203"/>
      <c r="E53" s="66">
        <f>'GM-WklyChnge'!C50</f>
        <v>70138</v>
      </c>
      <c r="G53" s="221" t="s">
        <v>245</v>
      </c>
      <c r="H53" s="203"/>
      <c r="I53" s="314">
        <f>'Expense Weekly Change'!D56+'Expense Weekly Change'!D57</f>
        <v>-5638</v>
      </c>
      <c r="J53" s="314"/>
    </row>
    <row r="54" spans="1:13" x14ac:dyDescent="0.25">
      <c r="C54" s="221" t="s">
        <v>300</v>
      </c>
      <c r="D54" s="203"/>
      <c r="E54" s="66">
        <f>'GM-WklyChnge'!D50</f>
        <v>-1095</v>
      </c>
      <c r="G54" s="221" t="s">
        <v>270</v>
      </c>
      <c r="H54" s="203"/>
      <c r="I54" s="314">
        <f>'Expense Weekly Change'!D43</f>
        <v>2457</v>
      </c>
      <c r="J54" s="314"/>
    </row>
    <row r="55" spans="1:13" x14ac:dyDescent="0.25">
      <c r="C55" s="221" t="s">
        <v>301</v>
      </c>
      <c r="D55" s="203"/>
      <c r="E55" s="66">
        <f>'GM-WklyChnge'!E50+'GM-WklyChnge'!F50+'GM-WklyChnge'!G50</f>
        <v>2705</v>
      </c>
      <c r="G55" s="221" t="s">
        <v>53</v>
      </c>
      <c r="H55" s="203"/>
      <c r="I55" s="265"/>
      <c r="J55" s="266">
        <f>'Expense Weekly Change'!D45+'Expense Weekly Change'!D47</f>
        <v>30000</v>
      </c>
    </row>
    <row r="56" spans="1:13" x14ac:dyDescent="0.25">
      <c r="C56" s="222"/>
      <c r="D56" s="223"/>
      <c r="E56" s="224"/>
      <c r="G56" s="222"/>
      <c r="H56" s="223"/>
      <c r="I56" s="282"/>
      <c r="J56" s="281"/>
    </row>
    <row r="57" spans="1:13" ht="13.5" x14ac:dyDescent="0.25">
      <c r="C57" s="234" t="s">
        <v>182</v>
      </c>
      <c r="D57" s="235"/>
      <c r="E57" s="277">
        <f>SUM(E53:E56)</f>
        <v>71748</v>
      </c>
      <c r="G57" s="234" t="s">
        <v>182</v>
      </c>
      <c r="H57" s="235"/>
      <c r="I57" s="315">
        <f>+J55+I54+I53+J56</f>
        <v>26819</v>
      </c>
      <c r="J57" s="316"/>
    </row>
    <row r="58" spans="1:13" x14ac:dyDescent="0.25">
      <c r="M58" s="27" t="s">
        <v>299</v>
      </c>
    </row>
    <row r="60" spans="1:13" ht="13.5" x14ac:dyDescent="0.25">
      <c r="C60" s="272" t="s">
        <v>235</v>
      </c>
      <c r="D60" s="273"/>
      <c r="E60" s="274">
        <f>'[2]QTD Mgmt Summary'!$C$48</f>
        <v>366247.5</v>
      </c>
      <c r="G60" s="272" t="s">
        <v>235</v>
      </c>
      <c r="H60" s="273"/>
      <c r="I60" s="312">
        <f>'[2]QTD Mgmt Summary'!$G$48</f>
        <v>217950</v>
      </c>
      <c r="J60" s="312"/>
    </row>
    <row r="61" spans="1:13" s="152" customFormat="1" ht="13.5" x14ac:dyDescent="0.25">
      <c r="A61" s="27"/>
      <c r="B61" s="27"/>
      <c r="C61" s="272" t="s">
        <v>244</v>
      </c>
      <c r="D61" s="272"/>
      <c r="E61" s="276">
        <f>C48</f>
        <v>437995.5</v>
      </c>
      <c r="G61" s="272" t="s">
        <v>244</v>
      </c>
      <c r="H61" s="272"/>
      <c r="I61" s="313">
        <f>G48</f>
        <v>244769</v>
      </c>
      <c r="J61" s="313"/>
    </row>
    <row r="62" spans="1:13" s="152" customFormat="1" ht="6" customHeight="1" x14ac:dyDescent="0.25">
      <c r="A62" s="27"/>
      <c r="B62" s="27"/>
      <c r="C62" s="272"/>
      <c r="D62" s="272"/>
      <c r="E62" s="275"/>
      <c r="G62" s="272"/>
      <c r="H62" s="272"/>
      <c r="I62" s="275"/>
    </row>
    <row r="63" spans="1:13" s="152" customFormat="1" ht="12.75" customHeight="1" thickBot="1" x14ac:dyDescent="0.3">
      <c r="A63" s="27"/>
      <c r="B63" s="27"/>
      <c r="C63" s="286" t="s">
        <v>256</v>
      </c>
      <c r="D63" s="284"/>
      <c r="E63" s="285">
        <f>+E61-E60</f>
        <v>71748</v>
      </c>
      <c r="G63" s="286" t="s">
        <v>256</v>
      </c>
      <c r="H63" s="284"/>
      <c r="I63" s="311">
        <f>+I61-I60</f>
        <v>26819</v>
      </c>
      <c r="J63" s="311"/>
    </row>
    <row r="64" spans="1:13" ht="13.5" thickTop="1" x14ac:dyDescent="0.25"/>
  </sheetData>
  <mergeCells count="12">
    <mergeCell ref="I63:J63"/>
    <mergeCell ref="I60:J60"/>
    <mergeCell ref="I61:J61"/>
    <mergeCell ref="I53:J53"/>
    <mergeCell ref="I54:J54"/>
    <mergeCell ref="I57:J57"/>
    <mergeCell ref="C52:E52"/>
    <mergeCell ref="C5:E5"/>
    <mergeCell ref="L5:N5"/>
    <mergeCell ref="I6:J6"/>
    <mergeCell ref="G5:J5"/>
    <mergeCell ref="G52:J52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49"/>
    <col min="15" max="15" width="9.140625" style="169"/>
    <col min="16" max="24" width="9.140625" style="149"/>
    <col min="25" max="16384" width="9.140625" style="85"/>
  </cols>
  <sheetData>
    <row r="1" spans="1:24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6.5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2">
      <c r="A3" s="319" t="str">
        <f>'Old Mgmt Summary'!A3</f>
        <v>Results based on Activity through June 8,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2"/>
    <row r="5" spans="1:24" s="27" customFormat="1" x14ac:dyDescent="0.25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5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x14ac:dyDescent="0.25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x14ac:dyDescent="0.25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x14ac:dyDescent="0.25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x14ac:dyDescent="0.25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x14ac:dyDescent="0.25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x14ac:dyDescent="0.25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x14ac:dyDescent="0.25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x14ac:dyDescent="0.25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x14ac:dyDescent="0.25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x14ac:dyDescent="0.25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x14ac:dyDescent="0.25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x14ac:dyDescent="0.25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x14ac:dyDescent="0.25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5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5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5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x14ac:dyDescent="0.25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x14ac:dyDescent="0.25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x14ac:dyDescent="0.25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x14ac:dyDescent="0.25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x14ac:dyDescent="0.25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x14ac:dyDescent="0.25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x14ac:dyDescent="0.25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x14ac:dyDescent="0.25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x14ac:dyDescent="0.25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x14ac:dyDescent="0.25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x14ac:dyDescent="0.25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x14ac:dyDescent="0.25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x14ac:dyDescent="0.25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x14ac:dyDescent="0.25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x14ac:dyDescent="0.25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x14ac:dyDescent="0.25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x14ac:dyDescent="0.25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x14ac:dyDescent="0.25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x14ac:dyDescent="0.25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x14ac:dyDescent="0.25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x14ac:dyDescent="0.25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x14ac:dyDescent="0.25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x14ac:dyDescent="0.25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x14ac:dyDescent="0.25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x14ac:dyDescent="0.25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x14ac:dyDescent="0.25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x14ac:dyDescent="0.25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x14ac:dyDescent="0.25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x14ac:dyDescent="0.25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x14ac:dyDescent="0.25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x14ac:dyDescent="0.25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x14ac:dyDescent="0.25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x14ac:dyDescent="0.25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idden="1" x14ac:dyDescent="0.25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idden="1" x14ac:dyDescent="0.25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idden="1" x14ac:dyDescent="0.25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idden="1" x14ac:dyDescent="0.25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idden="1" x14ac:dyDescent="0.25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idden="1" x14ac:dyDescent="0.25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idden="1" x14ac:dyDescent="0.25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idden="1" x14ac:dyDescent="0.25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idden="1" x14ac:dyDescent="0.25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idden="1" x14ac:dyDescent="0.25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idden="1" x14ac:dyDescent="0.25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idden="1" x14ac:dyDescent="0.25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idden="1" x14ac:dyDescent="0.25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x14ac:dyDescent="0.25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x14ac:dyDescent="0.25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x14ac:dyDescent="0.25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x14ac:dyDescent="0.25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x14ac:dyDescent="0.25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x14ac:dyDescent="0.25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x14ac:dyDescent="0.25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x14ac:dyDescent="0.25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x14ac:dyDescent="0.25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x14ac:dyDescent="0.25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3.5" thickBot="1" x14ac:dyDescent="0.3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5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idden="1" x14ac:dyDescent="0.25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idden="1" x14ac:dyDescent="0.25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idden="1" x14ac:dyDescent="0.25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idden="1" x14ac:dyDescent="0.25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x14ac:dyDescent="0.25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x14ac:dyDescent="0.25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x14ac:dyDescent="0.25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x14ac:dyDescent="0.25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x14ac:dyDescent="0.25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x14ac:dyDescent="0.25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idden="1" x14ac:dyDescent="0.25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idden="1" x14ac:dyDescent="0.25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idden="1" x14ac:dyDescent="0.25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x14ac:dyDescent="0.25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x14ac:dyDescent="0.25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x14ac:dyDescent="0.25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x14ac:dyDescent="0.25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x14ac:dyDescent="0.25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x14ac:dyDescent="0.25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5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idden="1" x14ac:dyDescent="0.25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idden="1" x14ac:dyDescent="0.25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idden="1" x14ac:dyDescent="0.25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idden="1" x14ac:dyDescent="0.25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idden="1" x14ac:dyDescent="0.25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idden="1" x14ac:dyDescent="0.25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3.5" thickBot="1" x14ac:dyDescent="0.3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x14ac:dyDescent="0.25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x14ac:dyDescent="0.25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x14ac:dyDescent="0.25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x14ac:dyDescent="0.25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x14ac:dyDescent="0.25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x14ac:dyDescent="0.25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x14ac:dyDescent="0.25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x14ac:dyDescent="0.25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x14ac:dyDescent="0.25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x14ac:dyDescent="0.25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x14ac:dyDescent="0.25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x14ac:dyDescent="0.25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x14ac:dyDescent="0.25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x14ac:dyDescent="0.25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x14ac:dyDescent="0.25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x14ac:dyDescent="0.25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x14ac:dyDescent="0.25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x14ac:dyDescent="0.25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x14ac:dyDescent="0.25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x14ac:dyDescent="0.25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x14ac:dyDescent="0.25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x14ac:dyDescent="0.25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x14ac:dyDescent="0.25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x14ac:dyDescent="0.25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x14ac:dyDescent="0.25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x14ac:dyDescent="0.25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x14ac:dyDescent="0.25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x14ac:dyDescent="0.25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x14ac:dyDescent="0.25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x14ac:dyDescent="0.25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x14ac:dyDescent="0.25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x14ac:dyDescent="0.25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x14ac:dyDescent="0.25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x14ac:dyDescent="0.25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x14ac:dyDescent="0.25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x14ac:dyDescent="0.25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x14ac:dyDescent="0.25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x14ac:dyDescent="0.25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x14ac:dyDescent="0.25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x14ac:dyDescent="0.25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x14ac:dyDescent="0.25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x14ac:dyDescent="0.25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x14ac:dyDescent="0.25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x14ac:dyDescent="0.25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x14ac:dyDescent="0.25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x14ac:dyDescent="0.25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x14ac:dyDescent="0.25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x14ac:dyDescent="0.25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x14ac:dyDescent="0.25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x14ac:dyDescent="0.25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x14ac:dyDescent="0.25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x14ac:dyDescent="0.25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x14ac:dyDescent="0.25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x14ac:dyDescent="0.25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x14ac:dyDescent="0.25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x14ac:dyDescent="0.25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x14ac:dyDescent="0.25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x14ac:dyDescent="0.25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x14ac:dyDescent="0.25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x14ac:dyDescent="0.25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x14ac:dyDescent="0.25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x14ac:dyDescent="0.25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x14ac:dyDescent="0.25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x14ac:dyDescent="0.25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x14ac:dyDescent="0.25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x14ac:dyDescent="0.25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x14ac:dyDescent="0.25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x14ac:dyDescent="0.25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x14ac:dyDescent="0.25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x14ac:dyDescent="0.25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x14ac:dyDescent="0.25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x14ac:dyDescent="0.25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x14ac:dyDescent="0.25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x14ac:dyDescent="0.25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x14ac:dyDescent="0.25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x14ac:dyDescent="0.25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x14ac:dyDescent="0.25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x14ac:dyDescent="0.25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3.5" thickBot="1" x14ac:dyDescent="0.2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1"/>
  <sheetViews>
    <sheetView topLeftCell="A37" workbookViewId="0">
      <selection activeCell="A51" sqref="A51"/>
    </sheetView>
  </sheetViews>
  <sheetFormatPr defaultRowHeight="12.75" x14ac:dyDescent="0.25"/>
  <cols>
    <col min="1" max="1" width="22.4257812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5" x14ac:dyDescent="0.25">
      <c r="A3" s="323" t="s">
        <v>287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5"/>
    <row r="5" spans="1:23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206743</v>
      </c>
      <c r="H9" s="60">
        <f>GrossMargin!K10</f>
        <v>0</v>
      </c>
      <c r="I9" s="60">
        <f>GrossMargin!L10</f>
        <v>0</v>
      </c>
      <c r="J9" s="82">
        <f>SUM(G9:I9)</f>
        <v>206743</v>
      </c>
      <c r="K9" s="177"/>
      <c r="L9" s="60">
        <f>'CapChrg-AllocExp'!D10</f>
        <v>0</v>
      </c>
      <c r="M9" s="60">
        <f>Expenses!D9</f>
        <v>5187</v>
      </c>
      <c r="N9" s="61">
        <f>'CapChrg-AllocExp'!K10</f>
        <v>11645</v>
      </c>
      <c r="O9" s="82">
        <f>J9-K9-M9-N9-L9</f>
        <v>189911</v>
      </c>
      <c r="P9" s="44"/>
      <c r="Q9" s="59">
        <f>GrossMargin!O10</f>
        <v>165246</v>
      </c>
      <c r="R9" s="60"/>
      <c r="S9" s="60">
        <f>'CapChrg-AllocExp'!F10</f>
        <v>0</v>
      </c>
      <c r="T9" s="60">
        <f>Expenses!F9</f>
        <v>-1975</v>
      </c>
      <c r="U9" s="60">
        <f>'CapChrg-AllocExp'!M10</f>
        <v>0</v>
      </c>
      <c r="V9" s="84">
        <f>ROUND(SUM(Q9:U9),0)</f>
        <v>163271</v>
      </c>
    </row>
    <row r="10" spans="1:23" ht="12" customHeight="1" x14ac:dyDescent="0.25">
      <c r="A10" s="29" t="s">
        <v>272</v>
      </c>
      <c r="B10" s="38"/>
      <c r="C10" s="41">
        <f>GrossMargin!N11</f>
        <v>7570</v>
      </c>
      <c r="D10" s="42">
        <f>Expenses!E10+'CapChrg-AllocExp'!E11+'CapChrg-AllocExp'!L11</f>
        <v>3158</v>
      </c>
      <c r="E10" s="66">
        <f>C10-D10</f>
        <v>4412</v>
      </c>
      <c r="F10" s="42"/>
      <c r="G10" s="41">
        <f>GrossMargin!J11</f>
        <v>46648</v>
      </c>
      <c r="H10" s="42">
        <f>GrossMargin!K11</f>
        <v>0</v>
      </c>
      <c r="I10" s="42">
        <f>GrossMargin!L11</f>
        <v>0</v>
      </c>
      <c r="J10" s="83">
        <f>SUM(G10:I10)</f>
        <v>46648</v>
      </c>
      <c r="K10" s="42"/>
      <c r="L10" s="42">
        <f>'CapChrg-AllocExp'!D11</f>
        <v>0</v>
      </c>
      <c r="M10" s="42">
        <f>Expenses!D10</f>
        <v>656</v>
      </c>
      <c r="N10" s="43">
        <f>'CapChrg-AllocExp'!K11</f>
        <v>2441</v>
      </c>
      <c r="O10" s="83">
        <f>J10-K10-M10-N10-L10</f>
        <v>43551</v>
      </c>
      <c r="P10" s="44"/>
      <c r="Q10" s="41">
        <f>GrossMargin!O11</f>
        <v>39078</v>
      </c>
      <c r="R10" s="42"/>
      <c r="S10" s="42">
        <f>'CapChrg-AllocExp'!F11</f>
        <v>0</v>
      </c>
      <c r="T10" s="42">
        <f>Expenses!F10</f>
        <v>61</v>
      </c>
      <c r="U10" s="42">
        <f>'CapChrg-AllocExp'!M11</f>
        <v>0</v>
      </c>
      <c r="V10" s="66">
        <f>ROUND(SUM(Q10:U10),0)</f>
        <v>39139</v>
      </c>
    </row>
    <row r="11" spans="1:23" ht="12" customHeight="1" x14ac:dyDescent="0.25">
      <c r="A11" s="29" t="s">
        <v>106</v>
      </c>
      <c r="B11" s="38"/>
      <c r="C11" s="41">
        <f>GrossMargin!N12</f>
        <v>67236</v>
      </c>
      <c r="D11" s="42">
        <f>Expenses!E11+'CapChrg-AllocExp'!E12+'CapChrg-AllocExp'!L12+Expenses!E56</f>
        <v>28234</v>
      </c>
      <c r="E11" s="66">
        <f t="shared" ref="E11:E17" si="0">C11-D11</f>
        <v>39002</v>
      </c>
      <c r="F11" s="42"/>
      <c r="G11" s="41">
        <f>GrossMargin!J12</f>
        <v>138753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138753</v>
      </c>
      <c r="K11" s="42">
        <f>Expenses!D56</f>
        <v>0</v>
      </c>
      <c r="L11" s="42">
        <f>'CapChrg-AllocExp'!D12</f>
        <v>0</v>
      </c>
      <c r="M11" s="42">
        <f>Expenses!D11</f>
        <v>7523</v>
      </c>
      <c r="N11" s="43">
        <f>'CapChrg-AllocExp'!K12</f>
        <v>5942</v>
      </c>
      <c r="O11" s="83">
        <f t="shared" ref="O11:O18" si="2">J11-K11-M11-N11-L11</f>
        <v>125288</v>
      </c>
      <c r="P11" s="44"/>
      <c r="Q11" s="41">
        <f>GrossMargin!O12</f>
        <v>71517</v>
      </c>
      <c r="R11" s="42">
        <f>Expenses!F56</f>
        <v>8789</v>
      </c>
      <c r="S11" s="42">
        <f>'CapChrg-AllocExp'!F12</f>
        <v>8791</v>
      </c>
      <c r="T11" s="42">
        <f>Expenses!F11</f>
        <v>-2811</v>
      </c>
      <c r="U11" s="42">
        <f>'CapChrg-AllocExp'!M12</f>
        <v>0</v>
      </c>
      <c r="V11" s="66">
        <f t="shared" ref="V11:V17" si="3">ROUND(SUM(Q11:U11),0)</f>
        <v>86286</v>
      </c>
    </row>
    <row r="12" spans="1:23" ht="12" customHeight="1" x14ac:dyDescent="0.25">
      <c r="A12" s="29" t="s">
        <v>132</v>
      </c>
      <c r="B12" s="38"/>
      <c r="C12" s="41">
        <f>GrossMargin!N13</f>
        <v>22402</v>
      </c>
      <c r="D12" s="42">
        <f>Expenses!E12+'CapChrg-AllocExp'!E13+'CapChrg-AllocExp'!L13</f>
        <v>1607</v>
      </c>
      <c r="E12" s="66">
        <f t="shared" si="0"/>
        <v>20795</v>
      </c>
      <c r="F12" s="42"/>
      <c r="G12" s="41">
        <f>GrossMargin!J13</f>
        <v>27181</v>
      </c>
      <c r="H12" s="42">
        <f>GrossMargin!K13</f>
        <v>0</v>
      </c>
      <c r="I12" s="42">
        <f>GrossMargin!L13</f>
        <v>0</v>
      </c>
      <c r="J12" s="83">
        <f t="shared" si="1"/>
        <v>27181</v>
      </c>
      <c r="K12" s="65"/>
      <c r="L12" s="42">
        <f>'CapChrg-AllocExp'!D13</f>
        <v>0</v>
      </c>
      <c r="M12" s="42">
        <f>Expenses!D12</f>
        <v>1063</v>
      </c>
      <c r="N12" s="43">
        <f>'CapChrg-AllocExp'!K13</f>
        <v>952</v>
      </c>
      <c r="O12" s="83">
        <f t="shared" si="2"/>
        <v>25166</v>
      </c>
      <c r="P12" s="44"/>
      <c r="Q12" s="41">
        <f>GrossMargin!O13</f>
        <v>4779</v>
      </c>
      <c r="R12" s="42"/>
      <c r="S12" s="42">
        <f>'CapChrg-AllocExp'!F13</f>
        <v>0</v>
      </c>
      <c r="T12" s="42">
        <f>Expenses!F12</f>
        <v>-408</v>
      </c>
      <c r="U12" s="42">
        <f>'CapChrg-AllocExp'!M13</f>
        <v>0</v>
      </c>
      <c r="V12" s="66">
        <f t="shared" si="3"/>
        <v>4371</v>
      </c>
    </row>
    <row r="13" spans="1:23" ht="12" customHeight="1" x14ac:dyDescent="0.25">
      <c r="A13" s="29" t="s">
        <v>133</v>
      </c>
      <c r="B13" s="38"/>
      <c r="C13" s="41">
        <f>GrossMargin!N14</f>
        <v>11447</v>
      </c>
      <c r="D13" s="42">
        <f>Expenses!E13+'CapChrg-AllocExp'!E14+'CapChrg-AllocExp'!L14</f>
        <v>2496</v>
      </c>
      <c r="E13" s="66">
        <f>C13-D13</f>
        <v>8951</v>
      </c>
      <c r="F13" s="42"/>
      <c r="G13" s="41">
        <f>GrossMargin!J14</f>
        <v>9591</v>
      </c>
      <c r="H13" s="42">
        <f>GrossMargin!K14</f>
        <v>0</v>
      </c>
      <c r="I13" s="42">
        <f>GrossMargin!L14</f>
        <v>0</v>
      </c>
      <c r="J13" s="83">
        <f>SUM(G13:I13)</f>
        <v>9591</v>
      </c>
      <c r="K13" s="65"/>
      <c r="L13" s="42">
        <f>'CapChrg-AllocExp'!D14</f>
        <v>0</v>
      </c>
      <c r="M13" s="42">
        <f>Expenses!D13</f>
        <v>1434</v>
      </c>
      <c r="N13" s="43">
        <f>'CapChrg-AllocExp'!K14</f>
        <v>1054</v>
      </c>
      <c r="O13" s="83">
        <f>J13-K13-M13-N13-L13</f>
        <v>7103</v>
      </c>
      <c r="P13" s="44"/>
      <c r="Q13" s="41">
        <f>GrossMargin!O14</f>
        <v>-1856</v>
      </c>
      <c r="R13" s="42"/>
      <c r="S13" s="42">
        <f>'CapChrg-AllocExp'!F14</f>
        <v>0</v>
      </c>
      <c r="T13" s="42">
        <f>Expenses!F13</f>
        <v>8</v>
      </c>
      <c r="U13" s="42">
        <f>'CapChrg-AllocExp'!M14</f>
        <v>0</v>
      </c>
      <c r="V13" s="66">
        <f>ROUND(SUM(Q13:U13),0)</f>
        <v>-1848</v>
      </c>
    </row>
    <row r="14" spans="1:23" ht="12" customHeight="1" x14ac:dyDescent="0.25">
      <c r="A14" s="29" t="s">
        <v>250</v>
      </c>
      <c r="B14" s="38"/>
      <c r="C14" s="41">
        <f>GrossMargin!N15</f>
        <v>11556</v>
      </c>
      <c r="D14" s="42">
        <f>Expenses!E14+'CapChrg-AllocExp'!E15+'CapChrg-AllocExp'!L15</f>
        <v>3047</v>
      </c>
      <c r="E14" s="66">
        <f t="shared" si="0"/>
        <v>8509</v>
      </c>
      <c r="F14" s="42"/>
      <c r="G14" s="41">
        <f>GrossMargin!J15</f>
        <v>15194</v>
      </c>
      <c r="H14" s="42">
        <f>GrossMargin!K15</f>
        <v>0</v>
      </c>
      <c r="I14" s="42">
        <f>GrossMargin!L15</f>
        <v>0</v>
      </c>
      <c r="J14" s="83">
        <f>SUM(G14:I14)</f>
        <v>15194</v>
      </c>
      <c r="K14" s="65"/>
      <c r="L14" s="42">
        <f>'CapChrg-AllocExp'!D15</f>
        <v>0</v>
      </c>
      <c r="M14" s="42">
        <f>Expenses!D14</f>
        <v>1147</v>
      </c>
      <c r="N14" s="43">
        <f>'CapChrg-AllocExp'!K15</f>
        <v>1195</v>
      </c>
      <c r="O14" s="83">
        <f t="shared" si="2"/>
        <v>12852</v>
      </c>
      <c r="P14" s="44"/>
      <c r="Q14" s="41">
        <f>GrossMargin!O15</f>
        <v>3638</v>
      </c>
      <c r="R14" s="42"/>
      <c r="S14" s="42">
        <f>'CapChrg-AllocExp'!F15</f>
        <v>0</v>
      </c>
      <c r="T14" s="42">
        <f>Expenses!F14</f>
        <v>705</v>
      </c>
      <c r="U14" s="42">
        <f>'CapChrg-AllocExp'!M15</f>
        <v>0</v>
      </c>
      <c r="V14" s="66">
        <f>ROUND(SUM(Q14:U14),0)</f>
        <v>4343</v>
      </c>
    </row>
    <row r="15" spans="1:23" ht="12" customHeight="1" x14ac:dyDescent="0.25">
      <c r="A15" s="29" t="s">
        <v>275</v>
      </c>
      <c r="B15" s="38"/>
      <c r="C15" s="41">
        <f>GrossMargin!N16</f>
        <v>6535</v>
      </c>
      <c r="D15" s="42">
        <f>Expenses!E15+'CapChrg-AllocExp'!E16+'CapChrg-AllocExp'!L16</f>
        <v>2038</v>
      </c>
      <c r="E15" s="66">
        <f t="shared" si="0"/>
        <v>4497</v>
      </c>
      <c r="F15" s="42"/>
      <c r="G15" s="41">
        <f>GrossMargin!J16</f>
        <v>1086</v>
      </c>
      <c r="H15" s="42">
        <f>GrossMargin!K16</f>
        <v>0</v>
      </c>
      <c r="I15" s="42">
        <f>GrossMargin!L16</f>
        <v>0</v>
      </c>
      <c r="J15" s="83">
        <f t="shared" si="1"/>
        <v>1086</v>
      </c>
      <c r="K15" s="65"/>
      <c r="L15" s="42">
        <f>'CapChrg-AllocExp'!D16</f>
        <v>0</v>
      </c>
      <c r="M15" s="42">
        <f>Expenses!D15</f>
        <v>1224</v>
      </c>
      <c r="N15" s="43">
        <f>'CapChrg-AllocExp'!K16</f>
        <v>1127</v>
      </c>
      <c r="O15" s="83">
        <f t="shared" si="2"/>
        <v>-1265</v>
      </c>
      <c r="P15" s="44"/>
      <c r="Q15" s="41">
        <f>GrossMargin!O16</f>
        <v>-5449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-313</v>
      </c>
      <c r="V15" s="66">
        <f t="shared" si="3"/>
        <v>-5762</v>
      </c>
    </row>
    <row r="16" spans="1:23" ht="12" customHeight="1" x14ac:dyDescent="0.25">
      <c r="A16" s="29" t="s">
        <v>155</v>
      </c>
      <c r="B16" s="38"/>
      <c r="C16" s="41">
        <f>GrossMargin!N17</f>
        <v>3215</v>
      </c>
      <c r="D16" s="42">
        <f>Expenses!E16+'CapChrg-AllocExp'!E17+'CapChrg-AllocExp'!L17</f>
        <v>1661</v>
      </c>
      <c r="E16" s="66">
        <f t="shared" si="0"/>
        <v>1554</v>
      </c>
      <c r="F16" s="42"/>
      <c r="G16" s="41">
        <f>GrossMargin!J17</f>
        <v>2608</v>
      </c>
      <c r="H16" s="42">
        <f>GrossMargin!K17</f>
        <v>0</v>
      </c>
      <c r="I16" s="42">
        <f>GrossMargin!L17</f>
        <v>0</v>
      </c>
      <c r="J16" s="83">
        <f t="shared" si="1"/>
        <v>2608</v>
      </c>
      <c r="K16" s="65"/>
      <c r="L16" s="42">
        <f>'CapChrg-AllocExp'!D17</f>
        <v>0</v>
      </c>
      <c r="M16" s="42">
        <f>Expenses!D16</f>
        <v>892</v>
      </c>
      <c r="N16" s="43">
        <f>'CapChrg-AllocExp'!K17</f>
        <v>919</v>
      </c>
      <c r="O16" s="83">
        <f t="shared" si="2"/>
        <v>797</v>
      </c>
      <c r="P16" s="44"/>
      <c r="Q16" s="41">
        <f>GrossMargin!O17</f>
        <v>-607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-150</v>
      </c>
      <c r="V16" s="66">
        <f t="shared" si="3"/>
        <v>-757</v>
      </c>
    </row>
    <row r="17" spans="1:22" ht="12" customHeight="1" x14ac:dyDescent="0.25">
      <c r="A17" s="29" t="s">
        <v>107</v>
      </c>
      <c r="B17" s="38"/>
      <c r="C17" s="41">
        <f>GrossMargin!N18</f>
        <v>750</v>
      </c>
      <c r="D17" s="42">
        <f>Expenses!E17+'CapChrg-AllocExp'!E18+'CapChrg-AllocExp'!L18</f>
        <v>338</v>
      </c>
      <c r="E17" s="66">
        <f t="shared" si="0"/>
        <v>412</v>
      </c>
      <c r="F17" s="42"/>
      <c r="G17" s="41">
        <f>GrossMargin!J18</f>
        <v>-3689</v>
      </c>
      <c r="H17" s="42">
        <f>GrossMargin!K18</f>
        <v>0</v>
      </c>
      <c r="I17" s="42">
        <f>GrossMargin!L18</f>
        <v>0</v>
      </c>
      <c r="J17" s="83">
        <f t="shared" si="1"/>
        <v>-3689</v>
      </c>
      <c r="K17" s="65"/>
      <c r="L17" s="42">
        <f>'CapChrg-AllocExp'!D18</f>
        <v>0</v>
      </c>
      <c r="M17" s="42">
        <f>Expenses!D17</f>
        <v>104</v>
      </c>
      <c r="N17" s="43">
        <f>'CapChrg-AllocExp'!K18</f>
        <v>234</v>
      </c>
      <c r="O17" s="83">
        <f t="shared" si="2"/>
        <v>-4027</v>
      </c>
      <c r="P17" s="44"/>
      <c r="Q17" s="41">
        <f>GrossMargin!O18</f>
        <v>-4439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 t="shared" si="3"/>
        <v>-4439</v>
      </c>
    </row>
    <row r="18" spans="1:22" s="90" customFormat="1" ht="12" customHeight="1" x14ac:dyDescent="0.25">
      <c r="A18" s="94" t="s">
        <v>276</v>
      </c>
      <c r="B18" s="91"/>
      <c r="C18" s="99">
        <f>SUM(C9:C17)</f>
        <v>172208</v>
      </c>
      <c r="D18" s="100">
        <f>SUM(D9:D17)</f>
        <v>57436</v>
      </c>
      <c r="E18" s="101">
        <f>SUM(E9:E17)</f>
        <v>114772</v>
      </c>
      <c r="F18" s="92"/>
      <c r="G18" s="99">
        <f t="shared" ref="G18:N18" si="4">SUM(G9:G17)</f>
        <v>444115</v>
      </c>
      <c r="H18" s="100">
        <f t="shared" si="4"/>
        <v>0</v>
      </c>
      <c r="I18" s="100">
        <f t="shared" si="4"/>
        <v>0</v>
      </c>
      <c r="J18" s="102">
        <f t="shared" si="4"/>
        <v>444115</v>
      </c>
      <c r="K18" s="100">
        <f t="shared" si="4"/>
        <v>0</v>
      </c>
      <c r="L18" s="100">
        <f t="shared" si="4"/>
        <v>0</v>
      </c>
      <c r="M18" s="100">
        <f t="shared" si="4"/>
        <v>19230</v>
      </c>
      <c r="N18" s="101">
        <f t="shared" si="4"/>
        <v>25509</v>
      </c>
      <c r="O18" s="102">
        <f t="shared" si="2"/>
        <v>399376</v>
      </c>
      <c r="P18" s="93"/>
      <c r="Q18" s="99">
        <f t="shared" ref="Q18:V18" si="5">SUM(Q9:Q17)</f>
        <v>271907</v>
      </c>
      <c r="R18" s="100">
        <f t="shared" si="5"/>
        <v>8789</v>
      </c>
      <c r="S18" s="100">
        <f t="shared" si="5"/>
        <v>8791</v>
      </c>
      <c r="T18" s="100">
        <f t="shared" si="5"/>
        <v>-4420</v>
      </c>
      <c r="U18" s="100">
        <f t="shared" si="5"/>
        <v>-463</v>
      </c>
      <c r="V18" s="101">
        <f t="shared" si="5"/>
        <v>284604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8806</v>
      </c>
      <c r="E20" s="66">
        <f t="shared" ref="E20:E28" si="6">C20-D20</f>
        <v>11687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28" si="7">SUM(G20:I20)</f>
        <v>0</v>
      </c>
      <c r="K20" s="65"/>
      <c r="L20" s="42">
        <f>'CapChrg-AllocExp'!D21</f>
        <v>0</v>
      </c>
      <c r="M20" s="42">
        <f>Expenses!D20</f>
        <v>9051</v>
      </c>
      <c r="N20" s="43">
        <f>'CapChrg-AllocExp'!K21</f>
        <v>3837</v>
      </c>
      <c r="O20" s="83">
        <f t="shared" ref="O20:O29" si="8">J20-K20-M20-N20-L20</f>
        <v>-12888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-4082</v>
      </c>
      <c r="U20" s="42">
        <f>'CapChrg-AllocExp'!M21</f>
        <v>0</v>
      </c>
      <c r="V20" s="66">
        <f t="shared" ref="V20:V28" si="9">ROUND(SUM(Q20:U20),0)</f>
        <v>-24575</v>
      </c>
    </row>
    <row r="21" spans="1:22" ht="12" customHeight="1" x14ac:dyDescent="0.25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>
        <f>Expenses!D21</f>
        <v>5215</v>
      </c>
      <c r="N21" s="43">
        <f>'CapChrg-AllocExp'!K22</f>
        <v>2304</v>
      </c>
      <c r="O21" s="83">
        <f t="shared" si="8"/>
        <v>-7951</v>
      </c>
      <c r="P21" s="44"/>
      <c r="Q21" s="41">
        <f>GrossMargin!O23</f>
        <v>-12729</v>
      </c>
      <c r="R21" s="42"/>
      <c r="S21" s="42">
        <f>'CapChrg-AllocExp'!F22</f>
        <v>-650</v>
      </c>
      <c r="T21" s="42">
        <f>Expenses!F21</f>
        <v>-541</v>
      </c>
      <c r="U21" s="42">
        <f>'CapChrg-AllocExp'!M22</f>
        <v>0</v>
      </c>
      <c r="V21" s="66">
        <f t="shared" si="9"/>
        <v>-13920</v>
      </c>
    </row>
    <row r="22" spans="1:22" ht="12" customHeight="1" x14ac:dyDescent="0.25">
      <c r="A22" s="29" t="s">
        <v>233</v>
      </c>
      <c r="B22" s="38"/>
      <c r="C22" s="41">
        <f>GrossMargin!N24</f>
        <v>22861</v>
      </c>
      <c r="D22" s="42">
        <f>Expenses!E22+'CapChrg-AllocExp'!E23+'CapChrg-AllocExp'!L23</f>
        <v>8909</v>
      </c>
      <c r="E22" s="66">
        <f t="shared" si="6"/>
        <v>13952</v>
      </c>
      <c r="F22" s="42"/>
      <c r="G22" s="41">
        <f>GrossMargin!J24</f>
        <v>2616</v>
      </c>
      <c r="H22" s="42">
        <f>GrossMargin!K24</f>
        <v>0</v>
      </c>
      <c r="I22" s="42">
        <f>GrossMargin!L24</f>
        <v>0</v>
      </c>
      <c r="J22" s="83">
        <f t="shared" si="7"/>
        <v>2616</v>
      </c>
      <c r="K22" s="65"/>
      <c r="L22" s="42">
        <f>'CapChrg-AllocExp'!D23</f>
        <v>109</v>
      </c>
      <c r="M22" s="42">
        <f>Expenses!D22</f>
        <v>5360</v>
      </c>
      <c r="N22" s="43">
        <f>'CapChrg-AllocExp'!K23</f>
        <v>2620</v>
      </c>
      <c r="O22" s="83">
        <f t="shared" si="8"/>
        <v>-5473</v>
      </c>
      <c r="P22" s="44"/>
      <c r="Q22" s="41">
        <f>GrossMargin!O24</f>
        <v>-20245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-157</v>
      </c>
      <c r="V22" s="66">
        <f t="shared" si="9"/>
        <v>-19425</v>
      </c>
    </row>
    <row r="23" spans="1:22" ht="12" customHeight="1" x14ac:dyDescent="0.25">
      <c r="A23" s="29" t="s">
        <v>67</v>
      </c>
      <c r="B23" s="38"/>
      <c r="C23" s="41">
        <f>GrossMargin!N25</f>
        <v>18711</v>
      </c>
      <c r="D23" s="42">
        <f>Expenses!E23+'CapChrg-AllocExp'!E24+'CapChrg-AllocExp'!L24</f>
        <v>8248</v>
      </c>
      <c r="E23" s="66">
        <f>C23-D23</f>
        <v>10463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6038</v>
      </c>
      <c r="M23" s="42">
        <f>Expenses!D23</f>
        <v>1721</v>
      </c>
      <c r="N23" s="43">
        <f>'CapChrg-AllocExp'!K24</f>
        <v>660</v>
      </c>
      <c r="O23" s="83">
        <f>J23-K23-M23-N23-L23</f>
        <v>7731</v>
      </c>
      <c r="P23" s="44"/>
      <c r="Q23" s="41">
        <f>GrossMargin!O25</f>
        <v>-2561</v>
      </c>
      <c r="R23" s="42"/>
      <c r="S23" s="42">
        <f>'CapChrg-AllocExp'!F24</f>
        <v>256</v>
      </c>
      <c r="T23" s="42">
        <f>Expenses!F23</f>
        <v>-427</v>
      </c>
      <c r="U23" s="42">
        <f>'CapChrg-AllocExp'!M24</f>
        <v>0</v>
      </c>
      <c r="V23" s="66">
        <f>ROUND(SUM(Q23:U23),0)</f>
        <v>-2732</v>
      </c>
    </row>
    <row r="24" spans="1:22" ht="12" customHeight="1" x14ac:dyDescent="0.25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297</v>
      </c>
      <c r="H24" s="42">
        <f>GrossMargin!K26</f>
        <v>0</v>
      </c>
      <c r="I24" s="42">
        <f>GrossMargin!L26</f>
        <v>0</v>
      </c>
      <c r="J24" s="83">
        <f>SUM(G24:I24)</f>
        <v>297</v>
      </c>
      <c r="K24" s="65"/>
      <c r="L24" s="42">
        <f>'CapChrg-AllocExp'!D25</f>
        <v>639</v>
      </c>
      <c r="M24" s="42">
        <f>Expenses!D24</f>
        <v>1224</v>
      </c>
      <c r="N24" s="43">
        <f>'CapChrg-AllocExp'!K25</f>
        <v>1127</v>
      </c>
      <c r="O24" s="83">
        <f>J24-K24-M24-N24-L24</f>
        <v>-2693</v>
      </c>
      <c r="P24" s="44"/>
      <c r="Q24" s="41">
        <f>GrossMargin!O26</f>
        <v>-5915</v>
      </c>
      <c r="R24" s="42"/>
      <c r="S24" s="42">
        <f>'CapChrg-AllocExp'!F25</f>
        <v>78</v>
      </c>
      <c r="T24" s="42">
        <f>Expenses!F24</f>
        <v>0</v>
      </c>
      <c r="U24" s="42">
        <f>'CapChrg-AllocExp'!M25</f>
        <v>-313</v>
      </c>
      <c r="V24" s="66">
        <f>ROUND(SUM(Q24:U24),0)</f>
        <v>-6150</v>
      </c>
    </row>
    <row r="25" spans="1:22" ht="12" customHeight="1" x14ac:dyDescent="0.25">
      <c r="A25" s="29" t="s">
        <v>252</v>
      </c>
      <c r="B25" s="38"/>
      <c r="C25" s="41">
        <f>GrossMargin!N27</f>
        <v>11556</v>
      </c>
      <c r="D25" s="42">
        <f>Expenses!E25+'CapChrg-AllocExp'!E26+'CapChrg-AllocExp'!L26</f>
        <v>1900</v>
      </c>
      <c r="E25" s="66">
        <f t="shared" si="6"/>
        <v>9656</v>
      </c>
      <c r="F25" s="42"/>
      <c r="G25" s="41">
        <f>GrossMargin!J27</f>
        <v>8371</v>
      </c>
      <c r="H25" s="42">
        <f>GrossMargin!K27</f>
        <v>0</v>
      </c>
      <c r="I25" s="42">
        <f>GrossMargin!L27</f>
        <v>0</v>
      </c>
      <c r="J25" s="83">
        <f t="shared" si="7"/>
        <v>8371</v>
      </c>
      <c r="K25" s="65"/>
      <c r="L25" s="42">
        <f>'CapChrg-AllocExp'!D26</f>
        <v>165</v>
      </c>
      <c r="M25" s="42">
        <f>Expenses!D25</f>
        <v>498</v>
      </c>
      <c r="N25" s="43">
        <f>'CapChrg-AllocExp'!K26</f>
        <v>1195</v>
      </c>
      <c r="O25" s="83">
        <f>J25-K25-M25-N25-L25</f>
        <v>6513</v>
      </c>
      <c r="P25" s="44"/>
      <c r="Q25" s="41">
        <f>GrossMargin!O27</f>
        <v>-3185</v>
      </c>
      <c r="R25" s="42"/>
      <c r="S25" s="42">
        <f>'CapChrg-AllocExp'!F26</f>
        <v>211</v>
      </c>
      <c r="T25" s="42">
        <f>Expenses!F25</f>
        <v>-169</v>
      </c>
      <c r="U25" s="42">
        <f>'CapChrg-AllocExp'!M26</f>
        <v>0</v>
      </c>
      <c r="V25" s="66">
        <f t="shared" si="9"/>
        <v>-3143</v>
      </c>
    </row>
    <row r="26" spans="1:22" ht="12" customHeight="1" x14ac:dyDescent="0.25">
      <c r="A26" s="29" t="s">
        <v>248</v>
      </c>
      <c r="B26" s="38"/>
      <c r="C26" s="41">
        <f>GrossMargin!N28</f>
        <v>30859</v>
      </c>
      <c r="D26" s="42">
        <f>Expenses!E26+'CapChrg-AllocExp'!E27+'CapChrg-AllocExp'!L27+Expenses!E57</f>
        <v>60583</v>
      </c>
      <c r="E26" s="66">
        <f>C26-D26</f>
        <v>-29724</v>
      </c>
      <c r="F26" s="42"/>
      <c r="G26" s="41">
        <f>GrossMargin!J28</f>
        <v>24833</v>
      </c>
      <c r="H26" s="42">
        <f>GrossMargin!K28</f>
        <v>0</v>
      </c>
      <c r="I26" s="42">
        <f>GrossMargin!L28</f>
        <v>0</v>
      </c>
      <c r="J26" s="83">
        <f>SUM(G26:I26)</f>
        <v>24833</v>
      </c>
      <c r="K26" s="65">
        <f>Expenses!D57</f>
        <v>40367</v>
      </c>
      <c r="L26" s="42">
        <f>'CapChrg-AllocExp'!D27</f>
        <v>12003</v>
      </c>
      <c r="M26" s="42">
        <f>Expenses!D26</f>
        <v>6135</v>
      </c>
      <c r="N26" s="43">
        <f>'CapChrg-AllocExp'!K27</f>
        <v>6963</v>
      </c>
      <c r="O26" s="83">
        <f>J26-K26-M26-N26-L26</f>
        <v>-40635</v>
      </c>
      <c r="P26" s="44"/>
      <c r="Q26" s="41">
        <f>GrossMargin!O28</f>
        <v>-6026</v>
      </c>
      <c r="R26" s="42">
        <f>Expenses!F57</f>
        <v>-3369</v>
      </c>
      <c r="S26" s="42">
        <f>'CapChrg-AllocExp'!F27</f>
        <v>-938</v>
      </c>
      <c r="T26" s="42">
        <f>Expenses!F26</f>
        <v>-578</v>
      </c>
      <c r="U26" s="42">
        <f>'CapChrg-AllocExp'!M27</f>
        <v>0</v>
      </c>
      <c r="V26" s="66">
        <f>ROUND(SUM(Q26:U26),0)</f>
        <v>-10911</v>
      </c>
    </row>
    <row r="27" spans="1:22" ht="12" customHeight="1" x14ac:dyDescent="0.25">
      <c r="A27" s="29" t="s">
        <v>156</v>
      </c>
      <c r="B27" s="38"/>
      <c r="C27" s="41">
        <f>GrossMargin!N29</f>
        <v>7712</v>
      </c>
      <c r="D27" s="42">
        <f>Expenses!E27+'CapChrg-AllocExp'!E28+'CapChrg-AllocExp'!L28</f>
        <v>1334</v>
      </c>
      <c r="E27" s="66">
        <f>C27-D27</f>
        <v>6378</v>
      </c>
      <c r="F27" s="42"/>
      <c r="G27" s="41">
        <f>GrossMargin!J29</f>
        <v>653</v>
      </c>
      <c r="H27" s="42">
        <f>GrossMargin!K29</f>
        <v>0</v>
      </c>
      <c r="I27" s="42">
        <f>GrossMargin!L29</f>
        <v>0</v>
      </c>
      <c r="J27" s="83">
        <f>SUM(G27:I27)</f>
        <v>653</v>
      </c>
      <c r="K27" s="65"/>
      <c r="L27" s="42">
        <f>'CapChrg-AllocExp'!D28</f>
        <v>-510</v>
      </c>
      <c r="M27" s="42">
        <f>Expenses!D27</f>
        <v>1364</v>
      </c>
      <c r="N27" s="43">
        <f>'CapChrg-AllocExp'!K28</f>
        <v>418</v>
      </c>
      <c r="O27" s="83">
        <f>J27-K27-M27-N27-L27</f>
        <v>-619</v>
      </c>
      <c r="P27" s="44"/>
      <c r="Q27" s="41">
        <f>GrossMargin!O29</f>
        <v>-7059</v>
      </c>
      <c r="R27" s="42"/>
      <c r="S27" s="42">
        <f>'CapChrg-AllocExp'!F28</f>
        <v>510</v>
      </c>
      <c r="T27" s="42">
        <f>Expenses!F27</f>
        <v>-66</v>
      </c>
      <c r="U27" s="42">
        <f>'CapChrg-AllocExp'!M28</f>
        <v>-382</v>
      </c>
      <c r="V27" s="66">
        <f>ROUND(SUM(Q27:U27),0)</f>
        <v>-6997</v>
      </c>
    </row>
    <row r="28" spans="1:22" ht="12" customHeight="1" x14ac:dyDescent="0.25">
      <c r="A28" s="29" t="s">
        <v>0</v>
      </c>
      <c r="B28" s="38"/>
      <c r="C28" s="41">
        <f>GrossMargin!N30</f>
        <v>4656</v>
      </c>
      <c r="D28" s="42">
        <f>Expenses!E28+'CapChrg-AllocExp'!E29+'CapChrg-AllocExp'!L29</f>
        <v>2626</v>
      </c>
      <c r="E28" s="66">
        <f t="shared" si="6"/>
        <v>2030</v>
      </c>
      <c r="F28" s="42"/>
      <c r="G28" s="41">
        <f>GrossMargin!J30</f>
        <v>0</v>
      </c>
      <c r="H28" s="42">
        <f>GrossMargin!K30</f>
        <v>0</v>
      </c>
      <c r="I28" s="42">
        <f>GrossMargin!L30</f>
        <v>0</v>
      </c>
      <c r="J28" s="83">
        <f t="shared" si="7"/>
        <v>0</v>
      </c>
      <c r="K28" s="65"/>
      <c r="L28" s="42">
        <f>'CapChrg-AllocExp'!D29</f>
        <v>0</v>
      </c>
      <c r="M28" s="42">
        <f>Expenses!D28</f>
        <v>1616</v>
      </c>
      <c r="N28" s="43">
        <f>'CapChrg-AllocExp'!K29</f>
        <v>621</v>
      </c>
      <c r="O28" s="83">
        <f t="shared" si="8"/>
        <v>-2237</v>
      </c>
      <c r="P28" s="44"/>
      <c r="Q28" s="41">
        <f>GrossMargin!O30</f>
        <v>-4656</v>
      </c>
      <c r="R28" s="42"/>
      <c r="S28" s="42">
        <f>'CapChrg-AllocExp'!F29</f>
        <v>0</v>
      </c>
      <c r="T28" s="42">
        <f>Expenses!F28</f>
        <v>389</v>
      </c>
      <c r="U28" s="42">
        <f>'CapChrg-AllocExp'!M29</f>
        <v>0</v>
      </c>
      <c r="V28" s="66">
        <f t="shared" si="9"/>
        <v>-4267</v>
      </c>
    </row>
    <row r="29" spans="1:22" s="90" customFormat="1" ht="12" customHeight="1" x14ac:dyDescent="0.25">
      <c r="A29" s="94" t="s">
        <v>1</v>
      </c>
      <c r="B29" s="91"/>
      <c r="C29" s="99">
        <f t="shared" ref="C29:N29" si="10">SUM(C20:C28)</f>
        <v>136295</v>
      </c>
      <c r="D29" s="100">
        <f t="shared" si="10"/>
        <v>102427</v>
      </c>
      <c r="E29" s="101">
        <f t="shared" si="10"/>
        <v>33868</v>
      </c>
      <c r="F29" s="92">
        <f t="shared" si="10"/>
        <v>0</v>
      </c>
      <c r="G29" s="99">
        <f t="shared" si="10"/>
        <v>53426</v>
      </c>
      <c r="H29" s="100">
        <f t="shared" si="10"/>
        <v>0</v>
      </c>
      <c r="I29" s="100">
        <f t="shared" si="10"/>
        <v>0</v>
      </c>
      <c r="J29" s="102">
        <f t="shared" si="10"/>
        <v>53426</v>
      </c>
      <c r="K29" s="100">
        <f t="shared" si="10"/>
        <v>40367</v>
      </c>
      <c r="L29" s="100">
        <f t="shared" si="10"/>
        <v>19382</v>
      </c>
      <c r="M29" s="100">
        <f t="shared" si="10"/>
        <v>32184</v>
      </c>
      <c r="N29" s="101">
        <f t="shared" si="10"/>
        <v>19745</v>
      </c>
      <c r="O29" s="102">
        <f t="shared" si="8"/>
        <v>-58252</v>
      </c>
      <c r="P29" s="93"/>
      <c r="Q29" s="99">
        <f t="shared" ref="Q29:V29" si="11">SUM(Q20:Q28)</f>
        <v>-82869</v>
      </c>
      <c r="R29" s="100">
        <f t="shared" si="11"/>
        <v>-3369</v>
      </c>
      <c r="S29" s="100">
        <f t="shared" si="11"/>
        <v>444</v>
      </c>
      <c r="T29" s="100">
        <f t="shared" si="11"/>
        <v>-5474</v>
      </c>
      <c r="U29" s="100">
        <f t="shared" si="11"/>
        <v>-852</v>
      </c>
      <c r="V29" s="101">
        <f t="shared" si="11"/>
        <v>-92120</v>
      </c>
    </row>
    <row r="30" spans="1:22" ht="3" customHeight="1" x14ac:dyDescent="0.25">
      <c r="A30" s="29"/>
      <c r="B30" s="38"/>
      <c r="C30" s="41"/>
      <c r="D30" s="42"/>
      <c r="E30" s="66"/>
      <c r="F30" s="42"/>
      <c r="G30" s="41"/>
      <c r="H30" s="42"/>
      <c r="I30" s="42"/>
      <c r="J30" s="83"/>
      <c r="K30" s="65"/>
      <c r="L30" s="65"/>
      <c r="M30" s="42"/>
      <c r="N30" s="43"/>
      <c r="O30" s="83"/>
      <c r="P30" s="44"/>
      <c r="Q30" s="41"/>
      <c r="R30" s="42"/>
      <c r="S30" s="42"/>
      <c r="T30" s="42"/>
      <c r="U30" s="42"/>
      <c r="V30" s="66"/>
    </row>
    <row r="31" spans="1:22" ht="3" customHeight="1" x14ac:dyDescent="0.25">
      <c r="A31" s="29"/>
      <c r="B31" s="38"/>
      <c r="C31" s="41"/>
      <c r="D31" s="42"/>
      <c r="E31" s="66"/>
      <c r="F31" s="42"/>
      <c r="G31" s="41"/>
      <c r="H31" s="42"/>
      <c r="I31" s="42"/>
      <c r="J31" s="83"/>
      <c r="K31" s="65"/>
      <c r="L31" s="65"/>
      <c r="M31" s="42" t="s">
        <v>268</v>
      </c>
      <c r="N31" s="43">
        <v>5000</v>
      </c>
      <c r="O31" s="83"/>
      <c r="P31" s="44"/>
      <c r="Q31" s="41"/>
      <c r="R31" s="42"/>
      <c r="S31" s="42"/>
      <c r="T31" s="42"/>
      <c r="U31" s="42"/>
      <c r="V31" s="66"/>
    </row>
    <row r="32" spans="1:22" ht="12" customHeight="1" x14ac:dyDescent="0.25">
      <c r="A32" s="29" t="s">
        <v>9</v>
      </c>
      <c r="B32" s="38"/>
      <c r="C32" s="41">
        <f>GrossMargin!N35</f>
        <v>15385</v>
      </c>
      <c r="D32" s="42">
        <f>Expenses!E32+'CapChrg-AllocExp'!E33+'CapChrg-AllocExp'!L33</f>
        <v>3691</v>
      </c>
      <c r="E32" s="66">
        <f>C32-D32</f>
        <v>11694</v>
      </c>
      <c r="F32" s="42"/>
      <c r="G32" s="41">
        <f>GrossMargin!J35</f>
        <v>-29338</v>
      </c>
      <c r="H32" s="42">
        <f>GrossMargin!K35</f>
        <v>0</v>
      </c>
      <c r="I32" s="42">
        <f>GrossMargin!L35</f>
        <v>0</v>
      </c>
      <c r="J32" s="83">
        <f>SUM(G32:I32)</f>
        <v>-29338</v>
      </c>
      <c r="K32" s="65"/>
      <c r="L32" s="42">
        <f>'CapChrg-AllocExp'!D33</f>
        <v>655</v>
      </c>
      <c r="M32" s="42">
        <f>Expenses!D32</f>
        <v>635</v>
      </c>
      <c r="N32" s="43">
        <f>'CapChrg-AllocExp'!K33</f>
        <v>914</v>
      </c>
      <c r="O32" s="83">
        <f>J32-K32-M32-N32-L32</f>
        <v>-31542</v>
      </c>
      <c r="P32" s="44"/>
      <c r="Q32" s="41">
        <f>GrossMargin!O35</f>
        <v>-44723</v>
      </c>
      <c r="R32" s="42"/>
      <c r="S32" s="42">
        <f>'CapChrg-AllocExp'!F33</f>
        <v>1387</v>
      </c>
      <c r="T32" s="42">
        <f>Expenses!F32</f>
        <v>100</v>
      </c>
      <c r="U32" s="42">
        <f>'CapChrg-AllocExp'!M33</f>
        <v>0</v>
      </c>
      <c r="V32" s="66">
        <f>ROUND(SUM(Q32:U32),0)</f>
        <v>-43236</v>
      </c>
    </row>
    <row r="33" spans="1:22" ht="12" customHeight="1" x14ac:dyDescent="0.25">
      <c r="A33" s="29" t="s">
        <v>267</v>
      </c>
      <c r="B33" s="38"/>
      <c r="C33" s="41">
        <f>GrossMargin!N36</f>
        <v>2000</v>
      </c>
      <c r="D33" s="42">
        <f>Expenses!E33+'CapChrg-AllocExp'!E34+'CapChrg-AllocExp'!L34</f>
        <v>7158</v>
      </c>
      <c r="E33" s="66">
        <f>C33-D33</f>
        <v>-5158</v>
      </c>
      <c r="F33" s="42"/>
      <c r="G33" s="41">
        <f>GrossMargin!J36</f>
        <v>2861</v>
      </c>
      <c r="H33" s="42">
        <f>GrossMargin!K36</f>
        <v>0</v>
      </c>
      <c r="I33" s="42">
        <f>GrossMargin!L36</f>
        <v>0</v>
      </c>
      <c r="J33" s="83">
        <f>SUM(G33:I33)</f>
        <v>2861</v>
      </c>
      <c r="K33" s="65"/>
      <c r="L33" s="42">
        <f>'CapChrg-AllocExp'!D34</f>
        <v>2495</v>
      </c>
      <c r="M33" s="42">
        <f>Expenses!D33</f>
        <v>1433</v>
      </c>
      <c r="N33" s="43">
        <f>'CapChrg-AllocExp'!K34</f>
        <v>1614</v>
      </c>
      <c r="O33" s="83">
        <f>J33-K33-M33-N33-L33</f>
        <v>-2681</v>
      </c>
      <c r="P33" s="44"/>
      <c r="Q33" s="41">
        <f>GrossMargin!O36</f>
        <v>861</v>
      </c>
      <c r="R33" s="42"/>
      <c r="S33" s="42">
        <f>'CapChrg-AllocExp'!F34</f>
        <v>1742</v>
      </c>
      <c r="T33" s="42">
        <f>Expenses!F33</f>
        <v>-126</v>
      </c>
      <c r="U33" s="42">
        <f>'CapChrg-AllocExp'!M34</f>
        <v>0</v>
      </c>
      <c r="V33" s="66">
        <f>ROUND(SUM(Q33:U33),0)</f>
        <v>2477</v>
      </c>
    </row>
    <row r="34" spans="1:22" ht="12" customHeight="1" x14ac:dyDescent="0.25">
      <c r="A34" s="29" t="s">
        <v>154</v>
      </c>
      <c r="B34" s="38"/>
      <c r="C34" s="41">
        <f>GrossMargin!N39</f>
        <v>14705</v>
      </c>
      <c r="D34" s="42">
        <f>Expenses!E36+'CapChrg-AllocExp'!E37+'CapChrg-AllocExp'!L37</f>
        <v>10399</v>
      </c>
      <c r="E34" s="66">
        <f>C34-D34</f>
        <v>4306</v>
      </c>
      <c r="F34" s="42"/>
      <c r="G34" s="41">
        <f>GrossMargin!J39</f>
        <v>-13892</v>
      </c>
      <c r="H34" s="42">
        <f>GrossMargin!K39</f>
        <v>0</v>
      </c>
      <c r="I34" s="42">
        <f>GrossMargin!L39</f>
        <v>0</v>
      </c>
      <c r="J34" s="83">
        <f>SUM(G34:I34)</f>
        <v>-13892</v>
      </c>
      <c r="K34" s="65"/>
      <c r="L34" s="42">
        <f>'CapChrg-AllocExp'!D37</f>
        <v>9099</v>
      </c>
      <c r="M34" s="42">
        <f>Expenses!D36</f>
        <v>402</v>
      </c>
      <c r="N34" s="43">
        <f>'CapChrg-AllocExp'!K37</f>
        <v>1516</v>
      </c>
      <c r="O34" s="83">
        <f>J34-K34-M34-N34-L34</f>
        <v>-24909</v>
      </c>
      <c r="P34" s="44"/>
      <c r="Q34" s="41">
        <f>GrossMargin!O39</f>
        <v>-28597</v>
      </c>
      <c r="R34" s="42"/>
      <c r="S34" s="42">
        <f>'CapChrg-AllocExp'!F37</f>
        <v>-1055</v>
      </c>
      <c r="T34" s="42">
        <f>Expenses!F36</f>
        <v>437</v>
      </c>
      <c r="U34" s="42">
        <f>'CapChrg-AllocExp'!M37</f>
        <v>0</v>
      </c>
      <c r="V34" s="66">
        <f>ROUND(SUM(Q34:U34),0)</f>
        <v>-29215</v>
      </c>
    </row>
    <row r="35" spans="1:22" s="90" customFormat="1" ht="12" customHeight="1" x14ac:dyDescent="0.25">
      <c r="A35" s="94" t="s">
        <v>87</v>
      </c>
      <c r="B35" s="91"/>
      <c r="C35" s="99">
        <f>SUM(C32:C34)</f>
        <v>32090</v>
      </c>
      <c r="D35" s="100">
        <f>SUM(D32:D34)</f>
        <v>21248</v>
      </c>
      <c r="E35" s="101">
        <f>SUM(E32:E34)</f>
        <v>10842</v>
      </c>
      <c r="F35" s="92"/>
      <c r="G35" s="99">
        <f t="shared" ref="G35:N35" si="12">SUM(G32:G34)</f>
        <v>-40369</v>
      </c>
      <c r="H35" s="100">
        <f t="shared" si="12"/>
        <v>0</v>
      </c>
      <c r="I35" s="100">
        <f t="shared" si="12"/>
        <v>0</v>
      </c>
      <c r="J35" s="102">
        <f t="shared" si="12"/>
        <v>-40369</v>
      </c>
      <c r="K35" s="100">
        <f t="shared" si="12"/>
        <v>0</v>
      </c>
      <c r="L35" s="100">
        <f t="shared" si="12"/>
        <v>12249</v>
      </c>
      <c r="M35" s="100">
        <f t="shared" si="12"/>
        <v>2470</v>
      </c>
      <c r="N35" s="101">
        <f t="shared" si="12"/>
        <v>4044</v>
      </c>
      <c r="O35" s="102">
        <f>J35-K35-M35-N35-L35</f>
        <v>-59132</v>
      </c>
      <c r="P35" s="93"/>
      <c r="Q35" s="99">
        <f t="shared" ref="Q35:V35" si="13">SUM(Q32:Q34)</f>
        <v>-72459</v>
      </c>
      <c r="R35" s="100">
        <f t="shared" si="13"/>
        <v>0</v>
      </c>
      <c r="S35" s="100">
        <f t="shared" si="13"/>
        <v>2074</v>
      </c>
      <c r="T35" s="100">
        <f t="shared" si="13"/>
        <v>411</v>
      </c>
      <c r="U35" s="100">
        <f t="shared" si="13"/>
        <v>0</v>
      </c>
      <c r="V35" s="101">
        <f t="shared" si="13"/>
        <v>-69974</v>
      </c>
    </row>
    <row r="36" spans="1:22" ht="3" customHeight="1" x14ac:dyDescent="0.25">
      <c r="A36" s="29"/>
      <c r="B36" s="38"/>
      <c r="C36" s="41"/>
      <c r="D36" s="42"/>
      <c r="E36" s="66"/>
      <c r="F36" s="42"/>
      <c r="G36" s="41"/>
      <c r="H36" s="42"/>
      <c r="I36" s="42"/>
      <c r="J36" s="83"/>
      <c r="K36" s="65"/>
      <c r="L36" s="65"/>
      <c r="M36" s="42"/>
      <c r="N36" s="43"/>
      <c r="O36" s="83"/>
      <c r="P36" s="44"/>
      <c r="Q36" s="41"/>
      <c r="R36" s="42"/>
      <c r="S36" s="42"/>
      <c r="T36" s="42"/>
      <c r="U36" s="42"/>
      <c r="V36" s="66"/>
    </row>
    <row r="37" spans="1:22" ht="12" customHeight="1" x14ac:dyDescent="0.25">
      <c r="A37" s="29" t="s">
        <v>8</v>
      </c>
      <c r="B37" s="38"/>
      <c r="C37" s="41">
        <f>GrossMargin!N43</f>
        <v>2500</v>
      </c>
      <c r="D37" s="42">
        <f>Expenses!E39+'CapChrg-AllocExp'!E40+'CapChrg-AllocExp'!L40</f>
        <v>7686</v>
      </c>
      <c r="E37" s="66">
        <f>C37-D37</f>
        <v>-5186</v>
      </c>
      <c r="F37" s="42"/>
      <c r="G37" s="41">
        <f>GrossMargin!J43</f>
        <v>0.5</v>
      </c>
      <c r="H37" s="42">
        <f>GrossMargin!K43</f>
        <v>0</v>
      </c>
      <c r="I37" s="42">
        <f>GrossMargin!L43</f>
        <v>0</v>
      </c>
      <c r="J37" s="83">
        <f>SUM(G37:I37)</f>
        <v>0.5</v>
      </c>
      <c r="K37" s="65"/>
      <c r="L37" s="42">
        <f>'CapChrg-AllocExp'!D40</f>
        <v>0</v>
      </c>
      <c r="M37" s="42">
        <f>Expenses!D39</f>
        <v>6035</v>
      </c>
      <c r="N37" s="43">
        <f>'CapChrg-AllocExp'!K40</f>
        <v>3069</v>
      </c>
      <c r="O37" s="83">
        <f>J37-K37-M37-N37-L37</f>
        <v>-9103.5</v>
      </c>
      <c r="P37" s="44"/>
      <c r="Q37" s="41">
        <f>GrossMargin!O43</f>
        <v>-2499.5</v>
      </c>
      <c r="R37" s="42"/>
      <c r="S37" s="42">
        <f>'CapChrg-AllocExp'!F40</f>
        <v>0</v>
      </c>
      <c r="T37" s="42">
        <f>Expenses!F39</f>
        <v>-1418</v>
      </c>
      <c r="U37" s="42">
        <f>'CapChrg-AllocExp'!M40</f>
        <v>0</v>
      </c>
      <c r="V37" s="66">
        <f>ROUND(SUM(Q37:U37),0)</f>
        <v>-3918</v>
      </c>
    </row>
    <row r="38" spans="1:22" ht="3" customHeight="1" x14ac:dyDescent="0.25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5">
      <c r="A39" s="29" t="s">
        <v>19</v>
      </c>
      <c r="B39" s="38"/>
      <c r="C39" s="41">
        <f>GrossMargin!N49</f>
        <v>52216</v>
      </c>
      <c r="D39" s="42"/>
      <c r="E39" s="66">
        <f>C39-D39</f>
        <v>52216</v>
      </c>
      <c r="F39" s="42"/>
      <c r="G39" s="41">
        <f>GrossMargin!J49</f>
        <v>0</v>
      </c>
      <c r="H39" s="42"/>
      <c r="I39" s="42">
        <f>GrossMargin!L49</f>
        <v>0</v>
      </c>
      <c r="J39" s="83">
        <f>SUM(G39:I39)</f>
        <v>0</v>
      </c>
      <c r="K39" s="65"/>
      <c r="L39" s="42"/>
      <c r="M39" s="42"/>
      <c r="N39" s="43"/>
      <c r="O39" s="83">
        <f>J39-K39-M39-N39-L39</f>
        <v>0</v>
      </c>
      <c r="P39" s="44"/>
      <c r="Q39" s="41">
        <f>GrossMargin!O49</f>
        <v>-52216</v>
      </c>
      <c r="R39" s="42"/>
      <c r="S39" s="42"/>
      <c r="T39" s="42">
        <v>0</v>
      </c>
      <c r="U39" s="42"/>
      <c r="V39" s="66">
        <f>ROUND(SUM(Q39:U39),0)</f>
        <v>-52216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7</v>
      </c>
      <c r="B41" s="38"/>
      <c r="C41" s="41">
        <f>GrossMargin!N45</f>
        <v>0</v>
      </c>
      <c r="D41" s="42">
        <f>Expenses!E41+'CapChrg-AllocExp'!E42+'CapChrg-AllocExp'!L42</f>
        <v>7099</v>
      </c>
      <c r="E41" s="66">
        <f>C41-D41</f>
        <v>-7099</v>
      </c>
      <c r="F41" s="42"/>
      <c r="G41" s="41">
        <f>GrossMargin!J45</f>
        <v>0</v>
      </c>
      <c r="H41" s="42">
        <f>GrossMargin!K45</f>
        <v>0</v>
      </c>
      <c r="I41" s="42">
        <f>GrossMargin!L45</f>
        <v>0</v>
      </c>
      <c r="J41" s="83">
        <f>SUM(G41:I41)</f>
        <v>0</v>
      </c>
      <c r="K41" s="65"/>
      <c r="L41" s="42">
        <f>'CapChrg-AllocExp'!D42</f>
        <v>0</v>
      </c>
      <c r="M41" s="42">
        <f>Expenses!D41</f>
        <v>3230</v>
      </c>
      <c r="N41" s="43">
        <f>'CapChrg-AllocExp'!K42</f>
        <v>4286</v>
      </c>
      <c r="O41" s="83">
        <f>J41-K41-M41-N41-L41</f>
        <v>-7516</v>
      </c>
      <c r="P41" s="44"/>
      <c r="Q41" s="41">
        <f>GrossMargin!O45</f>
        <v>0</v>
      </c>
      <c r="R41" s="42"/>
      <c r="S41" s="42">
        <f>'CapChrg-AllocExp'!F42</f>
        <v>0</v>
      </c>
      <c r="T41" s="42">
        <f>Expenses!F41</f>
        <v>-800</v>
      </c>
      <c r="U41" s="42">
        <f>'CapChrg-AllocExp'!M42</f>
        <v>383</v>
      </c>
      <c r="V41" s="66">
        <f>ROUND(SUM(Q41:U41),0)</f>
        <v>-417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s="90" customFormat="1" ht="12" customHeight="1" x14ac:dyDescent="0.25">
      <c r="A43" s="94" t="s">
        <v>10</v>
      </c>
      <c r="B43" s="91"/>
      <c r="C43" s="99">
        <f>SUM(C35:C41)+C18+C29</f>
        <v>395309</v>
      </c>
      <c r="D43" s="100">
        <f>SUM(D35:D41)+D18+D29</f>
        <v>195896</v>
      </c>
      <c r="E43" s="101">
        <f>SUM(E35:E41)+E18+E29</f>
        <v>199413</v>
      </c>
      <c r="F43" s="92"/>
      <c r="G43" s="99">
        <f t="shared" ref="G43:N43" si="14">SUM(G35:G41)+G18+G29</f>
        <v>457172.5</v>
      </c>
      <c r="H43" s="100">
        <f t="shared" si="14"/>
        <v>0</v>
      </c>
      <c r="I43" s="100">
        <f t="shared" si="14"/>
        <v>0</v>
      </c>
      <c r="J43" s="102">
        <f t="shared" si="14"/>
        <v>457172.5</v>
      </c>
      <c r="K43" s="100">
        <f t="shared" si="14"/>
        <v>40367</v>
      </c>
      <c r="L43" s="100">
        <f t="shared" si="14"/>
        <v>31631</v>
      </c>
      <c r="M43" s="100">
        <f t="shared" si="14"/>
        <v>63149</v>
      </c>
      <c r="N43" s="101">
        <f t="shared" si="14"/>
        <v>56653</v>
      </c>
      <c r="O43" s="102">
        <f>J43-K43-M43-N43-L43</f>
        <v>265372.5</v>
      </c>
      <c r="P43" s="93"/>
      <c r="Q43" s="99">
        <f t="shared" ref="Q43:V43" si="15">SUM(Q35:Q41)+Q18+Q29</f>
        <v>61863.5</v>
      </c>
      <c r="R43" s="100">
        <f t="shared" si="15"/>
        <v>5420</v>
      </c>
      <c r="S43" s="100">
        <f t="shared" si="15"/>
        <v>11309</v>
      </c>
      <c r="T43" s="100">
        <f t="shared" si="15"/>
        <v>-11701</v>
      </c>
      <c r="U43" s="100">
        <f t="shared" si="15"/>
        <v>-932</v>
      </c>
      <c r="V43" s="101">
        <f t="shared" si="15"/>
        <v>65959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48</v>
      </c>
      <c r="B45" s="38"/>
      <c r="C45" s="41"/>
      <c r="D45" s="42">
        <f>Expenses!E45</f>
        <v>59297</v>
      </c>
      <c r="E45" s="66">
        <f>C45-D45</f>
        <v>-59297</v>
      </c>
      <c r="F45" s="42"/>
      <c r="G45" s="41"/>
      <c r="H45" s="42"/>
      <c r="I45" s="42"/>
      <c r="J45" s="83"/>
      <c r="K45" s="65"/>
      <c r="L45" s="42"/>
      <c r="M45" s="42">
        <f>Expenses!D45</f>
        <v>90230</v>
      </c>
      <c r="O45" s="83">
        <f>J45-K45-M45-N45-L45</f>
        <v>-90230</v>
      </c>
      <c r="P45" s="44"/>
      <c r="Q45" s="41">
        <v>0</v>
      </c>
      <c r="R45" s="42"/>
      <c r="S45" s="42"/>
      <c r="T45" s="42">
        <f>Expenses!F45</f>
        <v>-30933</v>
      </c>
      <c r="U45" s="42"/>
      <c r="V45" s="66">
        <f>ROUND(SUM(Q45:U45),0)</f>
        <v>-30933</v>
      </c>
    </row>
    <row r="46" spans="1:22" ht="2.25" customHeight="1" x14ac:dyDescent="0.25">
      <c r="A46" s="29"/>
      <c r="B46" s="38"/>
      <c r="C46" s="41"/>
      <c r="D46" s="42"/>
      <c r="E46" s="66">
        <f>C46-D46</f>
        <v>0</v>
      </c>
      <c r="F46" s="42"/>
      <c r="G46" s="41"/>
      <c r="H46" s="42"/>
      <c r="I46" s="42"/>
      <c r="J46" s="83"/>
      <c r="K46" s="65"/>
      <c r="L46" s="42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237</v>
      </c>
      <c r="B47" s="38"/>
      <c r="C47" s="41"/>
      <c r="D47" s="42">
        <f>'CapChrg-AllocExp'!L48</f>
        <v>-42378</v>
      </c>
      <c r="E47" s="66">
        <f>C47-D47</f>
        <v>42378</v>
      </c>
      <c r="F47" s="42"/>
      <c r="G47" s="41"/>
      <c r="H47" s="42"/>
      <c r="I47" s="42"/>
      <c r="J47" s="83"/>
      <c r="K47" s="65"/>
      <c r="L47" s="42"/>
      <c r="M47" s="42"/>
      <c r="N47" s="43">
        <f>'CapChrg-AllocExp'!K48</f>
        <v>-43310</v>
      </c>
      <c r="O47" s="83">
        <f>J47-K47-M47-N47-L47</f>
        <v>43310</v>
      </c>
      <c r="P47" s="44"/>
      <c r="Q47" s="41"/>
      <c r="R47" s="42"/>
      <c r="S47" s="42"/>
      <c r="T47" s="42"/>
      <c r="U47" s="42">
        <f>'CapChrg-AllocExp'!M48</f>
        <v>932</v>
      </c>
      <c r="V47" s="66">
        <f>ROUND(SUM(Q47:U47),0)</f>
        <v>932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274</v>
      </c>
      <c r="B49" s="38"/>
      <c r="C49" s="41"/>
      <c r="D49" s="42">
        <f>Expenses!E47</f>
        <v>13698</v>
      </c>
      <c r="E49" s="66">
        <f>C49-D49</f>
        <v>-13698</v>
      </c>
      <c r="F49" s="42"/>
      <c r="G49" s="41"/>
      <c r="H49" s="42"/>
      <c r="I49" s="42"/>
      <c r="J49" s="83"/>
      <c r="K49" s="65"/>
      <c r="L49" s="65"/>
      <c r="M49" s="42">
        <f>Expenses!D47</f>
        <v>13698</v>
      </c>
      <c r="N49" s="43"/>
      <c r="O49" s="83">
        <f>J49-K49-M49-N49-L49</f>
        <v>-13698</v>
      </c>
      <c r="P49" s="44"/>
      <c r="Q49" s="41"/>
      <c r="R49" s="42"/>
      <c r="S49" s="42"/>
      <c r="T49" s="42">
        <f>Expenses!F47</f>
        <v>0</v>
      </c>
      <c r="U49" s="42"/>
      <c r="V49" s="66">
        <f>ROUND(SUM(Q49:U49),0)</f>
        <v>0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277</v>
      </c>
      <c r="B51" s="38"/>
      <c r="C51" s="41"/>
      <c r="D51" s="42">
        <f>'CapChrg-AllocExp'!L50</f>
        <v>-13343</v>
      </c>
      <c r="E51" s="66">
        <f>C51-D51</f>
        <v>13343</v>
      </c>
      <c r="F51" s="42"/>
      <c r="G51" s="41"/>
      <c r="H51" s="42"/>
      <c r="I51" s="42"/>
      <c r="J51" s="83"/>
      <c r="K51" s="65"/>
      <c r="L51" s="65"/>
      <c r="M51" s="42"/>
      <c r="N51" s="43">
        <f>'CapChrg-AllocExp'!K50</f>
        <v>-13343</v>
      </c>
      <c r="O51" s="83">
        <f>J51-K51-M51-N51-L51</f>
        <v>13343</v>
      </c>
      <c r="P51" s="44"/>
      <c r="Q51" s="41"/>
      <c r="R51" s="42"/>
      <c r="S51" s="42"/>
      <c r="T51" s="42"/>
      <c r="U51" s="42">
        <f>'CapChrg-AllocExp'!M50</f>
        <v>0</v>
      </c>
      <c r="V51" s="66">
        <f>ROUND(SUM(Q51:U51),0)</f>
        <v>0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18</v>
      </c>
      <c r="B53" s="38"/>
      <c r="C53" s="41">
        <f>GrossMargin!N47</f>
        <v>-10795</v>
      </c>
      <c r="D53" s="42">
        <f>Expenses!E49</f>
        <v>26684</v>
      </c>
      <c r="E53" s="66">
        <f>C53-D53</f>
        <v>-37479</v>
      </c>
      <c r="F53" s="65"/>
      <c r="G53" s="41">
        <f>GrossMargin!J47</f>
        <v>-19177</v>
      </c>
      <c r="H53" s="42">
        <f>GrossMargin!K47</f>
        <v>0</v>
      </c>
      <c r="I53" s="42">
        <f>GrossMargin!L47</f>
        <v>0</v>
      </c>
      <c r="J53" s="83">
        <f>SUM(G53:I53)</f>
        <v>-19177</v>
      </c>
      <c r="K53" s="65"/>
      <c r="L53" s="42"/>
      <c r="M53" s="42">
        <f>Expenses!D49</f>
        <v>22625</v>
      </c>
      <c r="N53" s="43"/>
      <c r="O53" s="83">
        <f>J53-K53-M53-N53-L53</f>
        <v>-41802</v>
      </c>
      <c r="P53" s="44"/>
      <c r="Q53" s="41">
        <f>GrossMargin!O47</f>
        <v>-8382</v>
      </c>
      <c r="R53" s="42"/>
      <c r="S53" s="42"/>
      <c r="T53" s="42">
        <f>Expenses!F49</f>
        <v>4059</v>
      </c>
      <c r="U53" s="42"/>
      <c r="V53" s="66">
        <f>ROUND(SUM(Q53:U53),0)</f>
        <v>-4323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5">
      <c r="A55" s="29" t="s">
        <v>60</v>
      </c>
      <c r="B55" s="38"/>
      <c r="C55" s="41"/>
      <c r="D55" s="42">
        <f>'CapChrg-AllocExp'!E44</f>
        <v>-42940</v>
      </c>
      <c r="E55" s="66">
        <f ca="1">C55-D55</f>
        <v>42940</v>
      </c>
      <c r="F55" s="42"/>
      <c r="G55" s="41"/>
      <c r="H55" s="42"/>
      <c r="I55" s="42"/>
      <c r="J55" s="83">
        <f ca="1">SUM(G55:I55)</f>
        <v>0</v>
      </c>
      <c r="K55" s="65"/>
      <c r="L55" s="42">
        <f>'CapChrg-AllocExp'!D44</f>
        <v>-31631</v>
      </c>
      <c r="M55" s="42"/>
      <c r="N55" s="43"/>
      <c r="O55" s="83">
        <f ca="1">J55-K55-M55-N55-L55</f>
        <v>31631</v>
      </c>
      <c r="P55" s="44"/>
      <c r="Q55" s="41"/>
      <c r="R55" s="42"/>
      <c r="S55" s="42">
        <f>'CapChrg-AllocExp'!F44</f>
        <v>-11309</v>
      </c>
      <c r="T55" s="42"/>
      <c r="U55" s="42"/>
      <c r="V55" s="66">
        <f>ROUND(SUM(Q55:U55),0)</f>
        <v>-11309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>
        <f>ROUND(SUM(Q56:U56),0)</f>
        <v>0</v>
      </c>
    </row>
    <row r="57" spans="1:22" s="90" customFormat="1" ht="12" customHeight="1" x14ac:dyDescent="0.25">
      <c r="A57" s="94" t="s">
        <v>65</v>
      </c>
      <c r="B57" s="91"/>
      <c r="C57" s="99">
        <f ca="1">SUM(C43:C56)</f>
        <v>384514</v>
      </c>
      <c r="D57" s="100">
        <f>SUM(D43:D56)</f>
        <v>196914</v>
      </c>
      <c r="E57" s="101">
        <f ca="1">SUM(E43:E56)</f>
        <v>187600</v>
      </c>
      <c r="F57" s="92"/>
      <c r="G57" s="99">
        <f t="shared" ref="G57:N57" ca="1" si="16">SUM(G43:G56)</f>
        <v>437995.5</v>
      </c>
      <c r="H57" s="100">
        <f t="shared" si="16"/>
        <v>0</v>
      </c>
      <c r="I57" s="100">
        <f t="shared" si="16"/>
        <v>0</v>
      </c>
      <c r="J57" s="102">
        <f t="shared" ca="1" si="16"/>
        <v>437995.5</v>
      </c>
      <c r="K57" s="100">
        <f t="shared" si="16"/>
        <v>40367</v>
      </c>
      <c r="L57" s="100">
        <f t="shared" si="16"/>
        <v>0</v>
      </c>
      <c r="M57" s="100">
        <f t="shared" si="16"/>
        <v>189702</v>
      </c>
      <c r="N57" s="101">
        <f t="shared" si="16"/>
        <v>0</v>
      </c>
      <c r="O57" s="102">
        <f ca="1">J57-K57-M57-N57-L57</f>
        <v>207926.5</v>
      </c>
      <c r="P57" s="93"/>
      <c r="Q57" s="99">
        <f t="shared" ref="Q57:V57" si="17">SUM(Q43:Q56)</f>
        <v>53481.5</v>
      </c>
      <c r="R57" s="100">
        <f t="shared" si="17"/>
        <v>5420</v>
      </c>
      <c r="S57" s="100">
        <f t="shared" si="17"/>
        <v>0</v>
      </c>
      <c r="T57" s="100">
        <f t="shared" si="17"/>
        <v>-38575</v>
      </c>
      <c r="U57" s="100">
        <f t="shared" si="17"/>
        <v>0</v>
      </c>
      <c r="V57" s="101">
        <f t="shared" si="17"/>
        <v>20326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 t="s">
        <v>269</v>
      </c>
      <c r="H58" s="42"/>
      <c r="I58" s="42"/>
      <c r="J58" s="83"/>
      <c r="K58" s="65"/>
      <c r="L58" s="65"/>
      <c r="M58" s="42" t="s">
        <v>299</v>
      </c>
      <c r="N58" s="43"/>
      <c r="O58" s="83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150</v>
      </c>
      <c r="B59" s="38"/>
      <c r="C59" s="41"/>
      <c r="D59" s="42">
        <v>8600</v>
      </c>
      <c r="E59" s="66">
        <f>C59-D59</f>
        <v>-8600</v>
      </c>
      <c r="F59" s="42"/>
      <c r="G59" s="41"/>
      <c r="H59" s="42"/>
      <c r="I59" s="42"/>
      <c r="J59" s="83"/>
      <c r="K59" s="65"/>
      <c r="L59" s="65"/>
      <c r="M59" s="42">
        <v>14700</v>
      </c>
      <c r="N59" s="43"/>
      <c r="O59" s="83">
        <f>J59-K59-M59-N59-L59</f>
        <v>-14700</v>
      </c>
      <c r="P59" s="44"/>
      <c r="Q59" s="41"/>
      <c r="R59" s="42"/>
      <c r="S59" s="42"/>
      <c r="T59" s="42">
        <f>D59-M59</f>
        <v>-6100</v>
      </c>
      <c r="U59" s="42"/>
      <c r="V59" s="66">
        <f>ROUND(SUM(Q59:U59),0)</f>
        <v>-6100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3"/>
      <c r="K60" s="65"/>
      <c r="L60" s="65"/>
      <c r="M60" s="42"/>
      <c r="N60" s="43"/>
      <c r="O60" s="83"/>
      <c r="P60" s="44"/>
      <c r="Q60" s="41"/>
      <c r="R60" s="42"/>
      <c r="S60" s="42"/>
      <c r="T60" s="42"/>
      <c r="U60" s="42"/>
      <c r="V60" s="66"/>
    </row>
    <row r="61" spans="1:22" s="90" customFormat="1" ht="12" customHeight="1" x14ac:dyDescent="0.25">
      <c r="A61" s="94" t="s">
        <v>66</v>
      </c>
      <c r="B61" s="91"/>
      <c r="C61" s="95">
        <f ca="1">SUM(C57:C59)</f>
        <v>384514</v>
      </c>
      <c r="D61" s="96">
        <f>SUM(D57:D59)</f>
        <v>205514</v>
      </c>
      <c r="E61" s="97">
        <f ca="1">SUM(E57:E59)</f>
        <v>179000</v>
      </c>
      <c r="F61" s="92"/>
      <c r="G61" s="95">
        <f t="shared" ref="G61:V61" ca="1" si="18">SUM(G57:G59)</f>
        <v>437995.5</v>
      </c>
      <c r="H61" s="96">
        <f t="shared" si="18"/>
        <v>0</v>
      </c>
      <c r="I61" s="96">
        <f t="shared" si="18"/>
        <v>0</v>
      </c>
      <c r="J61" s="98">
        <f t="shared" ca="1" si="18"/>
        <v>437995.5</v>
      </c>
      <c r="K61" s="96">
        <f t="shared" si="18"/>
        <v>40367</v>
      </c>
      <c r="L61" s="96">
        <f t="shared" si="18"/>
        <v>0</v>
      </c>
      <c r="M61" s="96">
        <f t="shared" ca="1" si="18"/>
        <v>204402</v>
      </c>
      <c r="N61" s="97">
        <f t="shared" si="18"/>
        <v>0</v>
      </c>
      <c r="O61" s="98">
        <f ca="1">J61-K61-M61-N61-L61</f>
        <v>193226.5</v>
      </c>
      <c r="P61" s="93"/>
      <c r="Q61" s="95">
        <f t="shared" si="18"/>
        <v>53481.5</v>
      </c>
      <c r="R61" s="96">
        <f t="shared" si="18"/>
        <v>5420</v>
      </c>
      <c r="S61" s="96">
        <f t="shared" si="18"/>
        <v>0</v>
      </c>
      <c r="T61" s="96">
        <f t="shared" si="18"/>
        <v>-44675</v>
      </c>
      <c r="U61" s="96">
        <f t="shared" si="18"/>
        <v>0</v>
      </c>
      <c r="V61" s="97">
        <f t="shared" si="18"/>
        <v>14226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184"/>
      <c r="C63" s="185"/>
      <c r="D63" s="44"/>
      <c r="E63" s="184" t="s">
        <v>136</v>
      </c>
      <c r="F63" s="44"/>
      <c r="G63" s="190">
        <f>'GM-WklyChnge'!D50</f>
        <v>-1095</v>
      </c>
    </row>
    <row r="64" spans="1:22" ht="6" customHeight="1" x14ac:dyDescent="0.25">
      <c r="C64" s="44"/>
      <c r="D64" s="44"/>
      <c r="E64" s="44"/>
      <c r="F64" s="44"/>
    </row>
    <row r="65" spans="1:6" x14ac:dyDescent="0.25">
      <c r="A65" s="176" t="s">
        <v>149</v>
      </c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</row>
    <row r="74" spans="1:6" x14ac:dyDescent="0.25">
      <c r="C74" s="44"/>
      <c r="D74" s="44"/>
      <c r="E74" s="44"/>
    </row>
    <row r="75" spans="1:6" x14ac:dyDescent="0.25">
      <c r="C75" s="44"/>
      <c r="D75" s="44"/>
      <c r="E75" s="44"/>
    </row>
    <row r="76" spans="1:6" x14ac:dyDescent="0.25">
      <c r="C76" s="44"/>
      <c r="D76" s="44"/>
      <c r="E76" s="44"/>
    </row>
    <row r="77" spans="1:6" x14ac:dyDescent="0.25">
      <c r="C77" s="44"/>
      <c r="D77" s="44"/>
      <c r="E77" s="44"/>
    </row>
    <row r="78" spans="1:6" x14ac:dyDescent="0.25">
      <c r="C78" s="44"/>
      <c r="D78" s="44"/>
      <c r="E78" s="44"/>
    </row>
    <row r="79" spans="1:6" hidden="1" x14ac:dyDescent="0.25">
      <c r="C79" s="44"/>
      <c r="D79" s="44"/>
      <c r="E79" s="44"/>
      <c r="F79" s="44"/>
    </row>
    <row r="80" spans="1:6" hidden="1" x14ac:dyDescent="0.25">
      <c r="A80" s="44"/>
    </row>
    <row r="81" spans="1:6" hidden="1" x14ac:dyDescent="0.25">
      <c r="A81" s="44"/>
    </row>
    <row r="82" spans="1:6" hidden="1" x14ac:dyDescent="0.25">
      <c r="A82" s="44"/>
    </row>
    <row r="83" spans="1:6" hidden="1" x14ac:dyDescent="0.25">
      <c r="A83" s="44"/>
    </row>
    <row r="84" spans="1:6" hidden="1" x14ac:dyDescent="0.25">
      <c r="A84" s="44"/>
    </row>
    <row r="85" spans="1:6" hidden="1" x14ac:dyDescent="0.25">
      <c r="A85" s="44"/>
    </row>
    <row r="86" spans="1:6" hidden="1" x14ac:dyDescent="0.25">
      <c r="C86" s="44"/>
      <c r="D86" s="44"/>
      <c r="E86" s="44"/>
      <c r="F86" s="44"/>
    </row>
    <row r="87" spans="1:6" hidden="1" x14ac:dyDescent="0.25">
      <c r="C87" s="44"/>
      <c r="D87" s="44"/>
      <c r="E87" s="44"/>
      <c r="F87" s="44"/>
    </row>
    <row r="88" spans="1:6" hidden="1" x14ac:dyDescent="0.25"/>
    <row r="89" spans="1:6" hidden="1" x14ac:dyDescent="0.25"/>
    <row r="90" spans="1:6" hidden="1" x14ac:dyDescent="0.25"/>
    <row r="91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6">
        <f>C9-D9</f>
        <v>52296.465900581956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5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5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910.44940770000005</v>
      </c>
      <c r="AI11" s="44">
        <f>_xll.HPVAL($X11,$AE$2,AI$1,$AF$2,$X$3,$X$5)/1000*0.8577</f>
        <v>789.63745207075613</v>
      </c>
    </row>
    <row r="12" spans="1:35" ht="12" customHeight="1" x14ac:dyDescent="0.25">
      <c r="A12" s="29" t="s">
        <v>133</v>
      </c>
      <c r="B12" s="38"/>
      <c r="C12" s="41">
        <f t="shared" si="3"/>
        <v>22893.758999999998</v>
      </c>
      <c r="D12" s="42">
        <f t="shared" si="4"/>
        <v>4931.3765488825175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1112.0615923</v>
      </c>
      <c r="AI12" s="44">
        <f>_xll.HPVAL($X12,$AE$2,AI$1,$AF$2,$X$3,$X$5)/1000-AI11</f>
        <v>928.17642796980977</v>
      </c>
    </row>
    <row r="13" spans="1:35" ht="12" customHeight="1" x14ac:dyDescent="0.25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5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6">
        <f t="shared" si="5"/>
        <v>15973.290210249426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4726.7560000000003</v>
      </c>
      <c r="AI14" s="44">
        <f>_xll.HPVAL($X14,$AE$2,AI$1,$AF$2,$X$3,$X$5)/1000</f>
        <v>991.70998536232514</v>
      </c>
    </row>
    <row r="15" spans="1:35" ht="12" customHeight="1" x14ac:dyDescent="0.25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2066.884</v>
      </c>
      <c r="AI15" s="44">
        <f>_xll.HPVAL($X15,$AE$2,AI$1,$AF$2,$X$3,$X$5)/1000</f>
        <v>542.39138203874768</v>
      </c>
    </row>
    <row r="16" spans="1:35" ht="12" customHeight="1" x14ac:dyDescent="0.25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5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5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5">
      <c r="A19" s="75" t="s">
        <v>130</v>
      </c>
      <c r="B19" s="38"/>
      <c r="C19" s="139">
        <f>SUM(C9:C18)</f>
        <v>311896.64399999997</v>
      </c>
      <c r="D19" s="140">
        <f>SUM(D9:D18)</f>
        <v>85528.487586483723</v>
      </c>
      <c r="E19" s="142">
        <f>SUM(E9:E18)</f>
        <v>226368.15641351623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17786.15958398045</v>
      </c>
      <c r="E21" s="66">
        <f t="shared" ref="E21:E26" si="9">C21-D21</f>
        <v>16950.107916019551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7771.0965433554538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4261.8130000000001</v>
      </c>
      <c r="AI21" s="44">
        <f>_xll.HPVAL($X21,$AE$2,AI$1,$AF$2,$X$3,$X$5)/1000</f>
        <v>3301.0277986743076</v>
      </c>
    </row>
    <row r="22" spans="1:35" ht="12" customHeight="1" x14ac:dyDescent="0.25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5">
      <c r="A23" s="29" t="s">
        <v>90</v>
      </c>
      <c r="B23" s="38"/>
      <c r="C23" s="41">
        <f t="shared" si="7"/>
        <v>28327.783500000005</v>
      </c>
      <c r="D23" s="42">
        <f t="shared" si="8"/>
        <v>11170.848970758394</v>
      </c>
      <c r="E23" s="66">
        <f t="shared" si="9"/>
        <v>17156.934529241611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3148.6260000000002</v>
      </c>
      <c r="AI23" s="44">
        <f>_xll.HPVAL($X23,$AE$2,AI$1,$AF$2,$X$3,$X$5)/1000</f>
        <v>1272.312827935767</v>
      </c>
    </row>
    <row r="24" spans="1:35" ht="12" customHeight="1" x14ac:dyDescent="0.25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5">
      <c r="A25" s="29" t="s">
        <v>104</v>
      </c>
      <c r="B25" s="38"/>
      <c r="C25" s="41">
        <f t="shared" si="7"/>
        <v>0</v>
      </c>
      <c r="D25" s="42">
        <f t="shared" si="8"/>
        <v>4847.5962734224813</v>
      </c>
      <c r="E25" s="66">
        <f t="shared" si="9"/>
        <v>-4847.5962734224813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1866.8009999999999</v>
      </c>
      <c r="AI25" s="44">
        <f>_xll.HPVAL($X25,$AE$2,AI$1,$AF$2,$X$3,$X$5)/1000</f>
        <v>528.66443079317685</v>
      </c>
    </row>
    <row r="26" spans="1:35" ht="12" customHeight="1" x14ac:dyDescent="0.25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5">
      <c r="A27" s="75" t="s">
        <v>1</v>
      </c>
      <c r="B27" s="38"/>
      <c r="C27" s="139">
        <f>SUM(C21:C26)</f>
        <v>110239.48700000001</v>
      </c>
      <c r="D27" s="140">
        <f>SUM(D21:D26)</f>
        <v>61054.574533750718</v>
      </c>
      <c r="E27" s="142">
        <f>SUM(E21:E26)</f>
        <v>49184.912466249298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5">
      <c r="A30" s="29" t="s">
        <v>67</v>
      </c>
      <c r="B30" s="38"/>
      <c r="C30" s="41">
        <f>Y30</f>
        <v>37421.483999999997</v>
      </c>
      <c r="D30" s="42">
        <f>SUM(Z30:AC30)</f>
        <v>16435.419035719911</v>
      </c>
      <c r="E30" s="66">
        <f>C30-D30</f>
        <v>20986.064964280085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1323.0456230042928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847.59400000000005</v>
      </c>
      <c r="AI30" s="44">
        <f>_xll.HPVAL($X30,$AE$2,AI$1,$AF$2,$X$3,$X$5)/1000</f>
        <v>544.83207227617459</v>
      </c>
    </row>
    <row r="31" spans="1:35" ht="12" customHeight="1" x14ac:dyDescent="0.25">
      <c r="A31" s="29" t="s">
        <v>92</v>
      </c>
      <c r="B31" s="38"/>
      <c r="C31" s="41">
        <f>Y31</f>
        <v>56112.135500000004</v>
      </c>
      <c r="D31" s="42">
        <f>SUM(Z31:AC31)</f>
        <v>116779.92625593129</v>
      </c>
      <c r="E31" s="66">
        <f>C31-D31</f>
        <v>-60667.790755931288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5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5">
      <c r="A33" s="75" t="s">
        <v>86</v>
      </c>
      <c r="B33" s="38"/>
      <c r="C33" s="139">
        <f>SUM(C29:C32)</f>
        <v>139690.35550000001</v>
      </c>
      <c r="D33" s="140">
        <f>SUM(D29:D32)</f>
        <v>172189.71248597556</v>
      </c>
      <c r="E33" s="142">
        <f>SUM(E29:E32)</f>
        <v>-32499.356985975566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5">
      <c r="A36" s="29" t="s">
        <v>151</v>
      </c>
      <c r="B36" s="38"/>
      <c r="C36" s="41">
        <f>Y36</f>
        <v>2000</v>
      </c>
      <c r="D36" s="42">
        <f>SUM(Z36:AC36)</f>
        <v>14181.784321674324</v>
      </c>
      <c r="E36" s="66">
        <f>C36-D36</f>
        <v>-12181.784321674324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1335.655</v>
      </c>
      <c r="AI36" s="44">
        <f>_xll.HPVAL($X36,$AE$2,AI$1,$AF$2,$X$3,$X$5)/1000</f>
        <v>1773.6705445312712</v>
      </c>
    </row>
    <row r="37" spans="1:35" ht="12" customHeight="1" x14ac:dyDescent="0.25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5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5">
      <c r="A39" s="75" t="s">
        <v>87</v>
      </c>
      <c r="B39" s="38"/>
      <c r="C39" s="139">
        <f>SUM(C35:C38)</f>
        <v>61871.841999999997</v>
      </c>
      <c r="D39" s="140">
        <f>SUM(D35:D38)</f>
        <v>41846.696311224659</v>
      </c>
      <c r="E39" s="142">
        <f>SUM(E35:E38)</f>
        <v>20025.145688775345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6">
        <f>C41-D41</f>
        <v>-10631.159686319879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>
        <f>SUM(Z43:AC43)</f>
        <v>14863.522245450824</v>
      </c>
      <c r="E43" s="66">
        <f>C43-D43</f>
        <v>-14863.522245450824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39">
        <f>SUM(C39:C43)+C19+C27+C33</f>
        <v>628698.32850000006</v>
      </c>
      <c r="D45" s="140">
        <f>SUM(D39:D43)+D19+D27+D33</f>
        <v>391114.1528492053</v>
      </c>
      <c r="E45" s="142">
        <f>SUM(E39:E43)+E19+E27+E33</f>
        <v>237584.17565079458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>
        <f>SUM(Z47:AC47)</f>
        <v>24275.63559102721</v>
      </c>
      <c r="E47" s="66">
        <f>C47-D47</f>
        <v>-24275.63559102721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137542.68590738179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71928.884000000005</v>
      </c>
      <c r="AI47" s="44">
        <f>_xll.HPVAL($X47,$AE$2,AI$1,$AF$2,$X$3,$X$5)/1000</f>
        <v>-50176.3465864639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>
        <f>Y53</f>
        <v>100909.71799999999</v>
      </c>
      <c r="D53" s="42"/>
      <c r="E53" s="66">
        <f>C53-D53</f>
        <v>100909.71799999999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39">
        <f>SUM(C45:C53)</f>
        <v>708017.94050000003</v>
      </c>
      <c r="D55" s="140">
        <f>SUM(D45:D53)</f>
        <v>381864.57623787579</v>
      </c>
      <c r="E55" s="142">
        <f>SUM(E45:E53)</f>
        <v>326153.36426212412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>
        <f>SUM(C55:C57)</f>
        <v>708017.94050000003</v>
      </c>
      <c r="D59" s="96">
        <f>SUM(D55:D57)</f>
        <v>402464.57623787579</v>
      </c>
      <c r="E59" s="97">
        <f>SUM(E55:E57)</f>
        <v>305553.36426212412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6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0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75" x14ac:dyDescent="0.25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6.5" x14ac:dyDescent="0.3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5" x14ac:dyDescent="0.25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5"/>
    <row r="6" spans="1:22" ht="12" customHeight="1" x14ac:dyDescent="0.25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6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6">
        <f t="shared" ref="V10:V19" si="4">ROUND(T10-U10,0)</f>
        <v>18083</v>
      </c>
    </row>
    <row r="11" spans="1:22" ht="12" customHeight="1" x14ac:dyDescent="0.25">
      <c r="A11" s="25" t="s">
        <v>110</v>
      </c>
      <c r="B11" s="29" t="s">
        <v>106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6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6">
        <f t="shared" si="4"/>
        <v>22955</v>
      </c>
    </row>
    <row r="12" spans="1:22" ht="12" customHeight="1" x14ac:dyDescent="0.25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6">
        <f t="shared" si="4"/>
        <v>3490</v>
      </c>
    </row>
    <row r="13" spans="1:22" ht="12" customHeight="1" x14ac:dyDescent="0.25">
      <c r="A13" s="25" t="s">
        <v>134</v>
      </c>
      <c r="B13" s="29" t="s">
        <v>133</v>
      </c>
      <c r="C13" s="38"/>
      <c r="D13" s="41">
        <f>ROUND(_xll.HPVAL($A13,D$1,$A$2,F$1,$A$3,$A$4)/1000,0)-D12</f>
        <v>33727</v>
      </c>
      <c r="E13" s="42">
        <f>ROUND(_xll.HPVAL($A13,E$1,$A$2,F$1,$A$3,$A$4)/1000,0)-E12</f>
        <v>9011</v>
      </c>
      <c r="F13" s="66">
        <f>ROUND(D13-E13,0)</f>
        <v>24716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60673</v>
      </c>
      <c r="U13" s="42">
        <f>E13+I13+M13+Q13</f>
        <v>35957</v>
      </c>
      <c r="V13" s="66">
        <f>ROUND(T13-U13,0)</f>
        <v>24716</v>
      </c>
    </row>
    <row r="14" spans="1:22" ht="12" customHeight="1" x14ac:dyDescent="0.25">
      <c r="A14" s="25" t="s">
        <v>43</v>
      </c>
      <c r="B14" s="29" t="s">
        <v>114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6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6">
        <f t="shared" si="4"/>
        <v>-414</v>
      </c>
    </row>
    <row r="15" spans="1:22" ht="12" customHeight="1" x14ac:dyDescent="0.25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6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6">
        <f t="shared" si="4"/>
        <v>-11999</v>
      </c>
    </row>
    <row r="16" spans="1:22" ht="12" customHeight="1" x14ac:dyDescent="0.25">
      <c r="A16" s="25" t="s">
        <v>30</v>
      </c>
      <c r="B16" s="29" t="s">
        <v>155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6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6">
        <f t="shared" si="4"/>
        <v>1564</v>
      </c>
    </row>
    <row r="17" spans="1:22" ht="12" customHeight="1" x14ac:dyDescent="0.25">
      <c r="A17" s="25" t="s">
        <v>4</v>
      </c>
      <c r="B17" s="29" t="s">
        <v>107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6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6">
        <f t="shared" si="4"/>
        <v>2993</v>
      </c>
    </row>
    <row r="18" spans="1:22" ht="12" customHeight="1" x14ac:dyDescent="0.25">
      <c r="A18" s="25" t="s">
        <v>73</v>
      </c>
      <c r="B18" s="29" t="s">
        <v>156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6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6">
        <f t="shared" si="4"/>
        <v>-8044</v>
      </c>
    </row>
    <row r="19" spans="1:22" ht="12" customHeight="1" x14ac:dyDescent="0.25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6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6">
        <f t="shared" si="4"/>
        <v>-6189</v>
      </c>
    </row>
    <row r="20" spans="1:22" ht="12" customHeight="1" x14ac:dyDescent="0.25">
      <c r="B20" s="75" t="s">
        <v>6</v>
      </c>
      <c r="C20" s="38"/>
      <c r="D20" s="139">
        <f>SUM(D10:D19)</f>
        <v>157682</v>
      </c>
      <c r="E20" s="140">
        <f>SUM(E10:E19)</f>
        <v>110527</v>
      </c>
      <c r="F20" s="142">
        <f>SUM(F10:F19)</f>
        <v>47155</v>
      </c>
      <c r="G20" s="42"/>
      <c r="H20" s="139">
        <f>SUM(H10:H19)</f>
        <v>115839</v>
      </c>
      <c r="I20" s="140">
        <f>SUM(I10:I19)</f>
        <v>115839</v>
      </c>
      <c r="J20" s="142">
        <f>SUM(J10:J19)</f>
        <v>0</v>
      </c>
      <c r="K20" s="42"/>
      <c r="L20" s="139">
        <f>SUM(L10:L19)</f>
        <v>120173</v>
      </c>
      <c r="M20" s="140">
        <f>SUM(M10:M19)</f>
        <v>120173</v>
      </c>
      <c r="N20" s="142">
        <f>SUM(N10:N19)</f>
        <v>0</v>
      </c>
      <c r="O20" s="42"/>
      <c r="P20" s="139">
        <f>SUM(P10:P19)</f>
        <v>110426</v>
      </c>
      <c r="Q20" s="140">
        <f>SUM(Q10:Q19)</f>
        <v>110426</v>
      </c>
      <c r="R20" s="142">
        <f>SUM(R10:R19)</f>
        <v>0</v>
      </c>
      <c r="S20" s="42"/>
      <c r="T20" s="139">
        <f>SUM(T10:T19)</f>
        <v>504120</v>
      </c>
      <c r="U20" s="140">
        <f>SUM(U10:U19)</f>
        <v>456965</v>
      </c>
      <c r="V20" s="142">
        <f>SUM(V10:V19)</f>
        <v>47155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>
        <f>ROUND(_xll.HPVAL($A22,D$1,$A$2,F$1,$A$3,$A$4)/1000,0)</f>
        <v>-4723</v>
      </c>
      <c r="E22" s="42">
        <f>ROUND(_xll.HPVAL($A22,E$1,$A$2,F$1,$A$3,$A$4)/1000,0)</f>
        <v>5263</v>
      </c>
      <c r="F22" s="66">
        <f t="shared" ref="F22:F27" si="7">ROUND(D22-E22,0)</f>
        <v>-9986</v>
      </c>
      <c r="G22" s="42"/>
      <c r="H22" s="41">
        <f>ROUND(_xll.HPVAL($A22,H$1,$A$2,J$1,$A$3,$A$4)/1000,0)</f>
        <v>11687</v>
      </c>
      <c r="I22" s="42">
        <f>ROUND(_xll.HPVAL($A22,I$1,$A$2,J$1,$A$3,$A$4)/1000,0)</f>
        <v>11687</v>
      </c>
      <c r="J22" s="66">
        <f t="shared" ref="J22:J27" si="8">ROUND(H22-I22,0)</f>
        <v>0</v>
      </c>
      <c r="K22" s="42"/>
      <c r="L22" s="41">
        <f>ROUND(_xll.HPVAL($A22,L$1,$A$2,N$1,$A$3,$A$4)/1000,0)</f>
        <v>12579</v>
      </c>
      <c r="M22" s="42">
        <f>ROUND(_xll.HPVAL($A22,M$1,$A$2,N$1,$A$3,$A$4)/1000,0)</f>
        <v>12579</v>
      </c>
      <c r="N22" s="66">
        <f t="shared" ref="N22:N27" si="9">ROUND(L22-M22,0)</f>
        <v>0</v>
      </c>
      <c r="O22" s="42"/>
      <c r="P22" s="41">
        <f>ROUND(_xll.HPVAL($A22,P$1,$A$2,R$1,$A$3,$A$4)/1000,0)</f>
        <v>12085</v>
      </c>
      <c r="Q22" s="42">
        <f>ROUND(_xll.HPVAL($A22,Q$1,$A$2,R$1,$A$3,$A$4)/1000,0)</f>
        <v>12085</v>
      </c>
      <c r="R22" s="66">
        <f t="shared" ref="R22:R27" si="10">ROUND(P22-Q22,0)</f>
        <v>0</v>
      </c>
      <c r="S22" s="42"/>
      <c r="T22" s="41">
        <f t="shared" ref="T22:T27" si="11">D22+H22+L22+P22</f>
        <v>31628</v>
      </c>
      <c r="U22" s="42">
        <f t="shared" ref="U22:U27" si="12">E22+I22+M22+Q22</f>
        <v>41614</v>
      </c>
      <c r="V22" s="66">
        <f t="shared" ref="V22:V27" si="13">ROUND(T22-U22,0)</f>
        <v>-9986</v>
      </c>
    </row>
    <row r="23" spans="1:22" ht="12" customHeight="1" x14ac:dyDescent="0.25">
      <c r="A23" s="25" t="s">
        <v>38</v>
      </c>
      <c r="B23" s="29" t="s">
        <v>89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6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6">
        <f t="shared" si="13"/>
        <v>-2576</v>
      </c>
    </row>
    <row r="24" spans="1:22" ht="12" customHeight="1" x14ac:dyDescent="0.25">
      <c r="A24" s="25" t="s">
        <v>35</v>
      </c>
      <c r="B24" s="29" t="s">
        <v>90</v>
      </c>
      <c r="C24" s="38"/>
      <c r="D24" s="41">
        <f>ROUND(_xll.HPVAL($A24,D$1,$A$2,F$1,$A$3,$A$4)/1000,0)</f>
        <v>-1477</v>
      </c>
      <c r="E24" s="42">
        <f>ROUND(_xll.HPVAL($A24,E$1,$A$2,F$1,$A$3,$A$4)/1000,0)</f>
        <v>8270</v>
      </c>
      <c r="F24" s="66">
        <f t="shared" si="7"/>
        <v>-9747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34053</v>
      </c>
      <c r="U24" s="42">
        <f t="shared" si="12"/>
        <v>43800</v>
      </c>
      <c r="V24" s="66">
        <f t="shared" si="13"/>
        <v>-9747</v>
      </c>
    </row>
    <row r="25" spans="1:22" ht="12" customHeight="1" x14ac:dyDescent="0.25">
      <c r="A25" s="25" t="s">
        <v>152</v>
      </c>
      <c r="B25" s="29" t="s">
        <v>91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6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6">
        <f t="shared" si="13"/>
        <v>-372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-2416</v>
      </c>
      <c r="F26" s="66">
        <f t="shared" si="7"/>
        <v>2416</v>
      </c>
      <c r="G26" s="42"/>
      <c r="H26" s="41">
        <f>ROUND(_xll.HPVAL($A26,H$1,$A$2,J$1,$A$3,$A$4)/1000,0)</f>
        <v>-2431</v>
      </c>
      <c r="I26" s="42">
        <f>ROUND(_xll.HPVAL($A26,I$1,$A$2,J$1,$A$3,$A$4)/1000,0)</f>
        <v>-2431</v>
      </c>
      <c r="J26" s="66">
        <f t="shared" si="8"/>
        <v>0</v>
      </c>
      <c r="K26" s="42"/>
      <c r="L26" s="41">
        <f>ROUND(_xll.HPVAL($A26,L$1,$A$2,N$1,$A$3,$A$4)/1000,0)</f>
        <v>-3034</v>
      </c>
      <c r="M26" s="42">
        <f>ROUND(_xll.HPVAL($A26,M$1,$A$2,N$1,$A$3,$A$4)/1000,0)</f>
        <v>-3034</v>
      </c>
      <c r="N26" s="66">
        <f t="shared" si="9"/>
        <v>0</v>
      </c>
      <c r="O26" s="42"/>
      <c r="P26" s="41">
        <f>ROUND(_xll.HPVAL($A26,P$1,$A$2,R$1,$A$3,$A$4)/1000,0)</f>
        <v>-3737</v>
      </c>
      <c r="Q26" s="42">
        <f>ROUND(_xll.HPVAL($A26,Q$1,$A$2,R$1,$A$3,$A$4)/1000,0)</f>
        <v>-3737</v>
      </c>
      <c r="R26" s="66">
        <f t="shared" si="10"/>
        <v>0</v>
      </c>
      <c r="S26" s="42"/>
      <c r="T26" s="41">
        <f t="shared" si="11"/>
        <v>-9202</v>
      </c>
      <c r="U26" s="42">
        <f t="shared" si="12"/>
        <v>-11618</v>
      </c>
      <c r="V26" s="66">
        <f t="shared" si="13"/>
        <v>2416</v>
      </c>
    </row>
    <row r="27" spans="1:22" ht="12" customHeight="1" x14ac:dyDescent="0.25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6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6">
        <f t="shared" si="13"/>
        <v>-4396</v>
      </c>
    </row>
    <row r="28" spans="1:22" ht="12" customHeight="1" x14ac:dyDescent="0.25">
      <c r="A28" s="27"/>
      <c r="B28" s="75" t="s">
        <v>1</v>
      </c>
      <c r="C28" s="38"/>
      <c r="D28" s="139">
        <f>SUM(D22:D27)</f>
        <v>-6682</v>
      </c>
      <c r="E28" s="140">
        <f>SUM(E22:E27)</f>
        <v>17979</v>
      </c>
      <c r="F28" s="142">
        <f>SUM(F22:F27)</f>
        <v>-24661</v>
      </c>
      <c r="G28" s="42"/>
      <c r="H28" s="139">
        <f>SUM(H22:H27)</f>
        <v>31207</v>
      </c>
      <c r="I28" s="140">
        <f>SUM(I22:I27)</f>
        <v>31207</v>
      </c>
      <c r="J28" s="142">
        <f>SUM(J22:J27)</f>
        <v>0</v>
      </c>
      <c r="K28" s="42"/>
      <c r="L28" s="139">
        <f>SUM(L22:L27)</f>
        <v>41696</v>
      </c>
      <c r="M28" s="140">
        <f>SUM(M22:M27)</f>
        <v>41696</v>
      </c>
      <c r="N28" s="142">
        <f>SUM(N22:N27)</f>
        <v>0</v>
      </c>
      <c r="O28" s="42"/>
      <c r="P28" s="139">
        <f>SUM(P22:P27)</f>
        <v>65444</v>
      </c>
      <c r="Q28" s="140">
        <f>SUM(Q22:Q27)</f>
        <v>65444</v>
      </c>
      <c r="R28" s="142">
        <f>SUM(R22:R27)</f>
        <v>0</v>
      </c>
      <c r="S28" s="42"/>
      <c r="T28" s="139">
        <f>SUM(T22:T27)</f>
        <v>131665</v>
      </c>
      <c r="U28" s="140">
        <f>SUM(U22:U27)</f>
        <v>156326</v>
      </c>
      <c r="V28" s="142">
        <f>SUM(V22:V27)</f>
        <v>-24661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6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6">
        <f>ROUND(T30-U30,0)</f>
        <v>30158</v>
      </c>
    </row>
    <row r="31" spans="1:22" ht="12" customHeight="1" x14ac:dyDescent="0.25">
      <c r="A31" s="25" t="s">
        <v>37</v>
      </c>
      <c r="B31" s="29" t="s">
        <v>67</v>
      </c>
      <c r="C31" s="38"/>
      <c r="D31" s="41">
        <f>ROUND(_xll.HPVAL($A31,D$1,$A$2,F$1,$A$3,$A$4)/1000,0)</f>
        <v>71</v>
      </c>
      <c r="E31" s="42">
        <f>ROUND(_xll.HPVAL($A31,E$1,$A$2,F$1,$A$3,$A$4)/1000,0)</f>
        <v>10524</v>
      </c>
      <c r="F31" s="66">
        <f>ROUND(D31-E31,0)</f>
        <v>-10453</v>
      </c>
      <c r="G31" s="42"/>
      <c r="H31" s="41">
        <f>ROUND(_xll.HPVAL($A31,H$1,$A$2,J$1,$A$3,$A$4)/1000,0)</f>
        <v>10462</v>
      </c>
      <c r="I31" s="42">
        <f>ROUND(_xll.HPVAL($A31,I$1,$A$2,J$1,$A$3,$A$4)/1000,0)</f>
        <v>10462</v>
      </c>
      <c r="J31" s="66">
        <f>ROUND(H31-I31,0)</f>
        <v>0</v>
      </c>
      <c r="K31" s="42"/>
      <c r="L31" s="41">
        <f>ROUND(_xll.HPVAL($A31,L$1,$A$2,N$1,$A$3,$A$4)/1000,0)</f>
        <v>10237</v>
      </c>
      <c r="M31" s="42">
        <f>ROUND(_xll.HPVAL($A31,M$1,$A$2,N$1,$A$3,$A$4)/1000,0)</f>
        <v>10237</v>
      </c>
      <c r="N31" s="66">
        <f>ROUND(L31-M31,0)</f>
        <v>0</v>
      </c>
      <c r="O31" s="42"/>
      <c r="P31" s="41">
        <f>ROUND(_xll.HPVAL($A31,P$1,$A$2,R$1,$A$3,$A$4)/1000,0)</f>
        <v>9931</v>
      </c>
      <c r="Q31" s="42">
        <f>ROUND(_xll.HPVAL($A31,Q$1,$A$2,R$1,$A$3,$A$4)/1000,0)</f>
        <v>9931</v>
      </c>
      <c r="R31" s="66">
        <f>ROUND(P31-Q31,0)</f>
        <v>0</v>
      </c>
      <c r="S31" s="42"/>
      <c r="T31" s="41">
        <f t="shared" ref="T31:U33" si="14">D31+H31+L31+P31</f>
        <v>30701</v>
      </c>
      <c r="U31" s="42">
        <f t="shared" si="14"/>
        <v>41154</v>
      </c>
      <c r="V31" s="66">
        <f>ROUND(T31-U31,0)</f>
        <v>-10453</v>
      </c>
    </row>
    <row r="32" spans="1:22" ht="12" customHeight="1" x14ac:dyDescent="0.25">
      <c r="A32" s="25" t="s">
        <v>41</v>
      </c>
      <c r="B32" s="29" t="s">
        <v>92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6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6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6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6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6">
        <f>ROUND(T32-U32,0)</f>
        <v>-8769</v>
      </c>
    </row>
    <row r="33" spans="1:22" ht="12" customHeight="1" x14ac:dyDescent="0.25">
      <c r="A33" s="25" t="s">
        <v>42</v>
      </c>
      <c r="B33" s="29" t="s">
        <v>93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6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6">
        <f>ROUND(T33-U33,0)</f>
        <v>10256</v>
      </c>
    </row>
    <row r="34" spans="1:22" ht="12" customHeight="1" x14ac:dyDescent="0.25">
      <c r="B34" s="75" t="s">
        <v>86</v>
      </c>
      <c r="C34" s="38"/>
      <c r="D34" s="139">
        <f>SUM(D30:D33)</f>
        <v>-10469</v>
      </c>
      <c r="E34" s="140">
        <f>SUM(E30:E33)</f>
        <v>-31661</v>
      </c>
      <c r="F34" s="142">
        <f>SUM(F30:F33)</f>
        <v>21192</v>
      </c>
      <c r="G34" s="42"/>
      <c r="H34" s="139">
        <f>SUM(H30:H33)</f>
        <v>-838</v>
      </c>
      <c r="I34" s="140">
        <f>SUM(I30:I33)</f>
        <v>-838</v>
      </c>
      <c r="J34" s="142">
        <f>SUM(J30:J33)</f>
        <v>0</v>
      </c>
      <c r="K34" s="42"/>
      <c r="L34" s="139">
        <f>SUM(L30:L33)</f>
        <v>9889</v>
      </c>
      <c r="M34" s="140">
        <f>SUM(M30:M33)</f>
        <v>9889</v>
      </c>
      <c r="N34" s="142">
        <f>SUM(N30:N33)</f>
        <v>0</v>
      </c>
      <c r="O34" s="42"/>
      <c r="P34" s="139">
        <f>SUM(P30:P33)</f>
        <v>-44010</v>
      </c>
      <c r="Q34" s="140">
        <f>SUM(Q30:Q33)</f>
        <v>-44010</v>
      </c>
      <c r="R34" s="142">
        <f>SUM(R30:R33)</f>
        <v>0</v>
      </c>
      <c r="S34" s="42"/>
      <c r="T34" s="139">
        <f>SUM(T30:T33)</f>
        <v>-45428</v>
      </c>
      <c r="U34" s="140">
        <f>SUM(U30:U33)</f>
        <v>-66620</v>
      </c>
      <c r="V34" s="142">
        <f>SUM(V30:V33)</f>
        <v>21192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6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6">
        <f>ROUND(T36-U36,0)</f>
        <v>78852</v>
      </c>
    </row>
    <row r="37" spans="1:22" ht="12" customHeight="1" x14ac:dyDescent="0.25">
      <c r="A37" s="25" t="s">
        <v>39</v>
      </c>
      <c r="B37" s="29" t="s">
        <v>151</v>
      </c>
      <c r="C37" s="38"/>
      <c r="D37" s="41">
        <f>ROUND(_xll.HPVAL($A37,D$1,$A$2,F$1,$A$3,$A$4)/1000,0)</f>
        <v>-5400</v>
      </c>
      <c r="E37" s="42">
        <f>ROUND(_xll.HPVAL($A37,E$1,$A$2,F$1,$A$3,$A$4)/1000,0)</f>
        <v>-7024</v>
      </c>
      <c r="F37" s="66">
        <f>ROUND(D37-E37,0)</f>
        <v>1624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6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6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6">
        <f>ROUND(P37-Q37,0)</f>
        <v>0</v>
      </c>
      <c r="S37" s="42"/>
      <c r="T37" s="41">
        <f t="shared" si="15"/>
        <v>-11210</v>
      </c>
      <c r="U37" s="42">
        <f t="shared" si="15"/>
        <v>-12834</v>
      </c>
      <c r="V37" s="66">
        <f>ROUND(T37-U37,0)</f>
        <v>1624</v>
      </c>
    </row>
    <row r="38" spans="1:22" ht="12" customHeight="1" x14ac:dyDescent="0.25">
      <c r="A38" s="25" t="s">
        <v>153</v>
      </c>
      <c r="B38" s="29" t="s">
        <v>180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6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6">
        <f>ROUND(T38-U38,0)</f>
        <v>-33433</v>
      </c>
    </row>
    <row r="39" spans="1:22" ht="12" customHeight="1" x14ac:dyDescent="0.25">
      <c r="A39" s="25" t="s">
        <v>157</v>
      </c>
      <c r="B39" s="29" t="s">
        <v>154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6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6">
        <f>ROUND(T39-U39,0)</f>
        <v>19547</v>
      </c>
    </row>
    <row r="40" spans="1:22" ht="12" customHeight="1" x14ac:dyDescent="0.25">
      <c r="B40" s="75" t="s">
        <v>87</v>
      </c>
      <c r="C40" s="38"/>
      <c r="D40" s="139">
        <f>SUM(D36:D39)</f>
        <v>75773</v>
      </c>
      <c r="E40" s="140">
        <f>SUM(E36:E39)</f>
        <v>9183</v>
      </c>
      <c r="F40" s="142">
        <f>SUM(F36:F39)</f>
        <v>66590</v>
      </c>
      <c r="G40" s="42"/>
      <c r="H40" s="139">
        <f>SUM(H36:H39)</f>
        <v>10843</v>
      </c>
      <c r="I40" s="140">
        <f>SUM(I36:I39)</f>
        <v>10843</v>
      </c>
      <c r="J40" s="142">
        <f>SUM(J36:J39)</f>
        <v>0</v>
      </c>
      <c r="K40" s="42"/>
      <c r="L40" s="139">
        <f>SUM(L36:L39)</f>
        <v>12896</v>
      </c>
      <c r="M40" s="140">
        <f>SUM(M36:M39)</f>
        <v>12896</v>
      </c>
      <c r="N40" s="142">
        <f>SUM(N36:N39)</f>
        <v>0</v>
      </c>
      <c r="O40" s="42"/>
      <c r="P40" s="139">
        <f>SUM(P36:P39)</f>
        <v>22227</v>
      </c>
      <c r="Q40" s="140">
        <f>SUM(Q36:Q39)</f>
        <v>22227</v>
      </c>
      <c r="R40" s="142">
        <f>SUM(R36:R39)</f>
        <v>0</v>
      </c>
      <c r="S40" s="42"/>
      <c r="T40" s="139">
        <f>SUM(T36:T39)</f>
        <v>121739</v>
      </c>
      <c r="U40" s="140">
        <f>SUM(U36:U39)</f>
        <v>55149</v>
      </c>
      <c r="V40" s="142">
        <f>SUM(V36:V39)</f>
        <v>66590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6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6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6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6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6">
        <f>ROUND(T42-U42,0)</f>
        <v>-578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6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6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6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6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6">
        <f>ROUND(T44-U44,0)</f>
        <v>480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39">
        <f>SUM(D40:D44)+D20+D28+D34</f>
        <v>202996</v>
      </c>
      <c r="E46" s="140">
        <f>SUM(E40:E44)+E20+E28+E34</f>
        <v>92818</v>
      </c>
      <c r="F46" s="142">
        <f>SUM(F40:F44)+F20+F28+F34</f>
        <v>110178</v>
      </c>
      <c r="G46" s="67"/>
      <c r="H46" s="139">
        <f>SUM(H40:H44)+H20+H28+H34</f>
        <v>144766</v>
      </c>
      <c r="I46" s="140">
        <f>SUM(I40:I44)+I20+I28+I34</f>
        <v>144766</v>
      </c>
      <c r="J46" s="142">
        <f>SUM(J40:J44)+J20+J28+J34</f>
        <v>0</v>
      </c>
      <c r="K46" s="67"/>
      <c r="L46" s="139">
        <f>SUM(L40:L44)+L20+L28+L34</f>
        <v>172252</v>
      </c>
      <c r="M46" s="140">
        <f>SUM(M40:M44)+M20+M28+M34</f>
        <v>172252</v>
      </c>
      <c r="N46" s="142">
        <f>SUM(N40:N44)+N20+N28+N34</f>
        <v>0</v>
      </c>
      <c r="O46" s="67"/>
      <c r="P46" s="139">
        <f>SUM(P40:P44)+P20+P28+P34</f>
        <v>141982</v>
      </c>
      <c r="Q46" s="140">
        <f>SUM(Q40:Q44)+Q20+Q28+Q34</f>
        <v>141982</v>
      </c>
      <c r="R46" s="142">
        <f>SUM(R40:R44)+R20+R28+R34</f>
        <v>0</v>
      </c>
      <c r="S46" s="67"/>
      <c r="T46" s="139">
        <f>SUM(T40:T44)+T20+T28+T34</f>
        <v>661996</v>
      </c>
      <c r="U46" s="140">
        <f>SUM(U40:U44)+U20+U28+U34</f>
        <v>551818</v>
      </c>
      <c r="V46" s="142">
        <f>SUM(V40:V44)+V20+V28+V34</f>
        <v>110178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6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6">
        <f>ROUND(T48-U48,0)</f>
        <v>-23975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6">
        <f>ROUND(D50-E50,0)</f>
        <v>-3443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-152231</v>
      </c>
      <c r="U50" s="42">
        <f>E50+I50+M50+Q50</f>
        <v>-148788</v>
      </c>
      <c r="V50" s="66">
        <f>ROUND(T50-U50,0)</f>
        <v>-3443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6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6">
        <f>ROUND(T52-U52,0)</f>
        <v>-7151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6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6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6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6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6">
        <f>ROUND(T54-U54,0)</f>
        <v>-48693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39">
        <f>SUM(D46:D54)</f>
        <v>167902</v>
      </c>
      <c r="E56" s="140">
        <f>SUM(E46:E54)</f>
        <v>140986</v>
      </c>
      <c r="F56" s="142">
        <f>SUM(F46:F54)</f>
        <v>26916</v>
      </c>
      <c r="G56" s="42"/>
      <c r="H56" s="139">
        <f>SUM(H46:H54)</f>
        <v>185167</v>
      </c>
      <c r="I56" s="140">
        <f>SUM(I46:I54)</f>
        <v>185167</v>
      </c>
      <c r="J56" s="142">
        <f>SUM(J46:J54)</f>
        <v>0</v>
      </c>
      <c r="K56" s="42"/>
      <c r="L56" s="139">
        <f>SUM(L46:L54)</f>
        <v>206866</v>
      </c>
      <c r="M56" s="140">
        <f>SUM(M46:M54)</f>
        <v>206866</v>
      </c>
      <c r="N56" s="142">
        <f>SUM(N46:N54)</f>
        <v>0</v>
      </c>
      <c r="O56" s="42"/>
      <c r="P56" s="139">
        <f>SUM(P46:P54)</f>
        <v>136260</v>
      </c>
      <c r="Q56" s="140">
        <f>SUM(Q46:Q54)</f>
        <v>136260</v>
      </c>
      <c r="R56" s="142">
        <f>SUM(R46:R54)</f>
        <v>0</v>
      </c>
      <c r="S56" s="42"/>
      <c r="T56" s="139">
        <f>SUM(T46:T54)</f>
        <v>696195</v>
      </c>
      <c r="U56" s="140">
        <f>SUM(U46:U54)</f>
        <v>669279</v>
      </c>
      <c r="V56" s="142">
        <f>SUM(V46:V54)</f>
        <v>26916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>
        <f>SUM(D56:D58)</f>
        <v>166902</v>
      </c>
      <c r="E60" s="96">
        <f>SUM(E56:E58)</f>
        <v>128986</v>
      </c>
      <c r="F60" s="97">
        <f>SUM(F56:F58)</f>
        <v>37916</v>
      </c>
      <c r="G60" s="42"/>
      <c r="H60" s="95">
        <f>SUM(H56:H58)</f>
        <v>176567</v>
      </c>
      <c r="I60" s="96">
        <f>SUM(I56:I58)</f>
        <v>176567</v>
      </c>
      <c r="J60" s="97">
        <f>SUM(J56:J58)</f>
        <v>0</v>
      </c>
      <c r="K60" s="42"/>
      <c r="L60" s="95">
        <f>SUM(L56:L58)</f>
        <v>187966</v>
      </c>
      <c r="M60" s="96">
        <f>SUM(M56:M58)</f>
        <v>187966</v>
      </c>
      <c r="N60" s="97">
        <f>SUM(N56:N58)</f>
        <v>0</v>
      </c>
      <c r="O60" s="42"/>
      <c r="P60" s="95">
        <f>SUM(P56:P58)</f>
        <v>118760</v>
      </c>
      <c r="Q60" s="96">
        <f>SUM(Q56:Q58)</f>
        <v>118760</v>
      </c>
      <c r="R60" s="97">
        <f>SUM(R56:R58)</f>
        <v>0</v>
      </c>
      <c r="S60" s="42"/>
      <c r="T60" s="95">
        <f>SUM(T56:T58)</f>
        <v>650195</v>
      </c>
      <c r="U60" s="96">
        <f>SUM(U56:U58)</f>
        <v>612279</v>
      </c>
      <c r="V60" s="97">
        <f>SUM(V56:V58)</f>
        <v>37916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topLeftCell="A46" workbookViewId="0">
      <selection activeCell="A51" sqref="A51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6.5" x14ac:dyDescent="0.3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5" x14ac:dyDescent="0.25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GrossMargin!D10-[2]GrossMargin!D10</f>
        <v>17134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17134</v>
      </c>
      <c r="I9" s="59"/>
      <c r="J9" s="60">
        <f>GrossMargin!K10-[2]GrossMargin!K10</f>
        <v>0</v>
      </c>
      <c r="K9" s="84">
        <f>SUM(H9:J9)</f>
        <v>17134</v>
      </c>
    </row>
    <row r="10" spans="1:17" ht="12" customHeight="1" x14ac:dyDescent="0.25">
      <c r="A10" s="29" t="s">
        <v>272</v>
      </c>
      <c r="C10" s="41">
        <f>GrossMargin!D11-[2]GrossMargin!D11</f>
        <v>844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844</v>
      </c>
      <c r="I10" s="41"/>
      <c r="J10" s="42">
        <f>GrossMargin!K11-[2]GrossMargin!K11</f>
        <v>0</v>
      </c>
      <c r="K10" s="66">
        <f>SUM(H10:J10)</f>
        <v>844</v>
      </c>
    </row>
    <row r="11" spans="1:17" ht="12" customHeight="1" x14ac:dyDescent="0.25">
      <c r="A11" s="29" t="s">
        <v>106</v>
      </c>
      <c r="C11" s="41">
        <f>GrossMargin!D12-[2]GrossMargin!D12</f>
        <v>50233</v>
      </c>
      <c r="D11" s="42">
        <f>GrossMargin!E12-[2]GrossMargin!E12</f>
        <v>0</v>
      </c>
      <c r="E11" s="42">
        <f>GrossMargin!F12-[2]GrossMargin!F12</f>
        <v>0</v>
      </c>
      <c r="F11" s="42">
        <f>GrossMargin!G12-[2]GrossMargin!G12</f>
        <v>0</v>
      </c>
      <c r="G11" s="42">
        <f>GrossMargin!H12-[2]GrossMargin!H12</f>
        <v>0</v>
      </c>
      <c r="H11" s="64">
        <f t="shared" ref="H11:H17" si="0">SUM(C11:G11)</f>
        <v>50233</v>
      </c>
      <c r="I11" s="41"/>
      <c r="J11" s="42">
        <f>GrossMargin!K12-[2]GrossMargin!K12</f>
        <v>0</v>
      </c>
      <c r="K11" s="66">
        <f t="shared" ref="K11:K17" si="1">SUM(H11:J11)</f>
        <v>50233</v>
      </c>
    </row>
    <row r="12" spans="1:17" ht="12" customHeight="1" x14ac:dyDescent="0.25">
      <c r="A12" s="29" t="s">
        <v>132</v>
      </c>
      <c r="C12" s="41">
        <f>GrossMargin!D13-[2]GrossMargin!D13</f>
        <v>3457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3457</v>
      </c>
      <c r="I12" s="41"/>
      <c r="J12" s="42">
        <f>GrossMargin!K13-[2]GrossMargin!K13</f>
        <v>0</v>
      </c>
      <c r="K12" s="66">
        <f t="shared" si="1"/>
        <v>3457</v>
      </c>
    </row>
    <row r="13" spans="1:17" ht="12" customHeight="1" x14ac:dyDescent="0.25">
      <c r="A13" s="29" t="s">
        <v>133</v>
      </c>
      <c r="C13" s="41">
        <f>GrossMargin!D14-[2]GrossMargin!D14</f>
        <v>-609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-609</v>
      </c>
      <c r="I13" s="41"/>
      <c r="J13" s="42">
        <f>GrossMargin!K14-[2]GrossMargin!K14</f>
        <v>0</v>
      </c>
      <c r="K13" s="66">
        <f t="shared" si="1"/>
        <v>-609</v>
      </c>
    </row>
    <row r="14" spans="1:17" ht="12" customHeight="1" x14ac:dyDescent="0.25">
      <c r="A14" s="29" t="s">
        <v>251</v>
      </c>
      <c r="C14" s="41">
        <f>GrossMargin!D15-[2]GrossMargin!D15</f>
        <v>-1719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-1719</v>
      </c>
      <c r="I14" s="41"/>
      <c r="J14" s="42">
        <f>GrossMargin!K15-[2]GrossMargin!K15</f>
        <v>0</v>
      </c>
      <c r="K14" s="66">
        <f t="shared" si="1"/>
        <v>-1719</v>
      </c>
    </row>
    <row r="15" spans="1:17" ht="12" customHeight="1" x14ac:dyDescent="0.25">
      <c r="A15" s="29" t="s">
        <v>275</v>
      </c>
      <c r="C15" s="41">
        <f>GrossMargin!D16-[2]GrossMargin!D16</f>
        <v>-16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-16</v>
      </c>
      <c r="I15" s="41"/>
      <c r="J15" s="42">
        <f>GrossMargin!K16-[2]GrossMargin!K16</f>
        <v>0</v>
      </c>
      <c r="K15" s="66">
        <f t="shared" si="1"/>
        <v>-16</v>
      </c>
    </row>
    <row r="16" spans="1:17" ht="12" customHeight="1" x14ac:dyDescent="0.25">
      <c r="A16" s="29" t="s">
        <v>155</v>
      </c>
      <c r="C16" s="41">
        <f>GrossMargin!D17-[2]GrossMargin!D17</f>
        <v>-120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-120</v>
      </c>
      <c r="I16" s="41"/>
      <c r="J16" s="42">
        <f>GrossMargin!K17-[2]GrossMargin!K17</f>
        <v>0</v>
      </c>
      <c r="K16" s="66">
        <f t="shared" si="1"/>
        <v>-120</v>
      </c>
    </row>
    <row r="17" spans="1:11" ht="12" customHeight="1" x14ac:dyDescent="0.25">
      <c r="A17" s="29" t="s">
        <v>107</v>
      </c>
      <c r="C17" s="41">
        <f>GrossMargin!D18-[2]GrossMargin!D18</f>
        <v>411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64">
        <f t="shared" si="0"/>
        <v>411</v>
      </c>
      <c r="I17" s="41"/>
      <c r="J17" s="42">
        <f>GrossMargin!K18-[2]GrossMargin!K18</f>
        <v>0</v>
      </c>
      <c r="K17" s="66">
        <f t="shared" si="1"/>
        <v>411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H19" si="2">SUM(C9:C17)</f>
        <v>69615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69615</v>
      </c>
      <c r="I19" s="99"/>
      <c r="J19" s="100">
        <f>SUM(J9:J17)</f>
        <v>0</v>
      </c>
      <c r="K19" s="101">
        <f>SUM(K9:K17)</f>
        <v>69615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29" si="3">SUM(C21:G21)</f>
        <v>0</v>
      </c>
      <c r="I21" s="41"/>
      <c r="J21" s="42">
        <f>GrossMargin!K22-[2]GrossMargin!K22</f>
        <v>0</v>
      </c>
      <c r="K21" s="66">
        <f t="shared" ref="K21:K29" si="4">SUM(H21:J21)</f>
        <v>0</v>
      </c>
    </row>
    <row r="22" spans="1:11" ht="12" customHeight="1" x14ac:dyDescent="0.25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5">
      <c r="A23" s="29" t="s">
        <v>229</v>
      </c>
      <c r="C23" s="41">
        <f>GrossMargin!D24-[2]GrossMargin!D24</f>
        <v>-117</v>
      </c>
      <c r="D23" s="42">
        <f>GrossMargin!E24-[2]GrossMargin!E24</f>
        <v>-38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-155</v>
      </c>
      <c r="I23" s="41"/>
      <c r="J23" s="42">
        <f>GrossMargin!K24-[2]GrossMargin!K24</f>
        <v>0</v>
      </c>
      <c r="K23" s="66">
        <f t="shared" si="4"/>
        <v>-155</v>
      </c>
    </row>
    <row r="24" spans="1:11" ht="12" customHeight="1" x14ac:dyDescent="0.25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5">
      <c r="A25" s="29" t="s">
        <v>263</v>
      </c>
      <c r="C25" s="41">
        <f>GrossMargin!D26-[2]GrossMargin!D26</f>
        <v>0</v>
      </c>
      <c r="D25" s="42">
        <f>GrossMargin!E26-[2]GrossMargin!E26</f>
        <v>13</v>
      </c>
      <c r="E25" s="42">
        <f>GrossMargin!F26-[2]GrossMargin!F26</f>
        <v>78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91</v>
      </c>
      <c r="I25" s="41"/>
      <c r="J25" s="42">
        <f>GrossMargin!K26-[2]GrossMargin!K26</f>
        <v>0</v>
      </c>
      <c r="K25" s="66">
        <f t="shared" si="4"/>
        <v>91</v>
      </c>
    </row>
    <row r="26" spans="1:11" ht="12" customHeight="1" x14ac:dyDescent="0.25">
      <c r="A26" s="29" t="s">
        <v>252</v>
      </c>
      <c r="C26" s="41">
        <f>GrossMargin!D27-[2]GrossMargin!D27</f>
        <v>230</v>
      </c>
      <c r="D26" s="42">
        <f>GrossMargin!E27-[2]GrossMargin!E27</f>
        <v>-809</v>
      </c>
      <c r="E26" s="42">
        <f>GrossMargin!F27-[2]GrossMargin!F27</f>
        <v>0</v>
      </c>
      <c r="F26" s="42">
        <f>GrossMargin!H27-[2]GrossMargin!H27</f>
        <v>920</v>
      </c>
      <c r="G26" s="42">
        <v>0</v>
      </c>
      <c r="H26" s="64">
        <f t="shared" si="3"/>
        <v>341</v>
      </c>
      <c r="I26" s="41"/>
      <c r="J26" s="42">
        <f>GrossMargin!K27-[2]GrossMargin!K27</f>
        <v>0</v>
      </c>
      <c r="K26" s="66">
        <f t="shared" si="4"/>
        <v>341</v>
      </c>
    </row>
    <row r="27" spans="1:11" ht="12" customHeight="1" x14ac:dyDescent="0.25">
      <c r="A27" s="29" t="s">
        <v>248</v>
      </c>
      <c r="C27" s="41">
        <f>GrossMargin!D28-[2]GrossMargin!D28</f>
        <v>410</v>
      </c>
      <c r="D27" s="42">
        <f>GrossMargin!E28-[2]GrossMargin!E28</f>
        <v>0</v>
      </c>
      <c r="E27" s="42">
        <f>GrossMargin!F28-[2]GrossMargin!F28</f>
        <v>224</v>
      </c>
      <c r="F27" s="42">
        <f>GrossMargin!H28-[2]GrossMargin!H28</f>
        <v>959</v>
      </c>
      <c r="G27" s="42">
        <v>0</v>
      </c>
      <c r="H27" s="64">
        <f t="shared" si="3"/>
        <v>1593</v>
      </c>
      <c r="I27" s="41"/>
      <c r="J27" s="42">
        <f>GrossMargin!K28-[2]GrossMargin!K28</f>
        <v>0</v>
      </c>
      <c r="K27" s="66">
        <f t="shared" si="4"/>
        <v>1593</v>
      </c>
    </row>
    <row r="28" spans="1:11" ht="12" customHeight="1" x14ac:dyDescent="0.25">
      <c r="A28" s="29" t="s">
        <v>156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0</v>
      </c>
      <c r="F28" s="42">
        <f>GrossMargin!G29-[2]GrossMargin!G29</f>
        <v>0</v>
      </c>
      <c r="G28" s="42">
        <f>GrossMargin!H29-[2]GrossMargin!H29</f>
        <v>0</v>
      </c>
      <c r="H28" s="64">
        <f t="shared" si="3"/>
        <v>0</v>
      </c>
      <c r="I28" s="41"/>
      <c r="J28" s="42">
        <f>GrossMargin!K29-[2]GrossMargin!K29</f>
        <v>0</v>
      </c>
      <c r="K28" s="66">
        <f t="shared" si="4"/>
        <v>0</v>
      </c>
    </row>
    <row r="29" spans="1:11" ht="12" customHeight="1" x14ac:dyDescent="0.25">
      <c r="A29" s="29" t="s">
        <v>0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0</v>
      </c>
      <c r="F29" s="42">
        <f>GrossMargin!G30-[2]GrossMargin!G30</f>
        <v>0</v>
      </c>
      <c r="G29" s="42">
        <f>GrossMargin!H30-[2]GrossMargin!H30</f>
        <v>0</v>
      </c>
      <c r="H29" s="64">
        <f t="shared" si="3"/>
        <v>0</v>
      </c>
      <c r="I29" s="41"/>
      <c r="J29" s="42">
        <f>GrossMargin!K30-[2]GrossMargin!K30</f>
        <v>0</v>
      </c>
      <c r="K29" s="66">
        <f t="shared" si="4"/>
        <v>0</v>
      </c>
    </row>
    <row r="30" spans="1:11" ht="3" customHeight="1" x14ac:dyDescent="0.25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5">
      <c r="A31" s="106" t="s">
        <v>1</v>
      </c>
      <c r="B31" s="91"/>
      <c r="C31" s="99">
        <f t="shared" ref="C31:K31" si="5">SUM(C21:C29)</f>
        <v>523</v>
      </c>
      <c r="D31" s="100">
        <f t="shared" si="5"/>
        <v>-834</v>
      </c>
      <c r="E31" s="100">
        <f t="shared" si="5"/>
        <v>302</v>
      </c>
      <c r="F31" s="100">
        <f t="shared" si="5"/>
        <v>1879</v>
      </c>
      <c r="G31" s="100">
        <f t="shared" si="5"/>
        <v>0</v>
      </c>
      <c r="H31" s="99">
        <f t="shared" si="5"/>
        <v>1870</v>
      </c>
      <c r="I31" s="99"/>
      <c r="J31" s="100">
        <f t="shared" si="5"/>
        <v>0</v>
      </c>
      <c r="K31" s="101">
        <f t="shared" si="5"/>
        <v>1870</v>
      </c>
    </row>
    <row r="32" spans="1:11" ht="3" customHeight="1" x14ac:dyDescent="0.25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3" customHeight="1" x14ac:dyDescent="0.25">
      <c r="A33" s="29"/>
      <c r="C33" s="104"/>
      <c r="D33" s="81"/>
      <c r="E33" s="81"/>
      <c r="F33" s="81"/>
      <c r="G33" s="81"/>
      <c r="H33" s="105"/>
      <c r="I33" s="104"/>
      <c r="J33" s="81"/>
      <c r="K33" s="133"/>
    </row>
    <row r="34" spans="1:11" ht="12" customHeight="1" x14ac:dyDescent="0.25">
      <c r="A34" s="29" t="s">
        <v>9</v>
      </c>
      <c r="C34" s="41">
        <f>GrossMargin!D35-[2]GrossMargin!D35</f>
        <v>0</v>
      </c>
      <c r="D34" s="42">
        <f>GrossMargin!E35-[2]GrossMargin!E35</f>
        <v>1246</v>
      </c>
      <c r="E34" s="42">
        <f>GrossMargin!F35-[2]GrossMargin!F35</f>
        <v>0</v>
      </c>
      <c r="F34" s="42">
        <f>GrossMargin!G35-[2]GrossMargin!G35</f>
        <v>0</v>
      </c>
      <c r="G34" s="42">
        <f>GrossMargin!H35-[2]GrossMargin!H35</f>
        <v>0</v>
      </c>
      <c r="H34" s="64">
        <f>SUM(C34:G34)</f>
        <v>1246</v>
      </c>
      <c r="I34" s="41"/>
      <c r="J34" s="42">
        <f>GrossMargin!K35-[2]GrossMargin!K35</f>
        <v>0</v>
      </c>
      <c r="K34" s="66">
        <f>SUM(H34:J34)</f>
        <v>1246</v>
      </c>
    </row>
    <row r="35" spans="1:11" ht="12" customHeight="1" x14ac:dyDescent="0.25">
      <c r="A35" s="29" t="s">
        <v>267</v>
      </c>
      <c r="C35" s="41">
        <f>GrossMargin!D36-[2]GrossMargin!D36</f>
        <v>0</v>
      </c>
      <c r="D35" s="42">
        <f>GrossMargin!E36-[2]GrossMargin!E36</f>
        <v>-347</v>
      </c>
      <c r="E35" s="42">
        <f>GrossMargin!F36-[2]GrossMargin!F36</f>
        <v>0</v>
      </c>
      <c r="F35" s="42">
        <f>GrossMargin!G36-[2]GrossMargin!G36</f>
        <v>0</v>
      </c>
      <c r="G35" s="42">
        <f>GrossMargin!H36-[2]GrossMargin!H36</f>
        <v>0</v>
      </c>
      <c r="H35" s="64">
        <f>SUM(C35:G35)</f>
        <v>-347</v>
      </c>
      <c r="I35" s="41"/>
      <c r="J35" s="42">
        <f>GrossMargin!K36-[2]GrossMargin!K36</f>
        <v>0</v>
      </c>
      <c r="K35" s="66">
        <f>SUM(H35:J35)</f>
        <v>-347</v>
      </c>
    </row>
    <row r="36" spans="1:11" ht="12" hidden="1" customHeight="1" x14ac:dyDescent="0.25">
      <c r="A36" s="45" t="s">
        <v>180</v>
      </c>
      <c r="C36" s="41">
        <f>GrossMargin!D37-[2]GrossMargin!D37</f>
        <v>0</v>
      </c>
      <c r="D36" s="42">
        <f>GrossMargin!E37-[2]GrossMargin!E37</f>
        <v>186</v>
      </c>
      <c r="E36" s="42">
        <f>GrossMargin!F37-[2]GrossMargin!F37</f>
        <v>-209</v>
      </c>
      <c r="F36" s="42">
        <f>GrossMargin!G37-[2]GrossMargin!G37</f>
        <v>0</v>
      </c>
      <c r="G36" s="42">
        <f>GrossMargin!H37-[2]GrossMargin!H37</f>
        <v>0</v>
      </c>
      <c r="H36" s="64">
        <f>SUM(C36:G36)</f>
        <v>-23</v>
      </c>
      <c r="I36" s="41"/>
      <c r="J36" s="42">
        <f>GrossMargin!K37-[2]GrossMargin!K37</f>
        <v>0</v>
      </c>
      <c r="K36" s="66">
        <f>SUM(H36:J36)</f>
        <v>-23</v>
      </c>
    </row>
    <row r="37" spans="1:11" ht="12" hidden="1" customHeight="1" x14ac:dyDescent="0.25">
      <c r="A37" s="45" t="s">
        <v>154</v>
      </c>
      <c r="C37" s="41">
        <f>GrossMargin!D38-[2]GrossMargin!D38</f>
        <v>0</v>
      </c>
      <c r="D37" s="42">
        <f>GrossMargin!E38-[2]GrossMargin!E38</f>
        <v>-1346</v>
      </c>
      <c r="E37" s="42">
        <f>GrossMargin!F38-[2]GrossMargin!F38</f>
        <v>873</v>
      </c>
      <c r="F37" s="42">
        <f>GrossMargin!G38-[2]GrossMargin!G38</f>
        <v>0</v>
      </c>
      <c r="G37" s="42">
        <f>GrossMargin!H38-[2]GrossMargin!H38</f>
        <v>0</v>
      </c>
      <c r="H37" s="64">
        <f>SUM(C37:G37)</f>
        <v>-473</v>
      </c>
      <c r="I37" s="41"/>
      <c r="J37" s="42">
        <f>GrossMargin!K38-[2]GrossMargin!K38</f>
        <v>0</v>
      </c>
      <c r="K37" s="66">
        <f>SUM(H37:J37)</f>
        <v>-473</v>
      </c>
    </row>
    <row r="38" spans="1:11" x14ac:dyDescent="0.25">
      <c r="A38" s="29" t="s">
        <v>154</v>
      </c>
      <c r="B38" s="29"/>
      <c r="C38" s="41">
        <f>GrossMargin!D39-[2]GrossMargin!D39</f>
        <v>0</v>
      </c>
      <c r="D38" s="42">
        <f>GrossMargin!E39-[2]GrossMargin!E39</f>
        <v>-1160</v>
      </c>
      <c r="E38" s="42">
        <f>GrossMargin!F39-[2]GrossMargin!F39</f>
        <v>664</v>
      </c>
      <c r="F38" s="42">
        <f>GrossMargin!G39-[2]GrossMargin!G39</f>
        <v>0</v>
      </c>
      <c r="G38" s="42">
        <f>GrossMargin!H39-[2]GrossMargin!H39</f>
        <v>0</v>
      </c>
      <c r="H38" s="64">
        <f>SUM(C38:G38)</f>
        <v>-496</v>
      </c>
      <c r="I38" s="41"/>
      <c r="J38" s="42">
        <f>GrossMargin!K39-[2]GrossMargin!K39</f>
        <v>0</v>
      </c>
      <c r="K38" s="66">
        <f>SUM(H38:J38)</f>
        <v>-496</v>
      </c>
    </row>
    <row r="39" spans="1:11" ht="3" customHeight="1" x14ac:dyDescent="0.25">
      <c r="A39" s="45"/>
      <c r="C39" s="46"/>
      <c r="D39" s="47"/>
      <c r="E39" s="47"/>
      <c r="F39" s="47"/>
      <c r="G39" s="47"/>
      <c r="H39" s="46"/>
      <c r="I39" s="46"/>
      <c r="J39" s="47"/>
      <c r="K39" s="132"/>
    </row>
    <row r="40" spans="1:11" s="90" customFormat="1" ht="12" customHeight="1" x14ac:dyDescent="0.25">
      <c r="A40" s="106" t="s">
        <v>87</v>
      </c>
      <c r="B40" s="91"/>
      <c r="C40" s="99">
        <f t="shared" ref="C40:K40" si="6">SUM(C34:C37)</f>
        <v>0</v>
      </c>
      <c r="D40" s="100">
        <f t="shared" si="6"/>
        <v>-261</v>
      </c>
      <c r="E40" s="100">
        <f t="shared" si="6"/>
        <v>664</v>
      </c>
      <c r="F40" s="100">
        <f t="shared" si="6"/>
        <v>0</v>
      </c>
      <c r="G40" s="100">
        <f t="shared" si="6"/>
        <v>0</v>
      </c>
      <c r="H40" s="99">
        <f t="shared" si="6"/>
        <v>403</v>
      </c>
      <c r="I40" s="99"/>
      <c r="J40" s="100">
        <f t="shared" si="6"/>
        <v>0</v>
      </c>
      <c r="K40" s="101">
        <f t="shared" si="6"/>
        <v>403</v>
      </c>
    </row>
    <row r="41" spans="1:11" ht="3" customHeight="1" x14ac:dyDescent="0.25">
      <c r="A41" s="29"/>
      <c r="C41" s="104"/>
      <c r="D41" s="81"/>
      <c r="E41" s="81"/>
      <c r="F41" s="81"/>
      <c r="G41" s="81"/>
      <c r="H41" s="105"/>
      <c r="I41" s="104"/>
      <c r="J41" s="81"/>
      <c r="K41" s="133"/>
    </row>
    <row r="42" spans="1:11" ht="12" customHeight="1" x14ac:dyDescent="0.25">
      <c r="A42" s="29" t="s">
        <v>8</v>
      </c>
      <c r="C42" s="41">
        <f>GrossMargin!D43-[2]GrossMargin!D43</f>
        <v>0</v>
      </c>
      <c r="D42" s="42">
        <f>GrossMargin!E43-[2]GrossMargin!E43</f>
        <v>0</v>
      </c>
      <c r="E42" s="42">
        <f>GrossMargin!F43-[2]GrossMargin!F43</f>
        <v>0</v>
      </c>
      <c r="F42" s="42">
        <f>GrossMargin!G43-[2]GrossMargin!G43</f>
        <v>0</v>
      </c>
      <c r="G42" s="42">
        <f>GrossMargin!H43-[2]GrossMargin!H43</f>
        <v>0</v>
      </c>
      <c r="H42" s="64">
        <f>SUM(C42:G42)</f>
        <v>0</v>
      </c>
      <c r="I42" s="41"/>
      <c r="J42" s="42">
        <f>GrossMargin!K43-[2]GrossMargin!K43</f>
        <v>0</v>
      </c>
      <c r="K42" s="66">
        <f>SUM(H42:J42)</f>
        <v>0</v>
      </c>
    </row>
    <row r="43" spans="1:11" ht="3" customHeight="1" x14ac:dyDescent="0.25">
      <c r="A43" s="29"/>
      <c r="C43" s="46"/>
      <c r="D43" s="47"/>
      <c r="E43" s="47"/>
      <c r="F43" s="47"/>
      <c r="G43" s="47"/>
      <c r="H43" s="46"/>
      <c r="I43" s="46"/>
      <c r="J43" s="47"/>
      <c r="K43" s="132"/>
    </row>
    <row r="44" spans="1:11" ht="12" customHeight="1" x14ac:dyDescent="0.25">
      <c r="A44" s="29" t="s">
        <v>7</v>
      </c>
      <c r="C44" s="41">
        <f>GrossMargin!D45-[2]GrossMargin!D45</f>
        <v>0</v>
      </c>
      <c r="D44" s="42">
        <f>GrossMargin!E45-[2]GrossMargin!E45</f>
        <v>0</v>
      </c>
      <c r="E44" s="42">
        <f>GrossMargin!F45-[2]GrossMargin!F45</f>
        <v>0</v>
      </c>
      <c r="F44" s="42">
        <f>GrossMargin!G45-[2]GrossMargin!G45</f>
        <v>0</v>
      </c>
      <c r="G44" s="42">
        <f>GrossMargin!H45-[2]GrossMargin!H45</f>
        <v>0</v>
      </c>
      <c r="H44" s="64">
        <f>SUM(C44:G44)</f>
        <v>0</v>
      </c>
      <c r="I44" s="41"/>
      <c r="J44" s="42">
        <f>GrossMargin!K45-[2]GrossMargin!K45</f>
        <v>0</v>
      </c>
      <c r="K44" s="66">
        <f>SUM(H44:J44)</f>
        <v>0</v>
      </c>
    </row>
    <row r="45" spans="1:11" ht="3" customHeight="1" x14ac:dyDescent="0.25">
      <c r="A45" s="76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5">
      <c r="A46" s="29" t="s">
        <v>18</v>
      </c>
      <c r="C46" s="41">
        <f>GrossMargin!D47-[2]GrossMargin!D47</f>
        <v>0</v>
      </c>
      <c r="D46" s="42">
        <f>GrossMargin!E47-[2]GrossMargin!E47</f>
        <v>0</v>
      </c>
      <c r="E46" s="42">
        <f>GrossMargin!F47-[2]GrossMargin!F47</f>
        <v>-140</v>
      </c>
      <c r="F46" s="42">
        <f>GrossMargin!G47-[2]GrossMargin!G47</f>
        <v>0</v>
      </c>
      <c r="G46" s="42">
        <f>GrossMargin!H47-[2]GrossMargin!H47</f>
        <v>0</v>
      </c>
      <c r="H46" s="64">
        <f>SUM(C46:G46)</f>
        <v>-140</v>
      </c>
      <c r="I46" s="41"/>
      <c r="J46" s="42">
        <f>GrossMargin!K47-[2]GrossMargin!K47</f>
        <v>0</v>
      </c>
      <c r="K46" s="66">
        <f>SUM(H46:J46)</f>
        <v>-140</v>
      </c>
    </row>
    <row r="47" spans="1:11" ht="3" customHeight="1" x14ac:dyDescent="0.25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5">
      <c r="A48" s="29" t="s">
        <v>19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GrossMargin!G49-[2]GrossMargin!G49</f>
        <v>0</v>
      </c>
      <c r="G48" s="42">
        <f>GrossMargin!H49-[2]GrossMargin!H49</f>
        <v>0</v>
      </c>
      <c r="H48" s="64">
        <f>SUM(C48:G48)</f>
        <v>0</v>
      </c>
      <c r="I48" s="41"/>
      <c r="J48" s="42">
        <f>GrossMargin!K49-[2]GrossMargin!K49</f>
        <v>0</v>
      </c>
      <c r="K48" s="66">
        <f>SUM(H48:J48)</f>
        <v>0</v>
      </c>
    </row>
    <row r="49" spans="1:14" ht="3" customHeight="1" x14ac:dyDescent="0.25">
      <c r="A49" s="29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25">
      <c r="A50" s="75" t="s">
        <v>14</v>
      </c>
      <c r="C50" s="95">
        <f t="shared" ref="C50:H50" si="7">SUM(C40:C48)+C19+C31</f>
        <v>70138</v>
      </c>
      <c r="D50" s="96">
        <f t="shared" si="7"/>
        <v>-1095</v>
      </c>
      <c r="E50" s="96">
        <f t="shared" si="7"/>
        <v>826</v>
      </c>
      <c r="F50" s="96">
        <f t="shared" si="7"/>
        <v>1879</v>
      </c>
      <c r="G50" s="96">
        <f t="shared" si="7"/>
        <v>0</v>
      </c>
      <c r="H50" s="95">
        <f t="shared" si="7"/>
        <v>71748</v>
      </c>
      <c r="I50" s="95"/>
      <c r="J50" s="96">
        <f>SUM(J40:J48)+J19+J31</f>
        <v>0</v>
      </c>
      <c r="K50" s="97">
        <f>SUM(K40:K48)+K19+K31</f>
        <v>71748</v>
      </c>
    </row>
    <row r="51" spans="1:14" ht="3" customHeight="1" x14ac:dyDescent="0.25">
      <c r="A51" s="48"/>
      <c r="C51" s="49"/>
      <c r="D51" s="50"/>
      <c r="E51" s="50"/>
      <c r="F51" s="50"/>
      <c r="G51" s="50"/>
      <c r="H51" s="49"/>
      <c r="I51" s="49"/>
      <c r="J51" s="50"/>
      <c r="K51" s="51"/>
    </row>
    <row r="52" spans="1:14" x14ac:dyDescent="0.25">
      <c r="A52" s="27" t="s">
        <v>141</v>
      </c>
      <c r="C52" s="44"/>
      <c r="D52" s="44"/>
      <c r="E52" s="44"/>
      <c r="F52" s="44"/>
      <c r="G52" s="44"/>
      <c r="H52" s="44"/>
      <c r="I52" s="44"/>
      <c r="J52" s="44"/>
      <c r="K52" s="44"/>
    </row>
    <row r="53" spans="1:14" hidden="1" x14ac:dyDescent="0.25">
      <c r="C53" s="44"/>
      <c r="D53" s="74"/>
      <c r="E53" s="138" t="s">
        <v>76</v>
      </c>
      <c r="F53" s="40"/>
      <c r="G53" s="164" t="s">
        <v>269</v>
      </c>
      <c r="H53" s="164"/>
      <c r="I53" s="136"/>
      <c r="J53" s="42"/>
      <c r="K53" s="44"/>
      <c r="L53" s="38"/>
      <c r="M53" s="186"/>
      <c r="N53" s="38"/>
    </row>
    <row r="54" spans="1:14" hidden="1" x14ac:dyDescent="0.25">
      <c r="C54" s="44" t="s">
        <v>300</v>
      </c>
      <c r="D54" s="74"/>
      <c r="E54" s="138" t="s">
        <v>111</v>
      </c>
      <c r="F54" s="40"/>
      <c r="G54" s="164"/>
      <c r="H54" s="187"/>
      <c r="I54" s="136"/>
      <c r="J54" s="42"/>
      <c r="K54" s="44"/>
      <c r="L54" s="38"/>
      <c r="M54" s="186"/>
      <c r="N54" s="38"/>
    </row>
    <row r="55" spans="1:14" hidden="1" x14ac:dyDescent="0.25">
      <c r="C55" s="44" t="s">
        <v>301</v>
      </c>
      <c r="D55" s="74"/>
      <c r="E55" s="138" t="s">
        <v>75</v>
      </c>
      <c r="F55" s="191"/>
      <c r="G55" s="164" t="s">
        <v>53</v>
      </c>
      <c r="H55" s="187"/>
      <c r="I55" s="136"/>
      <c r="J55" s="42"/>
      <c r="K55" s="44"/>
      <c r="L55" s="38"/>
      <c r="M55" s="186"/>
      <c r="N55" s="38"/>
    </row>
    <row r="56" spans="1:14" hidden="1" x14ac:dyDescent="0.25">
      <c r="D56" s="39"/>
      <c r="E56" s="138" t="s">
        <v>77</v>
      </c>
      <c r="F56" s="40"/>
      <c r="G56" s="187"/>
      <c r="H56" s="187"/>
      <c r="I56" s="136"/>
      <c r="J56" s="38"/>
      <c r="L56" s="38"/>
      <c r="M56" s="186"/>
      <c r="N56" s="38"/>
    </row>
    <row r="57" spans="1:14" ht="4.5" hidden="1" customHeight="1" x14ac:dyDescent="0.25">
      <c r="D57" s="52"/>
      <c r="E57" s="54"/>
      <c r="F57" s="53"/>
      <c r="G57" s="53"/>
      <c r="H57" s="53"/>
      <c r="I57" s="51"/>
      <c r="J57" s="38"/>
      <c r="L57" s="38"/>
      <c r="M57" s="186"/>
      <c r="N57" s="38"/>
    </row>
    <row r="58" spans="1:14" ht="13.5" hidden="1" thickBot="1" x14ac:dyDescent="0.3">
      <c r="I58" s="137">
        <f>SUM(I53:I57)</f>
        <v>0</v>
      </c>
      <c r="J58" s="135" t="str">
        <f>IF(I58=I50,"","error")</f>
        <v/>
      </c>
      <c r="L58" s="38"/>
      <c r="M58" s="38" t="s">
        <v>299</v>
      </c>
      <c r="N58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8"/>
  <sheetViews>
    <sheetView topLeftCell="A38" workbookViewId="0">
      <selection activeCell="A51" sqref="A51"/>
    </sheetView>
  </sheetViews>
  <sheetFormatPr defaultRowHeight="12.75" x14ac:dyDescent="0.25"/>
  <cols>
    <col min="1" max="1" width="16.85546875" style="25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17" width="9.7109375" style="27" customWidth="1"/>
    <col min="18" max="21" width="9.7109375" style="27" hidden="1" customWidth="1"/>
    <col min="22" max="32" width="0" style="27" hidden="1" customWidth="1"/>
    <col min="33" max="16384" width="9.140625" style="27"/>
  </cols>
  <sheetData>
    <row r="1" spans="1:20" ht="12.75" hidden="1" customHeight="1" x14ac:dyDescent="0.25">
      <c r="A1" s="25" t="s">
        <v>102</v>
      </c>
    </row>
    <row r="2" spans="1:20" ht="15.75" x14ac:dyDescent="0.25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6.5" x14ac:dyDescent="0.3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5" x14ac:dyDescent="0.25">
      <c r="A4" s="25" t="s">
        <v>47</v>
      </c>
      <c r="B4" s="319" t="str">
        <f>'Old Mgmt Summary'!A3</f>
        <v>Results based on Activity through June 8,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5">
      <c r="B5" s="38"/>
    </row>
    <row r="6" spans="1:20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5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5">
      <c r="A10" s="25" t="s">
        <v>231</v>
      </c>
      <c r="B10" s="29" t="s">
        <v>3</v>
      </c>
      <c r="D10" s="59">
        <v>206743</v>
      </c>
      <c r="E10" s="60"/>
      <c r="F10" s="60"/>
      <c r="G10" s="60"/>
      <c r="H10" s="60"/>
      <c r="I10" s="60"/>
      <c r="J10" s="103">
        <f>SUM(D10:I10)</f>
        <v>206743</v>
      </c>
      <c r="K10" s="59"/>
      <c r="L10" s="60"/>
      <c r="M10" s="60">
        <f t="shared" ref="M10:M18" si="0">SUM(J10:L10)</f>
        <v>206743</v>
      </c>
      <c r="N10" s="60">
        <f>ROUND(_xll.HPVAL($A10,$A$1,$A$2,$A$3,$A$4,$A$6)/1000,0)</f>
        <v>41497</v>
      </c>
      <c r="O10" s="82">
        <f>M10-N10</f>
        <v>165246</v>
      </c>
      <c r="R10" s="73">
        <f>N10-Expenses!E9-'CapChrg-AllocExp'!E10</f>
        <v>38285</v>
      </c>
      <c r="S10" s="73">
        <f>J10+K10-Expenses!D9-'CapChrg-AllocExp'!D10</f>
        <v>201556</v>
      </c>
      <c r="T10" s="73">
        <f>R10-S10</f>
        <v>-163271</v>
      </c>
    </row>
    <row r="11" spans="1:20" ht="12" customHeight="1" x14ac:dyDescent="0.25">
      <c r="A11" s="25" t="s">
        <v>42</v>
      </c>
      <c r="B11" s="29" t="s">
        <v>272</v>
      </c>
      <c r="D11" s="41">
        <v>46648</v>
      </c>
      <c r="E11" s="42"/>
      <c r="F11" s="42"/>
      <c r="G11" s="42"/>
      <c r="H11" s="42"/>
      <c r="I11" s="42"/>
      <c r="J11" s="64">
        <f>SUM(D11:I11)</f>
        <v>46648</v>
      </c>
      <c r="K11" s="41"/>
      <c r="L11" s="42"/>
      <c r="M11" s="42">
        <f>SUM(J11:L11)</f>
        <v>46648</v>
      </c>
      <c r="N11" s="42">
        <f>ROUND(_xll.HPVAL($A11,$A$1,$A$2,$A$3,$A$4,$A$6)/1000,0)</f>
        <v>7570</v>
      </c>
      <c r="O11" s="83">
        <f>M11-N11</f>
        <v>39078</v>
      </c>
      <c r="R11" s="44" t="e">
        <f>N11-Expenses!#REF!-'CapChrg-AllocExp'!#REF!</f>
        <v>#REF!</v>
      </c>
      <c r="S11" s="44" t="e">
        <f>J11+K11-Expenses!#REF!-'CapChrg-AllocExp'!#REF!</f>
        <v>#REF!</v>
      </c>
      <c r="T11" s="44" t="e">
        <f>R11-S11</f>
        <v>#REF!</v>
      </c>
    </row>
    <row r="12" spans="1:20" ht="12" customHeight="1" x14ac:dyDescent="0.25">
      <c r="A12" s="25" t="s">
        <v>105</v>
      </c>
      <c r="B12" s="29" t="s">
        <v>106</v>
      </c>
      <c r="D12" s="41">
        <v>138753</v>
      </c>
      <c r="E12" s="42"/>
      <c r="F12" s="42"/>
      <c r="G12" s="42"/>
      <c r="H12" s="42"/>
      <c r="I12" s="42"/>
      <c r="J12" s="64">
        <f t="shared" ref="J12:J18" si="1">SUM(D12:I12)</f>
        <v>138753</v>
      </c>
      <c r="K12" s="41"/>
      <c r="L12" s="42"/>
      <c r="M12" s="42">
        <f t="shared" si="0"/>
        <v>138753</v>
      </c>
      <c r="N12" s="42">
        <f>ROUND(_xll.HPVAL($A12,$A$1,$A$2,$A$3,$A$4,$A$6)/1000,0)+Expenses!E56</f>
        <v>67236</v>
      </c>
      <c r="O12" s="83">
        <f t="shared" ref="O12:O18" si="2">M12-N12</f>
        <v>71517</v>
      </c>
      <c r="R12" s="44">
        <f>N12-Expenses!E11-'CapChrg-AllocExp'!E12</f>
        <v>53733</v>
      </c>
      <c r="S12" s="44">
        <f>J12+K12-Expenses!D11-'CapChrg-AllocExp'!D12</f>
        <v>131230</v>
      </c>
      <c r="T12" s="44">
        <f t="shared" ref="T12:T18" si="3">R12-S12</f>
        <v>-77497</v>
      </c>
    </row>
    <row r="13" spans="1:20" ht="12" customHeight="1" x14ac:dyDescent="0.25">
      <c r="A13" s="25" t="s">
        <v>27</v>
      </c>
      <c r="B13" s="29" t="s">
        <v>132</v>
      </c>
      <c r="D13" s="41">
        <v>27181</v>
      </c>
      <c r="E13" s="42"/>
      <c r="F13" s="42"/>
      <c r="G13" s="42"/>
      <c r="H13" s="42"/>
      <c r="I13" s="42"/>
      <c r="J13" s="64">
        <f>SUM(D13:I13)</f>
        <v>27181</v>
      </c>
      <c r="K13" s="41"/>
      <c r="L13" s="42"/>
      <c r="M13" s="42">
        <f t="shared" si="0"/>
        <v>27181</v>
      </c>
      <c r="N13" s="42">
        <f>ROUND((_xll.HPVAL($A13,$A$1,"other",$A$3,$A$4,$A$6)+_xll.HPVAL($A13,$A$1,"overview",$A$3,$A$4,$A$6))/1000,0)</f>
        <v>22402</v>
      </c>
      <c r="O13" s="83">
        <f t="shared" si="2"/>
        <v>4779</v>
      </c>
      <c r="R13" s="44">
        <f>N13-Expenses!E12-'CapChrg-AllocExp'!E13</f>
        <v>21747</v>
      </c>
      <c r="S13" s="44">
        <f>J13+K13-Expenses!D12-'CapChrg-AllocExp'!D13</f>
        <v>26118</v>
      </c>
      <c r="T13" s="44">
        <f t="shared" si="3"/>
        <v>-4371</v>
      </c>
    </row>
    <row r="14" spans="1:20" ht="12" customHeight="1" x14ac:dyDescent="0.25">
      <c r="A14" s="25" t="s">
        <v>134</v>
      </c>
      <c r="B14" s="29" t="s">
        <v>133</v>
      </c>
      <c r="D14" s="41">
        <f>1111+10329-1849</f>
        <v>9591</v>
      </c>
      <c r="E14" s="42"/>
      <c r="F14" s="42"/>
      <c r="G14" s="42"/>
      <c r="H14" s="42"/>
      <c r="I14" s="42"/>
      <c r="J14" s="64">
        <f>SUM(D14:I14)</f>
        <v>9591</v>
      </c>
      <c r="K14" s="41"/>
      <c r="L14" s="42"/>
      <c r="M14" s="42">
        <f>SUM(J14:L14)</f>
        <v>9591</v>
      </c>
      <c r="N14" s="42">
        <f>ROUND(_xll.HPVAL($A14,$A$1,$A$2,$A$3,$A$4,$A$6)/1000,0)-N13</f>
        <v>11447</v>
      </c>
      <c r="O14" s="83">
        <f>M14-N14</f>
        <v>-1856</v>
      </c>
      <c r="R14" s="44">
        <f>N14-Expenses!E13-'CapChrg-AllocExp'!E14</f>
        <v>10005</v>
      </c>
      <c r="S14" s="44">
        <f>J14+K14-Expenses!D13-'CapChrg-AllocExp'!D14</f>
        <v>8157</v>
      </c>
      <c r="T14" s="44">
        <f>R14-S14</f>
        <v>1848</v>
      </c>
    </row>
    <row r="15" spans="1:20" ht="12" customHeight="1" x14ac:dyDescent="0.25">
      <c r="A15" s="25" t="s">
        <v>74</v>
      </c>
      <c r="B15" s="29" t="s">
        <v>251</v>
      </c>
      <c r="D15" s="41">
        <f>15424-230</f>
        <v>15194</v>
      </c>
      <c r="E15" s="81"/>
      <c r="F15" s="81"/>
      <c r="G15" s="81"/>
      <c r="H15" s="42"/>
      <c r="I15" s="42"/>
      <c r="J15" s="64">
        <f>SUM(D15:I15)</f>
        <v>15194</v>
      </c>
      <c r="K15" s="41"/>
      <c r="L15" s="42"/>
      <c r="M15" s="42">
        <f t="shared" si="0"/>
        <v>15194</v>
      </c>
      <c r="N15" s="42">
        <v>11556</v>
      </c>
      <c r="O15" s="83">
        <f t="shared" si="2"/>
        <v>3638</v>
      </c>
      <c r="R15" s="44">
        <f>N15-Expenses!E14-'CapChrg-AllocExp'!E15</f>
        <v>9704</v>
      </c>
      <c r="S15" s="44">
        <f>J15+K15-Expenses!D14-'CapChrg-AllocExp'!D15</f>
        <v>14047</v>
      </c>
      <c r="T15" s="44">
        <f t="shared" si="3"/>
        <v>-4343</v>
      </c>
    </row>
    <row r="16" spans="1:20" ht="12" customHeight="1" x14ac:dyDescent="0.25">
      <c r="A16" s="25" t="s">
        <v>28</v>
      </c>
      <c r="B16" s="29" t="s">
        <v>275</v>
      </c>
      <c r="D16" s="41">
        <v>1086</v>
      </c>
      <c r="E16" s="42"/>
      <c r="F16" s="42"/>
      <c r="G16" s="42"/>
      <c r="H16" s="42"/>
      <c r="I16" s="42"/>
      <c r="J16" s="64">
        <f t="shared" si="1"/>
        <v>1086</v>
      </c>
      <c r="K16" s="41"/>
      <c r="L16" s="42"/>
      <c r="M16" s="42">
        <f t="shared" si="0"/>
        <v>1086</v>
      </c>
      <c r="N16" s="42">
        <f>ROUND(_xll.HPVAL($A16,$A$1,$A$2,$A$3,$A$4,$A$6)/1000,0)-1212-5000</f>
        <v>6535</v>
      </c>
      <c r="O16" s="83">
        <f t="shared" si="2"/>
        <v>-5449</v>
      </c>
      <c r="R16" s="44">
        <f>N16-Expenses!E15-'CapChrg-AllocExp'!E16</f>
        <v>5311</v>
      </c>
      <c r="S16" s="44">
        <f>J16+K16-Expenses!D15-'CapChrg-AllocExp'!D16</f>
        <v>-138</v>
      </c>
      <c r="T16" s="44">
        <f t="shared" si="3"/>
        <v>5449</v>
      </c>
    </row>
    <row r="17" spans="1:20" ht="12" customHeight="1" x14ac:dyDescent="0.25">
      <c r="A17" s="25" t="s">
        <v>30</v>
      </c>
      <c r="B17" s="29" t="s">
        <v>155</v>
      </c>
      <c r="D17" s="41">
        <v>2608</v>
      </c>
      <c r="E17" s="42"/>
      <c r="F17" s="42"/>
      <c r="G17" s="42"/>
      <c r="H17" s="42"/>
      <c r="I17" s="42"/>
      <c r="J17" s="64">
        <f t="shared" si="1"/>
        <v>2608</v>
      </c>
      <c r="K17" s="41"/>
      <c r="L17" s="42"/>
      <c r="M17" s="42">
        <f t="shared" si="0"/>
        <v>2608</v>
      </c>
      <c r="N17" s="42">
        <f>ROUND(_xll.HPVAL($A17,$A$1,$A$2,$A$3,$A$4,$A$6)/1000,0)</f>
        <v>3215</v>
      </c>
      <c r="O17" s="83">
        <f t="shared" si="2"/>
        <v>-607</v>
      </c>
      <c r="R17" s="44">
        <f>N17-Expenses!E16-'CapChrg-AllocExp'!E17</f>
        <v>2323</v>
      </c>
      <c r="S17" s="44">
        <f>J17+K17-Expenses!D16-'CapChrg-AllocExp'!D17</f>
        <v>1716</v>
      </c>
      <c r="T17" s="44">
        <f t="shared" si="3"/>
        <v>607</v>
      </c>
    </row>
    <row r="18" spans="1:20" ht="12" customHeight="1" x14ac:dyDescent="0.25">
      <c r="A18" s="25" t="s">
        <v>4</v>
      </c>
      <c r="B18" s="29" t="s">
        <v>107</v>
      </c>
      <c r="D18" s="41">
        <v>-3689</v>
      </c>
      <c r="E18" s="42"/>
      <c r="F18" s="42"/>
      <c r="G18" s="42"/>
      <c r="H18" s="42"/>
      <c r="I18" s="42"/>
      <c r="J18" s="64">
        <f t="shared" si="1"/>
        <v>-3689</v>
      </c>
      <c r="K18" s="41"/>
      <c r="L18" s="42"/>
      <c r="M18" s="42">
        <f t="shared" si="0"/>
        <v>-3689</v>
      </c>
      <c r="N18" s="42">
        <f>ROUND(_xll.HPVAL($A18,$A$1,$A$2,$A$3,$A$4,$A$6)/1000,0)</f>
        <v>750</v>
      </c>
      <c r="O18" s="83">
        <f t="shared" si="2"/>
        <v>-4439</v>
      </c>
      <c r="R18" s="44">
        <f>N18-Expenses!E17-'CapChrg-AllocExp'!E18</f>
        <v>646</v>
      </c>
      <c r="S18" s="44">
        <f>J18+K18-Expenses!D17-'CapChrg-AllocExp'!D18</f>
        <v>-3793</v>
      </c>
      <c r="T18" s="44">
        <f t="shared" si="3"/>
        <v>4439</v>
      </c>
    </row>
    <row r="19" spans="1:20" ht="3" customHeight="1" x14ac:dyDescent="0.25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25">
      <c r="B20" s="106" t="s">
        <v>6</v>
      </c>
      <c r="C20" s="91"/>
      <c r="D20" s="99">
        <f>SUM(D10:D18)</f>
        <v>444115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444115</v>
      </c>
      <c r="K20" s="99">
        <f t="shared" si="4"/>
        <v>0</v>
      </c>
      <c r="L20" s="100">
        <f t="shared" si="4"/>
        <v>0</v>
      </c>
      <c r="M20" s="100">
        <f t="shared" si="4"/>
        <v>444115</v>
      </c>
      <c r="N20" s="100">
        <f t="shared" si="4"/>
        <v>172208</v>
      </c>
      <c r="O20" s="102">
        <f t="shared" si="4"/>
        <v>271907</v>
      </c>
      <c r="R20" s="100" t="e">
        <f>SUM(R10:R18)</f>
        <v>#REF!</v>
      </c>
      <c r="S20" s="100" t="e">
        <f>SUM(S10:S18)</f>
        <v>#REF!</v>
      </c>
      <c r="T20" s="100" t="e">
        <f>SUM(T10:T18)</f>
        <v>#REF!</v>
      </c>
    </row>
    <row r="21" spans="1:20" ht="3" customHeight="1" x14ac:dyDescent="0.25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0" si="5">SUM(D22:I22)</f>
        <v>0</v>
      </c>
      <c r="K22" s="41"/>
      <c r="L22" s="42"/>
      <c r="M22" s="42">
        <f t="shared" ref="M22:M30" si="6">SUM(J22:L22)</f>
        <v>0</v>
      </c>
      <c r="N22" s="42">
        <f>ROUND(_xll.HPVAL($A22,$A$1,$A$2,$A$3,$A$4,$A$6)/1000,0)</f>
        <v>20493</v>
      </c>
      <c r="O22" s="83">
        <f t="shared" ref="O22:O30" si="7">M22-N22</f>
        <v>-20493</v>
      </c>
      <c r="R22" s="134">
        <f>N22-Expenses!E20-'CapChrg-AllocExp'!E21</f>
        <v>15524</v>
      </c>
      <c r="S22" s="134">
        <f>J22+K22-Expenses!D20-'CapChrg-AllocExp'!D21</f>
        <v>-9051</v>
      </c>
      <c r="T22" s="44">
        <f>R22-S22</f>
        <v>24575</v>
      </c>
    </row>
    <row r="23" spans="1:20" ht="12" customHeight="1" x14ac:dyDescent="0.25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>
        <f>ROUND(_xll.HPVAL($A23,$A$1,$A$2,$A$3,$A$4,$A$6)/1000,0)</f>
        <v>13235</v>
      </c>
      <c r="O23" s="83">
        <f t="shared" si="7"/>
        <v>-12729</v>
      </c>
      <c r="R23" s="44">
        <f>N23-Expenses!E21-'CapChrg-AllocExp'!E22</f>
        <v>8273</v>
      </c>
      <c r="S23" s="44">
        <f>J23+K23-Expenses!D21-'CapChrg-AllocExp'!D22</f>
        <v>-5647</v>
      </c>
      <c r="T23" s="44">
        <f>R23-S23</f>
        <v>13920</v>
      </c>
    </row>
    <row r="24" spans="1:20" ht="12" customHeight="1" x14ac:dyDescent="0.25">
      <c r="A24" s="25" t="s">
        <v>230</v>
      </c>
      <c r="B24" s="29" t="s">
        <v>229</v>
      </c>
      <c r="D24" s="41">
        <f>2656+74</f>
        <v>2730</v>
      </c>
      <c r="E24" s="42">
        <f>-76-38</f>
        <v>-114</v>
      </c>
      <c r="F24" s="42">
        <v>0</v>
      </c>
      <c r="G24" s="42"/>
      <c r="H24" s="42"/>
      <c r="I24" s="42"/>
      <c r="J24" s="64">
        <f t="shared" si="5"/>
        <v>2616</v>
      </c>
      <c r="K24" s="41"/>
      <c r="L24" s="42"/>
      <c r="M24" s="42">
        <f t="shared" si="6"/>
        <v>2616</v>
      </c>
      <c r="N24" s="42">
        <f>ROUND(_xll.HPVAL($A24,$A$1,$A$2,$A$3,$A$4,$A$6)/1000,0)</f>
        <v>22861</v>
      </c>
      <c r="O24" s="83">
        <f t="shared" si="7"/>
        <v>-20245</v>
      </c>
      <c r="R24" s="44">
        <f>N24-Expenses!E22-'CapChrg-AllocExp'!E23</f>
        <v>16415</v>
      </c>
      <c r="S24" s="44">
        <f>J24+K24-Expenses!D22-'CapChrg-AllocExp'!D23</f>
        <v>-2853</v>
      </c>
      <c r="T24" s="44">
        <f>R24-S24</f>
        <v>19268</v>
      </c>
    </row>
    <row r="25" spans="1:20" ht="12" customHeight="1" x14ac:dyDescent="0.25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>
        <f>ROUND(_xll.HPVAL($A25,$A$1,$A$2,$A$3,$A$4,$A$6)/1000,0)</f>
        <v>18711</v>
      </c>
      <c r="O25" s="83">
        <f>M25-N25</f>
        <v>-2561</v>
      </c>
      <c r="R25" s="44" t="e">
        <f>N25-Expenses!#REF!-'CapChrg-AllocExp'!#REF!</f>
        <v>#REF!</v>
      </c>
      <c r="S25" s="44" t="e">
        <f>J25+K25-Expenses!#REF!-'CapChrg-AllocExp'!#REF!</f>
        <v>#REF!</v>
      </c>
      <c r="T25" s="44" t="e">
        <f>R25-S25</f>
        <v>#REF!</v>
      </c>
    </row>
    <row r="26" spans="1:20" ht="12" customHeight="1" x14ac:dyDescent="0.25">
      <c r="B26" s="29" t="s">
        <v>263</v>
      </c>
      <c r="D26" s="41"/>
      <c r="E26" s="81">
        <v>182</v>
      </c>
      <c r="F26" s="81">
        <v>115</v>
      </c>
      <c r="G26" s="81"/>
      <c r="H26" s="42"/>
      <c r="I26" s="42"/>
      <c r="J26" s="64">
        <f t="shared" si="5"/>
        <v>297</v>
      </c>
      <c r="K26" s="41"/>
      <c r="L26" s="42"/>
      <c r="M26" s="42">
        <f t="shared" si="6"/>
        <v>297</v>
      </c>
      <c r="N26" s="42">
        <f>12747-6468-67</f>
        <v>6212</v>
      </c>
      <c r="O26" s="83">
        <f t="shared" si="7"/>
        <v>-5915</v>
      </c>
      <c r="R26" s="44"/>
      <c r="S26" s="44"/>
      <c r="T26" s="44"/>
    </row>
    <row r="27" spans="1:20" ht="12" customHeight="1" x14ac:dyDescent="0.25">
      <c r="A27" s="25" t="s">
        <v>253</v>
      </c>
      <c r="B27" s="29" t="s">
        <v>252</v>
      </c>
      <c r="D27" s="41">
        <v>230</v>
      </c>
      <c r="E27" s="81">
        <v>1901</v>
      </c>
      <c r="F27" s="81"/>
      <c r="G27" s="81"/>
      <c r="H27" s="42">
        <f>6470-230</f>
        <v>6240</v>
      </c>
      <c r="I27" s="42"/>
      <c r="J27" s="64">
        <f t="shared" si="5"/>
        <v>8371</v>
      </c>
      <c r="K27" s="41"/>
      <c r="L27" s="42"/>
      <c r="M27" s="42">
        <f t="shared" si="6"/>
        <v>8371</v>
      </c>
      <c r="N27" s="42">
        <v>11556</v>
      </c>
      <c r="O27" s="83">
        <f t="shared" si="7"/>
        <v>-3185</v>
      </c>
      <c r="R27" s="44"/>
      <c r="S27" s="44"/>
      <c r="T27" s="44"/>
    </row>
    <row r="28" spans="1:20" ht="12" customHeight="1" x14ac:dyDescent="0.25">
      <c r="A28" s="25" t="s">
        <v>41</v>
      </c>
      <c r="B28" s="29" t="s">
        <v>248</v>
      </c>
      <c r="D28" s="41">
        <v>2102</v>
      </c>
      <c r="E28" s="42">
        <v>115</v>
      </c>
      <c r="F28" s="42">
        <v>16766</v>
      </c>
      <c r="G28" s="42"/>
      <c r="H28" s="42">
        <v>5850</v>
      </c>
      <c r="I28" s="42"/>
      <c r="J28" s="64">
        <f>SUM(D28:I28)</f>
        <v>24833</v>
      </c>
      <c r="K28" s="41"/>
      <c r="L28" s="42"/>
      <c r="M28" s="42">
        <f>SUM(J28:L28)</f>
        <v>24833</v>
      </c>
      <c r="N28" s="42">
        <f>ROUND(_xll.HPVAL($A28,$A$1,$A$2,$A$3,$A$4,$A$6)/1000,0)+Expenses!E57</f>
        <v>30859</v>
      </c>
      <c r="O28" s="83">
        <f>M28-N28</f>
        <v>-6026</v>
      </c>
      <c r="R28" s="44" t="e">
        <f>N28-Expenses!#REF!-Expenses!E51-'CapChrg-AllocExp'!#REF!</f>
        <v>#REF!</v>
      </c>
      <c r="S28" s="44" t="e">
        <f>J28+K28-Expenses!#REF!-Expenses!D51-'CapChrg-AllocExp'!#REF!</f>
        <v>#REF!</v>
      </c>
      <c r="T28" s="44" t="e">
        <f>R28-S28</f>
        <v>#REF!</v>
      </c>
    </row>
    <row r="29" spans="1:20" ht="12" customHeight="1" x14ac:dyDescent="0.25">
      <c r="A29" s="25" t="s">
        <v>73</v>
      </c>
      <c r="B29" s="29" t="s">
        <v>156</v>
      </c>
      <c r="D29" s="41"/>
      <c r="E29" s="42"/>
      <c r="F29" s="42"/>
      <c r="G29" s="42"/>
      <c r="H29" s="42">
        <v>653</v>
      </c>
      <c r="I29" s="42"/>
      <c r="J29" s="64">
        <f t="shared" si="5"/>
        <v>653</v>
      </c>
      <c r="K29" s="41"/>
      <c r="L29" s="42"/>
      <c r="M29" s="42">
        <f t="shared" si="6"/>
        <v>653</v>
      </c>
      <c r="N29" s="42">
        <f>ROUND(_xll.HPVAL($A29,$A$1,$A$2,$A$3,$A$4,$A$6)/1000,0)</f>
        <v>7712</v>
      </c>
      <c r="O29" s="83">
        <f t="shared" si="7"/>
        <v>-7059</v>
      </c>
      <c r="R29" s="44" t="e">
        <f>N29-Expenses!#REF!-'CapChrg-AllocExp'!#REF!</f>
        <v>#REF!</v>
      </c>
      <c r="S29" s="44" t="e">
        <f>J29+K29-Expenses!#REF!-'CapChrg-AllocExp'!#REF!</f>
        <v>#REF!</v>
      </c>
      <c r="T29" s="44" t="e">
        <f>R29-S29</f>
        <v>#REF!</v>
      </c>
    </row>
    <row r="30" spans="1:20" ht="12" customHeight="1" x14ac:dyDescent="0.25">
      <c r="A30" s="25" t="s">
        <v>36</v>
      </c>
      <c r="B30" s="29" t="s">
        <v>0</v>
      </c>
      <c r="D30" s="41"/>
      <c r="E30" s="42"/>
      <c r="F30" s="42"/>
      <c r="G30" s="42"/>
      <c r="H30" s="42"/>
      <c r="I30" s="42"/>
      <c r="J30" s="64">
        <f t="shared" si="5"/>
        <v>0</v>
      </c>
      <c r="K30" s="41"/>
      <c r="L30" s="42"/>
      <c r="M30" s="42">
        <f t="shared" si="6"/>
        <v>0</v>
      </c>
      <c r="N30" s="42">
        <f>ROUND(_xll.HPVAL($A30,$A$1,$A$2,$A$3,$A$4,$A$6)/1000,0)</f>
        <v>4656</v>
      </c>
      <c r="O30" s="83">
        <f t="shared" si="7"/>
        <v>-4656</v>
      </c>
      <c r="R30" s="44">
        <f>N30-Expenses!E28-'CapChrg-AllocExp'!E29</f>
        <v>2651</v>
      </c>
      <c r="S30" s="44">
        <f>J30+K30-Expenses!D28-'CapChrg-AllocExp'!D29</f>
        <v>-1616</v>
      </c>
      <c r="T30" s="44">
        <f>R30-S30</f>
        <v>4267</v>
      </c>
    </row>
    <row r="31" spans="1:20" ht="3" customHeight="1" x14ac:dyDescent="0.25">
      <c r="B31" s="29"/>
      <c r="D31" s="41"/>
      <c r="E31" s="42"/>
      <c r="F31" s="42"/>
      <c r="G31" s="42"/>
      <c r="H31" s="42"/>
      <c r="I31" s="42"/>
      <c r="J31" s="64"/>
      <c r="K31" s="41"/>
      <c r="L31" s="42"/>
      <c r="M31" s="42"/>
      <c r="N31" s="42"/>
      <c r="O31" s="83"/>
    </row>
    <row r="32" spans="1:20" ht="12" customHeight="1" x14ac:dyDescent="0.25">
      <c r="B32" s="106" t="s">
        <v>1</v>
      </c>
      <c r="C32" s="91"/>
      <c r="D32" s="99">
        <f>D22+D23+D24+D25+D26+D27+D30+D29+D28</f>
        <v>5062</v>
      </c>
      <c r="E32" s="100">
        <f>E22+E23+E24+E25+E26+E27+E30+E29+E28</f>
        <v>18740</v>
      </c>
      <c r="F32" s="100">
        <f>F22+F23+F24+F25+F26+F27+F30+F29+F28</f>
        <v>16881</v>
      </c>
      <c r="G32" s="100" t="e">
        <f>G22+G23+G24+#REF!+G26+G27+G30</f>
        <v>#REF!</v>
      </c>
      <c r="H32" s="100">
        <f t="shared" ref="H32:O32" si="8">H22+H23+H24+H25+H26+H27+H30+H29+H28</f>
        <v>12743</v>
      </c>
      <c r="I32" s="100">
        <f t="shared" si="8"/>
        <v>0</v>
      </c>
      <c r="J32" s="99">
        <f t="shared" si="8"/>
        <v>53426</v>
      </c>
      <c r="K32" s="99">
        <f t="shared" si="8"/>
        <v>0</v>
      </c>
      <c r="L32" s="100">
        <f t="shared" si="8"/>
        <v>0</v>
      </c>
      <c r="M32" s="100">
        <f t="shared" si="8"/>
        <v>53426</v>
      </c>
      <c r="N32" s="100">
        <f t="shared" si="8"/>
        <v>136295</v>
      </c>
      <c r="O32" s="102">
        <f t="shared" si="8"/>
        <v>-82869</v>
      </c>
      <c r="R32" s="100" t="e">
        <f>SUM(R22:R30)</f>
        <v>#REF!</v>
      </c>
      <c r="S32" s="100" t="e">
        <f>SUM(S22:S30)</f>
        <v>#REF!</v>
      </c>
      <c r="T32" s="100" t="e">
        <f>SUM(T22:T30)</f>
        <v>#REF!</v>
      </c>
    </row>
    <row r="33" spans="1:20" ht="3" customHeight="1" x14ac:dyDescent="0.25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3" customHeight="1" x14ac:dyDescent="0.25">
      <c r="B34" s="29"/>
      <c r="D34" s="41"/>
      <c r="E34" s="42"/>
      <c r="F34" s="42"/>
      <c r="G34" s="42"/>
      <c r="H34" s="42"/>
      <c r="I34" s="42"/>
      <c r="J34" s="64"/>
      <c r="K34" s="41"/>
      <c r="L34" s="42"/>
      <c r="M34" s="42"/>
      <c r="N34" s="42"/>
      <c r="O34" s="83"/>
    </row>
    <row r="35" spans="1:20" ht="12" customHeight="1" x14ac:dyDescent="0.25">
      <c r="A35" s="25" t="s">
        <v>40</v>
      </c>
      <c r="B35" s="29" t="s">
        <v>9</v>
      </c>
      <c r="D35" s="41"/>
      <c r="E35" s="81">
        <v>-29338</v>
      </c>
      <c r="F35" s="81">
        <v>0</v>
      </c>
      <c r="G35" s="81"/>
      <c r="H35" s="42"/>
      <c r="I35" s="42"/>
      <c r="J35" s="64">
        <f>SUM(D35:I35)</f>
        <v>-29338</v>
      </c>
      <c r="K35" s="41"/>
      <c r="L35" s="42"/>
      <c r="M35" s="42">
        <f>SUM(J35:L35)</f>
        <v>-29338</v>
      </c>
      <c r="N35" s="42">
        <f>ROUND(_xll.HPVAL($A35,$A$1,$A$2,$A$3,$A$4,$A$6)/1000,0)</f>
        <v>15385</v>
      </c>
      <c r="O35" s="83">
        <f>M35-N35</f>
        <v>-44723</v>
      </c>
      <c r="R35" s="134">
        <f>N35-Expenses!E32-'CapChrg-AllocExp'!E33</f>
        <v>12608</v>
      </c>
      <c r="S35" s="134">
        <f>J35+K35-Expenses!D32-'CapChrg-AllocExp'!D33</f>
        <v>-30628</v>
      </c>
      <c r="T35" s="44">
        <f>R35-S35</f>
        <v>43236</v>
      </c>
    </row>
    <row r="36" spans="1:20" ht="12" customHeight="1" x14ac:dyDescent="0.25">
      <c r="A36" s="25" t="s">
        <v>39</v>
      </c>
      <c r="B36" s="29" t="s">
        <v>267</v>
      </c>
      <c r="D36" s="41"/>
      <c r="E36" s="81">
        <v>2861</v>
      </c>
      <c r="F36" s="81">
        <v>0</v>
      </c>
      <c r="G36" s="81"/>
      <c r="H36" s="42"/>
      <c r="I36" s="42"/>
      <c r="J36" s="64">
        <f>SUM(D36:I36)</f>
        <v>2861</v>
      </c>
      <c r="K36" s="41"/>
      <c r="L36" s="42"/>
      <c r="M36" s="42">
        <f>SUM(J36:L36)</f>
        <v>2861</v>
      </c>
      <c r="N36" s="42">
        <f>ROUND(_xll.HPVAL($A36,$A$1,$A$2,$A$3,$A$4,$A$6)/1000,0)</f>
        <v>2000</v>
      </c>
      <c r="O36" s="83">
        <f>M36-N36</f>
        <v>861</v>
      </c>
      <c r="R36" s="44">
        <f>N36-Expenses!E33-'CapChrg-AllocExp'!E34</f>
        <v>-3544</v>
      </c>
      <c r="S36" s="44">
        <f>J36+K36-Expenses!D33-'CapChrg-AllocExp'!D34</f>
        <v>-1067</v>
      </c>
      <c r="T36" s="44">
        <f>R36-S36</f>
        <v>-2477</v>
      </c>
    </row>
    <row r="37" spans="1:20" ht="12.75" customHeight="1" x14ac:dyDescent="0.25">
      <c r="A37" s="25" t="s">
        <v>153</v>
      </c>
      <c r="B37" s="45" t="s">
        <v>180</v>
      </c>
      <c r="D37" s="41"/>
      <c r="E37" s="81">
        <f>-24443+3110</f>
        <v>-21333</v>
      </c>
      <c r="F37" s="81">
        <f>-503+18</f>
        <v>-485</v>
      </c>
      <c r="G37" s="81"/>
      <c r="H37" s="42"/>
      <c r="I37" s="42"/>
      <c r="J37" s="64">
        <f>SUM(D37:I37)</f>
        <v>-21818</v>
      </c>
      <c r="K37" s="41">
        <f>Greensheet!M88</f>
        <v>0</v>
      </c>
      <c r="L37" s="42"/>
      <c r="M37" s="42">
        <f>SUM(J37:L37)</f>
        <v>-21818</v>
      </c>
      <c r="N37" s="42">
        <f>ROUND(_xll.HPVAL($A37,$A$1,$A$2,$A$3,$A$4,$A$6)/1000,0)</f>
        <v>8222</v>
      </c>
      <c r="O37" s="83">
        <f>M37-N37</f>
        <v>-30040</v>
      </c>
      <c r="R37" s="44">
        <f>N37-Expenses!E34-'CapChrg-AllocExp'!E35</f>
        <v>1900</v>
      </c>
      <c r="S37" s="44">
        <f>J37+K37-Expenses!D34-'CapChrg-AllocExp'!D35</f>
        <v>-26277</v>
      </c>
      <c r="T37" s="44">
        <f>R37-S37</f>
        <v>28177</v>
      </c>
    </row>
    <row r="38" spans="1:20" ht="12.75" customHeight="1" x14ac:dyDescent="0.25">
      <c r="A38" s="25" t="s">
        <v>157</v>
      </c>
      <c r="B38" s="45" t="s">
        <v>154</v>
      </c>
      <c r="D38" s="41"/>
      <c r="E38" s="81">
        <v>7096</v>
      </c>
      <c r="F38" s="81">
        <v>830</v>
      </c>
      <c r="G38" s="81"/>
      <c r="H38" s="42">
        <v>0</v>
      </c>
      <c r="I38" s="42"/>
      <c r="J38" s="64">
        <f>SUM(D38:I38)</f>
        <v>7926</v>
      </c>
      <c r="K38" s="41"/>
      <c r="L38" s="42"/>
      <c r="M38" s="42">
        <f>SUM(J38:L38)</f>
        <v>7926</v>
      </c>
      <c r="N38" s="42">
        <f>ROUND(_xll.HPVAL($A38,$A$1,$A$2,$A$3,$A$4,$A$6)/1000,0)</f>
        <v>6483</v>
      </c>
      <c r="O38" s="83">
        <f>M38-N38</f>
        <v>1443</v>
      </c>
      <c r="R38" s="134">
        <f>N38-Expenses!E35-'CapChrg-AllocExp'!E37</f>
        <v>-1561</v>
      </c>
      <c r="S38" s="134">
        <f>J38+K38-Expenses!D35-'CapChrg-AllocExp'!D37</f>
        <v>-1173</v>
      </c>
      <c r="T38" s="44">
        <f>R38-S38</f>
        <v>-388</v>
      </c>
    </row>
    <row r="39" spans="1:20" ht="12" customHeight="1" x14ac:dyDescent="0.25">
      <c r="B39" s="29" t="s">
        <v>154</v>
      </c>
      <c r="D39" s="41">
        <f>SUM(D37:D38)</f>
        <v>0</v>
      </c>
      <c r="E39" s="81">
        <f>SUM(E37:E38)</f>
        <v>-14237</v>
      </c>
      <c r="F39" s="81">
        <f>SUM(F37:F38)</f>
        <v>345</v>
      </c>
      <c r="G39" s="81"/>
      <c r="H39" s="81">
        <f>SUM(H37:H38)</f>
        <v>0</v>
      </c>
      <c r="I39" s="42">
        <f>SUM(I37:I38)</f>
        <v>0</v>
      </c>
      <c r="J39" s="64">
        <f>SUM(D39:I39)</f>
        <v>-13892</v>
      </c>
      <c r="K39" s="41"/>
      <c r="L39" s="42">
        <f>SUM(L37:L38)</f>
        <v>0</v>
      </c>
      <c r="M39" s="42">
        <f>SUM(J39:L39)</f>
        <v>-13892</v>
      </c>
      <c r="N39" s="42">
        <f>SUM(N37:N38)</f>
        <v>14705</v>
      </c>
      <c r="O39" s="83">
        <f>SUM(O37:O38)</f>
        <v>-28597</v>
      </c>
      <c r="R39" s="44"/>
      <c r="S39" s="44"/>
      <c r="T39" s="44"/>
    </row>
    <row r="40" spans="1:20" ht="3" customHeight="1" x14ac:dyDescent="0.25">
      <c r="B40" s="45"/>
      <c r="D40" s="46"/>
      <c r="E40" s="47"/>
      <c r="F40" s="47"/>
      <c r="G40" s="47"/>
      <c r="H40" s="47"/>
      <c r="I40" s="47"/>
      <c r="J40" s="46"/>
      <c r="K40" s="46"/>
      <c r="L40" s="47"/>
      <c r="M40" s="47"/>
      <c r="N40" s="47"/>
      <c r="O40" s="126"/>
    </row>
    <row r="41" spans="1:20" s="90" customFormat="1" ht="12" customHeight="1" x14ac:dyDescent="0.25">
      <c r="B41" s="106" t="s">
        <v>87</v>
      </c>
      <c r="C41" s="91"/>
      <c r="D41" s="99">
        <f t="shared" ref="D41:O41" si="9">SUM(D35:D38)</f>
        <v>0</v>
      </c>
      <c r="E41" s="100">
        <f>E35+E36+E39</f>
        <v>-40714</v>
      </c>
      <c r="F41" s="100">
        <f>F35+F36+F39</f>
        <v>345</v>
      </c>
      <c r="G41" s="100"/>
      <c r="H41" s="100">
        <f t="shared" si="9"/>
        <v>0</v>
      </c>
      <c r="I41" s="100">
        <f t="shared" si="9"/>
        <v>0</v>
      </c>
      <c r="J41" s="99">
        <f t="shared" si="9"/>
        <v>-40369</v>
      </c>
      <c r="K41" s="99">
        <f t="shared" si="9"/>
        <v>0</v>
      </c>
      <c r="L41" s="100">
        <f t="shared" si="9"/>
        <v>0</v>
      </c>
      <c r="M41" s="100">
        <f>M35+M36+M39</f>
        <v>-40369</v>
      </c>
      <c r="N41" s="100">
        <f>N35+N36+N39</f>
        <v>32090</v>
      </c>
      <c r="O41" s="102">
        <f t="shared" si="9"/>
        <v>-72459</v>
      </c>
      <c r="R41" s="100">
        <f>SUM(R35:R39)</f>
        <v>9403</v>
      </c>
      <c r="S41" s="100">
        <f>SUM(S35:S39)</f>
        <v>-59145</v>
      </c>
      <c r="T41" s="100">
        <f>SUM(T35:T39)</f>
        <v>68548</v>
      </c>
    </row>
    <row r="42" spans="1:20" ht="3" customHeight="1" x14ac:dyDescent="0.25">
      <c r="B42" s="29"/>
      <c r="D42" s="104"/>
      <c r="E42" s="81"/>
      <c r="F42" s="81"/>
      <c r="G42" s="81"/>
      <c r="H42" s="81"/>
      <c r="I42" s="81"/>
      <c r="J42" s="105"/>
      <c r="K42" s="104"/>
      <c r="L42" s="81"/>
      <c r="M42" s="81"/>
      <c r="N42" s="81"/>
      <c r="O42" s="127"/>
    </row>
    <row r="43" spans="1:20" ht="12" customHeight="1" x14ac:dyDescent="0.25">
      <c r="A43" s="25" t="s">
        <v>82</v>
      </c>
      <c r="B43" s="29" t="s">
        <v>8</v>
      </c>
      <c r="D43" s="41"/>
      <c r="E43" s="42">
        <v>0.5</v>
      </c>
      <c r="F43" s="42"/>
      <c r="G43" s="42"/>
      <c r="H43" s="42"/>
      <c r="I43" s="42"/>
      <c r="J43" s="64">
        <f>SUM(D43:I43)</f>
        <v>0.5</v>
      </c>
      <c r="K43" s="41"/>
      <c r="L43" s="42"/>
      <c r="M43" s="42">
        <f>SUM(J43:L43)</f>
        <v>0.5</v>
      </c>
      <c r="N43" s="42">
        <f>ROUND(_xll.HPVAL($A43,$A$1,$A$2,$A$3,$A$4,$A$6)/1000,0)</f>
        <v>2500</v>
      </c>
      <c r="O43" s="83">
        <f>M43-N43</f>
        <v>-2499.5</v>
      </c>
      <c r="R43" s="134">
        <f>N43-Expenses!E39-'CapChrg-AllocExp'!E40</f>
        <v>-2117</v>
      </c>
      <c r="S43" s="134">
        <f>J43+K43-Expenses!D39-'CapChrg-AllocExp'!D40</f>
        <v>-6034.5</v>
      </c>
      <c r="T43" s="44">
        <f>R43-S43</f>
        <v>3917.5</v>
      </c>
    </row>
    <row r="44" spans="1:20" ht="3" customHeight="1" x14ac:dyDescent="0.25">
      <c r="B44" s="29"/>
      <c r="D44" s="41"/>
      <c r="E44" s="42"/>
      <c r="F44" s="42"/>
      <c r="G44" s="42"/>
      <c r="H44" s="42"/>
      <c r="I44" s="42"/>
      <c r="J44" s="64"/>
      <c r="K44" s="41"/>
      <c r="L44" s="42"/>
      <c r="M44" s="42"/>
      <c r="N44" s="42"/>
      <c r="O44" s="83"/>
    </row>
    <row r="45" spans="1:20" ht="12" customHeight="1" x14ac:dyDescent="0.25">
      <c r="A45" s="25" t="s">
        <v>44</v>
      </c>
      <c r="B45" s="29" t="s">
        <v>7</v>
      </c>
      <c r="D45" s="41"/>
      <c r="E45" s="42"/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/>
      <c r="O45" s="83">
        <f>M45-N45</f>
        <v>0</v>
      </c>
      <c r="R45" s="44"/>
      <c r="S45" s="44"/>
      <c r="T45" s="44"/>
    </row>
    <row r="46" spans="1:20" ht="3" customHeight="1" x14ac:dyDescent="0.25">
      <c r="B46" s="76"/>
      <c r="D46" s="77"/>
      <c r="E46" s="67"/>
      <c r="F46" s="67"/>
      <c r="G46" s="67"/>
      <c r="H46" s="67"/>
      <c r="I46" s="67"/>
      <c r="J46" s="46"/>
      <c r="K46" s="77"/>
      <c r="L46" s="67"/>
      <c r="M46" s="67"/>
      <c r="N46" s="67"/>
      <c r="O46" s="126"/>
    </row>
    <row r="47" spans="1:20" ht="12" customHeight="1" x14ac:dyDescent="0.25">
      <c r="A47" s="25" t="s">
        <v>46</v>
      </c>
      <c r="B47" s="29" t="s">
        <v>18</v>
      </c>
      <c r="D47" s="41"/>
      <c r="E47" s="42">
        <v>-3776</v>
      </c>
      <c r="F47" s="42">
        <v>-15401</v>
      </c>
      <c r="G47" s="42"/>
      <c r="H47" s="42"/>
      <c r="I47" s="42"/>
      <c r="J47" s="64">
        <f>SUM(D47:I47)</f>
        <v>-19177</v>
      </c>
      <c r="K47" s="41"/>
      <c r="L47" s="42"/>
      <c r="M47" s="42">
        <f>SUM(J47:L47)</f>
        <v>-19177</v>
      </c>
      <c r="N47" s="42">
        <f>ROUND(_xll.HPVAL($A47,$A$1,$A$2,$A$3,$A$4,$A$6)/1000,0)</f>
        <v>-10795</v>
      </c>
      <c r="O47" s="83">
        <f>M47-N47</f>
        <v>-8382</v>
      </c>
      <c r="T47" s="44"/>
    </row>
    <row r="48" spans="1:20" ht="3" customHeight="1" x14ac:dyDescent="0.25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2:20" ht="12" customHeight="1" x14ac:dyDescent="0.25">
      <c r="B49" s="29" t="s">
        <v>19</v>
      </c>
      <c r="D49" s="41"/>
      <c r="E49" s="42"/>
      <c r="F49" s="42"/>
      <c r="G49" s="42"/>
      <c r="H49" s="42"/>
      <c r="I49" s="42"/>
      <c r="J49" s="64">
        <f>SUM(D49:I49)</f>
        <v>0</v>
      </c>
      <c r="K49" s="41"/>
      <c r="L49" s="42"/>
      <c r="M49" s="42">
        <f>SUM(J49:L49)</f>
        <v>0</v>
      </c>
      <c r="N49" s="42">
        <f>44888+7328</f>
        <v>52216</v>
      </c>
      <c r="O49" s="83">
        <f>M49-N49</f>
        <v>-52216</v>
      </c>
      <c r="T49" s="44"/>
    </row>
    <row r="50" spans="2:20" ht="3" customHeight="1" x14ac:dyDescent="0.25">
      <c r="B50" s="29"/>
      <c r="D50" s="41"/>
      <c r="E50" s="42"/>
      <c r="F50" s="42"/>
      <c r="G50" s="42"/>
      <c r="H50" s="42"/>
      <c r="I50" s="42"/>
      <c r="J50" s="64"/>
      <c r="K50" s="41"/>
      <c r="L50" s="42"/>
      <c r="M50" s="42"/>
      <c r="N50" s="42"/>
      <c r="O50" s="83"/>
    </row>
    <row r="51" spans="2:20" ht="12" customHeight="1" x14ac:dyDescent="0.25">
      <c r="B51" s="75" t="s">
        <v>14</v>
      </c>
      <c r="D51" s="95">
        <f>SUM(D41:D49)+D32+D20</f>
        <v>449177</v>
      </c>
      <c r="E51" s="96">
        <f>SUM(E41:E49)+E32+E20</f>
        <v>-25749.5</v>
      </c>
      <c r="F51" s="96">
        <f>SUM(F41:F49)+F32+F20</f>
        <v>1825</v>
      </c>
      <c r="G51" s="96" t="s">
        <v>269</v>
      </c>
      <c r="H51" s="96">
        <f t="shared" ref="H51:O51" si="10">SUM(H41:H49)+H32+H20</f>
        <v>12743</v>
      </c>
      <c r="I51" s="96">
        <f t="shared" si="10"/>
        <v>0</v>
      </c>
      <c r="J51" s="95">
        <f t="shared" si="10"/>
        <v>437995.5</v>
      </c>
      <c r="K51" s="95">
        <f t="shared" si="10"/>
        <v>0</v>
      </c>
      <c r="L51" s="96">
        <f t="shared" si="10"/>
        <v>0</v>
      </c>
      <c r="M51" s="96">
        <f t="shared" si="10"/>
        <v>437995.5</v>
      </c>
      <c r="N51" s="96">
        <f t="shared" si="10"/>
        <v>384514</v>
      </c>
      <c r="O51" s="98">
        <f t="shared" si="10"/>
        <v>53481.5</v>
      </c>
    </row>
    <row r="52" spans="2:20" ht="3" customHeight="1" x14ac:dyDescent="0.25">
      <c r="B52" s="48"/>
      <c r="D52" s="49"/>
      <c r="E52" s="50"/>
      <c r="F52" s="50"/>
      <c r="G52" s="50"/>
      <c r="H52" s="50"/>
      <c r="I52" s="50"/>
      <c r="J52" s="49"/>
      <c r="K52" s="49"/>
      <c r="L52" s="50"/>
      <c r="M52" s="50"/>
      <c r="N52" s="50"/>
      <c r="O52" s="128"/>
    </row>
    <row r="53" spans="2:20" x14ac:dyDescent="0.25">
      <c r="B53" s="287" t="s">
        <v>260</v>
      </c>
      <c r="C53" s="135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2:20" x14ac:dyDescent="0.25">
      <c r="B54" s="287"/>
      <c r="C54" s="27" t="s">
        <v>300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2:20" x14ac:dyDescent="0.25">
      <c r="B55" s="287"/>
      <c r="C55" s="27" t="s">
        <v>301</v>
      </c>
      <c r="D55" s="44"/>
      <c r="E55" s="44"/>
      <c r="F55" s="44"/>
      <c r="G55" s="44" t="s">
        <v>53</v>
      </c>
      <c r="H55" s="44"/>
      <c r="I55" s="44"/>
      <c r="J55" s="44"/>
      <c r="K55" s="44"/>
      <c r="L55" s="44"/>
      <c r="M55" s="44"/>
      <c r="N55" s="44"/>
      <c r="O55" s="44"/>
    </row>
    <row r="56" spans="2:20" x14ac:dyDescent="0.25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20" x14ac:dyDescent="0.25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20" x14ac:dyDescent="0.25">
      <c r="B58" s="176" t="s">
        <v>127</v>
      </c>
      <c r="D58" s="44"/>
      <c r="E58" s="44"/>
      <c r="F58" s="44"/>
      <c r="G58" s="44"/>
      <c r="H58" s="44"/>
      <c r="I58" s="44"/>
      <c r="J58" s="44"/>
      <c r="K58" s="44"/>
      <c r="L58" s="44"/>
      <c r="M58" s="44" t="s">
        <v>299</v>
      </c>
      <c r="N58" s="44"/>
      <c r="O58" s="44"/>
    </row>
    <row r="59" spans="2:20" x14ac:dyDescent="0.25">
      <c r="B59" s="27" t="s">
        <v>3</v>
      </c>
      <c r="D59" s="44">
        <f>D10+D15+D11+D28+D27</f>
        <v>270917</v>
      </c>
    </row>
    <row r="60" spans="2:20" x14ac:dyDescent="0.25">
      <c r="B60" s="27" t="s">
        <v>128</v>
      </c>
      <c r="D60" s="44">
        <f>D16+D17+D18+D24</f>
        <v>2735</v>
      </c>
    </row>
    <row r="73" spans="1:1" x14ac:dyDescent="0.25">
      <c r="A73" s="27"/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2000-06-09T19:25:22Z</cp:lastPrinted>
  <dcterms:created xsi:type="dcterms:W3CDTF">1999-10-18T12:36:30Z</dcterms:created>
  <dcterms:modified xsi:type="dcterms:W3CDTF">2023-09-18T00:06:31Z</dcterms:modified>
</cp:coreProperties>
</file>