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40855A9-0FFA-484E-B93D-9ABC255DF149}" xr6:coauthVersionLast="47" xr6:coauthVersionMax="47" xr10:uidLastSave="{00000000-0000-0000-0000-000000000000}"/>
  <bookViews>
    <workbookView xWindow="-120" yWindow="-120" windowWidth="38640" windowHeight="15720" tabRatio="293" activeTab="1"/>
  </bookViews>
  <sheets>
    <sheet name="1999" sheetId="10" r:id="rId1"/>
    <sheet name="2000" sheetId="1" r:id="rId2"/>
    <sheet name="9-30-99" sheetId="2" state="hidden" r:id="rId3"/>
    <sheet name="6-30-99" sheetId="3" state="hidden" r:id="rId4"/>
    <sheet name="3-31-99 and 98 end" sheetId="5" state="hidden" r:id="rId5"/>
    <sheet name="Chart 2000" sheetId="20" r:id="rId6"/>
    <sheet name="Notes" sheetId="18" r:id="rId7"/>
  </sheets>
  <definedNames>
    <definedName name="correl">#REF!</definedName>
    <definedName name="_xlnm.Print_Area" localSheetId="0">'1999'!$A$1:$W$40</definedName>
    <definedName name="_xlnm.Print_Area" localSheetId="1">'2000'!$A$1:$U$39</definedName>
    <definedName name="_xlnm.Print_Area" localSheetId="2">'9-30-99'!$A$1:$M$38</definedName>
    <definedName name="var">#REF!</definedName>
  </definedNames>
  <calcPr calcId="0" calcOnSave="0"/>
</workbook>
</file>

<file path=xl/calcChain.xml><?xml version="1.0" encoding="utf-8"?>
<calcChain xmlns="http://schemas.openxmlformats.org/spreadsheetml/2006/main">
  <c r="E2" i="10" l="1"/>
  <c r="G2" i="10"/>
  <c r="I2" i="10"/>
  <c r="L2" i="10"/>
  <c r="O2" i="10"/>
  <c r="E3" i="10"/>
  <c r="G3" i="10"/>
  <c r="I3" i="10"/>
  <c r="L3" i="10"/>
  <c r="O3" i="10"/>
  <c r="E4" i="10"/>
  <c r="I4" i="10"/>
  <c r="L4" i="10"/>
  <c r="O4" i="10"/>
  <c r="E5" i="10"/>
  <c r="I5" i="10"/>
  <c r="L5" i="10"/>
  <c r="O5" i="10"/>
  <c r="R5" i="10"/>
  <c r="E6" i="10"/>
  <c r="G6" i="10"/>
  <c r="H6" i="10"/>
  <c r="L6" i="10"/>
  <c r="O6" i="10"/>
  <c r="R6" i="10"/>
  <c r="E7" i="10"/>
  <c r="G7" i="10"/>
  <c r="H7" i="10"/>
  <c r="I7" i="10"/>
  <c r="J7" i="10"/>
  <c r="K7" i="10"/>
  <c r="L7" i="10"/>
  <c r="O7" i="10"/>
  <c r="R7" i="10"/>
  <c r="L8" i="10"/>
  <c r="O8" i="10"/>
  <c r="R8" i="10"/>
  <c r="E9" i="10"/>
  <c r="E11" i="10"/>
  <c r="I11" i="10"/>
  <c r="L11" i="10"/>
  <c r="O11" i="10"/>
  <c r="E12" i="10"/>
  <c r="I12" i="10"/>
  <c r="L12" i="10"/>
  <c r="O12" i="10"/>
  <c r="E14" i="10"/>
  <c r="I14" i="10"/>
  <c r="L14" i="10"/>
  <c r="O14" i="10"/>
  <c r="R14" i="10"/>
  <c r="O15" i="10"/>
  <c r="R15" i="10"/>
  <c r="E16" i="10"/>
  <c r="I16" i="10"/>
  <c r="L16" i="10"/>
  <c r="O16" i="10"/>
  <c r="E19" i="10"/>
  <c r="I19" i="10"/>
  <c r="L19" i="10"/>
  <c r="O19" i="10"/>
  <c r="E20" i="10"/>
  <c r="G20" i="10"/>
  <c r="H20" i="10"/>
  <c r="I20" i="10"/>
  <c r="J20" i="10"/>
  <c r="K20" i="10"/>
  <c r="L20" i="10"/>
  <c r="M20" i="10"/>
  <c r="O20" i="10"/>
  <c r="E21" i="10"/>
  <c r="L21" i="10"/>
  <c r="O21" i="10"/>
  <c r="E24" i="10"/>
  <c r="G24" i="10"/>
  <c r="H24" i="10"/>
  <c r="R24" i="10"/>
  <c r="E25" i="10"/>
  <c r="G25" i="10"/>
  <c r="H25" i="10"/>
  <c r="R25" i="10"/>
  <c r="E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T28" i="10"/>
  <c r="U28" i="10"/>
  <c r="V28" i="10"/>
  <c r="E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T29" i="10"/>
  <c r="U29" i="10"/>
  <c r="V29" i="10"/>
  <c r="E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T30" i="10"/>
  <c r="U30" i="10"/>
  <c r="V30" i="10"/>
  <c r="E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T31" i="10"/>
  <c r="U31" i="10"/>
  <c r="V31" i="10"/>
  <c r="E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T32" i="10"/>
  <c r="U32" i="10"/>
  <c r="V32" i="10"/>
  <c r="E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T33" i="10"/>
  <c r="U33" i="10"/>
  <c r="V33" i="10"/>
  <c r="E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T34" i="10"/>
  <c r="U34" i="10"/>
  <c r="V34" i="10"/>
  <c r="E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T35" i="10"/>
  <c r="U35" i="10"/>
  <c r="V35" i="10"/>
  <c r="E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M2" i="1"/>
  <c r="E4" i="1"/>
  <c r="F4" i="1"/>
  <c r="G4" i="1"/>
  <c r="H4" i="1"/>
  <c r="I4" i="1"/>
  <c r="J4" i="1"/>
  <c r="K4" i="1"/>
  <c r="L4" i="1"/>
  <c r="M4" i="1"/>
  <c r="N4" i="1"/>
  <c r="O4" i="1"/>
  <c r="P4" i="1"/>
  <c r="F5" i="1"/>
  <c r="G5" i="1"/>
  <c r="H5" i="1"/>
  <c r="I5" i="1"/>
  <c r="J5" i="1"/>
  <c r="K5" i="1"/>
  <c r="L5" i="1"/>
  <c r="M5" i="1"/>
  <c r="N5" i="1"/>
  <c r="O5" i="1"/>
  <c r="P5" i="1"/>
  <c r="F6" i="1"/>
  <c r="G6" i="1"/>
  <c r="H6" i="1"/>
  <c r="I6" i="1"/>
  <c r="J6" i="1"/>
  <c r="K6" i="1"/>
  <c r="L6" i="1"/>
  <c r="M6" i="1"/>
  <c r="N6" i="1"/>
  <c r="O6" i="1"/>
  <c r="P6" i="1"/>
  <c r="F7" i="1"/>
  <c r="G7" i="1"/>
  <c r="H7" i="1"/>
  <c r="I7" i="1"/>
  <c r="J7" i="1"/>
  <c r="K7" i="1"/>
  <c r="L7" i="1"/>
  <c r="M7" i="1"/>
  <c r="N7" i="1"/>
  <c r="O7" i="1"/>
  <c r="P7" i="1"/>
  <c r="F8" i="1"/>
  <c r="G8" i="1"/>
  <c r="H8" i="1"/>
  <c r="I8" i="1"/>
  <c r="J8" i="1"/>
  <c r="K8" i="1"/>
  <c r="L8" i="1"/>
  <c r="M8" i="1"/>
  <c r="N8" i="1"/>
  <c r="O8" i="1"/>
  <c r="P8" i="1"/>
  <c r="F9" i="1"/>
  <c r="G9" i="1"/>
  <c r="H9" i="1"/>
  <c r="I9" i="1"/>
  <c r="J9" i="1"/>
  <c r="K9" i="1"/>
  <c r="L9" i="1"/>
  <c r="M9" i="1"/>
  <c r="N9" i="1"/>
  <c r="O9" i="1"/>
  <c r="P9" i="1"/>
  <c r="J10" i="1"/>
  <c r="K10" i="1"/>
  <c r="L10" i="1"/>
  <c r="M10" i="1"/>
  <c r="N10" i="1"/>
  <c r="O10" i="1"/>
  <c r="P10" i="1"/>
  <c r="L11" i="1"/>
  <c r="M11" i="1"/>
  <c r="N11" i="1"/>
  <c r="O11" i="1"/>
  <c r="P11" i="1"/>
  <c r="K15" i="1"/>
  <c r="L15" i="1"/>
  <c r="M15" i="1"/>
  <c r="N15" i="1"/>
  <c r="O15" i="1"/>
  <c r="P15" i="1"/>
  <c r="K16" i="1"/>
  <c r="L16" i="1"/>
  <c r="M16" i="1"/>
  <c r="N16" i="1"/>
  <c r="O16" i="1"/>
  <c r="P16" i="1"/>
  <c r="C27" i="1"/>
  <c r="E27" i="1"/>
  <c r="F27" i="1"/>
  <c r="G27" i="1"/>
  <c r="H27" i="1"/>
  <c r="I27" i="1"/>
  <c r="J27" i="1"/>
  <c r="K27" i="1"/>
  <c r="L27" i="1"/>
  <c r="M27" i="1"/>
  <c r="N27" i="1"/>
  <c r="O27" i="1"/>
  <c r="P27" i="1"/>
  <c r="R27" i="1"/>
  <c r="S27" i="1"/>
  <c r="T27" i="1"/>
  <c r="C28" i="1"/>
  <c r="E28" i="1"/>
  <c r="F28" i="1"/>
  <c r="G28" i="1"/>
  <c r="H28" i="1"/>
  <c r="I28" i="1"/>
  <c r="J28" i="1"/>
  <c r="K28" i="1"/>
  <c r="L28" i="1"/>
  <c r="M28" i="1"/>
  <c r="N28" i="1"/>
  <c r="O28" i="1"/>
  <c r="P28" i="1"/>
  <c r="R28" i="1"/>
  <c r="S28" i="1"/>
  <c r="T28" i="1"/>
  <c r="C29" i="1"/>
  <c r="E29" i="1"/>
  <c r="F29" i="1"/>
  <c r="G29" i="1"/>
  <c r="H29" i="1"/>
  <c r="I29" i="1"/>
  <c r="J29" i="1"/>
  <c r="K29" i="1"/>
  <c r="L29" i="1"/>
  <c r="M29" i="1"/>
  <c r="N29" i="1"/>
  <c r="O29" i="1"/>
  <c r="P29" i="1"/>
  <c r="R29" i="1"/>
  <c r="S29" i="1"/>
  <c r="T29" i="1"/>
  <c r="C30" i="1"/>
  <c r="E30" i="1"/>
  <c r="F30" i="1"/>
  <c r="G30" i="1"/>
  <c r="H30" i="1"/>
  <c r="I30" i="1"/>
  <c r="J30" i="1"/>
  <c r="K30" i="1"/>
  <c r="L30" i="1"/>
  <c r="M30" i="1"/>
  <c r="N30" i="1"/>
  <c r="O30" i="1"/>
  <c r="P30" i="1"/>
  <c r="R30" i="1"/>
  <c r="S30" i="1"/>
  <c r="T30" i="1"/>
  <c r="C31" i="1"/>
  <c r="E31" i="1"/>
  <c r="F31" i="1"/>
  <c r="G31" i="1"/>
  <c r="H31" i="1"/>
  <c r="I31" i="1"/>
  <c r="J31" i="1"/>
  <c r="K31" i="1"/>
  <c r="L31" i="1"/>
  <c r="M31" i="1"/>
  <c r="N31" i="1"/>
  <c r="O31" i="1"/>
  <c r="P31" i="1"/>
  <c r="R31" i="1"/>
  <c r="S31" i="1"/>
  <c r="T31" i="1"/>
  <c r="C32" i="1"/>
  <c r="E32" i="1"/>
  <c r="F32" i="1"/>
  <c r="G32" i="1"/>
  <c r="H32" i="1"/>
  <c r="I32" i="1"/>
  <c r="J32" i="1"/>
  <c r="K32" i="1"/>
  <c r="L32" i="1"/>
  <c r="M32" i="1"/>
  <c r="N32" i="1"/>
  <c r="O32" i="1"/>
  <c r="P32" i="1"/>
  <c r="R32" i="1"/>
  <c r="S32" i="1"/>
  <c r="T32" i="1"/>
  <c r="C33" i="1"/>
  <c r="E33" i="1"/>
  <c r="F33" i="1"/>
  <c r="G33" i="1"/>
  <c r="H33" i="1"/>
  <c r="I33" i="1"/>
  <c r="J33" i="1"/>
  <c r="K33" i="1"/>
  <c r="L33" i="1"/>
  <c r="M33" i="1"/>
  <c r="N33" i="1"/>
  <c r="O33" i="1"/>
  <c r="P33" i="1"/>
  <c r="R33" i="1"/>
  <c r="S33" i="1"/>
  <c r="T33" i="1"/>
  <c r="C34" i="1"/>
  <c r="E34" i="1"/>
  <c r="F34" i="1"/>
  <c r="G34" i="1"/>
  <c r="H34" i="1"/>
  <c r="I34" i="1"/>
  <c r="J34" i="1"/>
  <c r="K34" i="1"/>
  <c r="L34" i="1"/>
  <c r="M34" i="1"/>
  <c r="N34" i="1"/>
  <c r="O34" i="1"/>
  <c r="P34" i="1"/>
  <c r="R34" i="1"/>
  <c r="S34" i="1"/>
  <c r="T34" i="1"/>
  <c r="C36" i="1"/>
  <c r="E36" i="1"/>
  <c r="F36" i="1"/>
  <c r="G36" i="1"/>
  <c r="H36" i="1"/>
  <c r="I36" i="1"/>
  <c r="J36" i="1"/>
  <c r="K36" i="1"/>
  <c r="L36" i="1"/>
  <c r="M36" i="1"/>
  <c r="N36" i="1"/>
  <c r="O36" i="1"/>
  <c r="P36" i="1"/>
  <c r="R36" i="1"/>
  <c r="S36" i="1"/>
  <c r="T36" i="1"/>
  <c r="E44" i="1"/>
  <c r="F44" i="1"/>
  <c r="G44" i="1"/>
  <c r="H44" i="1"/>
  <c r="I44" i="1"/>
  <c r="J44" i="1"/>
  <c r="K44" i="1"/>
  <c r="L44" i="1"/>
  <c r="M44" i="1"/>
  <c r="N44" i="1"/>
  <c r="O44" i="1"/>
  <c r="P44" i="1"/>
  <c r="E45" i="1"/>
  <c r="F45" i="1"/>
  <c r="G45" i="1"/>
  <c r="H45" i="1"/>
  <c r="I45" i="1"/>
  <c r="J45" i="1"/>
  <c r="K45" i="1"/>
  <c r="L45" i="1"/>
  <c r="M45" i="1"/>
  <c r="N45" i="1"/>
  <c r="O45" i="1"/>
  <c r="P45" i="1"/>
  <c r="E10" i="5"/>
  <c r="E17" i="5"/>
  <c r="E26" i="5"/>
  <c r="E27" i="5"/>
  <c r="D47" i="5"/>
  <c r="E47" i="5"/>
  <c r="D48" i="5"/>
  <c r="E48" i="5"/>
  <c r="D49" i="5"/>
  <c r="E49" i="5"/>
  <c r="D50" i="5"/>
  <c r="D8" i="3"/>
  <c r="N8" i="3"/>
  <c r="D10" i="3"/>
  <c r="L10" i="3"/>
  <c r="N10" i="3"/>
  <c r="D13" i="3"/>
  <c r="N16" i="3"/>
  <c r="D18" i="3"/>
  <c r="C28" i="3"/>
  <c r="D28" i="3"/>
  <c r="C29" i="3"/>
  <c r="D29" i="3"/>
  <c r="C30" i="3"/>
  <c r="D30" i="3"/>
  <c r="C31" i="3"/>
  <c r="F31" i="3"/>
  <c r="C34" i="3"/>
  <c r="D34" i="3"/>
  <c r="C35" i="3"/>
  <c r="D35" i="3"/>
  <c r="C36" i="3"/>
  <c r="D36" i="3"/>
  <c r="C37" i="3"/>
  <c r="D37" i="3"/>
  <c r="J4" i="2"/>
  <c r="L4" i="2"/>
  <c r="O4" i="2"/>
  <c r="R4" i="2"/>
  <c r="J5" i="2"/>
  <c r="L5" i="2"/>
  <c r="O5" i="2"/>
  <c r="R5" i="2"/>
  <c r="J6" i="2"/>
  <c r="L6" i="2"/>
  <c r="O6" i="2"/>
  <c r="R6" i="2"/>
  <c r="J7" i="2"/>
  <c r="L7" i="2"/>
  <c r="O7" i="2"/>
  <c r="R7" i="2"/>
  <c r="J8" i="2"/>
  <c r="L8" i="2"/>
  <c r="O8" i="2"/>
  <c r="J9" i="2"/>
  <c r="L9" i="2"/>
  <c r="O9" i="2"/>
  <c r="J10" i="2"/>
  <c r="L10" i="2"/>
  <c r="O10" i="2"/>
  <c r="J11" i="2"/>
  <c r="L11" i="2"/>
  <c r="O11" i="2"/>
  <c r="R11" i="2"/>
  <c r="J12" i="2"/>
  <c r="L12" i="2"/>
  <c r="O12" i="2"/>
  <c r="R12" i="2"/>
  <c r="J13" i="2"/>
  <c r="L13" i="2"/>
  <c r="O13" i="2"/>
  <c r="R13" i="2"/>
  <c r="J14" i="2"/>
  <c r="L14" i="2"/>
  <c r="O14" i="2"/>
  <c r="J15" i="2"/>
  <c r="L15" i="2"/>
  <c r="O15" i="2"/>
  <c r="R15" i="2"/>
  <c r="O16" i="2"/>
  <c r="J17" i="2"/>
  <c r="L17" i="2"/>
  <c r="O17" i="2"/>
  <c r="R17" i="2"/>
  <c r="J19" i="2"/>
  <c r="L19" i="2"/>
  <c r="O19" i="2"/>
  <c r="R19" i="2"/>
  <c r="J20" i="2"/>
  <c r="L20" i="2"/>
  <c r="O20" i="2"/>
  <c r="R20" i="2"/>
  <c r="J21" i="2"/>
  <c r="L21" i="2"/>
  <c r="O21" i="2"/>
  <c r="R21" i="2"/>
  <c r="O22" i="2"/>
  <c r="J23" i="2"/>
  <c r="L23" i="2"/>
  <c r="O23" i="2"/>
  <c r="R23" i="2"/>
  <c r="J24" i="2"/>
  <c r="L24" i="2"/>
  <c r="O24" i="2"/>
  <c r="R24" i="2"/>
  <c r="J33" i="2"/>
  <c r="K33" i="2"/>
  <c r="L33" i="2"/>
  <c r="M33" i="2"/>
  <c r="O33" i="2"/>
  <c r="P33" i="2"/>
  <c r="Q33" i="2"/>
  <c r="R33" i="2"/>
  <c r="J34" i="2"/>
  <c r="K34" i="2"/>
  <c r="L34" i="2"/>
  <c r="M34" i="2"/>
  <c r="O34" i="2"/>
  <c r="P34" i="2"/>
  <c r="Q34" i="2"/>
  <c r="R34" i="2"/>
  <c r="B35" i="2"/>
  <c r="C35" i="2"/>
  <c r="J35" i="2"/>
  <c r="K35" i="2"/>
  <c r="L35" i="2"/>
  <c r="M35" i="2"/>
  <c r="O35" i="2"/>
  <c r="P35" i="2"/>
  <c r="Q35" i="2"/>
  <c r="R35" i="2"/>
  <c r="B36" i="2"/>
  <c r="C36" i="2"/>
  <c r="J36" i="2"/>
  <c r="K36" i="2"/>
  <c r="L36" i="2"/>
  <c r="M36" i="2"/>
  <c r="O36" i="2"/>
  <c r="P36" i="2"/>
  <c r="Q36" i="2"/>
  <c r="R36" i="2"/>
  <c r="B37" i="2"/>
  <c r="C37" i="2"/>
  <c r="B38" i="2"/>
  <c r="K38" i="2"/>
  <c r="M38" i="2"/>
  <c r="P38" i="2"/>
  <c r="R38" i="2"/>
  <c r="C40" i="2"/>
</calcChain>
</file>

<file path=xl/comments1.xml><?xml version="1.0" encoding="utf-8"?>
<comments xmlns="http://schemas.openxmlformats.org/spreadsheetml/2006/main">
  <authors>
    <author>Jennifer Nguyen</author>
    <author>Eugenio Perez</author>
  </authors>
  <commentList>
    <comment ref="G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GUESS; data archived, request for access put in 1/28
</t>
        </r>
      </text>
    </comment>
    <comment ref="G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GUESS; data archived, request for access put in 1/28
</t>
        </r>
      </text>
    </comment>
    <comment ref="E6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G6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H6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E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G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H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I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J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K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E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G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H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I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J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K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M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time.  Made straight-line change assumption between June and Sep.
</t>
        </r>
      </text>
    </comment>
    <comment ref="N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time.  Made straight-line change assumption between June and Sep.
</t>
        </r>
      </text>
    </comment>
    <comment ref="G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H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I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e-mail), REPLACING THE 0 THAT WAS REPORTED IN MARCH</t>
        </r>
      </text>
    </comment>
    <comment ref="J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K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L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Got from Mike Kim on 12/28
</t>
        </r>
      </text>
    </comment>
    <comment ref="M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Got from Mike Kim on 12/28
</t>
        </r>
      </text>
    </comment>
    <comment ref="N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Got from Mike Kim on 12/28
</t>
        </r>
      </text>
    </comment>
    <comment ref="O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2/9, Mike Kim sent me ammended numbers (to include newly-marked commodity deals) that replace those he sent on 12/28
</t>
        </r>
      </text>
    </comment>
    <comment ref="P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2/9, Mike Kim sent me ammended numbers (to include newly-marked commodity deals) that replace those he sent on 12/28
</t>
        </r>
      </text>
    </comment>
    <comment ref="Q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2/9, Mike Kim sent me ammended numbers (to include newly-marked commodity deals) that replace those he sent on 12/28
</t>
        </r>
      </text>
    </comment>
    <comment ref="R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2/23, Mike Kim sent me ammended numbers (to include newly-marked commodity deals) that replace those he sent on 12/28
</t>
        </r>
      </text>
    </comment>
    <comment ref="R10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Position initiated in December.  Formally included in (presumably AGG_ECT) VaR in January.  It is supposed to be a hedge, but do not have enough information to treat it as one.  Having it here assumes a 0 correlation to the rest of Trading Commodities</t>
        </r>
      </text>
    </comment>
    <comment ref="G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H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J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K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M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N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P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Q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R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G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H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J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K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M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N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P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Q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R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R1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Chris Abel 1/27 -- no P&amp;L of VaR reported for Dec 99 b/c got out of positions.  Refer to 12/30/99 DPR for back-up.
</t>
        </r>
      </text>
    </comment>
    <comment ref="E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G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H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I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J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K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L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M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N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R1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Eric Tipp sent me on 2/9 new numbers based on  information from A/A on the Jedi partnership listing the beneficial ownership on Jedi assets as 90.64%.
</t>
        </r>
      </text>
    </comment>
    <comment ref="G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H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I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J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K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L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M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N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O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P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Q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R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L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M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N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O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original VaR obtained was $4.05 million, using vol of 61.4%.  Current VaR figure uses vol if 101.861% obtained from Bloomberg</t>
        </r>
      </text>
    </comment>
    <comment ref="P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Q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R1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RTHM position was unwound.  Remnants have VaR calculated under the TRS model.</t>
        </r>
      </text>
    </comment>
    <comment ref="G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H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J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K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M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N20" authorId="0" shapeId="0">
      <text>
        <r>
          <rPr>
            <b/>
            <sz val="8"/>
            <color indexed="81"/>
            <rFont val="Tahoma"/>
          </rPr>
          <t>Eugenio Pérez:</t>
        </r>
        <r>
          <rPr>
            <sz val="8"/>
            <color indexed="81"/>
            <rFont val="Tahoma"/>
          </rPr>
          <t xml:space="preserve">
per Georgeanne Hodges 2/10</t>
        </r>
      </text>
    </comment>
    <comment ref="O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
</t>
        </r>
      </text>
    </comment>
    <comment ref="P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
</t>
        </r>
      </text>
    </comment>
    <comment ref="Q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</t>
        </r>
      </text>
    </comment>
    <comment ref="R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</t>
        </r>
      </text>
    </comment>
    <comment ref="G2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Terri Peschka's e-mail 1/31</t>
        </r>
      </text>
    </comment>
    <comment ref="H2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Terri Peschka's e-mail 1/31</t>
        </r>
      </text>
    </comment>
    <comment ref="I2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Terri Peschka's e-mail 2/1
</t>
        </r>
      </text>
    </comment>
    <comment ref="J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K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M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N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P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Q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E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G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H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I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J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K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
</t>
        </r>
      </text>
    </comment>
    <comment ref="L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
</t>
        </r>
      </text>
    </comment>
    <comment ref="M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N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O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P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Q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R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
</t>
        </r>
      </text>
    </comment>
    <comment ref="G24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H24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R24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Last Number Guess
</t>
        </r>
      </text>
    </comment>
    <comment ref="G2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H2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R25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Last Number Guess
</t>
        </r>
      </text>
    </comment>
    <comment ref="E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G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H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I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J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K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L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M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N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O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P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Q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R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E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G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H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I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J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K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L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M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N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O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P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Q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R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</commentList>
</comments>
</file>

<file path=xl/comments2.xml><?xml version="1.0" encoding="utf-8"?>
<comments xmlns="http://schemas.openxmlformats.org/spreadsheetml/2006/main">
  <authors>
    <author>Eugenio Perez</author>
    <author>Jennifer Nguyen</author>
  </authors>
  <commentList>
    <comment ref="A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Per Mike Moscoso, get from VaR spreadsheet; this figure includes European Liquids
</t>
        </r>
      </text>
    </comment>
    <comment ref="A3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Per Mike Moscose, get from VaR spreadsheet
</t>
        </r>
      </text>
    </comment>
    <comment ref="A4" authorId="0" shapeId="0">
      <text>
        <r>
          <rPr>
            <b/>
            <sz val="8"/>
            <color indexed="81"/>
            <rFont val="Tahoma"/>
          </rPr>
          <t xml:space="preserve">Eugenio Perez:
</t>
        </r>
        <r>
          <rPr>
            <sz val="10"/>
            <rFont val="Arial"/>
          </rPr>
          <t xml:space="preserve">Per Mike Moscoso, get from London Summary spreadsheet on USD format tab; this figure excludes Eupopean Liquids which is already included in AGG_ECT
</t>
        </r>
      </text>
    </comment>
    <comment ref="A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6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9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MIKE KIM 31902 (POWER ONLY; GAS IS ROLLING INTO AGG ECT)</t>
        </r>
      </text>
    </comment>
    <comment ref="A10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get from DPR
</t>
        </r>
      </text>
    </comment>
    <comment ref="A11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get from DPR</t>
        </r>
      </text>
    </comment>
    <comment ref="A13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14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1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16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P16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this figure includes Credit Trading -- Credit and Debt numbers have been consolidated as of December 2000 on the DPR
</t>
        </r>
      </text>
    </comment>
    <comment ref="A1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Husnain Mirza (use the ENA number)</t>
        </r>
      </text>
    </comment>
    <comment ref="A20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Gary Shaw (503 464 8416) 
or Teri Peshka or Scott Gardner
</t>
        </r>
      </text>
    </comment>
    <comment ref="A21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Scott Earnest
3-1746 and Shifali Sharma x3-5170; figures provided by Matthew Adams (see ET&amp;S)</t>
        </r>
      </text>
    </comment>
    <comment ref="A2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Matthew Adams
</t>
        </r>
      </text>
    </comment>
    <comment ref="O2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Matthew told Jennifer that there were no positions
</t>
        </r>
      </text>
    </comment>
    <comment ref="P2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Matthew told Jennifer that there were no positions
</t>
        </r>
      </text>
    </comment>
    <comment ref="A23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Tanya Tamarchenko &amp; Jeff Nogid</t>
        </r>
      </text>
    </comment>
    <comment ref="A24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Tanya Tamarchenko &amp; Jeff Nogid</t>
        </r>
      </text>
    </comment>
    <comment ref="A2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purposes).  Phantom is composed of 1,061,000 + 378,000 shares (+205,000 from June).  Steve Ross does not calculate VaR so use own model.
</t>
        </r>
      </text>
    </comment>
    <comment ref="C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E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F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G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H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I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J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K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L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M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N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O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P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</commentList>
</comments>
</file>

<file path=xl/comments3.xml><?xml version="1.0" encoding="utf-8"?>
<comments xmlns="http://schemas.openxmlformats.org/spreadsheetml/2006/main">
  <authors>
    <author>Eugenio Perez</author>
  </authors>
  <commentList>
    <comment ref="B3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</commentList>
</comments>
</file>

<file path=xl/sharedStrings.xml><?xml version="1.0" encoding="utf-8"?>
<sst xmlns="http://schemas.openxmlformats.org/spreadsheetml/2006/main" count="671" uniqueCount="187">
  <si>
    <t>Securities</t>
  </si>
  <si>
    <t>IR</t>
  </si>
  <si>
    <t>Trading</t>
  </si>
  <si>
    <t>Commodities</t>
  </si>
  <si>
    <t>FX</t>
  </si>
  <si>
    <t>Foreign Exchange</t>
  </si>
  <si>
    <t>Interest Rates</t>
  </si>
  <si>
    <t>Weather</t>
  </si>
  <si>
    <t>EES</t>
  </si>
  <si>
    <t>Non-Trading</t>
  </si>
  <si>
    <t>PGE</t>
  </si>
  <si>
    <t>Trading: Commodities</t>
  </si>
  <si>
    <t>Trading: IR</t>
  </si>
  <si>
    <t>Trading: FX</t>
  </si>
  <si>
    <t>Trading: Securities</t>
  </si>
  <si>
    <t>Item</t>
  </si>
  <si>
    <t>Application</t>
  </si>
  <si>
    <t>na</t>
  </si>
  <si>
    <t>SEC VaR Calc and Reporting Template</t>
  </si>
  <si>
    <t>AGG_ECT</t>
  </si>
  <si>
    <t>AGG_INDEX</t>
  </si>
  <si>
    <t>AGG_EUROPE</t>
  </si>
  <si>
    <t>Merchant Assets</t>
  </si>
  <si>
    <t>Description</t>
  </si>
  <si>
    <t>VaR</t>
  </si>
  <si>
    <t>GRMS</t>
  </si>
  <si>
    <t>DPR</t>
  </si>
  <si>
    <t>Ad-Hoc</t>
  </si>
  <si>
    <t>RM Group</t>
  </si>
  <si>
    <t>Calc Model</t>
  </si>
  <si>
    <t>Calc System</t>
  </si>
  <si>
    <t>vatr 2</t>
  </si>
  <si>
    <t>vatr 1</t>
  </si>
  <si>
    <t>varcov</t>
  </si>
  <si>
    <t>Samantha Davidson</t>
  </si>
  <si>
    <t>Ravi Thurasingham</t>
  </si>
  <si>
    <t>Rudi Zipter</t>
  </si>
  <si>
    <t>Calc                         Agent</t>
  </si>
  <si>
    <t>Data Contacts</t>
  </si>
  <si>
    <t>David Herleth</t>
  </si>
  <si>
    <t>Niel Hong / Micheal Kim</t>
  </si>
  <si>
    <t>Rick Carson / Lynn Bellinghausen</t>
  </si>
  <si>
    <t>historic</t>
  </si>
  <si>
    <t>AFFILIATE</t>
  </si>
  <si>
    <t>ECM: FX</t>
  </si>
  <si>
    <t>ECM: IR</t>
  </si>
  <si>
    <t>Non-Trading: Commodities</t>
  </si>
  <si>
    <t>Non-Trading: FX</t>
  </si>
  <si>
    <t>Non-Trading: IR</t>
  </si>
  <si>
    <t>Karla Compean</t>
  </si>
  <si>
    <t>Kristin Stathis</t>
  </si>
  <si>
    <t>SEC VaR Matrix/Reporting Template As Of 31-MAR-99</t>
  </si>
  <si>
    <t>Total Return Swaps</t>
  </si>
  <si>
    <t>FINAL</t>
  </si>
  <si>
    <t>PGE Power</t>
  </si>
  <si>
    <t>PGE Gas</t>
  </si>
  <si>
    <t>Combined</t>
  </si>
  <si>
    <t>EES Power</t>
  </si>
  <si>
    <t>EES Gas</t>
  </si>
  <si>
    <t>Jill Erwin / Jeff Nogin</t>
  </si>
  <si>
    <t>ECM: Equities</t>
  </si>
  <si>
    <t>Monty McMahen</t>
  </si>
  <si>
    <t>Change in Trading</t>
  </si>
  <si>
    <t>Change in Non-Trading</t>
  </si>
  <si>
    <t>Argentina</t>
  </si>
  <si>
    <t>Australia</t>
  </si>
  <si>
    <t>Arg Power</t>
  </si>
  <si>
    <t>Arg Gas</t>
  </si>
  <si>
    <t>Vladimir Gorny</t>
  </si>
  <si>
    <t>Aff Gas</t>
  </si>
  <si>
    <t>Aff Liquids</t>
  </si>
  <si>
    <t>Scott Pleus</t>
  </si>
  <si>
    <t>SEC VaR Matrix/Reporting Template As Of 30-JUN-99</t>
  </si>
  <si>
    <t>Terri Peschka</t>
  </si>
  <si>
    <t>Rudi, Vlady, &amp; Nick</t>
  </si>
  <si>
    <t>Husnain Mirza</t>
  </si>
  <si>
    <t>Tanya Tamarchenko</t>
  </si>
  <si>
    <t>Steve Ross</t>
  </si>
  <si>
    <t>Rick Carson</t>
  </si>
  <si>
    <t>Rudi, Vlady, &amp; Nick (in Ted Murhphy's group)</t>
  </si>
  <si>
    <t>Data Provider</t>
  </si>
  <si>
    <t>TONY HARRIS CALLED; NO POSITIONS</t>
  </si>
  <si>
    <t>WEATHER</t>
  </si>
  <si>
    <t>ENRON SOUTH AMERICA GAS</t>
  </si>
  <si>
    <t>ENRON SOUTH AMERICA POWER</t>
  </si>
  <si>
    <t>GARY STANDLER GAVE TO ME FROM SOME SPREADSHEET</t>
  </si>
  <si>
    <t>GOT FROM DPR</t>
  </si>
  <si>
    <t>10/6 NUMBER (SINCE CALCULATED ONCE A WEEK) GOT FROM RUDI</t>
  </si>
  <si>
    <t>ENRON NORTH AMERICA FINANCIAL TRADING EQUITY</t>
  </si>
  <si>
    <t>ENRON NORTH AMERICA FINANCIAL TRADING DEBT</t>
  </si>
  <si>
    <t>MERCHANT ASSETS</t>
  </si>
  <si>
    <t>TOTAL RETURN SWAPS</t>
  </si>
  <si>
    <t>AUSTRALIA</t>
  </si>
  <si>
    <t>Jeff Nogid 34782 through Dart Arnaez 36426</t>
  </si>
  <si>
    <t>Jeff Nogid 34782 through Dart Arnaez 36427</t>
  </si>
  <si>
    <t>ECM EQUITIES</t>
  </si>
  <si>
    <t>ECM FX</t>
  </si>
  <si>
    <t>ECM IR</t>
  </si>
  <si>
    <t>HAVE COMBINED VAR FOR 30TH, BUT NO BREAKDOWN, SO USED SAME PROPORTION AND CORRELATION (WHICH I BACKED OUT) AS THE FIRST.</t>
  </si>
  <si>
    <t>GARY SHAW 503 464 8416 (BECAUSE TERRI 8304 IS OUT)</t>
  </si>
  <si>
    <t>TOTAL VAR INCLUDING HEDGES TAKING THE 60% + 15% (DEREK TOLD ME)</t>
  </si>
  <si>
    <t>SUM SQUARE TOTAL</t>
  </si>
  <si>
    <t>6/30 NUMBER</t>
  </si>
  <si>
    <t>These numbers were combined in 6/30</t>
  </si>
  <si>
    <t>CHANGE</t>
  </si>
  <si>
    <t>Azurix, EOTT, EOT do not have to be included in SEC VaR because not consolidated subsidiaries.</t>
  </si>
  <si>
    <t>TOTAL</t>
  </si>
  <si>
    <t>ET&amp;S HEDGED AND OPEN POSITION</t>
  </si>
  <si>
    <t>Debbie Moseley</t>
  </si>
  <si>
    <t>These books were not included before</t>
  </si>
  <si>
    <t xml:space="preserve"> </t>
  </si>
  <si>
    <t>SEC VaR</t>
  </si>
  <si>
    <t>Excel</t>
  </si>
  <si>
    <t>Kevin Radus</t>
  </si>
  <si>
    <t>Jeff Nogin</t>
  </si>
  <si>
    <t>Jill Erwin</t>
  </si>
  <si>
    <t>Ken Cho</t>
  </si>
  <si>
    <t>?</t>
  </si>
  <si>
    <t>SEC VaR Matrix/Reporting Template As Of 31-DEC-98</t>
  </si>
  <si>
    <t xml:space="preserve">Calc </t>
  </si>
  <si>
    <t>RYTHMS</t>
  </si>
  <si>
    <t>STINSEN GIBNER GAVE ME A MODEL, WHICH I STRESSED IN MONTE CARLO: 8,000 SIMULATIONS STOCHASTIC GEOMETRIC BROWNIAN MOTION.</t>
  </si>
  <si>
    <t>HUSNAIN REVISED NUMBERS 11/8; USED ECONOMIC OWNERSHIP</t>
  </si>
  <si>
    <t>MIKE KIM 31902 SENT ME NEW NUMBERS (11/8); POWER ONLY; GAS IS ROLLING INTO AGG ECT</t>
  </si>
  <si>
    <t>SEC VaR Matrix/Reporting Template As Of 9/30/99</t>
  </si>
  <si>
    <t>INCLUDING BAMMEL 11/8; EXCLUDING ARTEMIS AND FIXING MODEL 11/10</t>
  </si>
  <si>
    <t>98 NUMBER</t>
  </si>
  <si>
    <t>NO PROBLEM</t>
  </si>
  <si>
    <t>DAN FANCLER</t>
  </si>
  <si>
    <t>HAVE FROM MAY; CALCULATIONS WOULD TAKE ABOUT ONE WEEK OF TIME FROM SHEILA'S GROUP; TO COLLECT DATA ANOTHER SIX DAYS.</t>
  </si>
  <si>
    <t>ASSUMING HAVE DATA; ONE WEEK.</t>
  </si>
  <si>
    <t>CALCULATIONS WOULD TAKE ABOUT FIVE WEEKS OF WORK</t>
  </si>
  <si>
    <t>JEFF CAN DO THE DATA (TWO DAYS); TANYA WOULD NEED A WEEK AFTERWARD</t>
  </si>
  <si>
    <t>FROM MAY ON NO PROBLEM; BEFORE MAY NUMBERS MUST BE CALCULATED (WHICH MEANS TRACKING DOWN POSITIONS).  NOBODY SEEMS TO KNOW WELL, BUT I WILL ESTIMATE TWO WEEKS</t>
  </si>
  <si>
    <t>ABOUT 2 HOURS OF WORK</t>
  </si>
  <si>
    <t>sum squaring all</t>
  </si>
  <si>
    <t>HAVE FROM JUNE.  DOES NOT KNOW WHAT IT WOULD REQUIRE TO GET NUMBERS</t>
  </si>
  <si>
    <t>TRADING COMMODITIES</t>
  </si>
  <si>
    <t>TRADING INTEREST RATES</t>
  </si>
  <si>
    <t>TRADING SECURITIES</t>
  </si>
  <si>
    <t>TRADING FOREIGN EXCHANGE</t>
  </si>
  <si>
    <t>TRADING</t>
  </si>
  <si>
    <t>COMMODITIES</t>
  </si>
  <si>
    <t>SECURITIES</t>
  </si>
  <si>
    <t>NON-TRADING</t>
  </si>
  <si>
    <t>RHYTHMS</t>
  </si>
  <si>
    <t>NO PROBLEM; CAN'T FIND TONY ON DIRECTORY SO RUDI WILL CALL ME BACK</t>
  </si>
  <si>
    <t>MATTHEW ADAMS WILL CALC AND GET DATA FROM DAN AND DEBBIE</t>
  </si>
  <si>
    <t>EES POWER</t>
  </si>
  <si>
    <t>DAN FANCLER &amp; DEBBIE MOSELY</t>
  </si>
  <si>
    <t>GARY SHAW 503 464 8416 OR TERRI PESCHKA</t>
  </si>
  <si>
    <t>MIKE KIM 31902 (POWER ONLY; GAS IS ROLLING INTO AGG ECT)</t>
  </si>
  <si>
    <t>TONY HARRIS</t>
  </si>
  <si>
    <t>STEVE ROSS</t>
  </si>
  <si>
    <t>HUSNAIN MIRZA</t>
  </si>
  <si>
    <t>TANYA TAMARCHENKO &amp; JEFF NOGID</t>
  </si>
  <si>
    <t>AVERAGE</t>
  </si>
  <si>
    <t>HIGH</t>
  </si>
  <si>
    <t>LOW</t>
  </si>
  <si>
    <t>NOTE:  NUMBERS IN GRAY ARE EITHER ESTIMATES OR STRAIGHT-LINE CALCULATIONS.</t>
  </si>
  <si>
    <t>NON-TRADING INTEREST RATES</t>
  </si>
  <si>
    <t>NON-TRADING FOREIGN EXCHANGE</t>
  </si>
  <si>
    <t>NON-TRADING SECURITIES</t>
  </si>
  <si>
    <t>NON-TRADING COMMODITIES</t>
  </si>
  <si>
    <t>JILL ERWIN &amp; STEVE ROSS</t>
  </si>
  <si>
    <t>MERRILL LYNCH</t>
  </si>
  <si>
    <t>PALADIN</t>
  </si>
  <si>
    <t>PHANTOM, JEDI, CONDOR</t>
  </si>
  <si>
    <t>BRENT CRUDE COMMODITY POSITIONS</t>
  </si>
  <si>
    <t>BANDWIDTH</t>
  </si>
  <si>
    <t>PGE TRADING</t>
  </si>
  <si>
    <t>PGE NON TRADING</t>
  </si>
  <si>
    <t>TC</t>
  </si>
  <si>
    <t>TI</t>
  </si>
  <si>
    <t>TF</t>
  </si>
  <si>
    <t>TS</t>
  </si>
  <si>
    <t>NC</t>
  </si>
  <si>
    <t>NI</t>
  </si>
  <si>
    <t>NF</t>
  </si>
  <si>
    <t>NS</t>
  </si>
  <si>
    <t>ENRON METALS</t>
  </si>
  <si>
    <t>MAIL TO</t>
  </si>
  <si>
    <t>OLD MERCHANT</t>
  </si>
  <si>
    <t>OLD TOTAL TRADING SECURITIES</t>
  </si>
  <si>
    <t>Georgeanne Hodges/HOU/ECT@ECT, Jan Johnson/GPGFIN/Enron@ENRON, Sally Beck/HOU/ECT@ECT, Cassandra Schultz/NA/Enron@Enron, Shona Wilson/NA/Enron@Enron; Gary Peng/GPGFIN/Enron@ENRON, Jennifer Nguyen/Corp/Enron@ENRON,  Hope Vargas/HOU/ECT</t>
  </si>
  <si>
    <t>PHANTOM</t>
  </si>
  <si>
    <t>LEHMAN AND JEDI SWAPS ON ENE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</si>
</sst>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72" formatCode="_(* #,##0_);_(* \(#,##0\);_(* &quot;-&quot;??_);_(@_)"/>
    <numFmt numFmtId="174" formatCode="_(&quot;$&quot;* #,##0_);_(&quot;$&quot;* \(#,##0\);_(&quot;$&quot;* &quot;-&quot;??_);_(@_)"/>
    <numFmt numFmtId="179" formatCode="[Red]#,##0;\-#,##0"/>
    <numFmt numFmtId="182" formatCode="mmm\-yyyy"/>
  </numFmts>
  <fonts count="27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i/>
      <sz val="8"/>
      <color indexed="21"/>
      <name val="Arial"/>
      <family val="2"/>
    </font>
    <font>
      <b/>
      <i/>
      <sz val="8"/>
      <color indexed="21"/>
      <name val="Arial"/>
      <family val="2"/>
    </font>
    <font>
      <sz val="8"/>
      <color indexed="8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8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.5"/>
      <name val="MS Sans Serif"/>
    </font>
    <font>
      <sz val="11"/>
      <name val="CG Times (WN)"/>
    </font>
    <font>
      <sz val="8.5"/>
      <name val="Arial"/>
    </font>
    <font>
      <sz val="8.5"/>
      <name val="Arial"/>
    </font>
    <font>
      <sz val="10"/>
      <name val="Arial"/>
    </font>
    <font>
      <sz val="10"/>
      <color indexed="48"/>
      <name val="Arial"/>
      <family val="2"/>
    </font>
    <font>
      <b/>
      <sz val="10"/>
      <color indexed="4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Border="1"/>
    <xf numFmtId="0" fontId="6" fillId="0" borderId="0" xfId="0" applyFont="1"/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5" fillId="0" borderId="0" xfId="0" applyFont="1" applyAlignment="1">
      <alignment horizontal="left"/>
    </xf>
    <xf numFmtId="0" fontId="5" fillId="0" borderId="0" xfId="0" applyFont="1" applyBorder="1"/>
    <xf numFmtId="174" fontId="4" fillId="0" borderId="1" xfId="2" applyNumberFormat="1" applyFont="1" applyBorder="1"/>
    <xf numFmtId="174" fontId="4" fillId="0" borderId="1" xfId="0" applyNumberFormat="1" applyFont="1" applyBorder="1"/>
    <xf numFmtId="0" fontId="6" fillId="0" borderId="0" xfId="0" applyFont="1" applyAlignment="1">
      <alignment horizontal="right"/>
    </xf>
    <xf numFmtId="174" fontId="4" fillId="0" borderId="0" xfId="0" applyNumberFormat="1" applyFont="1"/>
    <xf numFmtId="174" fontId="4" fillId="0" borderId="0" xfId="0" applyNumberFormat="1" applyFont="1" applyBorder="1"/>
    <xf numFmtId="174" fontId="4" fillId="0" borderId="0" xfId="2" applyNumberFormat="1" applyFont="1" applyBorder="1"/>
    <xf numFmtId="174" fontId="7" fillId="0" borderId="0" xfId="0" applyNumberFormat="1" applyFont="1"/>
    <xf numFmtId="172" fontId="4" fillId="0" borderId="1" xfId="1" applyNumberFormat="1" applyFont="1" applyBorder="1"/>
    <xf numFmtId="3" fontId="4" fillId="0" borderId="1" xfId="0" applyNumberFormat="1" applyFont="1" applyBorder="1"/>
    <xf numFmtId="0" fontId="6" fillId="0" borderId="0" xfId="0" applyFont="1" applyBorder="1" applyAlignment="1">
      <alignment horizontal="right"/>
    </xf>
    <xf numFmtId="0" fontId="8" fillId="0" borderId="0" xfId="0" applyFont="1"/>
    <xf numFmtId="0" fontId="9" fillId="0" borderId="0" xfId="0" applyFont="1" applyAlignment="1">
      <alignment horizontal="right" wrapText="1"/>
    </xf>
    <xf numFmtId="0" fontId="9" fillId="0" borderId="0" xfId="0" applyFont="1" applyAlignment="1">
      <alignment horizontal="right"/>
    </xf>
    <xf numFmtId="174" fontId="8" fillId="0" borderId="1" xfId="2" applyNumberFormat="1" applyFont="1" applyBorder="1"/>
    <xf numFmtId="174" fontId="8" fillId="0" borderId="1" xfId="0" applyNumberFormat="1" applyFont="1" applyBorder="1"/>
    <xf numFmtId="3" fontId="4" fillId="0" borderId="0" xfId="0" applyNumberFormat="1" applyFont="1"/>
    <xf numFmtId="0" fontId="6" fillId="0" borderId="0" xfId="0" applyFont="1" applyAlignment="1"/>
    <xf numFmtId="0" fontId="4" fillId="0" borderId="0" xfId="0" applyFont="1" applyAlignment="1"/>
    <xf numFmtId="174" fontId="4" fillId="0" borderId="0" xfId="0" applyNumberFormat="1" applyFont="1" applyBorder="1" applyAlignment="1"/>
    <xf numFmtId="174" fontId="10" fillId="0" borderId="0" xfId="2" applyNumberFormat="1" applyFont="1" applyBorder="1" applyAlignment="1"/>
    <xf numFmtId="3" fontId="6" fillId="0" borderId="0" xfId="0" applyNumberFormat="1" applyFont="1" applyAlignment="1">
      <alignment horizontal="right"/>
    </xf>
    <xf numFmtId="0" fontId="6" fillId="0" borderId="0" xfId="0" applyFont="1" applyBorder="1" applyAlignment="1"/>
    <xf numFmtId="174" fontId="4" fillId="0" borderId="0" xfId="2" applyNumberFormat="1" applyFont="1" applyBorder="1" applyAlignment="1"/>
    <xf numFmtId="0" fontId="4" fillId="0" borderId="0" xfId="0" applyFont="1" applyBorder="1" applyAlignment="1"/>
    <xf numFmtId="0" fontId="3" fillId="0" borderId="0" xfId="0" applyFont="1" applyAlignment="1"/>
    <xf numFmtId="3" fontId="4" fillId="0" borderId="0" xfId="0" applyNumberFormat="1" applyFont="1" applyAlignment="1"/>
    <xf numFmtId="3" fontId="4" fillId="2" borderId="2" xfId="0" applyNumberFormat="1" applyFont="1" applyFill="1" applyBorder="1" applyAlignment="1"/>
    <xf numFmtId="0" fontId="4" fillId="2" borderId="3" xfId="0" applyFont="1" applyFill="1" applyBorder="1" applyAlignment="1"/>
    <xf numFmtId="3" fontId="4" fillId="2" borderId="4" xfId="0" applyNumberFormat="1" applyFont="1" applyFill="1" applyBorder="1" applyAlignment="1"/>
    <xf numFmtId="0" fontId="4" fillId="2" borderId="5" xfId="0" applyFont="1" applyFill="1" applyBorder="1" applyAlignment="1"/>
    <xf numFmtId="3" fontId="4" fillId="3" borderId="0" xfId="0" applyNumberFormat="1" applyFont="1" applyFill="1" applyBorder="1" applyAlignment="1"/>
    <xf numFmtId="174" fontId="4" fillId="0" borderId="1" xfId="2" applyNumberFormat="1" applyFont="1" applyBorder="1" applyAlignment="1"/>
    <xf numFmtId="174" fontId="4" fillId="0" borderId="0" xfId="0" applyNumberFormat="1" applyFont="1" applyAlignment="1"/>
    <xf numFmtId="3" fontId="4" fillId="0" borderId="1" xfId="0" applyNumberFormat="1" applyFont="1" applyBorder="1" applyAlignment="1"/>
    <xf numFmtId="174" fontId="6" fillId="0" borderId="0" xfId="0" applyNumberFormat="1" applyFont="1" applyAlignment="1"/>
    <xf numFmtId="0" fontId="11" fillId="3" borderId="2" xfId="0" applyFont="1" applyFill="1" applyBorder="1" applyAlignment="1"/>
    <xf numFmtId="3" fontId="11" fillId="3" borderId="6" xfId="0" applyNumberFormat="1" applyFont="1" applyFill="1" applyBorder="1" applyAlignment="1">
      <alignment horizontal="right"/>
    </xf>
    <xf numFmtId="3" fontId="4" fillId="2" borderId="6" xfId="0" applyNumberFormat="1" applyFont="1" applyFill="1" applyBorder="1" applyAlignment="1"/>
    <xf numFmtId="3" fontId="11" fillId="2" borderId="3" xfId="0" applyNumberFormat="1" applyFont="1" applyFill="1" applyBorder="1" applyAlignment="1">
      <alignment horizontal="right"/>
    </xf>
    <xf numFmtId="0" fontId="4" fillId="3" borderId="7" xfId="0" applyFont="1" applyFill="1" applyBorder="1" applyAlignment="1"/>
    <xf numFmtId="3" fontId="4" fillId="2" borderId="0" xfId="0" applyNumberFormat="1" applyFont="1" applyFill="1" applyBorder="1" applyAlignment="1"/>
    <xf numFmtId="0" fontId="4" fillId="2" borderId="8" xfId="0" applyFont="1" applyFill="1" applyBorder="1" applyAlignment="1"/>
    <xf numFmtId="3" fontId="4" fillId="3" borderId="7" xfId="0" applyNumberFormat="1" applyFont="1" applyFill="1" applyBorder="1" applyAlignment="1"/>
    <xf numFmtId="0" fontId="4" fillId="2" borderId="0" xfId="0" applyFont="1" applyFill="1" applyBorder="1" applyAlignment="1"/>
    <xf numFmtId="0" fontId="6" fillId="3" borderId="7" xfId="0" applyFont="1" applyFill="1" applyBorder="1" applyAlignment="1">
      <alignment horizontal="right"/>
    </xf>
    <xf numFmtId="3" fontId="4" fillId="2" borderId="8" xfId="0" applyNumberFormat="1" applyFont="1" applyFill="1" applyBorder="1" applyAlignment="1"/>
    <xf numFmtId="174" fontId="4" fillId="3" borderId="7" xfId="2" applyNumberFormat="1" applyFont="1" applyFill="1" applyBorder="1" applyAlignment="1"/>
    <xf numFmtId="0" fontId="4" fillId="3" borderId="4" xfId="0" applyFont="1" applyFill="1" applyBorder="1" applyAlignment="1"/>
    <xf numFmtId="3" fontId="4" fillId="3" borderId="9" xfId="0" applyNumberFormat="1" applyFont="1" applyFill="1" applyBorder="1" applyAlignment="1"/>
    <xf numFmtId="3" fontId="4" fillId="2" borderId="9" xfId="0" applyNumberFormat="1" applyFont="1" applyFill="1" applyBorder="1" applyAlignment="1"/>
    <xf numFmtId="3" fontId="4" fillId="2" borderId="5" xfId="0" applyNumberFormat="1" applyFont="1" applyFill="1" applyBorder="1" applyAlignment="1"/>
    <xf numFmtId="0" fontId="3" fillId="0" borderId="0" xfId="0" applyFont="1" applyAlignment="1">
      <alignment horizontal="right"/>
    </xf>
    <xf numFmtId="174" fontId="10" fillId="0" borderId="0" xfId="2" applyNumberFormat="1" applyFont="1" applyFill="1" applyBorder="1" applyAlignment="1"/>
    <xf numFmtId="0" fontId="6" fillId="0" borderId="2" xfId="0" applyFont="1" applyBorder="1" applyAlignment="1">
      <alignment horizontal="right"/>
    </xf>
    <xf numFmtId="0" fontId="6" fillId="0" borderId="6" xfId="0" applyFont="1" applyBorder="1" applyAlignment="1">
      <alignment horizontal="center"/>
    </xf>
    <xf numFmtId="0" fontId="6" fillId="0" borderId="6" xfId="0" applyFont="1" applyBorder="1"/>
    <xf numFmtId="0" fontId="6" fillId="0" borderId="6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4" fillId="0" borderId="7" xfId="0" applyFont="1" applyBorder="1"/>
    <xf numFmtId="0" fontId="6" fillId="0" borderId="0" xfId="0" applyFont="1" applyBorder="1"/>
    <xf numFmtId="0" fontId="4" fillId="0" borderId="8" xfId="0" applyFont="1" applyBorder="1"/>
    <xf numFmtId="0" fontId="5" fillId="0" borderId="7" xfId="0" applyFont="1" applyBorder="1"/>
    <xf numFmtId="0" fontId="4" fillId="0" borderId="0" xfId="0" applyFont="1" applyBorder="1" applyAlignment="1">
      <alignment horizontal="right"/>
    </xf>
    <xf numFmtId="0" fontId="5" fillId="0" borderId="0" xfId="0" applyFont="1" applyBorder="1" applyAlignment="1">
      <alignment horizontal="left"/>
    </xf>
    <xf numFmtId="0" fontId="5" fillId="0" borderId="8" xfId="0" applyFont="1" applyBorder="1"/>
    <xf numFmtId="0" fontId="5" fillId="0" borderId="4" xfId="0" applyFont="1" applyBorder="1"/>
    <xf numFmtId="0" fontId="4" fillId="0" borderId="9" xfId="0" applyFont="1" applyBorder="1"/>
    <xf numFmtId="0" fontId="4" fillId="0" borderId="9" xfId="0" applyFont="1" applyBorder="1" applyAlignment="1">
      <alignment horizontal="right"/>
    </xf>
    <xf numFmtId="174" fontId="4" fillId="0" borderId="9" xfId="2" applyNumberFormat="1" applyFont="1" applyBorder="1"/>
    <xf numFmtId="0" fontId="5" fillId="0" borderId="9" xfId="0" applyFont="1" applyBorder="1"/>
    <xf numFmtId="0" fontId="5" fillId="0" borderId="5" xfId="0" applyFont="1" applyBorder="1"/>
    <xf numFmtId="3" fontId="4" fillId="2" borderId="3" xfId="0" applyNumberFormat="1" applyFont="1" applyFill="1" applyBorder="1" applyAlignment="1"/>
    <xf numFmtId="179" fontId="4" fillId="3" borderId="7" xfId="0" applyNumberFormat="1" applyFont="1" applyFill="1" applyBorder="1" applyAlignment="1"/>
    <xf numFmtId="179" fontId="4" fillId="3" borderId="0" xfId="0" applyNumberFormat="1" applyFont="1" applyFill="1" applyBorder="1" applyAlignment="1"/>
    <xf numFmtId="179" fontId="6" fillId="3" borderId="7" xfId="0" applyNumberFormat="1" applyFont="1" applyFill="1" applyBorder="1" applyAlignment="1">
      <alignment horizontal="right"/>
    </xf>
    <xf numFmtId="179" fontId="4" fillId="3" borderId="7" xfId="2" applyNumberFormat="1" applyFont="1" applyFill="1" applyBorder="1" applyAlignment="1"/>
    <xf numFmtId="179" fontId="4" fillId="3" borderId="4" xfId="0" applyNumberFormat="1" applyFont="1" applyFill="1" applyBorder="1" applyAlignment="1"/>
    <xf numFmtId="179" fontId="4" fillId="3" borderId="9" xfId="0" applyNumberFormat="1" applyFont="1" applyFill="1" applyBorder="1" applyAlignment="1"/>
    <xf numFmtId="0" fontId="4" fillId="0" borderId="0" xfId="0" applyFont="1" applyFill="1" applyBorder="1" applyAlignment="1"/>
    <xf numFmtId="0" fontId="4" fillId="0" borderId="0" xfId="0" applyFont="1" applyFill="1" applyAlignment="1"/>
    <xf numFmtId="0" fontId="4" fillId="4" borderId="0" xfId="0" applyFont="1" applyFill="1" applyAlignment="1"/>
    <xf numFmtId="0" fontId="6" fillId="4" borderId="0" xfId="0" applyFont="1" applyFill="1" applyAlignment="1"/>
    <xf numFmtId="0" fontId="14" fillId="4" borderId="0" xfId="0" applyFont="1" applyFill="1" applyAlignment="1"/>
    <xf numFmtId="0" fontId="15" fillId="4" borderId="0" xfId="0" applyFont="1" applyFill="1" applyBorder="1" applyAlignment="1"/>
    <xf numFmtId="3" fontId="15" fillId="0" borderId="1" xfId="2" applyNumberFormat="1" applyFont="1" applyBorder="1" applyAlignment="1"/>
    <xf numFmtId="174" fontId="4" fillId="0" borderId="10" xfId="2" applyNumberFormat="1" applyFont="1" applyBorder="1" applyAlignment="1"/>
    <xf numFmtId="0" fontId="4" fillId="0" borderId="11" xfId="0" applyFont="1" applyBorder="1" applyAlignment="1">
      <alignment horizontal="right"/>
    </xf>
    <xf numFmtId="17" fontId="3" fillId="3" borderId="0" xfId="0" applyNumberFormat="1" applyFont="1" applyFill="1" applyAlignment="1">
      <alignment horizontal="right"/>
    </xf>
    <xf numFmtId="3" fontId="0" fillId="0" borderId="0" xfId="0" applyNumberFormat="1" applyAlignment="1"/>
    <xf numFmtId="0" fontId="0" fillId="0" borderId="0" xfId="0" applyAlignment="1"/>
    <xf numFmtId="3" fontId="3" fillId="3" borderId="0" xfId="0" applyNumberFormat="1" applyFont="1" applyFill="1" applyAlignment="1"/>
    <xf numFmtId="17" fontId="18" fillId="3" borderId="0" xfId="0" applyNumberFormat="1" applyFont="1" applyFill="1" applyAlignment="1"/>
    <xf numFmtId="3" fontId="14" fillId="5" borderId="1" xfId="2" applyNumberFormat="1" applyFont="1" applyFill="1" applyBorder="1" applyAlignment="1">
      <alignment horizontal="right"/>
    </xf>
    <xf numFmtId="3" fontId="3" fillId="3" borderId="0" xfId="0" applyNumberFormat="1" applyFont="1" applyFill="1" applyAlignment="1">
      <alignment horizontal="right"/>
    </xf>
    <xf numFmtId="3" fontId="13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3" fontId="19" fillId="0" borderId="0" xfId="0" applyNumberFormat="1" applyFont="1" applyAlignment="1">
      <alignment horizontal="right"/>
    </xf>
    <xf numFmtId="3" fontId="0" fillId="0" borderId="0" xfId="0" applyNumberFormat="1" applyFill="1" applyAlignment="1">
      <alignment horizontal="right"/>
    </xf>
    <xf numFmtId="3" fontId="0" fillId="0" borderId="0" xfId="0" applyNumberFormat="1" applyFill="1" applyAlignment="1"/>
    <xf numFmtId="3" fontId="13" fillId="0" borderId="0" xfId="0" applyNumberFormat="1" applyFont="1" applyFill="1" applyAlignment="1">
      <alignment horizontal="right"/>
    </xf>
    <xf numFmtId="0" fontId="14" fillId="2" borderId="0" xfId="0" applyFont="1" applyFill="1" applyBorder="1" applyAlignment="1"/>
    <xf numFmtId="0" fontId="14" fillId="2" borderId="0" xfId="0" applyFont="1" applyFill="1" applyAlignment="1"/>
    <xf numFmtId="0" fontId="14" fillId="6" borderId="0" xfId="0" applyFont="1" applyFill="1" applyAlignment="1"/>
    <xf numFmtId="0" fontId="15" fillId="2" borderId="0" xfId="0" applyFont="1" applyFill="1" applyBorder="1" applyAlignment="1"/>
    <xf numFmtId="3" fontId="3" fillId="0" borderId="0" xfId="0" applyNumberFormat="1" applyFont="1" applyAlignment="1"/>
    <xf numFmtId="0" fontId="0" fillId="0" borderId="0" xfId="0" applyAlignment="1">
      <alignment horizontal="right"/>
    </xf>
    <xf numFmtId="3" fontId="3" fillId="7" borderId="0" xfId="0" applyNumberFormat="1" applyFont="1" applyFill="1" applyAlignment="1">
      <alignment horizontal="left"/>
    </xf>
    <xf numFmtId="3" fontId="3" fillId="7" borderId="0" xfId="0" applyNumberFormat="1" applyFont="1" applyFill="1" applyAlignment="1">
      <alignment horizontal="right"/>
    </xf>
    <xf numFmtId="3" fontId="3" fillId="3" borderId="0" xfId="0" applyNumberFormat="1" applyFont="1" applyFill="1" applyBorder="1" applyAlignment="1">
      <alignment horizontal="right"/>
    </xf>
    <xf numFmtId="3" fontId="19" fillId="0" borderId="0" xfId="0" applyNumberFormat="1" applyFont="1" applyBorder="1" applyAlignment="1">
      <alignment horizontal="right"/>
    </xf>
    <xf numFmtId="17" fontId="18" fillId="3" borderId="0" xfId="0" applyNumberFormat="1" applyFont="1" applyFill="1" applyBorder="1" applyAlignment="1"/>
    <xf numFmtId="3" fontId="13" fillId="0" borderId="0" xfId="0" applyNumberFormat="1" applyFont="1" applyBorder="1" applyAlignment="1">
      <alignment horizontal="right"/>
    </xf>
    <xf numFmtId="3" fontId="0" fillId="0" borderId="0" xfId="0" applyNumberFormat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17" fontId="3" fillId="3" borderId="0" xfId="0" applyNumberFormat="1" applyFont="1" applyFill="1" applyBorder="1" applyAlignment="1">
      <alignment horizontal="right"/>
    </xf>
    <xf numFmtId="0" fontId="0" fillId="0" borderId="0" xfId="0" applyBorder="1"/>
    <xf numFmtId="3" fontId="19" fillId="0" borderId="0" xfId="0" applyNumberFormat="1" applyFont="1" applyFill="1" applyAlignment="1">
      <alignment horizontal="right"/>
    </xf>
    <xf numFmtId="182" fontId="18" fillId="3" borderId="0" xfId="0" applyNumberFormat="1" applyFont="1" applyFill="1" applyAlignment="1"/>
    <xf numFmtId="174" fontId="10" fillId="8" borderId="0" xfId="2" applyNumberFormat="1" applyFont="1" applyFill="1" applyBorder="1" applyAlignment="1"/>
    <xf numFmtId="0" fontId="0" fillId="8" borderId="0" xfId="0" applyFill="1"/>
    <xf numFmtId="3" fontId="19" fillId="7" borderId="0" xfId="0" applyNumberFormat="1" applyFont="1" applyFill="1" applyAlignment="1">
      <alignment horizontal="right"/>
    </xf>
    <xf numFmtId="182" fontId="18" fillId="2" borderId="0" xfId="0" applyNumberFormat="1" applyFont="1" applyFill="1" applyAlignment="1" applyProtection="1"/>
    <xf numFmtId="3" fontId="3" fillId="2" borderId="0" xfId="0" applyNumberFormat="1" applyFont="1" applyFill="1" applyAlignment="1" applyProtection="1"/>
    <xf numFmtId="3" fontId="0" fillId="0" borderId="0" xfId="0" applyNumberFormat="1" applyFill="1" applyAlignment="1" applyProtection="1"/>
    <xf numFmtId="3" fontId="3" fillId="0" borderId="0" xfId="0" applyNumberFormat="1" applyFont="1" applyAlignment="1" applyProtection="1"/>
    <xf numFmtId="3" fontId="3" fillId="2" borderId="0" xfId="0" applyNumberFormat="1" applyFont="1" applyFill="1" applyAlignment="1" applyProtection="1">
      <alignment horizontal="right"/>
    </xf>
    <xf numFmtId="0" fontId="0" fillId="0" borderId="0" xfId="0" applyAlignment="1" applyProtection="1"/>
    <xf numFmtId="17" fontId="3" fillId="2" borderId="0" xfId="0" applyNumberFormat="1" applyFont="1" applyFill="1" applyAlignment="1" applyProtection="1">
      <alignment horizontal="right"/>
    </xf>
    <xf numFmtId="17" fontId="18" fillId="2" borderId="0" xfId="0" applyNumberFormat="1" applyFont="1" applyFill="1" applyAlignment="1" applyProtection="1"/>
    <xf numFmtId="3" fontId="6" fillId="2" borderId="0" xfId="0" applyNumberFormat="1" applyFont="1" applyFill="1" applyAlignment="1" applyProtection="1">
      <alignment horizontal="right"/>
    </xf>
    <xf numFmtId="0" fontId="0" fillId="0" borderId="0" xfId="0" applyProtection="1"/>
    <xf numFmtId="3" fontId="0" fillId="0" borderId="0" xfId="0" applyNumberFormat="1" applyAlignment="1" applyProtection="1">
      <alignment horizontal="right"/>
    </xf>
    <xf numFmtId="0" fontId="3" fillId="0" borderId="0" xfId="0" applyFont="1" applyProtection="1"/>
    <xf numFmtId="0" fontId="3" fillId="0" borderId="0" xfId="0" applyFont="1" applyAlignment="1" applyProtection="1">
      <alignment horizontal="right"/>
    </xf>
    <xf numFmtId="0" fontId="3" fillId="0" borderId="0" xfId="0" applyFont="1" applyAlignment="1" applyProtection="1"/>
    <xf numFmtId="0" fontId="0" fillId="0" borderId="0" xfId="0" applyAlignment="1" applyProtection="1">
      <alignment horizontal="right"/>
    </xf>
    <xf numFmtId="3" fontId="6" fillId="2" borderId="12" xfId="0" applyNumberFormat="1" applyFont="1" applyFill="1" applyBorder="1" applyAlignment="1" applyProtection="1">
      <alignment horizontal="right"/>
    </xf>
    <xf numFmtId="3" fontId="3" fillId="2" borderId="13" xfId="0" applyNumberFormat="1" applyFont="1" applyFill="1" applyBorder="1" applyAlignment="1" applyProtection="1"/>
    <xf numFmtId="17" fontId="18" fillId="2" borderId="13" xfId="0" applyNumberFormat="1" applyFont="1" applyFill="1" applyBorder="1" applyAlignment="1" applyProtection="1"/>
    <xf numFmtId="3" fontId="13" fillId="0" borderId="13" xfId="0" applyNumberFormat="1" applyFont="1" applyFill="1" applyBorder="1" applyAlignment="1" applyProtection="1">
      <alignment horizontal="right"/>
    </xf>
    <xf numFmtId="3" fontId="13" fillId="0" borderId="14" xfId="0" applyNumberFormat="1" applyFont="1" applyFill="1" applyBorder="1" applyAlignment="1" applyProtection="1">
      <alignment horizontal="right"/>
    </xf>
    <xf numFmtId="3" fontId="6" fillId="2" borderId="15" xfId="0" applyNumberFormat="1" applyFont="1" applyFill="1" applyBorder="1" applyAlignment="1" applyProtection="1">
      <alignment horizontal="right"/>
    </xf>
    <xf numFmtId="3" fontId="3" fillId="2" borderId="0" xfId="0" applyNumberFormat="1" applyFont="1" applyFill="1" applyBorder="1" applyAlignment="1" applyProtection="1"/>
    <xf numFmtId="17" fontId="18" fillId="2" borderId="0" xfId="0" applyNumberFormat="1" applyFont="1" applyFill="1" applyBorder="1" applyAlignment="1" applyProtection="1"/>
    <xf numFmtId="3" fontId="13" fillId="0" borderId="0" xfId="0" applyNumberFormat="1" applyFont="1" applyFill="1" applyBorder="1" applyAlignment="1" applyProtection="1">
      <alignment horizontal="right"/>
    </xf>
    <xf numFmtId="3" fontId="13" fillId="0" borderId="16" xfId="0" applyNumberFormat="1" applyFont="1" applyFill="1" applyBorder="1" applyAlignment="1" applyProtection="1">
      <alignment horizontal="right"/>
    </xf>
    <xf numFmtId="3" fontId="6" fillId="2" borderId="17" xfId="0" applyNumberFormat="1" applyFont="1" applyFill="1" applyBorder="1" applyAlignment="1" applyProtection="1">
      <alignment horizontal="right"/>
    </xf>
    <xf numFmtId="3" fontId="3" fillId="2" borderId="18" xfId="0" applyNumberFormat="1" applyFont="1" applyFill="1" applyBorder="1" applyAlignment="1" applyProtection="1"/>
    <xf numFmtId="17" fontId="18" fillId="2" borderId="18" xfId="0" applyNumberFormat="1" applyFont="1" applyFill="1" applyBorder="1" applyAlignment="1" applyProtection="1"/>
    <xf numFmtId="3" fontId="13" fillId="0" borderId="18" xfId="0" applyNumberFormat="1" applyFont="1" applyFill="1" applyBorder="1" applyAlignment="1" applyProtection="1">
      <alignment horizontal="right"/>
    </xf>
    <xf numFmtId="3" fontId="13" fillId="0" borderId="19" xfId="0" applyNumberFormat="1" applyFont="1" applyFill="1" applyBorder="1" applyAlignment="1" applyProtection="1">
      <alignment horizontal="right"/>
    </xf>
    <xf numFmtId="3" fontId="6" fillId="2" borderId="20" xfId="0" applyNumberFormat="1" applyFont="1" applyFill="1" applyBorder="1" applyAlignment="1" applyProtection="1">
      <alignment horizontal="right"/>
    </xf>
    <xf numFmtId="3" fontId="3" fillId="2" borderId="21" xfId="0" applyNumberFormat="1" applyFont="1" applyFill="1" applyBorder="1" applyAlignment="1" applyProtection="1"/>
    <xf numFmtId="17" fontId="18" fillId="2" borderId="21" xfId="0" applyNumberFormat="1" applyFont="1" applyFill="1" applyBorder="1" applyAlignment="1" applyProtection="1"/>
    <xf numFmtId="3" fontId="13" fillId="0" borderId="21" xfId="0" applyNumberFormat="1" applyFont="1" applyFill="1" applyBorder="1" applyAlignment="1" applyProtection="1">
      <alignment horizontal="right"/>
    </xf>
    <xf numFmtId="3" fontId="13" fillId="0" borderId="22" xfId="0" applyNumberFormat="1" applyFont="1" applyFill="1" applyBorder="1" applyAlignment="1" applyProtection="1">
      <alignment horizontal="right"/>
    </xf>
    <xf numFmtId="17" fontId="3" fillId="2" borderId="0" xfId="0" applyNumberFormat="1" applyFont="1" applyFill="1" applyAlignment="1" applyProtection="1"/>
    <xf numFmtId="3" fontId="6" fillId="2" borderId="0" xfId="0" applyNumberFormat="1" applyFont="1" applyFill="1" applyAlignment="1" applyProtection="1"/>
    <xf numFmtId="3" fontId="6" fillId="2" borderId="13" xfId="0" applyNumberFormat="1" applyFont="1" applyFill="1" applyBorder="1" applyAlignment="1" applyProtection="1"/>
    <xf numFmtId="3" fontId="6" fillId="2" borderId="0" xfId="0" applyNumberFormat="1" applyFont="1" applyFill="1" applyBorder="1" applyAlignment="1" applyProtection="1"/>
    <xf numFmtId="3" fontId="6" fillId="2" borderId="18" xfId="0" applyNumberFormat="1" applyFont="1" applyFill="1" applyBorder="1" applyAlignment="1" applyProtection="1"/>
    <xf numFmtId="3" fontId="6" fillId="2" borderId="21" xfId="0" applyNumberFormat="1" applyFont="1" applyFill="1" applyBorder="1" applyAlignment="1" applyProtection="1"/>
    <xf numFmtId="0" fontId="13" fillId="0" borderId="0" xfId="0" applyFont="1"/>
    <xf numFmtId="0" fontId="13" fillId="0" borderId="0" xfId="0" applyFont="1" applyAlignment="1">
      <alignment wrapText="1"/>
    </xf>
    <xf numFmtId="3" fontId="25" fillId="0" borderId="0" xfId="0" applyNumberFormat="1" applyFont="1" applyFill="1" applyAlignment="1" applyProtection="1"/>
    <xf numFmtId="3" fontId="26" fillId="2" borderId="0" xfId="0" applyNumberFormat="1" applyFont="1" applyFill="1" applyAlignment="1" applyProtection="1"/>
    <xf numFmtId="3" fontId="26" fillId="0" borderId="0" xfId="0" applyNumberFormat="1" applyFont="1" applyAlignment="1" applyProtection="1"/>
    <xf numFmtId="3" fontId="13" fillId="0" borderId="12" xfId="0" applyNumberFormat="1" applyFont="1" applyFill="1" applyBorder="1" applyAlignment="1" applyProtection="1">
      <alignment horizontal="right"/>
    </xf>
    <xf numFmtId="3" fontId="13" fillId="0" borderId="15" xfId="0" applyNumberFormat="1" applyFont="1" applyFill="1" applyBorder="1" applyAlignment="1" applyProtection="1">
      <alignment horizontal="right"/>
    </xf>
    <xf numFmtId="3" fontId="13" fillId="0" borderId="17" xfId="0" applyNumberFormat="1" applyFont="1" applyFill="1" applyBorder="1" applyAlignment="1" applyProtection="1">
      <alignment horizontal="right"/>
    </xf>
    <xf numFmtId="3" fontId="13" fillId="0" borderId="20" xfId="0" applyNumberFormat="1" applyFont="1" applyFill="1" applyBorder="1" applyAlignment="1" applyProtection="1">
      <alignment horizontal="right"/>
    </xf>
    <xf numFmtId="3" fontId="13" fillId="0" borderId="16" xfId="0" applyNumberFormat="1" applyFont="1" applyFill="1" applyBorder="1" applyAlignment="1">
      <alignment horizontal="right"/>
    </xf>
    <xf numFmtId="0" fontId="0" fillId="0" borderId="0" xfId="0" applyAlignment="1">
      <alignment wrapText="1"/>
    </xf>
    <xf numFmtId="3" fontId="0" fillId="0" borderId="0" xfId="0" applyNumberFormat="1" applyAlignment="1" applyProtection="1"/>
    <xf numFmtId="0" fontId="6" fillId="0" borderId="0" xfId="0" applyFont="1" applyAlignment="1">
      <alignment horizontal="center"/>
    </xf>
    <xf numFmtId="15" fontId="12" fillId="9" borderId="23" xfId="0" applyNumberFormat="1" applyFont="1" applyFill="1" applyBorder="1" applyAlignment="1">
      <alignment horizontal="center" vertical="center"/>
    </xf>
    <xf numFmtId="15" fontId="12" fillId="9" borderId="24" xfId="0" applyNumberFormat="1" applyFont="1" applyFill="1" applyBorder="1" applyAlignment="1">
      <alignment horizontal="center" vertical="center"/>
    </xf>
    <xf numFmtId="15" fontId="12" fillId="9" borderId="25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032186459489458E-2"/>
          <c:y val="1.6313213703099509E-2"/>
          <c:w val="0.85793562708102111"/>
          <c:h val="0.93964110929853184"/>
        </c:manualLayout>
      </c:layout>
      <c:lineChart>
        <c:grouping val="standard"/>
        <c:varyColors val="0"/>
        <c:ser>
          <c:idx val="1"/>
          <c:order val="1"/>
          <c:tx>
            <c:strRef>
              <c:f>'2000'!$A$28</c:f>
              <c:strCache>
                <c:ptCount val="1"/>
                <c:pt idx="0">
                  <c:v>TRADING INTEREST RATES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'2000'!$C$1:$P$1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'2000'!$C$28:$P$28</c:f>
              <c:numCache>
                <c:formatCode>mmm\-yy</c:formatCode>
                <c:ptCount val="14"/>
                <c:pt idx="0" formatCode="#,##0">
                  <c:v>402833.5</c:v>
                </c:pt>
                <c:pt idx="2" formatCode="#,##0">
                  <c:v>337257</c:v>
                </c:pt>
                <c:pt idx="3" formatCode="#,##0">
                  <c:v>198338.76</c:v>
                </c:pt>
                <c:pt idx="4" formatCode="#,##0">
                  <c:v>44211.57</c:v>
                </c:pt>
                <c:pt idx="5" formatCode="#,##0">
                  <c:v>34722.6</c:v>
                </c:pt>
                <c:pt idx="6" formatCode="#,##0">
                  <c:v>153500.99</c:v>
                </c:pt>
                <c:pt idx="7" formatCode="#,##0">
                  <c:v>68031.61</c:v>
                </c:pt>
                <c:pt idx="8" formatCode="#,##0">
                  <c:v>106613.64</c:v>
                </c:pt>
                <c:pt idx="9" formatCode="#,##0">
                  <c:v>129377.47</c:v>
                </c:pt>
                <c:pt idx="10" formatCode="#,##0">
                  <c:v>58028.31</c:v>
                </c:pt>
                <c:pt idx="11" formatCode="#,##0">
                  <c:v>194706.94</c:v>
                </c:pt>
                <c:pt idx="12" formatCode="#,##0">
                  <c:v>50966.9</c:v>
                </c:pt>
                <c:pt idx="13" formatCode="#,##0">
                  <c:v>252688.76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04-456C-8B61-5D981E1CAF36}"/>
            </c:ext>
          </c:extLst>
        </c:ser>
        <c:ser>
          <c:idx val="2"/>
          <c:order val="2"/>
          <c:tx>
            <c:strRef>
              <c:f>'2000'!$A$29</c:f>
              <c:strCache>
                <c:ptCount val="1"/>
                <c:pt idx="0">
                  <c:v>TRADING FOREIGN EXCHANGE</c:v>
                </c:pt>
              </c:strCache>
            </c:strRef>
          </c:tx>
          <c:spPr>
            <a:ln w="381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'2000'!$C$1:$P$1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'2000'!$C$29:$P$29</c:f>
              <c:numCache>
                <c:formatCode>mmm\-yy</c:formatCode>
                <c:ptCount val="14"/>
                <c:pt idx="0" formatCode="#,##0">
                  <c:v>88015.32</c:v>
                </c:pt>
                <c:pt idx="2" formatCode="#,##0">
                  <c:v>23005</c:v>
                </c:pt>
                <c:pt idx="3" formatCode="#,##0">
                  <c:v>475061.02</c:v>
                </c:pt>
                <c:pt idx="4" formatCode="#,##0">
                  <c:v>140591.07</c:v>
                </c:pt>
                <c:pt idx="5" formatCode="#,##0">
                  <c:v>94820.49</c:v>
                </c:pt>
                <c:pt idx="6" formatCode="#,##0">
                  <c:v>24845.1</c:v>
                </c:pt>
                <c:pt idx="7" formatCode="#,##0">
                  <c:v>45618.29</c:v>
                </c:pt>
                <c:pt idx="8" formatCode="#,##0">
                  <c:v>28666.7</c:v>
                </c:pt>
                <c:pt idx="9" formatCode="#,##0">
                  <c:v>123803.19</c:v>
                </c:pt>
                <c:pt idx="10" formatCode="#,##0">
                  <c:v>54812.6</c:v>
                </c:pt>
                <c:pt idx="11" formatCode="#,##0">
                  <c:v>199235.86</c:v>
                </c:pt>
                <c:pt idx="12" formatCode="#,##0">
                  <c:v>34587.550000000003</c:v>
                </c:pt>
                <c:pt idx="13" formatCode="#,##0">
                  <c:v>236780.04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04-456C-8B61-5D981E1CAF36}"/>
            </c:ext>
          </c:extLst>
        </c:ser>
        <c:ser>
          <c:idx val="4"/>
          <c:order val="4"/>
          <c:tx>
            <c:strRef>
              <c:f>'2000'!$A$31</c:f>
              <c:strCache>
                <c:ptCount val="1"/>
                <c:pt idx="0">
                  <c:v>NON-TRADING COMMODITIES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'2000'!$C$1:$P$1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'2000'!$C$31:$P$31</c:f>
              <c:numCache>
                <c:formatCode>mmm\-yy</c:formatCode>
                <c:ptCount val="14"/>
                <c:pt idx="0" formatCode="#,##0">
                  <c:v>1388846.8352633419</c:v>
                </c:pt>
                <c:pt idx="2" formatCode="#,##0">
                  <c:v>1746877.9903361883</c:v>
                </c:pt>
                <c:pt idx="3" formatCode="#,##0">
                  <c:v>1787825.0935438287</c:v>
                </c:pt>
                <c:pt idx="4" formatCode="#,##0">
                  <c:v>1609436.399290758</c:v>
                </c:pt>
                <c:pt idx="5" formatCode="#,##0">
                  <c:v>1735166.9183340834</c:v>
                </c:pt>
                <c:pt idx="6" formatCode="#,##0">
                  <c:v>2181106.9986880515</c:v>
                </c:pt>
                <c:pt idx="7" formatCode="#,##0">
                  <c:v>5095712.7572438773</c:v>
                </c:pt>
                <c:pt idx="8" formatCode="#,##0">
                  <c:v>4095454.50341351</c:v>
                </c:pt>
                <c:pt idx="9" formatCode="#,##0">
                  <c:v>2235325.2388068722</c:v>
                </c:pt>
                <c:pt idx="10" formatCode="#,##0">
                  <c:v>1974826.1231576819</c:v>
                </c:pt>
                <c:pt idx="11" formatCode="#,##0">
                  <c:v>1947269.5496233047</c:v>
                </c:pt>
                <c:pt idx="12" formatCode="#,##0">
                  <c:v>1664559.0682742384</c:v>
                </c:pt>
                <c:pt idx="13" formatCode="#,##0">
                  <c:v>2442919.8549191286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04-456C-8B61-5D981E1CAF36}"/>
            </c:ext>
          </c:extLst>
        </c:ser>
        <c:ser>
          <c:idx val="5"/>
          <c:order val="5"/>
          <c:tx>
            <c:strRef>
              <c:f>'2000'!$A$32</c:f>
              <c:strCache>
                <c:ptCount val="1"/>
                <c:pt idx="0">
                  <c:v>NON-TRADING INTEREST RATES</c:v>
                </c:pt>
              </c:strCache>
            </c:strRef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'2000'!$C$1:$P$1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'2000'!$C$32:$P$32</c:f>
              <c:numCache>
                <c:formatCode>mmm\-yy</c:formatCode>
                <c:ptCount val="14"/>
                <c:pt idx="0" formatCode="#,##0">
                  <c:v>1745908.45</c:v>
                </c:pt>
                <c:pt idx="2" formatCode="#,##0">
                  <c:v>1633506.52</c:v>
                </c:pt>
                <c:pt idx="3" formatCode="#,##0">
                  <c:v>1654695.87</c:v>
                </c:pt>
                <c:pt idx="4" formatCode="#,##0">
                  <c:v>1092013.53</c:v>
                </c:pt>
                <c:pt idx="5" formatCode="#,##0">
                  <c:v>1030597.8</c:v>
                </c:pt>
                <c:pt idx="6" formatCode="#,##0">
                  <c:v>1001385.49</c:v>
                </c:pt>
                <c:pt idx="7" formatCode="#,##0">
                  <c:v>1006790.08</c:v>
                </c:pt>
                <c:pt idx="8" formatCode="#,##0">
                  <c:v>976871.77</c:v>
                </c:pt>
                <c:pt idx="9" formatCode="#,##0">
                  <c:v>920897.47</c:v>
                </c:pt>
                <c:pt idx="10" formatCode="#,##0">
                  <c:v>942823.63</c:v>
                </c:pt>
                <c:pt idx="11" formatCode="#,##0">
                  <c:v>861596.36</c:v>
                </c:pt>
                <c:pt idx="12" formatCode="#,##0">
                  <c:v>865780.66</c:v>
                </c:pt>
                <c:pt idx="13" formatCode="#,##0">
                  <c:v>853.04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04-456C-8B61-5D981E1CAF36}"/>
            </c:ext>
          </c:extLst>
        </c:ser>
        <c:ser>
          <c:idx val="6"/>
          <c:order val="6"/>
          <c:tx>
            <c:strRef>
              <c:f>'2000'!$A$33</c:f>
              <c:strCache>
                <c:ptCount val="1"/>
                <c:pt idx="0">
                  <c:v>NON-TRADING FOREIGN EXCHANGE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'2000'!$C$1:$P$1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'2000'!$C$33:$P$33</c:f>
              <c:numCache>
                <c:formatCode>mmm\-yy</c:formatCode>
                <c:ptCount val="14"/>
                <c:pt idx="0" formatCode="#,##0">
                  <c:v>3589218.36</c:v>
                </c:pt>
                <c:pt idx="2" formatCode="#,##0">
                  <c:v>4053418.52</c:v>
                </c:pt>
                <c:pt idx="3" formatCode="#,##0">
                  <c:v>3993940.33</c:v>
                </c:pt>
                <c:pt idx="4" formatCode="#,##0">
                  <c:v>5162478.12</c:v>
                </c:pt>
                <c:pt idx="5" formatCode="#,##0">
                  <c:v>5256057.1399999997</c:v>
                </c:pt>
                <c:pt idx="6" formatCode="#,##0">
                  <c:v>9779357.9299999997</c:v>
                </c:pt>
                <c:pt idx="7" formatCode="#,##0">
                  <c:v>9961765.7300000004</c:v>
                </c:pt>
                <c:pt idx="8" formatCode="#,##0">
                  <c:v>9622113.8000000007</c:v>
                </c:pt>
                <c:pt idx="9" formatCode="#,##0">
                  <c:v>9797984.0099999998</c:v>
                </c:pt>
                <c:pt idx="10" formatCode="#,##0">
                  <c:v>9716361.3699999992</c:v>
                </c:pt>
                <c:pt idx="11" formatCode="#,##0">
                  <c:v>9573588.1600000001</c:v>
                </c:pt>
                <c:pt idx="12" formatCode="#,##0">
                  <c:v>8367919.6200000001</c:v>
                </c:pt>
                <c:pt idx="13" formatCode="#,##0">
                  <c:v>7545462.5700000003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04-456C-8B61-5D981E1CAF36}"/>
            </c:ext>
          </c:extLst>
        </c:ser>
        <c:ser>
          <c:idx val="7"/>
          <c:order val="7"/>
          <c:tx>
            <c:strRef>
              <c:f>'2000'!$A$34</c:f>
              <c:strCache>
                <c:ptCount val="1"/>
                <c:pt idx="0">
                  <c:v>NON-TRADING SECURITIES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'2000'!$C$1:$P$1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'2000'!$C$34:$P$34</c:f>
              <c:numCache>
                <c:formatCode>mmm\-yy</c:formatCode>
                <c:ptCount val="14"/>
                <c:pt idx="0" formatCode="#,##0">
                  <c:v>2833349.5571878199</c:v>
                </c:pt>
                <c:pt idx="2" formatCode="#,##0">
                  <c:v>6484975.5085939178</c:v>
                </c:pt>
                <c:pt idx="3" formatCode="#,##0">
                  <c:v>6063146.141290566</c:v>
                </c:pt>
                <c:pt idx="4" formatCode="#,##0">
                  <c:v>5869876.9519873196</c:v>
                </c:pt>
                <c:pt idx="5" formatCode="#,##0">
                  <c:v>5138342.9733006591</c:v>
                </c:pt>
                <c:pt idx="6" formatCode="#,##0">
                  <c:v>5035345.9989426136</c:v>
                </c:pt>
                <c:pt idx="7" formatCode="#,##0">
                  <c:v>4637306.766167813</c:v>
                </c:pt>
                <c:pt idx="8" formatCode="#,##0">
                  <c:v>5935964.6287387116</c:v>
                </c:pt>
                <c:pt idx="9" formatCode="#,##0">
                  <c:v>6038105.5113469642</c:v>
                </c:pt>
                <c:pt idx="10" formatCode="#,##0">
                  <c:v>5798342.5759273041</c:v>
                </c:pt>
                <c:pt idx="11" formatCode="#,##0">
                  <c:v>6005385.0075540086</c:v>
                </c:pt>
                <c:pt idx="12" formatCode="#,##0">
                  <c:v>6354009.556133437</c:v>
                </c:pt>
                <c:pt idx="13" formatCode="#,##0">
                  <c:v>6768797.8520967122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04-456C-8B61-5D981E1CA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1258975"/>
        <c:axId val="1"/>
      </c:lineChart>
      <c:lineChart>
        <c:grouping val="standard"/>
        <c:varyColors val="0"/>
        <c:ser>
          <c:idx val="0"/>
          <c:order val="0"/>
          <c:tx>
            <c:strRef>
              <c:f>'2000'!$A$27</c:f>
              <c:strCache>
                <c:ptCount val="1"/>
                <c:pt idx="0">
                  <c:v>TRADING COMMODITIES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'2000'!$C$1:$P$1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'2000'!$C$27:$P$27</c:f>
              <c:numCache>
                <c:formatCode>mmm\-yy</c:formatCode>
                <c:ptCount val="14"/>
                <c:pt idx="0" formatCode="#,##0">
                  <c:v>20968806.457157474</c:v>
                </c:pt>
                <c:pt idx="2" formatCode="#,##0">
                  <c:v>27474698.368233688</c:v>
                </c:pt>
                <c:pt idx="3" formatCode="#,##0">
                  <c:v>22770822.482534494</c:v>
                </c:pt>
                <c:pt idx="4" formatCode="#,##0">
                  <c:v>32047743.197006587</c:v>
                </c:pt>
                <c:pt idx="5" formatCode="#,##0">
                  <c:v>50357057.291589059</c:v>
                </c:pt>
                <c:pt idx="6" formatCode="#,##0">
                  <c:v>49724127.383894809</c:v>
                </c:pt>
                <c:pt idx="7" formatCode="#,##0">
                  <c:v>52983009.885311328</c:v>
                </c:pt>
                <c:pt idx="8" formatCode="#,##0">
                  <c:v>48029858.932196639</c:v>
                </c:pt>
                <c:pt idx="9" formatCode="#,##0">
                  <c:v>78762832.429473579</c:v>
                </c:pt>
                <c:pt idx="10" formatCode="#,##0">
                  <c:v>54993633.789610617</c:v>
                </c:pt>
                <c:pt idx="11" formatCode="#,##0">
                  <c:v>34610905.623136342</c:v>
                </c:pt>
                <c:pt idx="12" formatCode="#,##0">
                  <c:v>81119047.920318365</c:v>
                </c:pt>
                <c:pt idx="13" formatCode="#,##0">
                  <c:v>65821030.466011576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04-456C-8B61-5D981E1CAF36}"/>
            </c:ext>
          </c:extLst>
        </c:ser>
        <c:ser>
          <c:idx val="3"/>
          <c:order val="3"/>
          <c:tx>
            <c:strRef>
              <c:f>'2000'!$A$30</c:f>
              <c:strCache>
                <c:ptCount val="1"/>
                <c:pt idx="0">
                  <c:v>TRADING SECURITIES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'2000'!$C$1:$P$1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'2000'!$C$30:$P$30</c:f>
              <c:numCache>
                <c:formatCode>mmm\-yy</c:formatCode>
                <c:ptCount val="14"/>
                <c:pt idx="0" formatCode="#,##0">
                  <c:v>26425551.596895989</c:v>
                </c:pt>
                <c:pt idx="2" formatCode="#,##0">
                  <c:v>83247816.497134224</c:v>
                </c:pt>
                <c:pt idx="3" formatCode="#,##0">
                  <c:v>69154923.893387198</c:v>
                </c:pt>
                <c:pt idx="4" formatCode="#,##0">
                  <c:v>71062610.948700592</c:v>
                </c:pt>
                <c:pt idx="5" formatCode="#,##0">
                  <c:v>68482442.697399348</c:v>
                </c:pt>
                <c:pt idx="6" formatCode="#,##0">
                  <c:v>62335094.469553962</c:v>
                </c:pt>
                <c:pt idx="7" formatCode="#,##0">
                  <c:v>57299685.146859951</c:v>
                </c:pt>
                <c:pt idx="8" formatCode="#,##0">
                  <c:v>67635252.552438721</c:v>
                </c:pt>
                <c:pt idx="9" formatCode="#,##0">
                  <c:v>66239891.020897977</c:v>
                </c:pt>
                <c:pt idx="10" formatCode="#,##0">
                  <c:v>60339679.193780541</c:v>
                </c:pt>
                <c:pt idx="11" formatCode="#,##0">
                  <c:v>66225473.37574935</c:v>
                </c:pt>
                <c:pt idx="12" formatCode="#,##0">
                  <c:v>67976908.42132099</c:v>
                </c:pt>
                <c:pt idx="13" formatCode="#,##0">
                  <c:v>85509472.796153441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E04-456C-8B61-5D981E1CA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dateAx>
        <c:axId val="100125897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1000000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1258975"/>
        <c:crosses val="autoZero"/>
        <c:crossBetween val="between"/>
      </c:valAx>
      <c:dateAx>
        <c:axId val="3"/>
        <c:scaling>
          <c:orientation val="minMax"/>
        </c:scaling>
        <c:delete val="1"/>
        <c:axPos val="b"/>
        <c:numFmt formatCode="mmm\-yyyy" sourceLinked="1"/>
        <c:majorTickMark val="out"/>
        <c:minorTickMark val="none"/>
        <c:tickLblPos val="nextTo"/>
        <c:crossAx val="4"/>
        <c:crosses val="autoZero"/>
        <c:auto val="1"/>
        <c:lblOffset val="100"/>
        <c:baseTimeUnit val="months"/>
      </c:dateAx>
      <c:valAx>
        <c:axId val="4"/>
        <c:scaling>
          <c:orientation val="minMax"/>
          <c:max val="80000000"/>
        </c:scaling>
        <c:delete val="0"/>
        <c:axPos val="r"/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7.9911209766925645E-2"/>
          <c:y val="0"/>
          <c:w val="0.23529411764705882"/>
          <c:h val="0.249592169657422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A995082B-E4B0-A45B-E7B7-F759DF50ACC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0.74875</cdr:x>
      <cdr:y>0.0125</cdr:y>
    </cdr:from>
    <cdr:to>
      <cdr:x>0.932</cdr:x>
      <cdr:y>0.0925</cdr:y>
    </cdr:to>
    <cdr:sp macro="" textlink="">
      <cdr:nvSpPr>
        <cdr:cNvPr id="5121" name="Text Box 1">
          <a:extLst xmlns:a="http://schemas.openxmlformats.org/drawingml/2006/main">
            <a:ext uri="{FF2B5EF4-FFF2-40B4-BE49-F238E27FC236}">
              <a16:creationId xmlns:a16="http://schemas.microsoft.com/office/drawing/2014/main" id="{E7F722AF-6D35-226D-DDD0-98F4675778B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25791" y="72985"/>
          <a:ext cx="1572656" cy="4671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TRADING COMMODITIES AND TRADING SECURITIES ARE BASED ON THE RIGHT AXIS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IV40"/>
  <sheetViews>
    <sheetView zoomScale="75" workbookViewId="0">
      <pane xSplit="6" ySplit="1" topLeftCell="P2" activePane="bottomRight" state="frozen"/>
      <selection activeCell="C35" sqref="C35"/>
      <selection pane="topRight" activeCell="C35" sqref="C35"/>
      <selection pane="bottomLeft" activeCell="C35" sqref="C35"/>
      <selection pane="bottomRight" activeCell="R31" sqref="R31"/>
    </sheetView>
  </sheetViews>
  <sheetFormatPr defaultRowHeight="12" customHeight="1"/>
  <cols>
    <col min="1" max="1" width="5.28515625" style="28" hidden="1" customWidth="1"/>
    <col min="2" max="2" width="58.5703125" style="62" customWidth="1"/>
    <col min="3" max="3" width="18.5703125" style="62" hidden="1" customWidth="1"/>
    <col min="4" max="4" width="24.42578125" style="62" hidden="1" customWidth="1"/>
    <col min="5" max="5" width="12.28515625" style="35" customWidth="1"/>
    <col min="6" max="6" width="3.42578125" style="35" customWidth="1"/>
    <col min="7" max="18" width="12.28515625" style="100" customWidth="1"/>
    <col min="19" max="19" width="3.140625" customWidth="1"/>
    <col min="20" max="22" width="12.28515625" style="116" customWidth="1"/>
    <col min="23" max="23" width="3.7109375" customWidth="1"/>
  </cols>
  <sheetData>
    <row r="1" spans="1:23" ht="12" customHeight="1">
      <c r="A1" s="128"/>
      <c r="B1" s="128"/>
      <c r="C1" s="128"/>
      <c r="D1" s="128"/>
      <c r="E1" s="128">
        <v>36130</v>
      </c>
      <c r="F1" s="128"/>
      <c r="G1" s="128">
        <v>36161</v>
      </c>
      <c r="H1" s="128">
        <v>36192</v>
      </c>
      <c r="I1" s="128">
        <v>36220</v>
      </c>
      <c r="J1" s="128">
        <v>36251</v>
      </c>
      <c r="K1" s="128">
        <v>36281</v>
      </c>
      <c r="L1" s="128">
        <v>36312</v>
      </c>
      <c r="M1" s="128">
        <v>36342</v>
      </c>
      <c r="N1" s="128">
        <v>36373</v>
      </c>
      <c r="O1" s="128">
        <v>36404</v>
      </c>
      <c r="P1" s="128">
        <v>36434</v>
      </c>
      <c r="Q1" s="128">
        <v>36465</v>
      </c>
      <c r="R1" s="128">
        <v>36495</v>
      </c>
      <c r="S1" s="98"/>
      <c r="T1" s="98" t="s">
        <v>156</v>
      </c>
      <c r="U1" s="98" t="s">
        <v>157</v>
      </c>
      <c r="V1" s="98" t="s">
        <v>158</v>
      </c>
      <c r="W1" s="98"/>
    </row>
    <row r="2" spans="1:23" ht="12" customHeight="1">
      <c r="A2" s="30" t="s">
        <v>26</v>
      </c>
      <c r="B2" s="104" t="s">
        <v>19</v>
      </c>
      <c r="C2" s="104" t="s">
        <v>141</v>
      </c>
      <c r="D2" s="104" t="s">
        <v>142</v>
      </c>
      <c r="E2" s="107">
        <f>1000*'3-31-99 and 98 end'!E26</f>
        <v>7670143.9573309803</v>
      </c>
      <c r="F2" s="102"/>
      <c r="G2" s="127">
        <f>H2</f>
        <v>15545611</v>
      </c>
      <c r="H2" s="105">
        <v>15545611</v>
      </c>
      <c r="I2" s="106">
        <f>1000*'3-31-99 and 98 end'!E6</f>
        <v>16643614.7787183</v>
      </c>
      <c r="J2" s="105">
        <v>21247174</v>
      </c>
      <c r="K2" s="105">
        <v>17986539</v>
      </c>
      <c r="L2" s="106">
        <f>'6-30-99'!D4*1000</f>
        <v>30444000</v>
      </c>
      <c r="M2" s="105">
        <v>21708625</v>
      </c>
      <c r="N2" s="105">
        <v>12019264</v>
      </c>
      <c r="O2" s="106">
        <f>'9-30-99'!B4</f>
        <v>18742019</v>
      </c>
      <c r="P2" s="105">
        <v>14176613</v>
      </c>
      <c r="Q2" s="105">
        <v>11834603</v>
      </c>
      <c r="R2" s="105">
        <v>15944237</v>
      </c>
      <c r="S2" s="98"/>
      <c r="T2" s="98"/>
      <c r="U2" s="98"/>
      <c r="V2" s="98"/>
      <c r="W2" s="98"/>
    </row>
    <row r="3" spans="1:23" ht="12" customHeight="1">
      <c r="A3" s="30" t="s">
        <v>26</v>
      </c>
      <c r="B3" s="104" t="s">
        <v>20</v>
      </c>
      <c r="C3" s="104" t="s">
        <v>141</v>
      </c>
      <c r="D3" s="104" t="s">
        <v>142</v>
      </c>
      <c r="E3" s="107">
        <f>1000*'3-31-99 and 98 end'!E27</f>
        <v>4486332.9792404398</v>
      </c>
      <c r="F3" s="102"/>
      <c r="G3" s="127">
        <f>H3</f>
        <v>6225465</v>
      </c>
      <c r="H3" s="105">
        <v>6225465</v>
      </c>
      <c r="I3" s="106">
        <f>1000*'3-31-99 and 98 end'!E7</f>
        <v>6935793.5782248005</v>
      </c>
      <c r="J3" s="105">
        <v>6383638</v>
      </c>
      <c r="K3" s="105">
        <v>5872344</v>
      </c>
      <c r="L3" s="106">
        <f>1000*'6-30-99'!D5</f>
        <v>5595000</v>
      </c>
      <c r="M3" s="105">
        <v>2916483</v>
      </c>
      <c r="N3" s="105">
        <v>3917094</v>
      </c>
      <c r="O3" s="106">
        <f>'9-30-99'!B5</f>
        <v>3654177</v>
      </c>
      <c r="P3" s="105">
        <v>3355699</v>
      </c>
      <c r="Q3" s="105">
        <v>2516618</v>
      </c>
      <c r="R3" s="105">
        <v>2646766</v>
      </c>
      <c r="S3" s="98"/>
      <c r="T3" s="98"/>
      <c r="U3" s="98"/>
      <c r="V3" s="98"/>
      <c r="W3" s="98"/>
    </row>
    <row r="4" spans="1:23" ht="12" customHeight="1">
      <c r="A4" s="30" t="s">
        <v>26</v>
      </c>
      <c r="B4" s="104" t="s">
        <v>21</v>
      </c>
      <c r="C4" s="104" t="s">
        <v>141</v>
      </c>
      <c r="D4" s="104" t="s">
        <v>142</v>
      </c>
      <c r="E4" s="107">
        <f>1000*'3-31-99 and 98 end'!E28</f>
        <v>7943000</v>
      </c>
      <c r="F4" s="102"/>
      <c r="G4" s="105">
        <v>7740818.4184423704</v>
      </c>
      <c r="H4" s="105">
        <v>7681304.9039748218</v>
      </c>
      <c r="I4" s="106">
        <f>1000*'3-31-99 and 98 end'!E8</f>
        <v>7378000</v>
      </c>
      <c r="J4" s="105">
        <v>6405374.4168348555</v>
      </c>
      <c r="K4" s="105">
        <v>6468180.9044136312</v>
      </c>
      <c r="L4" s="106">
        <f>1000*'6-30-99'!D6</f>
        <v>5982000</v>
      </c>
      <c r="M4" s="105">
        <v>5799271.2742982851</v>
      </c>
      <c r="N4" s="105">
        <v>8148115.6698769517</v>
      </c>
      <c r="O4" s="106">
        <f>'9-30-99'!B6</f>
        <v>6513072.7471484896</v>
      </c>
      <c r="P4" s="105">
        <v>7040373.5973339332</v>
      </c>
      <c r="Q4" s="105">
        <v>7083005.0572228357</v>
      </c>
      <c r="R4" s="105">
        <v>7923000</v>
      </c>
      <c r="S4" s="98"/>
      <c r="T4" s="98"/>
      <c r="U4" s="98"/>
      <c r="V4" s="98"/>
      <c r="W4" s="98"/>
    </row>
    <row r="5" spans="1:23" ht="12" customHeight="1">
      <c r="A5" s="30" t="s">
        <v>26</v>
      </c>
      <c r="B5" s="104" t="s">
        <v>82</v>
      </c>
      <c r="C5" s="104" t="s">
        <v>141</v>
      </c>
      <c r="D5" s="104" t="s">
        <v>142</v>
      </c>
      <c r="E5" s="107">
        <f>1000*'3-31-99 and 98 end'!E29</f>
        <v>1721000</v>
      </c>
      <c r="F5" s="102"/>
      <c r="G5" s="105">
        <v>1612476.9394158265</v>
      </c>
      <c r="H5" s="105">
        <v>1268985.4592961746</v>
      </c>
      <c r="I5" s="106">
        <f>1000*'3-31-99 and 98 end'!E9</f>
        <v>1225000</v>
      </c>
      <c r="J5" s="105">
        <v>1308461.6179530825</v>
      </c>
      <c r="K5" s="105">
        <v>2046442.7042567995</v>
      </c>
      <c r="L5" s="106">
        <f>1000*'6-30-99'!D7</f>
        <v>1995000</v>
      </c>
      <c r="M5" s="105">
        <v>1969522.4450580687</v>
      </c>
      <c r="N5" s="105">
        <v>1916692.3331271282</v>
      </c>
      <c r="O5" s="106">
        <f>'9-30-99'!B7</f>
        <v>1608245.2950719504</v>
      </c>
      <c r="P5" s="105">
        <v>1678729.3772285802</v>
      </c>
      <c r="Q5" s="105">
        <v>2052737.6726497486</v>
      </c>
      <c r="R5" s="105">
        <f>2205.5936898935*1000</f>
        <v>2205593.6898934999</v>
      </c>
      <c r="S5" s="98"/>
      <c r="T5" s="98"/>
      <c r="U5" s="98"/>
      <c r="V5" s="98"/>
      <c r="W5" s="98"/>
    </row>
    <row r="6" spans="1:23" ht="12" customHeight="1">
      <c r="A6" s="30" t="s">
        <v>26</v>
      </c>
      <c r="B6" s="104" t="s">
        <v>83</v>
      </c>
      <c r="C6" s="104" t="s">
        <v>141</v>
      </c>
      <c r="D6" s="104" t="s">
        <v>142</v>
      </c>
      <c r="E6" s="127">
        <f>G6</f>
        <v>226246</v>
      </c>
      <c r="F6" s="102"/>
      <c r="G6" s="127">
        <f>H6</f>
        <v>226246</v>
      </c>
      <c r="H6" s="127">
        <f>I6</f>
        <v>226246</v>
      </c>
      <c r="I6" s="105">
        <v>226246</v>
      </c>
      <c r="J6" s="105">
        <v>221893</v>
      </c>
      <c r="K6" s="105">
        <v>275673</v>
      </c>
      <c r="L6" s="106">
        <f>1000*'6-30-99'!M8</f>
        <v>260000</v>
      </c>
      <c r="M6" s="105">
        <v>246000</v>
      </c>
      <c r="N6" s="105">
        <v>232000</v>
      </c>
      <c r="O6" s="106">
        <f>'9-30-99'!B8</f>
        <v>222549</v>
      </c>
      <c r="P6" s="105">
        <v>219000</v>
      </c>
      <c r="Q6" s="105">
        <v>218000</v>
      </c>
      <c r="R6" s="105">
        <f>214*1000</f>
        <v>214000</v>
      </c>
      <c r="S6" s="98"/>
      <c r="T6" s="98"/>
      <c r="U6" s="98"/>
      <c r="V6" s="98"/>
      <c r="W6" s="98"/>
    </row>
    <row r="7" spans="1:23" ht="12" customHeight="1">
      <c r="A7" s="30" t="s">
        <v>26</v>
      </c>
      <c r="B7" s="104" t="s">
        <v>84</v>
      </c>
      <c r="C7" s="104" t="s">
        <v>141</v>
      </c>
      <c r="D7" s="104" t="s">
        <v>142</v>
      </c>
      <c r="E7" s="127">
        <f>G7</f>
        <v>283309</v>
      </c>
      <c r="F7" s="102"/>
      <c r="G7" s="127">
        <f>H7</f>
        <v>283309</v>
      </c>
      <c r="H7" s="127">
        <f>I7</f>
        <v>283309</v>
      </c>
      <c r="I7" s="127">
        <f>J7</f>
        <v>283309</v>
      </c>
      <c r="J7" s="127">
        <f>K7</f>
        <v>283309</v>
      </c>
      <c r="K7" s="127">
        <f>L7</f>
        <v>283309</v>
      </c>
      <c r="L7" s="106">
        <f>1000*'6-30-99'!L8</f>
        <v>283309</v>
      </c>
      <c r="M7" s="105">
        <v>154623</v>
      </c>
      <c r="N7" s="105">
        <v>112002</v>
      </c>
      <c r="O7" s="106">
        <f>'9-30-99'!B9</f>
        <v>94610</v>
      </c>
      <c r="P7" s="105">
        <v>85019</v>
      </c>
      <c r="Q7" s="105">
        <v>80366</v>
      </c>
      <c r="R7" s="105">
        <f>78.436*1000</f>
        <v>78436</v>
      </c>
      <c r="S7" s="98"/>
      <c r="T7" s="98"/>
      <c r="U7" s="98"/>
      <c r="V7" s="98"/>
      <c r="W7" s="98"/>
    </row>
    <row r="8" spans="1:23" ht="12" customHeight="1">
      <c r="A8" s="30" t="s">
        <v>26</v>
      </c>
      <c r="B8" s="104" t="s">
        <v>92</v>
      </c>
      <c r="C8" s="104" t="s">
        <v>141</v>
      </c>
      <c r="D8" s="104" t="s">
        <v>142</v>
      </c>
      <c r="E8" s="110">
        <v>717588</v>
      </c>
      <c r="F8" s="102"/>
      <c r="G8" s="105">
        <v>717588</v>
      </c>
      <c r="H8" s="105">
        <v>717588</v>
      </c>
      <c r="I8" s="110">
        <v>717588</v>
      </c>
      <c r="J8" s="105">
        <v>717588</v>
      </c>
      <c r="K8" s="105">
        <v>717588</v>
      </c>
      <c r="L8" s="106">
        <f>'6-30-99'!D9*1000</f>
        <v>717588</v>
      </c>
      <c r="M8" s="105">
        <v>618751</v>
      </c>
      <c r="N8" s="105">
        <v>519914</v>
      </c>
      <c r="O8" s="106">
        <f>'9-30-99'!B10</f>
        <v>421077</v>
      </c>
      <c r="P8" s="105">
        <v>790008.83400527516</v>
      </c>
      <c r="Q8" s="105">
        <v>605024.17626335705</v>
      </c>
      <c r="R8" s="105">
        <f>603.111802771198*1000</f>
        <v>603111.80277119798</v>
      </c>
      <c r="S8" s="98"/>
      <c r="T8" s="98"/>
      <c r="U8" s="98"/>
      <c r="V8" s="98"/>
      <c r="W8" s="98"/>
    </row>
    <row r="9" spans="1:23" ht="12" customHeight="1">
      <c r="A9" s="30" t="s">
        <v>151</v>
      </c>
      <c r="B9" s="104" t="s">
        <v>148</v>
      </c>
      <c r="C9" s="104" t="s">
        <v>141</v>
      </c>
      <c r="D9" s="104" t="s">
        <v>142</v>
      </c>
      <c r="E9" s="107">
        <f>1000*'3-31-99 and 98 end'!E30</f>
        <v>1068000</v>
      </c>
      <c r="F9" s="102"/>
      <c r="G9" s="105">
        <v>215692.05815043254</v>
      </c>
      <c r="H9" s="105">
        <v>266848.47185912821</v>
      </c>
      <c r="I9" s="105">
        <v>403276.76692838751</v>
      </c>
      <c r="J9" s="105">
        <v>1013669.4766924545</v>
      </c>
      <c r="K9" s="105">
        <v>518375.38990469312</v>
      </c>
      <c r="L9" s="105">
        <v>967000</v>
      </c>
      <c r="M9" s="105">
        <v>231000</v>
      </c>
      <c r="N9" s="105">
        <v>106000</v>
      </c>
      <c r="O9" s="105">
        <v>950118</v>
      </c>
      <c r="P9" s="105">
        <v>793051</v>
      </c>
      <c r="Q9" s="105">
        <v>914323</v>
      </c>
      <c r="R9" s="105">
        <v>1005578</v>
      </c>
      <c r="S9" s="98"/>
      <c r="T9" s="98"/>
      <c r="U9" s="98"/>
      <c r="V9" s="98"/>
      <c r="W9" s="98"/>
    </row>
    <row r="10" spans="1:23" ht="12" customHeight="1">
      <c r="A10" s="30"/>
      <c r="B10" s="104" t="s">
        <v>165</v>
      </c>
      <c r="C10" s="104" t="s">
        <v>141</v>
      </c>
      <c r="D10" s="104" t="s">
        <v>142</v>
      </c>
      <c r="E10" s="105">
        <v>0</v>
      </c>
      <c r="F10" s="102"/>
      <c r="G10" s="105">
        <v>0</v>
      </c>
      <c r="H10" s="105">
        <v>0</v>
      </c>
      <c r="I10" s="105">
        <v>0</v>
      </c>
      <c r="J10" s="105">
        <v>0</v>
      </c>
      <c r="K10" s="105">
        <v>0</v>
      </c>
      <c r="L10" s="105">
        <v>0</v>
      </c>
      <c r="M10" s="105">
        <v>0</v>
      </c>
      <c r="N10" s="105">
        <v>0</v>
      </c>
      <c r="O10" s="105">
        <v>0</v>
      </c>
      <c r="P10" s="105">
        <v>0</v>
      </c>
      <c r="Q10" s="105">
        <v>0</v>
      </c>
      <c r="R10" s="105">
        <v>5000000</v>
      </c>
      <c r="S10" s="98"/>
      <c r="T10" s="98"/>
      <c r="U10" s="98"/>
      <c r="V10" s="98"/>
      <c r="W10" s="98"/>
    </row>
    <row r="11" spans="1:23" ht="12" customHeight="1">
      <c r="A11" s="30" t="s">
        <v>26</v>
      </c>
      <c r="B11" s="104" t="s">
        <v>1</v>
      </c>
      <c r="C11" s="104" t="s">
        <v>141</v>
      </c>
      <c r="D11" s="104" t="s">
        <v>1</v>
      </c>
      <c r="E11" s="107">
        <f>1000*'3-31-99 and 98 end'!E31</f>
        <v>77000</v>
      </c>
      <c r="F11" s="102"/>
      <c r="G11" s="105">
        <v>328925.76733301382</v>
      </c>
      <c r="H11" s="105">
        <v>116374.32119092009</v>
      </c>
      <c r="I11" s="106">
        <f>1000*'3-31-99 and 98 end'!E11</f>
        <v>101433</v>
      </c>
      <c r="J11" s="105">
        <v>238519.26987891059</v>
      </c>
      <c r="K11" s="105">
        <v>113489.00744238489</v>
      </c>
      <c r="L11" s="106">
        <f>1000*'6-30-99'!D11</f>
        <v>139000</v>
      </c>
      <c r="M11" s="105">
        <v>136571.51743066654</v>
      </c>
      <c r="N11" s="105">
        <v>445157.66</v>
      </c>
      <c r="O11" s="106">
        <f>'9-30-99'!B12</f>
        <v>411253.90507885936</v>
      </c>
      <c r="P11" s="105">
        <v>490477.46</v>
      </c>
      <c r="Q11" s="105">
        <v>175321.68</v>
      </c>
      <c r="R11" s="105">
        <v>402833.5</v>
      </c>
      <c r="S11" s="98"/>
      <c r="T11" s="98"/>
      <c r="U11" s="98"/>
      <c r="V11" s="98"/>
      <c r="W11" s="98"/>
    </row>
    <row r="12" spans="1:23" ht="12" customHeight="1">
      <c r="A12" s="30" t="s">
        <v>26</v>
      </c>
      <c r="B12" s="104" t="s">
        <v>4</v>
      </c>
      <c r="C12" s="104" t="s">
        <v>141</v>
      </c>
      <c r="D12" s="104" t="s">
        <v>4</v>
      </c>
      <c r="E12" s="107">
        <f>1000*'3-31-99 and 98 end'!E32</f>
        <v>44000</v>
      </c>
      <c r="F12" s="102"/>
      <c r="G12" s="105">
        <v>44989.351323643263</v>
      </c>
      <c r="H12" s="105">
        <v>15917.285117429341</v>
      </c>
      <c r="I12" s="106">
        <f>1000*'3-31-99 and 98 end'!E12</f>
        <v>65631</v>
      </c>
      <c r="J12" s="105">
        <v>32623.857100185756</v>
      </c>
      <c r="K12" s="105">
        <v>15522.641684765804</v>
      </c>
      <c r="L12" s="106">
        <f>1000*'6-30-99'!D12</f>
        <v>26000</v>
      </c>
      <c r="M12" s="105">
        <v>18679.789146074101</v>
      </c>
      <c r="N12" s="105">
        <v>59819.37</v>
      </c>
      <c r="O12" s="106">
        <f>'9-30-99'!B13</f>
        <v>16806.141833059221</v>
      </c>
      <c r="P12" s="105">
        <v>61989.08</v>
      </c>
      <c r="Q12" s="105">
        <v>48221.91</v>
      </c>
      <c r="R12" s="105">
        <v>88015.32</v>
      </c>
      <c r="S12" s="98"/>
      <c r="T12" s="98"/>
      <c r="U12" s="98"/>
      <c r="V12" s="98"/>
      <c r="W12" s="98"/>
    </row>
    <row r="13" spans="1:23" ht="12" customHeight="1">
      <c r="A13" s="30" t="s">
        <v>153</v>
      </c>
      <c r="B13" s="104" t="s">
        <v>95</v>
      </c>
      <c r="C13" s="104" t="s">
        <v>141</v>
      </c>
      <c r="D13" s="104" t="s">
        <v>143</v>
      </c>
      <c r="E13" s="105">
        <v>1239039.7710554076</v>
      </c>
      <c r="F13" s="102"/>
      <c r="G13" s="105">
        <v>0</v>
      </c>
      <c r="H13" s="105">
        <v>0</v>
      </c>
      <c r="I13" s="110">
        <v>0</v>
      </c>
      <c r="J13" s="105">
        <v>0</v>
      </c>
      <c r="K13" s="105">
        <v>0</v>
      </c>
      <c r="L13" s="110">
        <v>0</v>
      </c>
      <c r="M13" s="110">
        <v>0</v>
      </c>
      <c r="N13" s="110">
        <v>0</v>
      </c>
      <c r="O13" s="106">
        <v>0</v>
      </c>
      <c r="P13" s="110">
        <v>0</v>
      </c>
      <c r="Q13" s="110">
        <v>0</v>
      </c>
      <c r="R13" s="105">
        <v>0</v>
      </c>
      <c r="S13" s="98"/>
      <c r="T13" s="98"/>
      <c r="U13" s="98"/>
      <c r="V13" s="98"/>
      <c r="W13" s="98"/>
    </row>
    <row r="14" spans="1:23" ht="12" customHeight="1">
      <c r="A14" s="30" t="s">
        <v>26</v>
      </c>
      <c r="B14" s="104" t="s">
        <v>88</v>
      </c>
      <c r="C14" s="104" t="s">
        <v>141</v>
      </c>
      <c r="D14" s="104" t="s">
        <v>143</v>
      </c>
      <c r="E14" s="107">
        <f>1000*'3-31-99 and 98 end'!E33</f>
        <v>530000</v>
      </c>
      <c r="F14" s="102"/>
      <c r="G14" s="105">
        <v>490354</v>
      </c>
      <c r="H14" s="105">
        <v>708069.47505919961</v>
      </c>
      <c r="I14" s="106">
        <f>1000*'3-31-99 and 98 end'!E13</f>
        <v>855000</v>
      </c>
      <c r="J14" s="105">
        <v>1633612.829948036</v>
      </c>
      <c r="K14" s="105">
        <v>1575948.7620501486</v>
      </c>
      <c r="L14" s="108">
        <f>1000*'6-30-99'!D14</f>
        <v>1582000</v>
      </c>
      <c r="M14" s="105">
        <v>1651296</v>
      </c>
      <c r="N14" s="105">
        <v>1097139</v>
      </c>
      <c r="O14" s="106">
        <f>'9-30-99'!B15</f>
        <v>1028975</v>
      </c>
      <c r="P14" s="105">
        <v>852212</v>
      </c>
      <c r="Q14" s="105">
        <v>853602</v>
      </c>
      <c r="R14" s="105">
        <f>1293.358*1000</f>
        <v>1293358</v>
      </c>
      <c r="S14" s="98"/>
      <c r="T14" s="98"/>
      <c r="U14" s="98"/>
      <c r="V14" s="98"/>
      <c r="W14" s="98"/>
    </row>
    <row r="15" spans="1:23" ht="12" customHeight="1">
      <c r="A15" s="30" t="s">
        <v>26</v>
      </c>
      <c r="B15" s="104" t="s">
        <v>89</v>
      </c>
      <c r="C15" s="104" t="s">
        <v>141</v>
      </c>
      <c r="D15" s="104" t="s">
        <v>143</v>
      </c>
      <c r="E15" s="110">
        <v>0</v>
      </c>
      <c r="F15" s="102" t="s">
        <v>110</v>
      </c>
      <c r="G15" s="110">
        <v>0</v>
      </c>
      <c r="H15" s="110">
        <v>0</v>
      </c>
      <c r="I15" s="110">
        <v>0</v>
      </c>
      <c r="J15" s="110">
        <v>0</v>
      </c>
      <c r="K15" s="110">
        <v>0</v>
      </c>
      <c r="L15" s="110">
        <v>0</v>
      </c>
      <c r="M15" s="110">
        <v>0</v>
      </c>
      <c r="N15" s="110">
        <v>0</v>
      </c>
      <c r="O15" s="106">
        <f>'9-30-99'!B16</f>
        <v>239022.45</v>
      </c>
      <c r="P15" s="105">
        <v>299486.52</v>
      </c>
      <c r="Q15" s="105">
        <v>480594</v>
      </c>
      <c r="R15" s="105">
        <f>812.28593*1000</f>
        <v>812285.93</v>
      </c>
      <c r="S15" s="98"/>
      <c r="T15" s="98"/>
      <c r="U15" s="98"/>
      <c r="V15" s="98"/>
      <c r="W15" s="98"/>
    </row>
    <row r="16" spans="1:23" ht="12" customHeight="1">
      <c r="A16" s="63" t="s">
        <v>154</v>
      </c>
      <c r="B16" s="104" t="s">
        <v>90</v>
      </c>
      <c r="C16" s="104" t="s">
        <v>141</v>
      </c>
      <c r="D16" s="104" t="s">
        <v>143</v>
      </c>
      <c r="E16" s="107">
        <f>1000*'3-31-99 and 98 end'!E34</f>
        <v>8793000</v>
      </c>
      <c r="F16" s="102"/>
      <c r="G16" s="105">
        <v>13283979</v>
      </c>
      <c r="H16" s="105">
        <v>11450028</v>
      </c>
      <c r="I16" s="106">
        <f>1000*'3-31-99 and 98 end'!E14</f>
        <v>12427000</v>
      </c>
      <c r="J16" s="105">
        <v>14115247</v>
      </c>
      <c r="K16" s="105">
        <v>15006116</v>
      </c>
      <c r="L16" s="108">
        <f>1000*'6-30-99'!D15</f>
        <v>15846000</v>
      </c>
      <c r="M16" s="105">
        <v>10357305</v>
      </c>
      <c r="N16" s="105">
        <v>9598730</v>
      </c>
      <c r="O16" s="106">
        <f>'9-30-99'!B17</f>
        <v>12351283.019486107</v>
      </c>
      <c r="P16" s="105">
        <v>13731892</v>
      </c>
      <c r="Q16" s="105">
        <v>15350456</v>
      </c>
      <c r="R16" s="105">
        <v>20962426.979250904</v>
      </c>
      <c r="S16" s="98"/>
      <c r="T16" s="98"/>
      <c r="U16" s="98"/>
      <c r="V16" s="98"/>
      <c r="W16" s="98"/>
    </row>
    <row r="17" spans="1:256" ht="12" customHeight="1">
      <c r="A17" s="63"/>
      <c r="B17" s="104" t="s">
        <v>166</v>
      </c>
      <c r="C17" s="104"/>
      <c r="D17" s="104"/>
      <c r="E17" s="105">
        <v>0</v>
      </c>
      <c r="F17" s="102"/>
      <c r="G17" s="105">
        <v>383908.5849514358</v>
      </c>
      <c r="H17" s="105">
        <v>333795.63679641217</v>
      </c>
      <c r="I17" s="105">
        <v>321512.41654549551</v>
      </c>
      <c r="J17" s="105">
        <v>391087.97182099544</v>
      </c>
      <c r="K17" s="105">
        <v>368510.12617027311</v>
      </c>
      <c r="L17" s="105">
        <v>370640.14328133687</v>
      </c>
      <c r="M17" s="105">
        <v>408004.45389578218</v>
      </c>
      <c r="N17" s="105">
        <v>411241.67230553983</v>
      </c>
      <c r="O17" s="105">
        <v>413617.45291845052</v>
      </c>
      <c r="P17" s="105">
        <v>420417.79525009159</v>
      </c>
      <c r="Q17" s="105">
        <v>445814.17336443614</v>
      </c>
      <c r="R17" s="105">
        <v>539323.76402208104</v>
      </c>
      <c r="S17" s="98"/>
      <c r="T17" s="98"/>
      <c r="U17" s="98"/>
      <c r="V17" s="98"/>
      <c r="W17" s="98"/>
    </row>
    <row r="18" spans="1:256" ht="12" customHeight="1">
      <c r="A18" s="30"/>
      <c r="B18" s="104" t="s">
        <v>145</v>
      </c>
      <c r="C18" s="104" t="s">
        <v>141</v>
      </c>
      <c r="D18" s="104" t="s">
        <v>143</v>
      </c>
      <c r="E18" s="105">
        <v>0</v>
      </c>
      <c r="F18" s="102"/>
      <c r="G18" s="105">
        <v>0</v>
      </c>
      <c r="H18" s="105">
        <v>0</v>
      </c>
      <c r="I18" s="110">
        <v>0</v>
      </c>
      <c r="J18" s="105">
        <v>0</v>
      </c>
      <c r="K18" s="105">
        <v>0</v>
      </c>
      <c r="L18" s="110">
        <v>24329479</v>
      </c>
      <c r="M18" s="105">
        <v>16987124</v>
      </c>
      <c r="N18" s="105">
        <v>14501497</v>
      </c>
      <c r="O18" s="105">
        <v>11769242</v>
      </c>
      <c r="P18" s="105">
        <v>8940492</v>
      </c>
      <c r="Q18" s="105">
        <v>12437323</v>
      </c>
      <c r="R18" s="105">
        <v>0</v>
      </c>
      <c r="S18" s="98"/>
      <c r="T18" s="98"/>
      <c r="U18" s="98"/>
      <c r="V18" s="98"/>
      <c r="W18" s="98"/>
    </row>
    <row r="19" spans="1:256" s="126" customFormat="1" ht="12" customHeight="1">
      <c r="A19" s="63"/>
      <c r="B19" s="119" t="s">
        <v>91</v>
      </c>
      <c r="C19" s="119" t="s">
        <v>141</v>
      </c>
      <c r="D19" s="119" t="s">
        <v>143</v>
      </c>
      <c r="E19" s="120">
        <f>1000*'3-31-99 and 98 end'!E35</f>
        <v>8732000</v>
      </c>
      <c r="F19" s="121"/>
      <c r="G19" s="122">
        <v>9094561.7109221704</v>
      </c>
      <c r="H19" s="122">
        <v>8812748.0450651255</v>
      </c>
      <c r="I19" s="123">
        <f>1000*'3-31-99 and 98 end'!E15</f>
        <v>10186544</v>
      </c>
      <c r="J19" s="122">
        <v>8701091.3343906663</v>
      </c>
      <c r="K19" s="122">
        <v>8449981.7203648351</v>
      </c>
      <c r="L19" s="124">
        <f>'6-30-99'!D16*1000</f>
        <v>3059000</v>
      </c>
      <c r="M19" s="122">
        <v>8544727.3097960334</v>
      </c>
      <c r="N19" s="122">
        <v>8649711.5056981947</v>
      </c>
      <c r="O19" s="123">
        <f>'9-30-99'!B19</f>
        <v>5201871.6347180251</v>
      </c>
      <c r="P19" s="122">
        <v>8641790.7878596131</v>
      </c>
      <c r="Q19" s="122">
        <v>8466778.3921481837</v>
      </c>
      <c r="R19" s="122">
        <v>16008215.980211759</v>
      </c>
      <c r="S19" s="125"/>
      <c r="T19" s="125"/>
      <c r="U19" s="125"/>
      <c r="V19" s="125"/>
      <c r="W19" s="125"/>
    </row>
    <row r="20" spans="1:256" s="130" customFormat="1" ht="12" customHeight="1">
      <c r="A20" s="129" t="s">
        <v>152</v>
      </c>
      <c r="B20" s="119" t="s">
        <v>43</v>
      </c>
      <c r="C20" s="119" t="s">
        <v>144</v>
      </c>
      <c r="D20" s="119" t="s">
        <v>142</v>
      </c>
      <c r="E20" s="120">
        <f>1000*'3-31-99 and 98 end'!E36</f>
        <v>10399000</v>
      </c>
      <c r="F20" s="121"/>
      <c r="G20" s="127">
        <f>(I20-E20)*1/3+E20</f>
        <v>9975666.666666666</v>
      </c>
      <c r="H20" s="127">
        <f>(I20-E20)*2/3+E20</f>
        <v>9552333.333333334</v>
      </c>
      <c r="I20" s="123">
        <f>'3-31-99 and 98 end'!E16*1000</f>
        <v>9129000</v>
      </c>
      <c r="J20" s="127">
        <f>(L20-I20)*1/3+I20</f>
        <v>11936666.666666666</v>
      </c>
      <c r="K20" s="127">
        <f>(L20-I20)*2/3+I20</f>
        <v>14744333.333333332</v>
      </c>
      <c r="L20" s="124">
        <f>'6-30-99'!D17*1000</f>
        <v>17552000</v>
      </c>
      <c r="M20" s="127">
        <f>L20</f>
        <v>17552000</v>
      </c>
      <c r="N20" s="110">
        <v>0</v>
      </c>
      <c r="O20" s="108">
        <f>'9-30-99'!B20</f>
        <v>0</v>
      </c>
      <c r="P20" s="110">
        <v>0</v>
      </c>
      <c r="Q20" s="110">
        <v>0</v>
      </c>
      <c r="R20" s="110">
        <v>0</v>
      </c>
      <c r="S20" s="125"/>
      <c r="T20" s="125"/>
      <c r="U20" s="125"/>
      <c r="V20" s="125"/>
      <c r="W20" s="125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6"/>
      <c r="AL20" s="126"/>
      <c r="AM20" s="126"/>
      <c r="AN20" s="126"/>
      <c r="AO20" s="126"/>
      <c r="AP20" s="126"/>
      <c r="AQ20" s="126"/>
      <c r="AR20" s="126"/>
      <c r="AS20" s="126"/>
      <c r="AT20" s="126"/>
      <c r="AU20" s="126"/>
      <c r="AV20" s="126"/>
      <c r="AW20" s="126"/>
      <c r="AX20" s="126"/>
      <c r="AY20" s="126"/>
      <c r="AZ20" s="126"/>
      <c r="BA20" s="126"/>
      <c r="BB20" s="126"/>
      <c r="BC20" s="126"/>
      <c r="BD20" s="126"/>
      <c r="BE20" s="126"/>
      <c r="BF20" s="126"/>
      <c r="BG20" s="126"/>
      <c r="BH20" s="126"/>
      <c r="BI20" s="126"/>
      <c r="BJ20" s="126"/>
      <c r="BK20" s="126"/>
      <c r="BL20" s="126"/>
      <c r="BM20" s="126"/>
      <c r="BN20" s="126"/>
      <c r="BO20" s="126"/>
      <c r="BP20" s="126"/>
      <c r="BQ20" s="126"/>
      <c r="BR20" s="126"/>
      <c r="BS20" s="126"/>
      <c r="BT20" s="126"/>
      <c r="BU20" s="126"/>
      <c r="BV20" s="126"/>
      <c r="BW20" s="126"/>
      <c r="BX20" s="126"/>
      <c r="BY20" s="126"/>
      <c r="BZ20" s="126"/>
      <c r="CA20" s="126"/>
      <c r="CB20" s="126"/>
      <c r="CC20" s="126"/>
      <c r="CD20" s="126"/>
      <c r="CE20" s="126"/>
      <c r="CF20" s="126"/>
      <c r="CG20" s="126"/>
      <c r="CH20" s="126"/>
      <c r="CI20" s="126"/>
      <c r="CJ20" s="126"/>
      <c r="CK20" s="126"/>
      <c r="CL20" s="126"/>
      <c r="CM20" s="126"/>
      <c r="CN20" s="126"/>
      <c r="CO20" s="126"/>
      <c r="CP20" s="126"/>
      <c r="CQ20" s="126"/>
      <c r="CR20" s="126"/>
      <c r="CS20" s="126"/>
      <c r="CT20" s="126"/>
      <c r="CU20" s="126"/>
      <c r="CV20" s="126"/>
      <c r="CW20" s="126"/>
      <c r="CX20" s="126"/>
      <c r="CY20" s="126"/>
      <c r="CZ20" s="126"/>
      <c r="DA20" s="126"/>
      <c r="DB20" s="126"/>
      <c r="DC20" s="126"/>
      <c r="DD20" s="126"/>
      <c r="DE20" s="126"/>
      <c r="DF20" s="126"/>
      <c r="DG20" s="126"/>
      <c r="DH20" s="126"/>
      <c r="DI20" s="126"/>
      <c r="DJ20" s="126"/>
      <c r="DK20" s="126"/>
      <c r="DL20" s="126"/>
      <c r="DM20" s="126"/>
      <c r="DN20" s="126"/>
      <c r="DO20" s="126"/>
      <c r="DP20" s="126"/>
      <c r="DQ20" s="126"/>
      <c r="DR20" s="126"/>
      <c r="DS20" s="126"/>
      <c r="DT20" s="126"/>
      <c r="DU20" s="126"/>
      <c r="DV20" s="126"/>
      <c r="DW20" s="126"/>
      <c r="DX20" s="126"/>
      <c r="DY20" s="126"/>
      <c r="DZ20" s="126"/>
      <c r="EA20" s="126"/>
      <c r="EB20" s="126"/>
      <c r="EC20" s="126"/>
      <c r="ED20" s="126"/>
      <c r="EE20" s="126"/>
      <c r="EF20" s="126"/>
      <c r="EG20" s="126"/>
      <c r="EH20" s="126"/>
      <c r="EI20" s="126"/>
      <c r="EJ20" s="126"/>
      <c r="EK20" s="126"/>
      <c r="EL20" s="126"/>
      <c r="EM20" s="126"/>
      <c r="EN20" s="126"/>
      <c r="EO20" s="126"/>
      <c r="EP20" s="126"/>
      <c r="EQ20" s="126"/>
      <c r="ER20" s="126"/>
      <c r="ES20" s="126"/>
      <c r="ET20" s="126"/>
      <c r="EU20" s="126"/>
      <c r="EV20" s="126"/>
      <c r="EW20" s="126"/>
      <c r="EX20" s="126"/>
      <c r="EY20" s="126"/>
      <c r="EZ20" s="126"/>
      <c r="FA20" s="126"/>
      <c r="FB20" s="126"/>
      <c r="FC20" s="126"/>
      <c r="FD20" s="126"/>
      <c r="FE20" s="126"/>
      <c r="FF20" s="126"/>
      <c r="FG20" s="126"/>
      <c r="FH20" s="126"/>
      <c r="FI20" s="126"/>
      <c r="FJ20" s="126"/>
      <c r="FK20" s="126"/>
      <c r="FL20" s="126"/>
      <c r="FM20" s="126"/>
      <c r="FN20" s="126"/>
      <c r="FO20" s="126"/>
      <c r="FP20" s="126"/>
      <c r="FQ20" s="126"/>
      <c r="FR20" s="126"/>
      <c r="FS20" s="126"/>
      <c r="FT20" s="126"/>
      <c r="FU20" s="126"/>
      <c r="FV20" s="126"/>
      <c r="FW20" s="126"/>
      <c r="FX20" s="126"/>
      <c r="FY20" s="126"/>
      <c r="FZ20" s="126"/>
      <c r="GA20" s="126"/>
      <c r="GB20" s="126"/>
      <c r="GC20" s="126"/>
      <c r="GD20" s="126"/>
      <c r="GE20" s="126"/>
      <c r="GF20" s="126"/>
      <c r="GG20" s="126"/>
      <c r="GH20" s="126"/>
      <c r="GI20" s="126"/>
      <c r="GJ20" s="126"/>
      <c r="GK20" s="126"/>
      <c r="GL20" s="126"/>
      <c r="GM20" s="126"/>
      <c r="GN20" s="126"/>
      <c r="GO20" s="126"/>
      <c r="GP20" s="126"/>
      <c r="GQ20" s="126"/>
      <c r="GR20" s="126"/>
      <c r="GS20" s="126"/>
      <c r="GT20" s="126"/>
      <c r="GU20" s="126"/>
      <c r="GV20" s="126"/>
      <c r="GW20" s="126"/>
      <c r="GX20" s="126"/>
      <c r="GY20" s="126"/>
      <c r="GZ20" s="126"/>
      <c r="HA20" s="126"/>
      <c r="HB20" s="126"/>
      <c r="HC20" s="126"/>
      <c r="HD20" s="126"/>
      <c r="HE20" s="126"/>
      <c r="HF20" s="126"/>
      <c r="HG20" s="126"/>
      <c r="HH20" s="126"/>
      <c r="HI20" s="126"/>
      <c r="HJ20" s="126"/>
      <c r="HK20" s="126"/>
      <c r="HL20" s="126"/>
      <c r="HM20" s="126"/>
      <c r="HN20" s="126"/>
      <c r="HO20" s="126"/>
      <c r="HP20" s="126"/>
      <c r="HQ20" s="126"/>
      <c r="HR20" s="126"/>
      <c r="HS20" s="126"/>
      <c r="HT20" s="126"/>
      <c r="HU20" s="126"/>
      <c r="HV20" s="126"/>
      <c r="HW20" s="126"/>
      <c r="HX20" s="126"/>
      <c r="HY20" s="126"/>
      <c r="HZ20" s="126"/>
      <c r="IA20" s="126"/>
      <c r="IB20" s="126"/>
      <c r="IC20" s="126"/>
      <c r="ID20" s="126"/>
      <c r="IE20" s="126"/>
      <c r="IF20" s="126"/>
      <c r="IG20" s="126"/>
      <c r="IH20" s="126"/>
      <c r="II20" s="126"/>
      <c r="IJ20" s="126"/>
      <c r="IK20" s="126"/>
      <c r="IL20" s="126"/>
      <c r="IM20" s="126"/>
      <c r="IN20" s="126"/>
      <c r="IO20" s="126"/>
      <c r="IP20" s="126"/>
      <c r="IQ20" s="126"/>
      <c r="IR20" s="126"/>
      <c r="IS20" s="126"/>
      <c r="IT20" s="126"/>
      <c r="IU20" s="126"/>
      <c r="IV20" s="126"/>
    </row>
    <row r="21" spans="1:256" ht="12" customHeight="1">
      <c r="A21" s="30" t="s">
        <v>150</v>
      </c>
      <c r="B21" s="104" t="s">
        <v>10</v>
      </c>
      <c r="C21" s="104" t="s">
        <v>144</v>
      </c>
      <c r="D21" s="104" t="s">
        <v>142</v>
      </c>
      <c r="E21" s="107">
        <f>1000*'3-31-99 and 98 end'!E37</f>
        <v>463000</v>
      </c>
      <c r="F21" s="102"/>
      <c r="G21" s="110">
        <v>998413.71015476342</v>
      </c>
      <c r="H21" s="110">
        <v>1749998.4240704332</v>
      </c>
      <c r="I21" s="106">
        <v>1076792.3198778862</v>
      </c>
      <c r="J21" s="105">
        <v>732742.02546052996</v>
      </c>
      <c r="K21" s="105">
        <v>982500.12989566568</v>
      </c>
      <c r="L21" s="106">
        <f>1000*'6-30-99'!D18</f>
        <v>3126918</v>
      </c>
      <c r="M21" s="105">
        <v>2030340.7868781537</v>
      </c>
      <c r="N21" s="105">
        <v>1893646.3406256724</v>
      </c>
      <c r="O21" s="106">
        <f>'9-30-99'!B21</f>
        <v>1649441</v>
      </c>
      <c r="P21" s="105">
        <v>1661609.5336344817</v>
      </c>
      <c r="Q21" s="105">
        <v>1606424.0737302215</v>
      </c>
      <c r="R21" s="105">
        <v>1276392.8608061862</v>
      </c>
      <c r="S21" s="98"/>
      <c r="T21" s="98"/>
      <c r="U21" s="98"/>
      <c r="V21" s="98"/>
      <c r="W21" s="98"/>
    </row>
    <row r="22" spans="1:256" ht="12" customHeight="1">
      <c r="A22" s="30"/>
      <c r="B22" s="104" t="s">
        <v>168</v>
      </c>
      <c r="C22" s="104"/>
      <c r="D22" s="104"/>
      <c r="E22" s="107"/>
      <c r="F22" s="102"/>
      <c r="G22" s="110">
        <v>217000</v>
      </c>
      <c r="H22" s="110">
        <v>203000</v>
      </c>
      <c r="I22" s="105">
        <v>186000</v>
      </c>
      <c r="J22" s="105">
        <v>150000</v>
      </c>
      <c r="K22" s="105">
        <v>155000</v>
      </c>
      <c r="L22" s="105">
        <v>150000</v>
      </c>
      <c r="M22" s="105">
        <v>155000</v>
      </c>
      <c r="N22" s="105">
        <v>155000</v>
      </c>
      <c r="O22" s="105">
        <v>180000</v>
      </c>
      <c r="P22" s="105">
        <v>201500</v>
      </c>
      <c r="Q22" s="105">
        <v>210000</v>
      </c>
      <c r="R22" s="105">
        <v>213900</v>
      </c>
      <c r="S22" s="98"/>
      <c r="T22" s="98"/>
      <c r="U22" s="98"/>
      <c r="V22" s="98"/>
      <c r="W22" s="98"/>
    </row>
    <row r="23" spans="1:256" ht="12" customHeight="1">
      <c r="A23" s="63" t="s">
        <v>149</v>
      </c>
      <c r="B23" s="104" t="s">
        <v>107</v>
      </c>
      <c r="C23" s="104" t="s">
        <v>144</v>
      </c>
      <c r="D23" s="104" t="s">
        <v>142</v>
      </c>
      <c r="E23" s="105">
        <v>0</v>
      </c>
      <c r="F23" s="102"/>
      <c r="G23" s="105">
        <v>0</v>
      </c>
      <c r="H23" s="105">
        <v>0</v>
      </c>
      <c r="I23" s="105">
        <v>0</v>
      </c>
      <c r="J23" s="105">
        <v>0</v>
      </c>
      <c r="K23" s="105">
        <v>312941</v>
      </c>
      <c r="L23" s="110">
        <v>321461</v>
      </c>
      <c r="M23" s="105">
        <v>437248</v>
      </c>
      <c r="N23" s="105">
        <v>879178</v>
      </c>
      <c r="O23" s="105">
        <v>808677</v>
      </c>
      <c r="P23" s="105">
        <v>785091</v>
      </c>
      <c r="Q23" s="105">
        <v>607779</v>
      </c>
      <c r="R23" s="105">
        <v>503948</v>
      </c>
      <c r="S23" s="98"/>
      <c r="T23" s="98"/>
      <c r="U23" s="98"/>
      <c r="V23" s="98"/>
      <c r="W23" s="98"/>
    </row>
    <row r="24" spans="1:256" ht="12" customHeight="1">
      <c r="A24" s="63" t="s">
        <v>155</v>
      </c>
      <c r="B24" s="104" t="s">
        <v>97</v>
      </c>
      <c r="C24" s="104" t="s">
        <v>144</v>
      </c>
      <c r="D24" s="104" t="s">
        <v>1</v>
      </c>
      <c r="E24" s="107">
        <f>1000*'3-31-99 and 98 end'!E39</f>
        <v>397000</v>
      </c>
      <c r="F24" s="102"/>
      <c r="G24" s="131">
        <f>(I24-E24)*1/3+E24</f>
        <v>832759.90333333332</v>
      </c>
      <c r="H24" s="131">
        <f>(I24-E24)*2/3+E24</f>
        <v>1268519.8066666666</v>
      </c>
      <c r="I24" s="105">
        <v>1704279.71</v>
      </c>
      <c r="J24" s="105">
        <v>1857644.84</v>
      </c>
      <c r="K24" s="105">
        <v>1920000.33</v>
      </c>
      <c r="L24" s="105">
        <v>2105966.77</v>
      </c>
      <c r="M24" s="105">
        <v>2224024.5099999998</v>
      </c>
      <c r="N24" s="105">
        <v>2202166.56</v>
      </c>
      <c r="O24" s="105">
        <v>2160017.0699999998</v>
      </c>
      <c r="P24" s="105">
        <v>1742172.94</v>
      </c>
      <c r="Q24" s="105">
        <v>1745908.45</v>
      </c>
      <c r="R24" s="131">
        <f>Q24</f>
        <v>1745908.45</v>
      </c>
      <c r="S24" s="98"/>
      <c r="T24" s="98"/>
      <c r="U24" s="98"/>
      <c r="V24" s="98"/>
      <c r="W24" s="98"/>
    </row>
    <row r="25" spans="1:256" ht="12" customHeight="1">
      <c r="A25" s="63" t="s">
        <v>155</v>
      </c>
      <c r="B25" s="104" t="s">
        <v>96</v>
      </c>
      <c r="C25" s="104" t="s">
        <v>144</v>
      </c>
      <c r="D25" s="104" t="s">
        <v>4</v>
      </c>
      <c r="E25" s="107">
        <f>1000*'3-31-99 and 98 end'!E38</f>
        <v>0</v>
      </c>
      <c r="F25" s="102"/>
      <c r="G25" s="131">
        <f>(I25-E25)*1/3+E25</f>
        <v>26000.74</v>
      </c>
      <c r="H25" s="131">
        <f>(I25-E25)*2/3+E25</f>
        <v>52001.48</v>
      </c>
      <c r="I25" s="105">
        <v>78002.22</v>
      </c>
      <c r="J25" s="105">
        <v>4781077.21</v>
      </c>
      <c r="K25" s="105">
        <v>4689175.8600000003</v>
      </c>
      <c r="L25" s="105">
        <v>3574673.61</v>
      </c>
      <c r="M25" s="105">
        <v>3656490.09</v>
      </c>
      <c r="N25" s="105">
        <v>3614812.98</v>
      </c>
      <c r="O25" s="105">
        <v>4376525.33</v>
      </c>
      <c r="P25" s="105">
        <v>3738107.48</v>
      </c>
      <c r="Q25" s="105">
        <v>3589218.36</v>
      </c>
      <c r="R25" s="131">
        <f>Q25</f>
        <v>3589218.36</v>
      </c>
      <c r="S25" s="98"/>
      <c r="T25" s="98"/>
      <c r="U25" s="98"/>
      <c r="V25" s="98"/>
      <c r="W25" s="98"/>
    </row>
    <row r="26" spans="1:256" ht="12" customHeight="1">
      <c r="A26" s="63" t="s">
        <v>164</v>
      </c>
      <c r="B26" s="104" t="s">
        <v>167</v>
      </c>
      <c r="C26" s="104" t="s">
        <v>144</v>
      </c>
      <c r="D26" s="104" t="s">
        <v>143</v>
      </c>
      <c r="E26" s="105">
        <v>0</v>
      </c>
      <c r="F26" s="102"/>
      <c r="G26" s="105">
        <v>0</v>
      </c>
      <c r="H26" s="105">
        <v>0</v>
      </c>
      <c r="I26" s="105">
        <v>0</v>
      </c>
      <c r="J26" s="105">
        <v>0</v>
      </c>
      <c r="K26" s="105">
        <v>0</v>
      </c>
      <c r="L26" s="105">
        <v>0</v>
      </c>
      <c r="M26" s="105">
        <v>0</v>
      </c>
      <c r="N26" s="105">
        <v>0</v>
      </c>
      <c r="O26" s="105">
        <v>0</v>
      </c>
      <c r="P26" s="105">
        <v>0</v>
      </c>
      <c r="Q26" s="105">
        <v>2239526.9320088299</v>
      </c>
      <c r="R26" s="105">
        <v>2833349.5571878199</v>
      </c>
      <c r="S26" s="98"/>
      <c r="T26" s="98"/>
      <c r="U26" s="98"/>
      <c r="V26" s="98"/>
      <c r="W26" s="98"/>
    </row>
    <row r="27" spans="1:256" ht="12" customHeight="1">
      <c r="B27" s="104"/>
      <c r="C27" s="104"/>
      <c r="D27" s="104"/>
      <c r="E27" s="101"/>
      <c r="F27" s="102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4"/>
      <c r="T27" s="98" t="s">
        <v>156</v>
      </c>
      <c r="U27" s="98" t="s">
        <v>157</v>
      </c>
      <c r="V27" s="98" t="s">
        <v>158</v>
      </c>
      <c r="W27" s="104"/>
    </row>
    <row r="28" spans="1:256" ht="12" customHeight="1">
      <c r="B28" s="104" t="s">
        <v>137</v>
      </c>
      <c r="C28" s="104"/>
      <c r="D28" s="104"/>
      <c r="E28" s="109">
        <f>SQRT(SUMSQ(SUM(E2:E3),E4:E10))</f>
        <v>14684005.900609475</v>
      </c>
      <c r="F28" s="102"/>
      <c r="G28" s="109">
        <f t="shared" ref="G28:R28" si="0">SQRT(SUMSQ(SUM(G2:G3),G4:G10))</f>
        <v>23177424.548661798</v>
      </c>
      <c r="H28" s="109">
        <f t="shared" si="0"/>
        <v>23136769.679628644</v>
      </c>
      <c r="I28" s="109">
        <f t="shared" si="0"/>
        <v>24753444.677336596</v>
      </c>
      <c r="J28" s="109">
        <f t="shared" si="0"/>
        <v>28423135.362649471</v>
      </c>
      <c r="K28" s="109">
        <f t="shared" si="0"/>
        <v>24823607.617280953</v>
      </c>
      <c r="L28" s="109">
        <f t="shared" si="0"/>
        <v>36608356.362000532</v>
      </c>
      <c r="M28" s="109">
        <f t="shared" si="0"/>
        <v>25385569.681578603</v>
      </c>
      <c r="N28" s="109">
        <f t="shared" si="0"/>
        <v>18010577.997086231</v>
      </c>
      <c r="O28" s="109">
        <f t="shared" si="0"/>
        <v>23403732.052229181</v>
      </c>
      <c r="P28" s="109">
        <f t="shared" si="0"/>
        <v>19001978.577351343</v>
      </c>
      <c r="Q28" s="109">
        <f t="shared" si="0"/>
        <v>16173937.686301036</v>
      </c>
      <c r="R28" s="109">
        <f t="shared" si="0"/>
        <v>20968806.457157474</v>
      </c>
      <c r="S28" s="104"/>
      <c r="T28" s="106">
        <f>AVERAGE($G28:$R28)</f>
        <v>23655611.724938486</v>
      </c>
      <c r="U28" s="106">
        <f>MAX($G28:$R28)</f>
        <v>36608356.362000532</v>
      </c>
      <c r="V28" s="106">
        <f>MIN($G28:$R28)</f>
        <v>16173937.686301036</v>
      </c>
      <c r="W28" s="104"/>
    </row>
    <row r="29" spans="1:256" ht="12" customHeight="1">
      <c r="B29" s="104" t="s">
        <v>138</v>
      </c>
      <c r="C29" s="104"/>
      <c r="D29" s="104"/>
      <c r="E29" s="109">
        <f t="shared" ref="E29:N29" si="1">E11</f>
        <v>77000</v>
      </c>
      <c r="F29" s="102"/>
      <c r="G29" s="109">
        <f t="shared" si="1"/>
        <v>328925.76733301382</v>
      </c>
      <c r="H29" s="109">
        <f t="shared" si="1"/>
        <v>116374.32119092009</v>
      </c>
      <c r="I29" s="109">
        <f t="shared" si="1"/>
        <v>101433</v>
      </c>
      <c r="J29" s="109">
        <f t="shared" si="1"/>
        <v>238519.26987891059</v>
      </c>
      <c r="K29" s="109">
        <f t="shared" si="1"/>
        <v>113489.00744238489</v>
      </c>
      <c r="L29" s="109">
        <f t="shared" si="1"/>
        <v>139000</v>
      </c>
      <c r="M29" s="99">
        <f>M11</f>
        <v>136571.51743066654</v>
      </c>
      <c r="N29" s="99">
        <f t="shared" si="1"/>
        <v>445157.66</v>
      </c>
      <c r="O29" s="99">
        <f t="shared" ref="O29:R30" si="2">O11</f>
        <v>411253.90507885936</v>
      </c>
      <c r="P29" s="99">
        <f t="shared" si="2"/>
        <v>490477.46</v>
      </c>
      <c r="Q29" s="99">
        <f t="shared" si="2"/>
        <v>175321.68</v>
      </c>
      <c r="R29" s="99">
        <f t="shared" si="2"/>
        <v>402833.5</v>
      </c>
      <c r="S29" s="104"/>
      <c r="T29" s="106">
        <f t="shared" ref="T29:T35" si="3">AVERAGE($G29:$R29)</f>
        <v>258279.75736289626</v>
      </c>
      <c r="U29" s="106">
        <f t="shared" ref="U29:U35" si="4">MAX($G29:$R29)</f>
        <v>490477.46</v>
      </c>
      <c r="V29" s="106">
        <f t="shared" ref="V29:V35" si="5">MIN($G29:$R29)</f>
        <v>101433</v>
      </c>
      <c r="W29" s="104"/>
    </row>
    <row r="30" spans="1:256" ht="12" customHeight="1">
      <c r="B30" s="104" t="s">
        <v>140</v>
      </c>
      <c r="C30" s="104"/>
      <c r="D30" s="104"/>
      <c r="E30" s="109">
        <f t="shared" ref="E30:N30" si="6">E12</f>
        <v>44000</v>
      </c>
      <c r="F30" s="102"/>
      <c r="G30" s="109">
        <f t="shared" si="6"/>
        <v>44989.351323643263</v>
      </c>
      <c r="H30" s="109">
        <f t="shared" si="6"/>
        <v>15917.285117429341</v>
      </c>
      <c r="I30" s="109">
        <f t="shared" si="6"/>
        <v>65631</v>
      </c>
      <c r="J30" s="109">
        <f t="shared" si="6"/>
        <v>32623.857100185756</v>
      </c>
      <c r="K30" s="109">
        <f t="shared" si="6"/>
        <v>15522.641684765804</v>
      </c>
      <c r="L30" s="109">
        <f t="shared" si="6"/>
        <v>26000</v>
      </c>
      <c r="M30" s="99">
        <f t="shared" si="6"/>
        <v>18679.789146074101</v>
      </c>
      <c r="N30" s="99">
        <f t="shared" si="6"/>
        <v>59819.37</v>
      </c>
      <c r="O30" s="99">
        <f t="shared" si="2"/>
        <v>16806.141833059221</v>
      </c>
      <c r="P30" s="99">
        <f t="shared" si="2"/>
        <v>61989.08</v>
      </c>
      <c r="Q30" s="99">
        <f t="shared" si="2"/>
        <v>48221.91</v>
      </c>
      <c r="R30" s="99">
        <f t="shared" si="2"/>
        <v>88015.32</v>
      </c>
      <c r="S30" s="104"/>
      <c r="T30" s="106">
        <f t="shared" si="3"/>
        <v>41184.645517096462</v>
      </c>
      <c r="U30" s="106">
        <f t="shared" si="4"/>
        <v>88015.32</v>
      </c>
      <c r="V30" s="106">
        <f t="shared" si="5"/>
        <v>15522.641684765804</v>
      </c>
      <c r="W30" s="104"/>
    </row>
    <row r="31" spans="1:256" ht="12" customHeight="1">
      <c r="B31" s="104" t="s">
        <v>139</v>
      </c>
      <c r="C31" s="104"/>
      <c r="D31" s="104"/>
      <c r="E31" s="109">
        <f t="shared" ref="E31:N31" si="7">SQRT(SUMSQ(E13:E19))</f>
        <v>12465183.213826302</v>
      </c>
      <c r="F31" s="102"/>
      <c r="G31" s="109">
        <f t="shared" si="7"/>
        <v>16110958.495171167</v>
      </c>
      <c r="H31" s="109">
        <f t="shared" si="7"/>
        <v>14469984.492570754</v>
      </c>
      <c r="I31" s="109">
        <f t="shared" si="7"/>
        <v>16094421.483791485</v>
      </c>
      <c r="J31" s="109">
        <f t="shared" si="7"/>
        <v>16666458.200838331</v>
      </c>
      <c r="K31" s="109">
        <f t="shared" si="7"/>
        <v>17297546.724713691</v>
      </c>
      <c r="L31" s="109">
        <f t="shared" si="7"/>
        <v>29240671.051247314</v>
      </c>
      <c r="M31" s="99">
        <f t="shared" si="7"/>
        <v>21719616.929568302</v>
      </c>
      <c r="N31" s="99">
        <f t="shared" si="7"/>
        <v>19458144.199385468</v>
      </c>
      <c r="O31" s="99">
        <f>SQRT(SUMSQ(O13:O19))</f>
        <v>17872205.198734757</v>
      </c>
      <c r="P31" s="99">
        <f>SQRT(SUMSQ(P13:P19))</f>
        <v>18551833.109265294</v>
      </c>
      <c r="Q31" s="99">
        <f>SQRT(SUMSQ(Q13:Q19))</f>
        <v>21521342.811275158</v>
      </c>
      <c r="R31" s="99">
        <f>SQRT(SUMSQ(R13:R19))</f>
        <v>26425551.596895989</v>
      </c>
      <c r="S31" s="104"/>
      <c r="T31" s="106">
        <f t="shared" si="3"/>
        <v>19619061.191121478</v>
      </c>
      <c r="U31" s="106">
        <f t="shared" si="4"/>
        <v>29240671.051247314</v>
      </c>
      <c r="V31" s="106">
        <f t="shared" si="5"/>
        <v>14469984.492570754</v>
      </c>
      <c r="W31" s="104"/>
    </row>
    <row r="32" spans="1:256" ht="12" customHeight="1">
      <c r="B32" s="104" t="s">
        <v>163</v>
      </c>
      <c r="C32" s="104"/>
      <c r="D32" s="104"/>
      <c r="E32" s="109">
        <f>SQRT(SUMSQ(E20:E23))</f>
        <v>10409302.089957809</v>
      </c>
      <c r="F32" s="102"/>
      <c r="G32" s="109">
        <f t="shared" ref="G32:R32" si="8">SQRT(SUMSQ(G20:G23))</f>
        <v>10027853.428379847</v>
      </c>
      <c r="H32" s="109">
        <f t="shared" si="8"/>
        <v>9713432.7400440741</v>
      </c>
      <c r="I32" s="109">
        <f t="shared" si="8"/>
        <v>9194167.6458583251</v>
      </c>
      <c r="J32" s="109">
        <f t="shared" si="8"/>
        <v>11960076.169781992</v>
      </c>
      <c r="K32" s="109">
        <f t="shared" si="8"/>
        <v>14781157.90522415</v>
      </c>
      <c r="L32" s="109">
        <f t="shared" si="8"/>
        <v>17831885.972976752</v>
      </c>
      <c r="M32" s="99">
        <f t="shared" si="8"/>
        <v>17675129.377867788</v>
      </c>
      <c r="N32" s="99">
        <f t="shared" si="8"/>
        <v>2093531.8051199988</v>
      </c>
      <c r="O32" s="99">
        <f t="shared" si="8"/>
        <v>1845809.8772110848</v>
      </c>
      <c r="P32" s="99">
        <f t="shared" si="8"/>
        <v>1848760.7661744663</v>
      </c>
      <c r="Q32" s="99">
        <f t="shared" si="8"/>
        <v>1730344.9417676812</v>
      </c>
      <c r="R32" s="99">
        <f t="shared" si="8"/>
        <v>1388846.8352633419</v>
      </c>
      <c r="S32" s="104"/>
      <c r="T32" s="106">
        <f t="shared" si="3"/>
        <v>8340916.4554724572</v>
      </c>
      <c r="U32" s="106">
        <f t="shared" si="4"/>
        <v>17831885.972976752</v>
      </c>
      <c r="V32" s="106">
        <f t="shared" si="5"/>
        <v>1388846.8352633419</v>
      </c>
      <c r="W32" s="104"/>
    </row>
    <row r="33" spans="1:23" ht="12" customHeight="1">
      <c r="B33" s="104" t="s">
        <v>160</v>
      </c>
      <c r="C33" s="104"/>
      <c r="D33" s="104"/>
      <c r="E33" s="109">
        <f t="shared" ref="E33:N33" si="9">E24</f>
        <v>397000</v>
      </c>
      <c r="F33" s="102"/>
      <c r="G33" s="109">
        <f t="shared" si="9"/>
        <v>832759.90333333332</v>
      </c>
      <c r="H33" s="109">
        <f t="shared" si="9"/>
        <v>1268519.8066666666</v>
      </c>
      <c r="I33" s="109">
        <f t="shared" si="9"/>
        <v>1704279.71</v>
      </c>
      <c r="J33" s="109">
        <f t="shared" si="9"/>
        <v>1857644.84</v>
      </c>
      <c r="K33" s="109">
        <f t="shared" si="9"/>
        <v>1920000.33</v>
      </c>
      <c r="L33" s="109">
        <f t="shared" si="9"/>
        <v>2105966.77</v>
      </c>
      <c r="M33" s="99">
        <f t="shared" si="9"/>
        <v>2224024.5099999998</v>
      </c>
      <c r="N33" s="99">
        <f t="shared" si="9"/>
        <v>2202166.56</v>
      </c>
      <c r="O33" s="99">
        <f t="shared" ref="O33:R34" si="10">O24</f>
        <v>2160017.0699999998</v>
      </c>
      <c r="P33" s="99">
        <f t="shared" si="10"/>
        <v>1742172.94</v>
      </c>
      <c r="Q33" s="99">
        <f t="shared" si="10"/>
        <v>1745908.45</v>
      </c>
      <c r="R33" s="99">
        <f t="shared" si="10"/>
        <v>1745908.45</v>
      </c>
      <c r="S33" s="104"/>
      <c r="T33" s="106">
        <f t="shared" si="3"/>
        <v>1792447.4450000001</v>
      </c>
      <c r="U33" s="106">
        <f t="shared" si="4"/>
        <v>2224024.5099999998</v>
      </c>
      <c r="V33" s="106">
        <f t="shared" si="5"/>
        <v>832759.90333333332</v>
      </c>
      <c r="W33" s="104"/>
    </row>
    <row r="34" spans="1:23" ht="12" customHeight="1">
      <c r="B34" s="104" t="s">
        <v>161</v>
      </c>
      <c r="C34" s="104"/>
      <c r="D34" s="104"/>
      <c r="E34" s="109">
        <f t="shared" ref="E34:N34" si="11">E25</f>
        <v>0</v>
      </c>
      <c r="F34" s="102"/>
      <c r="G34" s="109">
        <f t="shared" si="11"/>
        <v>26000.74</v>
      </c>
      <c r="H34" s="109">
        <f t="shared" si="11"/>
        <v>52001.48</v>
      </c>
      <c r="I34" s="109">
        <f t="shared" si="11"/>
        <v>78002.22</v>
      </c>
      <c r="J34" s="109">
        <f t="shared" si="11"/>
        <v>4781077.21</v>
      </c>
      <c r="K34" s="109">
        <f t="shared" si="11"/>
        <v>4689175.8600000003</v>
      </c>
      <c r="L34" s="109">
        <f t="shared" si="11"/>
        <v>3574673.61</v>
      </c>
      <c r="M34" s="99">
        <f t="shared" si="11"/>
        <v>3656490.09</v>
      </c>
      <c r="N34" s="99">
        <f t="shared" si="11"/>
        <v>3614812.98</v>
      </c>
      <c r="O34" s="99">
        <f t="shared" si="10"/>
        <v>4376525.33</v>
      </c>
      <c r="P34" s="99">
        <f t="shared" si="10"/>
        <v>3738107.48</v>
      </c>
      <c r="Q34" s="99">
        <f t="shared" si="10"/>
        <v>3589218.36</v>
      </c>
      <c r="R34" s="99">
        <f t="shared" si="10"/>
        <v>3589218.36</v>
      </c>
      <c r="S34" s="104"/>
      <c r="T34" s="106">
        <f t="shared" si="3"/>
        <v>2980441.976666667</v>
      </c>
      <c r="U34" s="106">
        <f t="shared" si="4"/>
        <v>4781077.21</v>
      </c>
      <c r="V34" s="106">
        <f t="shared" si="5"/>
        <v>26000.74</v>
      </c>
      <c r="W34" s="104"/>
    </row>
    <row r="35" spans="1:23" ht="12" customHeight="1">
      <c r="B35" s="104" t="s">
        <v>162</v>
      </c>
      <c r="C35" s="104"/>
      <c r="D35" s="104"/>
      <c r="E35" s="109">
        <f>E26</f>
        <v>0</v>
      </c>
      <c r="F35" s="102"/>
      <c r="G35" s="109">
        <f t="shared" ref="G35:R35" si="12">G26</f>
        <v>0</v>
      </c>
      <c r="H35" s="109">
        <f t="shared" si="12"/>
        <v>0</v>
      </c>
      <c r="I35" s="109">
        <f t="shared" si="12"/>
        <v>0</v>
      </c>
      <c r="J35" s="109">
        <f t="shared" si="12"/>
        <v>0</v>
      </c>
      <c r="K35" s="109">
        <f t="shared" si="12"/>
        <v>0</v>
      </c>
      <c r="L35" s="109">
        <f t="shared" si="12"/>
        <v>0</v>
      </c>
      <c r="M35" s="109">
        <f t="shared" si="12"/>
        <v>0</v>
      </c>
      <c r="N35" s="109">
        <f t="shared" si="12"/>
        <v>0</v>
      </c>
      <c r="O35" s="109">
        <f t="shared" si="12"/>
        <v>0</v>
      </c>
      <c r="P35" s="109">
        <f t="shared" si="12"/>
        <v>0</v>
      </c>
      <c r="Q35" s="109">
        <f t="shared" si="12"/>
        <v>2239526.9320088299</v>
      </c>
      <c r="R35" s="109">
        <f t="shared" si="12"/>
        <v>2833349.5571878199</v>
      </c>
      <c r="S35" s="104"/>
      <c r="T35" s="106">
        <f t="shared" si="3"/>
        <v>422739.70743305417</v>
      </c>
      <c r="U35" s="106">
        <f t="shared" si="4"/>
        <v>2833349.5571878199</v>
      </c>
      <c r="V35" s="106">
        <f t="shared" si="5"/>
        <v>0</v>
      </c>
      <c r="W35" s="104"/>
    </row>
    <row r="36" spans="1:23" ht="12" customHeight="1">
      <c r="B36" s="104"/>
      <c r="C36" s="104"/>
      <c r="D36" s="104"/>
      <c r="E36" s="101"/>
      <c r="F36" s="102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4"/>
      <c r="T36" s="104"/>
      <c r="U36" s="104"/>
      <c r="V36" s="104"/>
      <c r="W36" s="104"/>
    </row>
    <row r="37" spans="1:23" s="1" customFormat="1" ht="12" customHeight="1">
      <c r="A37" s="27"/>
      <c r="B37" s="104" t="s">
        <v>106</v>
      </c>
      <c r="C37" s="104"/>
      <c r="D37" s="104"/>
      <c r="E37" s="115">
        <f t="shared" ref="E37:N37" si="13">SQRT(SUMSQ(E28:E35))</f>
        <v>21897942.04584967</v>
      </c>
      <c r="F37" s="102"/>
      <c r="G37" s="115">
        <f t="shared" si="13"/>
        <v>29968620.555847019</v>
      </c>
      <c r="H37" s="115">
        <f t="shared" si="13"/>
        <v>28994257.724853169</v>
      </c>
      <c r="I37" s="115">
        <f t="shared" si="13"/>
        <v>30971299.532792177</v>
      </c>
      <c r="J37" s="115">
        <f t="shared" si="13"/>
        <v>35426774.820585757</v>
      </c>
      <c r="K37" s="115">
        <f t="shared" si="13"/>
        <v>34052711.185307615</v>
      </c>
      <c r="L37" s="115">
        <f t="shared" si="13"/>
        <v>50303062.937182039</v>
      </c>
      <c r="M37" s="115">
        <f t="shared" si="13"/>
        <v>38038326.877809472</v>
      </c>
      <c r="N37" s="115">
        <f t="shared" si="13"/>
        <v>26935131.799007345</v>
      </c>
      <c r="O37" s="115">
        <f>SQRT(SUMSQ(O28:O35))</f>
        <v>29908969.669126019</v>
      </c>
      <c r="P37" s="115">
        <f>SQRT(SUMSQ(P28:P35))</f>
        <v>26942840.288440358</v>
      </c>
      <c r="Q37" s="115">
        <f>SQRT(SUMSQ(Q28:Q35))</f>
        <v>27363073.273539513</v>
      </c>
      <c r="R37" s="115">
        <f>SQRT(SUMSQ(R28:R35))</f>
        <v>34118295.575245224</v>
      </c>
      <c r="S37" s="104"/>
      <c r="T37" s="104"/>
      <c r="U37" s="104"/>
      <c r="V37" s="104"/>
      <c r="W37" s="104"/>
    </row>
    <row r="38" spans="1:23" ht="12" customHeight="1">
      <c r="B38" s="104"/>
      <c r="C38" s="104"/>
      <c r="D38" s="104"/>
      <c r="E38" s="101"/>
      <c r="F38" s="102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4"/>
      <c r="T38" s="104"/>
      <c r="U38" s="104"/>
      <c r="V38" s="104"/>
      <c r="W38" s="104"/>
    </row>
    <row r="39" spans="1:23" ht="12" customHeight="1">
      <c r="B39" s="104"/>
      <c r="C39" s="104"/>
      <c r="D39" s="104"/>
      <c r="E39" s="104"/>
      <c r="F39" s="104"/>
      <c r="G39" s="117" t="s">
        <v>159</v>
      </c>
      <c r="H39" s="118"/>
      <c r="I39" s="118"/>
      <c r="J39" s="118"/>
      <c r="K39" s="118"/>
      <c r="L39" s="118"/>
      <c r="M39" s="118"/>
      <c r="N39" s="118"/>
      <c r="O39" s="104"/>
      <c r="P39" s="104"/>
      <c r="Q39" s="104"/>
      <c r="R39" s="104"/>
      <c r="S39" s="104"/>
      <c r="T39" s="104"/>
      <c r="U39" s="104"/>
      <c r="V39" s="104"/>
      <c r="W39" s="104"/>
    </row>
    <row r="40" spans="1:23" ht="12" customHeight="1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</row>
  </sheetData>
  <sheetProtection sheet="1" objects="1" scenarios="1"/>
  <pageMargins left="0.18" right="0.17" top="1" bottom="1" header="0.5" footer="0.5"/>
  <pageSetup scale="39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U46"/>
  <sheetViews>
    <sheetView tabSelected="1" zoomScale="75" workbookViewId="0">
      <pane xSplit="4" ySplit="1" topLeftCell="E2" activePane="bottomRight" state="frozen"/>
      <selection activeCell="Q29" sqref="Q29"/>
      <selection pane="topRight" activeCell="Q29" sqref="Q29"/>
      <selection pane="bottomLeft" activeCell="Q29" sqref="Q29"/>
      <selection pane="bottomRight" activeCell="J40" sqref="J40"/>
    </sheetView>
  </sheetViews>
  <sheetFormatPr defaultRowHeight="12" customHeight="1"/>
  <cols>
    <col min="1" max="1" width="54.42578125" style="144" customWidth="1"/>
    <col min="2" max="2" width="3.85546875" style="145" customWidth="1"/>
    <col min="3" max="3" width="10.85546875" style="145" customWidth="1"/>
    <col min="4" max="4" width="2.5703125" style="145" customWidth="1"/>
    <col min="5" max="16" width="12.140625" style="137" customWidth="1"/>
    <col min="17" max="17" width="2.140625" style="141" customWidth="1"/>
    <col min="18" max="20" width="12.140625" style="146" customWidth="1"/>
    <col min="21" max="21" width="3.7109375" style="141" customWidth="1"/>
    <col min="22" max="16384" width="9.140625" style="141"/>
  </cols>
  <sheetData>
    <row r="1" spans="1:21" ht="12" customHeight="1">
      <c r="A1" s="138"/>
      <c r="B1" s="167"/>
      <c r="C1" s="132">
        <v>36495</v>
      </c>
      <c r="D1" s="139"/>
      <c r="E1" s="132">
        <v>36526</v>
      </c>
      <c r="F1" s="132">
        <v>36557</v>
      </c>
      <c r="G1" s="132">
        <v>36586</v>
      </c>
      <c r="H1" s="132">
        <v>36617</v>
      </c>
      <c r="I1" s="132">
        <v>36647</v>
      </c>
      <c r="J1" s="132">
        <v>36678</v>
      </c>
      <c r="K1" s="132">
        <v>36708</v>
      </c>
      <c r="L1" s="132">
        <v>36739</v>
      </c>
      <c r="M1" s="132">
        <v>36770</v>
      </c>
      <c r="N1" s="132">
        <v>36800</v>
      </c>
      <c r="O1" s="132">
        <v>36831</v>
      </c>
      <c r="P1" s="132">
        <v>36861</v>
      </c>
      <c r="Q1" s="138"/>
      <c r="R1" s="138" t="s">
        <v>156</v>
      </c>
      <c r="S1" s="138" t="s">
        <v>157</v>
      </c>
      <c r="T1" s="138" t="s">
        <v>158</v>
      </c>
      <c r="U1" s="138"/>
    </row>
    <row r="2" spans="1:21" ht="12" customHeight="1">
      <c r="A2" s="147" t="s">
        <v>19</v>
      </c>
      <c r="B2" s="169" t="s">
        <v>172</v>
      </c>
      <c r="C2" s="148"/>
      <c r="D2" s="149"/>
      <c r="E2" s="178">
        <v>23648142</v>
      </c>
      <c r="F2" s="150">
        <v>18913435</v>
      </c>
      <c r="G2" s="150">
        <v>28703135</v>
      </c>
      <c r="H2" s="150">
        <v>45126975</v>
      </c>
      <c r="I2" s="150">
        <v>45127067.338270202</v>
      </c>
      <c r="J2" s="150">
        <v>49267360.557144597</v>
      </c>
      <c r="K2" s="150">
        <v>42872948.8941392</v>
      </c>
      <c r="L2" s="150">
        <v>72747412.997819006</v>
      </c>
      <c r="M2" s="150">
        <f>47000252.7202917</f>
        <v>47000252.720291696</v>
      </c>
      <c r="N2" s="150">
        <v>27755226.331254099</v>
      </c>
      <c r="O2" s="150">
        <v>71551459.746203199</v>
      </c>
      <c r="P2" s="151">
        <v>58748587.761360802</v>
      </c>
      <c r="Q2" s="138"/>
      <c r="R2" s="138"/>
      <c r="S2" s="138"/>
      <c r="T2" s="138"/>
      <c r="U2" s="138"/>
    </row>
    <row r="3" spans="1:21" ht="12" customHeight="1">
      <c r="A3" s="152" t="s">
        <v>20</v>
      </c>
      <c r="B3" s="170" t="s">
        <v>172</v>
      </c>
      <c r="C3" s="153"/>
      <c r="D3" s="154"/>
      <c r="E3" s="179">
        <v>2662112</v>
      </c>
      <c r="F3" s="155">
        <v>2447886</v>
      </c>
      <c r="G3" s="155">
        <v>2285580</v>
      </c>
      <c r="H3" s="155">
        <v>3078240</v>
      </c>
      <c r="I3" s="155">
        <v>2846150.1720883301</v>
      </c>
      <c r="J3" s="155">
        <v>1934817.84020596</v>
      </c>
      <c r="K3" s="155">
        <v>2569586.0976314899</v>
      </c>
      <c r="L3" s="155">
        <v>4156867.8790297401</v>
      </c>
      <c r="M3" s="155">
        <v>4910305.1171028502</v>
      </c>
      <c r="N3" s="155">
        <v>2969502.4430899601</v>
      </c>
      <c r="O3" s="155">
        <v>7528489.4444763102</v>
      </c>
      <c r="P3" s="156">
        <v>3941018.3529363102</v>
      </c>
      <c r="Q3" s="138"/>
      <c r="R3" s="138"/>
      <c r="S3" s="138"/>
      <c r="T3" s="138"/>
      <c r="U3" s="138"/>
    </row>
    <row r="4" spans="1:21" ht="12" customHeight="1">
      <c r="A4" s="152" t="s">
        <v>21</v>
      </c>
      <c r="B4" s="170" t="s">
        <v>172</v>
      </c>
      <c r="C4" s="153"/>
      <c r="D4" s="154"/>
      <c r="E4" s="179">
        <f>7589.8558170981*1000</f>
        <v>7589855.8170980997</v>
      </c>
      <c r="F4" s="155">
        <f>6950.63828900979*1000</f>
        <v>6950638.2890097899</v>
      </c>
      <c r="G4" s="155">
        <f>7060.14736265567*1000</f>
        <v>7060147.3626556695</v>
      </c>
      <c r="H4" s="155">
        <f>13910.5867087569*1000</f>
        <v>13910586.708756901</v>
      </c>
      <c r="I4" s="155">
        <f>12636.5841175892*1000</f>
        <v>12636584.1175892</v>
      </c>
      <c r="J4" s="155">
        <f>12932.4706021279*1000</f>
        <v>12932470.6021279</v>
      </c>
      <c r="K4" s="155">
        <f>14984.0014353593*1000</f>
        <v>14984001.435359299</v>
      </c>
      <c r="L4" s="155">
        <f>15417.1298752834*1000</f>
        <v>15417129.875283401</v>
      </c>
      <c r="M4" s="155">
        <f>16552.2442717714*1000</f>
        <v>16552244.271771401</v>
      </c>
      <c r="N4" s="155">
        <f>14243.4885282984*1000</f>
        <v>14243488.5282984</v>
      </c>
      <c r="O4" s="155">
        <f>15646*1000</f>
        <v>15646000</v>
      </c>
      <c r="P4" s="156">
        <f>1000*17930</f>
        <v>17930000</v>
      </c>
      <c r="Q4" s="138"/>
      <c r="R4" s="138"/>
      <c r="S4" s="138"/>
      <c r="T4" s="138"/>
      <c r="U4" s="138"/>
    </row>
    <row r="5" spans="1:21" ht="12" customHeight="1">
      <c r="A5" s="152" t="s">
        <v>82</v>
      </c>
      <c r="B5" s="170" t="s">
        <v>172</v>
      </c>
      <c r="C5" s="153"/>
      <c r="D5" s="154"/>
      <c r="E5" s="179">
        <v>1936000</v>
      </c>
      <c r="F5" s="155">
        <f>2104.88069699243*1000</f>
        <v>2104880.6969924299</v>
      </c>
      <c r="G5" s="155">
        <f>1908.82298517186*1000</f>
        <v>1908822.9851718599</v>
      </c>
      <c r="H5" s="155">
        <f>1898.64963246316*1000</f>
        <v>1898649.63246316</v>
      </c>
      <c r="I5" s="155">
        <f>1246.45088192924*1000</f>
        <v>1246450.88192924</v>
      </c>
      <c r="J5" s="155">
        <f>1242.07137353124*1000</f>
        <v>1242071.37353124</v>
      </c>
      <c r="K5" s="155">
        <f>1359.75620686751*1000</f>
        <v>1359756.20686751</v>
      </c>
      <c r="L5" s="155">
        <f>1329.30534*1000</f>
        <v>1329305.3399999999</v>
      </c>
      <c r="M5" s="155">
        <f>1267.75592*1000</f>
        <v>1267755.9200000002</v>
      </c>
      <c r="N5" s="155">
        <f>1388.62009*1000</f>
        <v>1388620.0899999999</v>
      </c>
      <c r="O5" s="155">
        <f>1962.80789*1000</f>
        <v>1962807.8900000001</v>
      </c>
      <c r="P5" s="156">
        <f>1000*1769.07871</f>
        <v>1769078.71</v>
      </c>
      <c r="Q5" s="138"/>
      <c r="R5" s="138"/>
      <c r="S5" s="138"/>
      <c r="T5" s="138"/>
      <c r="U5" s="138"/>
    </row>
    <row r="6" spans="1:21" ht="12" customHeight="1">
      <c r="A6" s="152" t="s">
        <v>83</v>
      </c>
      <c r="B6" s="170" t="s">
        <v>172</v>
      </c>
      <c r="C6" s="153"/>
      <c r="D6" s="154"/>
      <c r="E6" s="179">
        <v>208000</v>
      </c>
      <c r="F6" s="155">
        <f>211*1000</f>
        <v>211000</v>
      </c>
      <c r="G6" s="155">
        <f>617*1000</f>
        <v>617000</v>
      </c>
      <c r="H6" s="155">
        <f>310.375*1000</f>
        <v>310375</v>
      </c>
      <c r="I6" s="155">
        <f>300.099096904298*1000</f>
        <v>300099.096904298</v>
      </c>
      <c r="J6" s="155">
        <f>763*1000</f>
        <v>763000</v>
      </c>
      <c r="K6" s="155">
        <f>313.914727602778*1000</f>
        <v>313914.727602778</v>
      </c>
      <c r="L6" s="155">
        <f>420.23624*1000</f>
        <v>420236.24</v>
      </c>
      <c r="M6" s="155">
        <f>444.00061*1000</f>
        <v>444000.61</v>
      </c>
      <c r="N6" s="155">
        <f>400.83395*1000</f>
        <v>400833.95</v>
      </c>
      <c r="O6" s="155">
        <f>1000*440.48528</f>
        <v>440485.27999999997</v>
      </c>
      <c r="P6" s="156">
        <f>1000*444.30535</f>
        <v>444305.35</v>
      </c>
      <c r="Q6" s="138"/>
      <c r="R6" s="138"/>
      <c r="S6" s="138"/>
      <c r="T6" s="138"/>
      <c r="U6" s="138"/>
    </row>
    <row r="7" spans="1:21" ht="12" customHeight="1">
      <c r="A7" s="152" t="s">
        <v>84</v>
      </c>
      <c r="B7" s="170" t="s">
        <v>172</v>
      </c>
      <c r="C7" s="153"/>
      <c r="D7" s="154"/>
      <c r="E7" s="179">
        <v>201000</v>
      </c>
      <c r="F7" s="155">
        <f>169.393115477633*1000</f>
        <v>169393.11547763299</v>
      </c>
      <c r="G7" s="155">
        <f>117.904900665046*1000</f>
        <v>117904.90066504601</v>
      </c>
      <c r="H7" s="155">
        <f>164.113650638791*1000</f>
        <v>164113.650638791</v>
      </c>
      <c r="I7" s="155">
        <f>38.2751745749971*1000</f>
        <v>38275.174574997101</v>
      </c>
      <c r="J7" s="155">
        <f>119.454*1000</f>
        <v>119454</v>
      </c>
      <c r="K7" s="155">
        <f>168.104*1000</f>
        <v>168104</v>
      </c>
      <c r="L7" s="155">
        <f>329.52547*1000</f>
        <v>329525.46999999997</v>
      </c>
      <c r="M7" s="155">
        <f>360.35069*1000</f>
        <v>360350.69</v>
      </c>
      <c r="N7" s="155">
        <f>382.2602*1000</f>
        <v>382260.2</v>
      </c>
      <c r="O7" s="155">
        <f>1000*145.39142</f>
        <v>145391.42000000001</v>
      </c>
      <c r="P7" s="156">
        <f>1000*284.1883</f>
        <v>284188.30000000005</v>
      </c>
      <c r="Q7" s="138"/>
      <c r="R7" s="138"/>
      <c r="S7" s="138"/>
      <c r="T7" s="138"/>
      <c r="U7" s="138"/>
    </row>
    <row r="8" spans="1:21" ht="12" customHeight="1">
      <c r="A8" s="152" t="s">
        <v>92</v>
      </c>
      <c r="B8" s="170" t="s">
        <v>172</v>
      </c>
      <c r="C8" s="153"/>
      <c r="D8" s="154"/>
      <c r="E8" s="179">
        <v>394000</v>
      </c>
      <c r="F8" s="155">
        <f>227.938440303285*1000</f>
        <v>227938.440303285</v>
      </c>
      <c r="G8" s="155">
        <f>477.394374170693*1000</f>
        <v>477394.37417069305</v>
      </c>
      <c r="H8" s="155">
        <f>449.119355109042*1000</f>
        <v>449119.35510904196</v>
      </c>
      <c r="I8" s="155">
        <f>328.064709990273*1000</f>
        <v>328064.709990273</v>
      </c>
      <c r="J8" s="155">
        <f>404.324730065462*1000</f>
        <v>404324.730065462</v>
      </c>
      <c r="K8" s="155">
        <f>687.039619822875*1000</f>
        <v>687039.61982287501</v>
      </c>
      <c r="L8" s="155">
        <f>591.419858261914*1000</f>
        <v>591419.85826191399</v>
      </c>
      <c r="M8" s="155">
        <f>486.483*1000</f>
        <v>486483</v>
      </c>
      <c r="N8" s="155">
        <f>508.539*1000</f>
        <v>508539</v>
      </c>
      <c r="O8" s="155">
        <f>1000*392.6758</f>
        <v>392675.8</v>
      </c>
      <c r="P8" s="156">
        <f>1000*773.98985</f>
        <v>773989.85000000009</v>
      </c>
      <c r="Q8" s="138"/>
      <c r="R8" s="138"/>
      <c r="S8" s="138"/>
      <c r="T8" s="138"/>
      <c r="U8" s="138"/>
    </row>
    <row r="9" spans="1:21" ht="12" customHeight="1">
      <c r="A9" s="152" t="s">
        <v>148</v>
      </c>
      <c r="B9" s="170" t="s">
        <v>172</v>
      </c>
      <c r="C9" s="153"/>
      <c r="D9" s="154"/>
      <c r="E9" s="179">
        <v>958000</v>
      </c>
      <c r="F9" s="155">
        <f>3036.533*1000</f>
        <v>3036533</v>
      </c>
      <c r="G9" s="155">
        <f>3555.784*1000</f>
        <v>3555784</v>
      </c>
      <c r="H9" s="155">
        <f>3806.912*1000</f>
        <v>3806912</v>
      </c>
      <c r="I9" s="155">
        <f>3094.43395605016*1000</f>
        <v>3094433.9560501599</v>
      </c>
      <c r="J9" s="155">
        <f>3989.14883549286*1000</f>
        <v>3989148.8354928601</v>
      </c>
      <c r="K9" s="155">
        <f>3819.44382187732*1000</f>
        <v>3819443.8218773198</v>
      </c>
      <c r="L9" s="155">
        <f>3542.05774*1000</f>
        <v>3542057.74</v>
      </c>
      <c r="M9" s="155">
        <f>4596.13534*1000</f>
        <v>4596135.34</v>
      </c>
      <c r="N9" s="155">
        <f>3645.84074*1000</f>
        <v>3645840.74</v>
      </c>
      <c r="O9" s="155">
        <f>1000*7643.21354</f>
        <v>7643213.54</v>
      </c>
      <c r="P9" s="156">
        <f>1000*7568.89083</f>
        <v>7568890.8300000001</v>
      </c>
      <c r="Q9" s="138"/>
      <c r="R9" s="138"/>
      <c r="S9" s="138"/>
      <c r="T9" s="138"/>
      <c r="U9" s="138"/>
    </row>
    <row r="10" spans="1:21" ht="12" customHeight="1">
      <c r="A10" s="152" t="s">
        <v>169</v>
      </c>
      <c r="B10" s="170" t="s">
        <v>172</v>
      </c>
      <c r="C10" s="153"/>
      <c r="D10" s="154"/>
      <c r="E10" s="179">
        <v>0</v>
      </c>
      <c r="F10" s="155">
        <v>0</v>
      </c>
      <c r="G10" s="155">
        <v>0</v>
      </c>
      <c r="H10" s="155">
        <v>1062.8399999999999</v>
      </c>
      <c r="I10" s="155">
        <v>0</v>
      </c>
      <c r="J10" s="155">
        <f>5.20629002060415*1000</f>
        <v>5206.2900206041495</v>
      </c>
      <c r="K10" s="155">
        <f>3*1000</f>
        <v>3000</v>
      </c>
      <c r="L10" s="155">
        <f>25.8491909609698*1000</f>
        <v>25849.190960969801</v>
      </c>
      <c r="M10" s="155">
        <f>25.18481*1000</f>
        <v>25184.809999999998</v>
      </c>
      <c r="N10" s="155">
        <f>23.41524*1000</f>
        <v>23415.24</v>
      </c>
      <c r="O10" s="155">
        <f>1000*19.4488</f>
        <v>19448.8</v>
      </c>
      <c r="P10" s="156">
        <f>1000*11.97367</f>
        <v>11973.67</v>
      </c>
      <c r="Q10" s="138"/>
      <c r="R10" s="138"/>
      <c r="S10" s="138"/>
      <c r="T10" s="138"/>
      <c r="U10" s="138"/>
    </row>
    <row r="11" spans="1:21" ht="12" customHeight="1">
      <c r="A11" s="152" t="s">
        <v>180</v>
      </c>
      <c r="B11" s="170" t="s">
        <v>172</v>
      </c>
      <c r="C11" s="153"/>
      <c r="D11" s="154"/>
      <c r="E11" s="179">
        <v>0</v>
      </c>
      <c r="F11" s="155">
        <v>0</v>
      </c>
      <c r="G11" s="155">
        <v>0</v>
      </c>
      <c r="H11" s="155">
        <v>0</v>
      </c>
      <c r="I11" s="155">
        <v>0</v>
      </c>
      <c r="J11" s="155">
        <v>0</v>
      </c>
      <c r="K11" s="155">
        <v>0</v>
      </c>
      <c r="L11" s="155">
        <f>6049*1000</f>
        <v>6049000</v>
      </c>
      <c r="M11" s="155">
        <f>5678.70872*1000</f>
        <v>5678708.7199999997</v>
      </c>
      <c r="N11" s="155">
        <f>5933.2796*1000</f>
        <v>5933279.5999999996</v>
      </c>
      <c r="O11" s="155">
        <f>1000*4372</f>
        <v>4372000</v>
      </c>
      <c r="P11" s="156">
        <f>1000*4419.0853</f>
        <v>4419085.3</v>
      </c>
      <c r="Q11" s="138"/>
      <c r="R11" s="138"/>
      <c r="S11" s="138"/>
      <c r="T11" s="138"/>
      <c r="U11" s="138"/>
    </row>
    <row r="12" spans="1:21" ht="12" customHeight="1">
      <c r="A12" s="157" t="s">
        <v>170</v>
      </c>
      <c r="B12" s="171" t="s">
        <v>172</v>
      </c>
      <c r="C12" s="158"/>
      <c r="D12" s="159"/>
      <c r="E12" s="180">
        <v>344837</v>
      </c>
      <c r="F12" s="160">
        <v>341647</v>
      </c>
      <c r="G12" s="160">
        <v>44776</v>
      </c>
      <c r="H12" s="160">
        <v>404498</v>
      </c>
      <c r="I12" s="160">
        <v>218347</v>
      </c>
      <c r="J12" s="160">
        <v>267347</v>
      </c>
      <c r="K12" s="160">
        <v>535856</v>
      </c>
      <c r="L12" s="160">
        <v>296991</v>
      </c>
      <c r="M12" s="160">
        <v>270675</v>
      </c>
      <c r="N12" s="160">
        <v>196688</v>
      </c>
      <c r="O12" s="160">
        <v>329856</v>
      </c>
      <c r="P12" s="161">
        <v>336155</v>
      </c>
      <c r="Q12" s="138"/>
      <c r="R12" s="138"/>
      <c r="S12" s="138"/>
      <c r="T12" s="138"/>
      <c r="U12" s="138"/>
    </row>
    <row r="13" spans="1:21" ht="12" customHeight="1">
      <c r="A13" s="162" t="s">
        <v>1</v>
      </c>
      <c r="B13" s="172" t="s">
        <v>173</v>
      </c>
      <c r="C13" s="163"/>
      <c r="D13" s="164"/>
      <c r="E13" s="181">
        <v>337257</v>
      </c>
      <c r="F13" s="165">
        <v>198338.76</v>
      </c>
      <c r="G13" s="165">
        <v>44211.57</v>
      </c>
      <c r="H13" s="165">
        <v>34722.6</v>
      </c>
      <c r="I13" s="165">
        <v>153500.99</v>
      </c>
      <c r="J13" s="165">
        <v>68031.61</v>
      </c>
      <c r="K13" s="165">
        <v>106613.64</v>
      </c>
      <c r="L13" s="165">
        <v>129377.47</v>
      </c>
      <c r="M13" s="165">
        <v>58028.31</v>
      </c>
      <c r="N13" s="165">
        <v>194706.94</v>
      </c>
      <c r="O13" s="165">
        <v>50966.9</v>
      </c>
      <c r="P13" s="166">
        <v>252688.76</v>
      </c>
      <c r="Q13" s="138"/>
      <c r="R13" s="138"/>
      <c r="S13" s="138"/>
      <c r="T13" s="138"/>
      <c r="U13" s="138"/>
    </row>
    <row r="14" spans="1:21" ht="12" customHeight="1">
      <c r="A14" s="162" t="s">
        <v>4</v>
      </c>
      <c r="B14" s="172" t="s">
        <v>174</v>
      </c>
      <c r="C14" s="163"/>
      <c r="D14" s="164"/>
      <c r="E14" s="181">
        <v>23005</v>
      </c>
      <c r="F14" s="165">
        <v>475061.02</v>
      </c>
      <c r="G14" s="165">
        <v>140591.07</v>
      </c>
      <c r="H14" s="165">
        <v>94820.49</v>
      </c>
      <c r="I14" s="165">
        <v>24845.1</v>
      </c>
      <c r="J14" s="165">
        <v>45618.29</v>
      </c>
      <c r="K14" s="165">
        <v>28666.7</v>
      </c>
      <c r="L14" s="165">
        <v>123803.19</v>
      </c>
      <c r="M14" s="165">
        <v>54812.6</v>
      </c>
      <c r="N14" s="165">
        <v>199235.86</v>
      </c>
      <c r="O14" s="165">
        <v>34587.550000000003</v>
      </c>
      <c r="P14" s="166">
        <v>236780.04</v>
      </c>
      <c r="Q14" s="138"/>
      <c r="R14" s="138"/>
      <c r="S14" s="138"/>
      <c r="T14" s="138"/>
      <c r="U14" s="138"/>
    </row>
    <row r="15" spans="1:21" ht="12" customHeight="1">
      <c r="A15" s="147" t="s">
        <v>88</v>
      </c>
      <c r="B15" s="169" t="s">
        <v>175</v>
      </c>
      <c r="C15" s="148"/>
      <c r="D15" s="149"/>
      <c r="E15" s="178">
        <v>2370000</v>
      </c>
      <c r="F15" s="150">
        <v>3553353.17</v>
      </c>
      <c r="G15" s="150">
        <v>3969964</v>
      </c>
      <c r="H15" s="150">
        <v>2575452</v>
      </c>
      <c r="I15" s="150">
        <v>3209793</v>
      </c>
      <c r="J15" s="150">
        <v>2439474</v>
      </c>
      <c r="K15" s="150">
        <f>1267.492*1000</f>
        <v>1267492</v>
      </c>
      <c r="L15" s="150">
        <f>1634.628*1000</f>
        <v>1634628</v>
      </c>
      <c r="M15" s="150">
        <f>2032.215*100</f>
        <v>203221.5</v>
      </c>
      <c r="N15" s="150">
        <f>890.943*1000</f>
        <v>890943</v>
      </c>
      <c r="O15" s="150">
        <f>1000*532.645</f>
        <v>532645</v>
      </c>
      <c r="P15" s="151">
        <f>1000*821.57716</f>
        <v>821577.16</v>
      </c>
      <c r="Q15" s="138"/>
      <c r="R15" s="138"/>
      <c r="S15" s="138"/>
      <c r="T15" s="138"/>
      <c r="U15" s="138"/>
    </row>
    <row r="16" spans="1:21" ht="12" customHeight="1">
      <c r="A16" s="152" t="s">
        <v>89</v>
      </c>
      <c r="B16" s="170" t="s">
        <v>175</v>
      </c>
      <c r="C16" s="153"/>
      <c r="D16" s="154"/>
      <c r="E16" s="179">
        <v>695000</v>
      </c>
      <c r="F16" s="155">
        <v>1001529</v>
      </c>
      <c r="G16" s="155">
        <v>928360.3</v>
      </c>
      <c r="H16" s="155">
        <v>1569135</v>
      </c>
      <c r="I16" s="155">
        <v>1179471</v>
      </c>
      <c r="J16" s="155">
        <v>935173</v>
      </c>
      <c r="K16" s="155">
        <f>791.65*1000</f>
        <v>791650</v>
      </c>
      <c r="L16" s="155">
        <f>944.468*1000</f>
        <v>944468</v>
      </c>
      <c r="M16" s="155">
        <f>435.557*1000</f>
        <v>435557</v>
      </c>
      <c r="N16" s="155">
        <f>452.455*1000</f>
        <v>452455</v>
      </c>
      <c r="O16" s="155">
        <f>1000*341.398</f>
        <v>341398</v>
      </c>
      <c r="P16" s="156">
        <f>806.2952*1000</f>
        <v>806295.20000000007</v>
      </c>
      <c r="Q16" s="138"/>
      <c r="R16" s="138"/>
      <c r="S16" s="138"/>
      <c r="T16" s="138"/>
      <c r="U16" s="138"/>
    </row>
    <row r="17" spans="1:21" ht="12" customHeight="1">
      <c r="A17" s="152" t="s">
        <v>90</v>
      </c>
      <c r="B17" s="170" t="s">
        <v>175</v>
      </c>
      <c r="C17" s="153"/>
      <c r="D17" s="154"/>
      <c r="E17" s="179">
        <v>61108667.679420903</v>
      </c>
      <c r="F17" s="155">
        <v>44872126.742153198</v>
      </c>
      <c r="G17" s="155">
        <v>47677837</v>
      </c>
      <c r="H17" s="155">
        <v>51620708.976233199</v>
      </c>
      <c r="I17" s="155">
        <v>45050781.767556399</v>
      </c>
      <c r="J17" s="155">
        <v>45596361</v>
      </c>
      <c r="K17" s="155">
        <v>50564025.759189397</v>
      </c>
      <c r="L17" s="155">
        <v>48038578.917409703</v>
      </c>
      <c r="M17" s="155">
        <v>40026940</v>
      </c>
      <c r="N17" s="155">
        <v>43941071</v>
      </c>
      <c r="O17" s="155">
        <v>43711432</v>
      </c>
      <c r="P17" s="156">
        <v>66746089</v>
      </c>
      <c r="Q17" s="138">
        <v>-66746089</v>
      </c>
      <c r="R17" s="138"/>
      <c r="S17" s="138"/>
      <c r="T17" s="138"/>
      <c r="U17" s="138"/>
    </row>
    <row r="18" spans="1:21" ht="12" customHeight="1">
      <c r="A18" s="152" t="s">
        <v>91</v>
      </c>
      <c r="B18" s="170" t="s">
        <v>175</v>
      </c>
      <c r="C18" s="153"/>
      <c r="D18" s="154"/>
      <c r="E18" s="179">
        <v>16094885.367645968</v>
      </c>
      <c r="F18" s="155">
        <v>13905391.452725826</v>
      </c>
      <c r="G18" s="155">
        <v>18945011.408501171</v>
      </c>
      <c r="H18" s="155">
        <v>13269177.794122512</v>
      </c>
      <c r="I18" s="155">
        <v>8800042.7660301942</v>
      </c>
      <c r="J18" s="155">
        <v>7014423.7378411228</v>
      </c>
      <c r="K18" s="155">
        <v>11585826.741665427</v>
      </c>
      <c r="L18" s="155">
        <v>11393419.066431759</v>
      </c>
      <c r="M18" s="155">
        <v>15600396.858031897</v>
      </c>
      <c r="N18" s="155">
        <v>22986813.770279594</v>
      </c>
      <c r="O18" s="155">
        <v>23539487.022406355</v>
      </c>
      <c r="P18" s="156">
        <v>28269561.481857233</v>
      </c>
      <c r="Q18" s="138"/>
      <c r="R18" s="138"/>
      <c r="S18" s="138"/>
      <c r="T18" s="138"/>
      <c r="U18" s="138"/>
    </row>
    <row r="19" spans="1:21" ht="12" customHeight="1">
      <c r="A19" s="157" t="s">
        <v>186</v>
      </c>
      <c r="B19" s="171" t="s">
        <v>175</v>
      </c>
      <c r="C19" s="158"/>
      <c r="D19" s="159"/>
      <c r="E19" s="180">
        <v>54136719.756455213</v>
      </c>
      <c r="F19" s="160">
        <v>50615278.817706659</v>
      </c>
      <c r="G19" s="160">
        <v>49001863.327547669</v>
      </c>
      <c r="H19" s="160">
        <v>42895001.405863829</v>
      </c>
      <c r="I19" s="160">
        <v>42035180.373510644</v>
      </c>
      <c r="J19" s="160">
        <v>33885071.332024187</v>
      </c>
      <c r="K19" s="160">
        <v>43374440.167865515</v>
      </c>
      <c r="L19" s="160">
        <v>44120789.561515115</v>
      </c>
      <c r="M19" s="160">
        <v>42368827.791648306</v>
      </c>
      <c r="N19" s="160">
        <v>43881698.929613642</v>
      </c>
      <c r="O19" s="160">
        <v>46429118.8637214</v>
      </c>
      <c r="P19" s="161">
        <v>45346844.804509841</v>
      </c>
      <c r="Q19" s="138"/>
      <c r="R19" s="138"/>
      <c r="S19" s="138"/>
      <c r="T19" s="138"/>
      <c r="U19" s="138"/>
    </row>
    <row r="20" spans="1:21" ht="12" customHeight="1">
      <c r="A20" s="147" t="s">
        <v>171</v>
      </c>
      <c r="B20" s="169" t="s">
        <v>176</v>
      </c>
      <c r="C20" s="148"/>
      <c r="D20" s="149"/>
      <c r="E20" s="178">
        <v>1271876</v>
      </c>
      <c r="F20" s="150">
        <v>1286033</v>
      </c>
      <c r="G20" s="150">
        <v>1129837</v>
      </c>
      <c r="H20" s="150">
        <v>1398726</v>
      </c>
      <c r="I20" s="150">
        <v>1302426</v>
      </c>
      <c r="J20" s="150">
        <v>4640987</v>
      </c>
      <c r="K20" s="150">
        <v>3665832.3808277161</v>
      </c>
      <c r="L20" s="150">
        <v>1878793.6829457886</v>
      </c>
      <c r="M20" s="150">
        <v>1627931.2321953282</v>
      </c>
      <c r="N20" s="150">
        <v>1384847</v>
      </c>
      <c r="O20" s="150">
        <v>1560666.9937321672</v>
      </c>
      <c r="P20" s="151">
        <v>2436472.391641859</v>
      </c>
      <c r="Q20" s="138"/>
      <c r="R20" s="138"/>
      <c r="S20" s="138"/>
      <c r="T20" s="138"/>
      <c r="U20" s="138"/>
    </row>
    <row r="21" spans="1:21" ht="12" customHeight="1">
      <c r="A21" s="152" t="s">
        <v>168</v>
      </c>
      <c r="B21" s="170" t="s">
        <v>176</v>
      </c>
      <c r="C21" s="153"/>
      <c r="D21" s="154"/>
      <c r="E21" s="179">
        <v>1059913</v>
      </c>
      <c r="F21" s="155">
        <v>1118196</v>
      </c>
      <c r="G21" s="155">
        <v>1007307</v>
      </c>
      <c r="H21" s="155">
        <v>887542</v>
      </c>
      <c r="I21" s="155">
        <v>937883</v>
      </c>
      <c r="J21" s="155">
        <v>1088435</v>
      </c>
      <c r="K21" s="155">
        <v>941834</v>
      </c>
      <c r="L21" s="155">
        <v>967697</v>
      </c>
      <c r="M21" s="155">
        <v>874915</v>
      </c>
      <c r="N21" s="155">
        <v>1238053.3204317768</v>
      </c>
      <c r="O21" s="155">
        <v>578857</v>
      </c>
      <c r="P21" s="182">
        <v>177368.83132359112</v>
      </c>
      <c r="Q21" s="138"/>
      <c r="R21" s="138"/>
      <c r="S21" s="138"/>
      <c r="T21" s="138"/>
      <c r="U21" s="138"/>
    </row>
    <row r="22" spans="1:21" ht="12" customHeight="1">
      <c r="A22" s="157" t="s">
        <v>107</v>
      </c>
      <c r="B22" s="171" t="s">
        <v>176</v>
      </c>
      <c r="C22" s="158"/>
      <c r="D22" s="159"/>
      <c r="E22" s="180">
        <v>557224</v>
      </c>
      <c r="F22" s="160">
        <v>540440</v>
      </c>
      <c r="G22" s="160">
        <v>546888</v>
      </c>
      <c r="H22" s="160">
        <v>516371</v>
      </c>
      <c r="I22" s="160">
        <v>1476919</v>
      </c>
      <c r="J22" s="160">
        <v>1800788</v>
      </c>
      <c r="K22" s="160">
        <v>1564407</v>
      </c>
      <c r="L22" s="160">
        <v>728269</v>
      </c>
      <c r="M22" s="160">
        <v>695918</v>
      </c>
      <c r="N22" s="160">
        <v>584193</v>
      </c>
      <c r="O22" s="160">
        <v>0</v>
      </c>
      <c r="P22" s="161">
        <v>0</v>
      </c>
      <c r="Q22" s="138"/>
      <c r="R22" s="138"/>
      <c r="S22" s="138"/>
      <c r="T22" s="138"/>
      <c r="U22" s="138"/>
    </row>
    <row r="23" spans="1:21" ht="12" customHeight="1">
      <c r="A23" s="162" t="s">
        <v>97</v>
      </c>
      <c r="B23" s="172" t="s">
        <v>177</v>
      </c>
      <c r="C23" s="163"/>
      <c r="D23" s="164"/>
      <c r="E23" s="181">
        <v>1633506.52</v>
      </c>
      <c r="F23" s="165">
        <v>1654695.87</v>
      </c>
      <c r="G23" s="165">
        <v>1092013.53</v>
      </c>
      <c r="H23" s="165">
        <v>1030597.8</v>
      </c>
      <c r="I23" s="165">
        <v>1001385.49</v>
      </c>
      <c r="J23" s="165">
        <v>1006790.08</v>
      </c>
      <c r="K23" s="165">
        <v>976871.77</v>
      </c>
      <c r="L23" s="165">
        <v>920897.47</v>
      </c>
      <c r="M23" s="165">
        <v>942823.63</v>
      </c>
      <c r="N23" s="165">
        <v>861596.36</v>
      </c>
      <c r="O23" s="165">
        <v>865780.66</v>
      </c>
      <c r="P23" s="166">
        <v>853.04</v>
      </c>
      <c r="Q23" s="138"/>
      <c r="R23" s="138"/>
      <c r="S23" s="138"/>
      <c r="T23" s="138"/>
      <c r="U23" s="138"/>
    </row>
    <row r="24" spans="1:21" ht="12" customHeight="1">
      <c r="A24" s="162" t="s">
        <v>96</v>
      </c>
      <c r="B24" s="172" t="s">
        <v>178</v>
      </c>
      <c r="C24" s="163"/>
      <c r="D24" s="164"/>
      <c r="E24" s="181">
        <v>4053418.52</v>
      </c>
      <c r="F24" s="165">
        <v>3993940.33</v>
      </c>
      <c r="G24" s="165">
        <v>5162478.12</v>
      </c>
      <c r="H24" s="165">
        <v>5256057.1399999997</v>
      </c>
      <c r="I24" s="165">
        <v>9779357.9299999997</v>
      </c>
      <c r="J24" s="165">
        <v>9961765.7300000004</v>
      </c>
      <c r="K24" s="165">
        <v>9622113.8000000007</v>
      </c>
      <c r="L24" s="165">
        <v>9797984.0099999998</v>
      </c>
      <c r="M24" s="165">
        <v>9716361.3699999992</v>
      </c>
      <c r="N24" s="165">
        <v>9573588.1600000001</v>
      </c>
      <c r="O24" s="165">
        <v>8367919.6200000001</v>
      </c>
      <c r="P24" s="166">
        <v>7545462.5700000003</v>
      </c>
      <c r="Q24" s="138"/>
      <c r="R24" s="138"/>
      <c r="S24" s="138"/>
      <c r="T24" s="138"/>
      <c r="U24" s="138"/>
    </row>
    <row r="25" spans="1:21" ht="12" customHeight="1">
      <c r="A25" s="162" t="s">
        <v>185</v>
      </c>
      <c r="B25" s="172" t="s">
        <v>179</v>
      </c>
      <c r="C25" s="163"/>
      <c r="D25" s="164"/>
      <c r="E25" s="181">
        <v>6484975.5085939178</v>
      </c>
      <c r="F25" s="165">
        <v>6063146.141290566</v>
      </c>
      <c r="G25" s="165">
        <v>5869876.9519873196</v>
      </c>
      <c r="H25" s="165">
        <v>5138342.9733006591</v>
      </c>
      <c r="I25" s="165">
        <v>5035345.9989426136</v>
      </c>
      <c r="J25" s="165">
        <v>4637306.766167813</v>
      </c>
      <c r="K25" s="165">
        <v>5935964.6287387116</v>
      </c>
      <c r="L25" s="165">
        <v>6038105.5113469642</v>
      </c>
      <c r="M25" s="165">
        <v>5798342.5759273041</v>
      </c>
      <c r="N25" s="165">
        <v>6005385.0075540086</v>
      </c>
      <c r="O25" s="165">
        <v>6354009.556133437</v>
      </c>
      <c r="P25" s="166">
        <v>6768797.8520967122</v>
      </c>
      <c r="Q25" s="138"/>
      <c r="R25" s="138"/>
      <c r="S25" s="138"/>
      <c r="T25" s="138"/>
      <c r="U25" s="138"/>
    </row>
    <row r="26" spans="1:21" ht="12" customHeight="1">
      <c r="A26" s="140"/>
      <c r="B26" s="168"/>
      <c r="C26" s="133"/>
      <c r="D26" s="139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36"/>
      <c r="R26" s="138" t="s">
        <v>156</v>
      </c>
      <c r="S26" s="138" t="s">
        <v>157</v>
      </c>
      <c r="T26" s="138" t="s">
        <v>158</v>
      </c>
      <c r="U26" s="136"/>
    </row>
    <row r="27" spans="1:21" ht="12" customHeight="1">
      <c r="A27" s="140" t="s">
        <v>137</v>
      </c>
      <c r="B27" s="168"/>
      <c r="C27" s="175">
        <f>'1999'!R28</f>
        <v>20968806.457157474</v>
      </c>
      <c r="D27" s="139"/>
      <c r="E27" s="134">
        <f t="shared" ref="E27:J27" si="0">SQRT(SUMSQ(SUM(E2:E3),E4:E12))</f>
        <v>27474698.368233688</v>
      </c>
      <c r="F27" s="134">
        <f t="shared" si="0"/>
        <v>22770822.482534494</v>
      </c>
      <c r="G27" s="175">
        <f t="shared" si="0"/>
        <v>32047743.197006587</v>
      </c>
      <c r="H27" s="134">
        <f t="shared" si="0"/>
        <v>50357057.291589059</v>
      </c>
      <c r="I27" s="134">
        <f t="shared" si="0"/>
        <v>49724127.383894809</v>
      </c>
      <c r="J27" s="175">
        <f t="shared" si="0"/>
        <v>52983009.885311328</v>
      </c>
      <c r="K27" s="134">
        <f t="shared" ref="K27:P27" si="1">SQRT(SUMSQ(SUM(K2:K3),K4:K12))</f>
        <v>48029858.932196639</v>
      </c>
      <c r="L27" s="134">
        <f t="shared" si="1"/>
        <v>78762832.429473579</v>
      </c>
      <c r="M27" s="175">
        <f t="shared" si="1"/>
        <v>54993633.789610617</v>
      </c>
      <c r="N27" s="134">
        <f t="shared" si="1"/>
        <v>34610905.623136342</v>
      </c>
      <c r="O27" s="134">
        <f t="shared" si="1"/>
        <v>81119047.920318365</v>
      </c>
      <c r="P27" s="175">
        <f t="shared" si="1"/>
        <v>65821030.466011576</v>
      </c>
      <c r="Q27" s="136"/>
      <c r="R27" s="142">
        <f t="shared" ref="R27:R34" si="2">AVERAGE($E27:$P27)</f>
        <v>49891230.647443086</v>
      </c>
      <c r="S27" s="142">
        <f t="shared" ref="S27:S34" si="3">MAX($E27:$P27)</f>
        <v>81119047.920318365</v>
      </c>
      <c r="T27" s="142">
        <f t="shared" ref="T27:T34" si="4">MIN($E27:$P27)</f>
        <v>22770822.482534494</v>
      </c>
      <c r="U27" s="136"/>
    </row>
    <row r="28" spans="1:21" ht="12" customHeight="1">
      <c r="A28" s="140" t="s">
        <v>138</v>
      </c>
      <c r="B28" s="168"/>
      <c r="C28" s="175">
        <f>'1999'!R29</f>
        <v>402833.5</v>
      </c>
      <c r="D28" s="139"/>
      <c r="E28" s="134">
        <f t="shared" ref="E28:J29" si="5">E13</f>
        <v>337257</v>
      </c>
      <c r="F28" s="134">
        <f t="shared" si="5"/>
        <v>198338.76</v>
      </c>
      <c r="G28" s="175">
        <f t="shared" si="5"/>
        <v>44211.57</v>
      </c>
      <c r="H28" s="134">
        <f t="shared" si="5"/>
        <v>34722.6</v>
      </c>
      <c r="I28" s="134">
        <f t="shared" si="5"/>
        <v>153500.99</v>
      </c>
      <c r="J28" s="175">
        <f t="shared" si="5"/>
        <v>68031.61</v>
      </c>
      <c r="K28" s="134">
        <f t="shared" ref="K28:M29" si="6">K13</f>
        <v>106613.64</v>
      </c>
      <c r="L28" s="134">
        <f t="shared" si="6"/>
        <v>129377.47</v>
      </c>
      <c r="M28" s="175">
        <f t="shared" si="6"/>
        <v>58028.31</v>
      </c>
      <c r="N28" s="134">
        <f t="shared" ref="N28:P29" si="7">N13</f>
        <v>194706.94</v>
      </c>
      <c r="O28" s="134">
        <f t="shared" si="7"/>
        <v>50966.9</v>
      </c>
      <c r="P28" s="175">
        <f t="shared" si="7"/>
        <v>252688.76</v>
      </c>
      <c r="Q28" s="136"/>
      <c r="R28" s="142">
        <f t="shared" si="2"/>
        <v>135703.71249999999</v>
      </c>
      <c r="S28" s="142">
        <f t="shared" si="3"/>
        <v>337257</v>
      </c>
      <c r="T28" s="142">
        <f t="shared" si="4"/>
        <v>34722.6</v>
      </c>
      <c r="U28" s="136"/>
    </row>
    <row r="29" spans="1:21" ht="12" customHeight="1">
      <c r="A29" s="140" t="s">
        <v>140</v>
      </c>
      <c r="B29" s="168"/>
      <c r="C29" s="175">
        <f>'1999'!R30</f>
        <v>88015.32</v>
      </c>
      <c r="D29" s="139"/>
      <c r="E29" s="134">
        <f t="shared" si="5"/>
        <v>23005</v>
      </c>
      <c r="F29" s="134">
        <f t="shared" si="5"/>
        <v>475061.02</v>
      </c>
      <c r="G29" s="175">
        <f t="shared" si="5"/>
        <v>140591.07</v>
      </c>
      <c r="H29" s="134">
        <f t="shared" si="5"/>
        <v>94820.49</v>
      </c>
      <c r="I29" s="134">
        <f t="shared" si="5"/>
        <v>24845.1</v>
      </c>
      <c r="J29" s="175">
        <f t="shared" si="5"/>
        <v>45618.29</v>
      </c>
      <c r="K29" s="134">
        <f t="shared" si="6"/>
        <v>28666.7</v>
      </c>
      <c r="L29" s="134">
        <f t="shared" si="6"/>
        <v>123803.19</v>
      </c>
      <c r="M29" s="175">
        <f t="shared" si="6"/>
        <v>54812.6</v>
      </c>
      <c r="N29" s="134">
        <f t="shared" si="7"/>
        <v>199235.86</v>
      </c>
      <c r="O29" s="134">
        <f t="shared" si="7"/>
        <v>34587.550000000003</v>
      </c>
      <c r="P29" s="175">
        <f t="shared" si="7"/>
        <v>236780.04</v>
      </c>
      <c r="Q29" s="136"/>
      <c r="R29" s="142">
        <f t="shared" si="2"/>
        <v>123485.57583333335</v>
      </c>
      <c r="S29" s="142">
        <f t="shared" si="3"/>
        <v>475061.02</v>
      </c>
      <c r="T29" s="142">
        <f t="shared" si="4"/>
        <v>23005</v>
      </c>
      <c r="U29" s="136"/>
    </row>
    <row r="30" spans="1:21" ht="12" customHeight="1">
      <c r="A30" s="140" t="s">
        <v>139</v>
      </c>
      <c r="B30" s="168"/>
      <c r="C30" s="175">
        <f>'1999'!R31</f>
        <v>26425551.596895989</v>
      </c>
      <c r="D30" s="139"/>
      <c r="E30" s="134">
        <f t="shared" ref="E30:J30" si="8">SQRT(SUMSQ(E15:E19))</f>
        <v>83247816.497134224</v>
      </c>
      <c r="F30" s="134">
        <f t="shared" si="8"/>
        <v>69154923.893387198</v>
      </c>
      <c r="G30" s="175">
        <f t="shared" si="8"/>
        <v>71062610.948700592</v>
      </c>
      <c r="H30" s="134">
        <f t="shared" si="8"/>
        <v>68482442.697399348</v>
      </c>
      <c r="I30" s="134">
        <f t="shared" si="8"/>
        <v>62335094.469553962</v>
      </c>
      <c r="J30" s="175">
        <f t="shared" si="8"/>
        <v>57299685.146859951</v>
      </c>
      <c r="K30" s="134">
        <f t="shared" ref="K30:P30" si="9">SQRT(SUMSQ(K15:K19))</f>
        <v>67635252.552438721</v>
      </c>
      <c r="L30" s="134">
        <f t="shared" si="9"/>
        <v>66239891.020897977</v>
      </c>
      <c r="M30" s="175">
        <f t="shared" si="9"/>
        <v>60339679.193780541</v>
      </c>
      <c r="N30" s="134">
        <f t="shared" si="9"/>
        <v>66225473.37574935</v>
      </c>
      <c r="O30" s="134">
        <f t="shared" si="9"/>
        <v>67976908.42132099</v>
      </c>
      <c r="P30" s="175">
        <f t="shared" si="9"/>
        <v>85509472.796153441</v>
      </c>
      <c r="Q30" s="136"/>
      <c r="R30" s="142">
        <f t="shared" si="2"/>
        <v>68792437.584448025</v>
      </c>
      <c r="S30" s="142">
        <f t="shared" si="3"/>
        <v>85509472.796153441</v>
      </c>
      <c r="T30" s="142">
        <f t="shared" si="4"/>
        <v>57299685.146859951</v>
      </c>
      <c r="U30" s="136"/>
    </row>
    <row r="31" spans="1:21" ht="12" customHeight="1">
      <c r="A31" s="140" t="s">
        <v>163</v>
      </c>
      <c r="B31" s="168"/>
      <c r="C31" s="175">
        <f>'1999'!R32</f>
        <v>1388846.8352633419</v>
      </c>
      <c r="D31" s="139"/>
      <c r="E31" s="134">
        <f t="shared" ref="E31:J31" si="10">SQRT(SUMSQ(E20:E22))</f>
        <v>1746877.9903361883</v>
      </c>
      <c r="F31" s="134">
        <f t="shared" si="10"/>
        <v>1787825.0935438287</v>
      </c>
      <c r="G31" s="175">
        <f t="shared" si="10"/>
        <v>1609436.399290758</v>
      </c>
      <c r="H31" s="134">
        <f t="shared" si="10"/>
        <v>1735166.9183340834</v>
      </c>
      <c r="I31" s="134">
        <f t="shared" si="10"/>
        <v>2181106.9986880515</v>
      </c>
      <c r="J31" s="175">
        <f t="shared" si="10"/>
        <v>5095712.7572438773</v>
      </c>
      <c r="K31" s="134">
        <f t="shared" ref="K31:P31" si="11">SQRT(SUMSQ(K20:K22))</f>
        <v>4095454.50341351</v>
      </c>
      <c r="L31" s="134">
        <f t="shared" si="11"/>
        <v>2235325.2388068722</v>
      </c>
      <c r="M31" s="175">
        <f t="shared" si="11"/>
        <v>1974826.1231576819</v>
      </c>
      <c r="N31" s="134">
        <f t="shared" si="11"/>
        <v>1947269.5496233047</v>
      </c>
      <c r="O31" s="134">
        <f t="shared" si="11"/>
        <v>1664559.0682742384</v>
      </c>
      <c r="P31" s="175">
        <f t="shared" si="11"/>
        <v>2442919.8549191286</v>
      </c>
      <c r="Q31" s="136"/>
      <c r="R31" s="142">
        <f t="shared" si="2"/>
        <v>2376373.3746359604</v>
      </c>
      <c r="S31" s="142">
        <f t="shared" si="3"/>
        <v>5095712.7572438773</v>
      </c>
      <c r="T31" s="142">
        <f t="shared" si="4"/>
        <v>1609436.399290758</v>
      </c>
      <c r="U31" s="136"/>
    </row>
    <row r="32" spans="1:21" ht="12" customHeight="1">
      <c r="A32" s="140" t="s">
        <v>160</v>
      </c>
      <c r="B32" s="168"/>
      <c r="C32" s="175">
        <f>'1999'!R33</f>
        <v>1745908.45</v>
      </c>
      <c r="D32" s="139"/>
      <c r="E32" s="134">
        <f t="shared" ref="E32:J34" si="12">E23</f>
        <v>1633506.52</v>
      </c>
      <c r="F32" s="134">
        <f t="shared" si="12"/>
        <v>1654695.87</v>
      </c>
      <c r="G32" s="175">
        <f t="shared" si="12"/>
        <v>1092013.53</v>
      </c>
      <c r="H32" s="134">
        <f t="shared" si="12"/>
        <v>1030597.8</v>
      </c>
      <c r="I32" s="134">
        <f t="shared" si="12"/>
        <v>1001385.49</v>
      </c>
      <c r="J32" s="175">
        <f t="shared" si="12"/>
        <v>1006790.08</v>
      </c>
      <c r="K32" s="134">
        <f t="shared" ref="K32:M34" si="13">K23</f>
        <v>976871.77</v>
      </c>
      <c r="L32" s="134">
        <f t="shared" si="13"/>
        <v>920897.47</v>
      </c>
      <c r="M32" s="175">
        <f t="shared" si="13"/>
        <v>942823.63</v>
      </c>
      <c r="N32" s="134">
        <f t="shared" ref="N32:P34" si="14">N23</f>
        <v>861596.36</v>
      </c>
      <c r="O32" s="134">
        <f t="shared" si="14"/>
        <v>865780.66</v>
      </c>
      <c r="P32" s="175">
        <f t="shared" si="14"/>
        <v>853.04</v>
      </c>
      <c r="Q32" s="136"/>
      <c r="R32" s="142">
        <f t="shared" si="2"/>
        <v>998984.35166666668</v>
      </c>
      <c r="S32" s="142">
        <f t="shared" si="3"/>
        <v>1654695.87</v>
      </c>
      <c r="T32" s="142">
        <f t="shared" si="4"/>
        <v>853.04</v>
      </c>
      <c r="U32" s="136"/>
    </row>
    <row r="33" spans="1:21" ht="12" customHeight="1">
      <c r="A33" s="140" t="s">
        <v>161</v>
      </c>
      <c r="B33" s="168"/>
      <c r="C33" s="175">
        <f>'1999'!R34</f>
        <v>3589218.36</v>
      </c>
      <c r="D33" s="139"/>
      <c r="E33" s="134">
        <f t="shared" si="12"/>
        <v>4053418.52</v>
      </c>
      <c r="F33" s="134">
        <f t="shared" si="12"/>
        <v>3993940.33</v>
      </c>
      <c r="G33" s="175">
        <f t="shared" si="12"/>
        <v>5162478.12</v>
      </c>
      <c r="H33" s="134">
        <f t="shared" si="12"/>
        <v>5256057.1399999997</v>
      </c>
      <c r="I33" s="134">
        <f t="shared" si="12"/>
        <v>9779357.9299999997</v>
      </c>
      <c r="J33" s="175">
        <f t="shared" si="12"/>
        <v>9961765.7300000004</v>
      </c>
      <c r="K33" s="134">
        <f t="shared" si="13"/>
        <v>9622113.8000000007</v>
      </c>
      <c r="L33" s="134">
        <f t="shared" si="13"/>
        <v>9797984.0099999998</v>
      </c>
      <c r="M33" s="175">
        <f t="shared" si="13"/>
        <v>9716361.3699999992</v>
      </c>
      <c r="N33" s="134">
        <f t="shared" si="14"/>
        <v>9573588.1600000001</v>
      </c>
      <c r="O33" s="134">
        <f t="shared" si="14"/>
        <v>8367919.6200000001</v>
      </c>
      <c r="P33" s="175">
        <f t="shared" si="14"/>
        <v>7545462.5700000003</v>
      </c>
      <c r="Q33" s="136"/>
      <c r="R33" s="142">
        <f t="shared" si="2"/>
        <v>7735870.6083333315</v>
      </c>
      <c r="S33" s="142">
        <f t="shared" si="3"/>
        <v>9961765.7300000004</v>
      </c>
      <c r="T33" s="142">
        <f t="shared" si="4"/>
        <v>3993940.33</v>
      </c>
      <c r="U33" s="136"/>
    </row>
    <row r="34" spans="1:21" ht="12" customHeight="1">
      <c r="A34" s="140" t="s">
        <v>162</v>
      </c>
      <c r="B34" s="168"/>
      <c r="C34" s="175">
        <f>'1999'!R35</f>
        <v>2833349.5571878199</v>
      </c>
      <c r="D34" s="139"/>
      <c r="E34" s="134">
        <f t="shared" si="12"/>
        <v>6484975.5085939178</v>
      </c>
      <c r="F34" s="134">
        <f t="shared" si="12"/>
        <v>6063146.141290566</v>
      </c>
      <c r="G34" s="175">
        <f t="shared" si="12"/>
        <v>5869876.9519873196</v>
      </c>
      <c r="H34" s="134">
        <f t="shared" si="12"/>
        <v>5138342.9733006591</v>
      </c>
      <c r="I34" s="134">
        <f t="shared" si="12"/>
        <v>5035345.9989426136</v>
      </c>
      <c r="J34" s="175">
        <f t="shared" si="12"/>
        <v>4637306.766167813</v>
      </c>
      <c r="K34" s="134">
        <f t="shared" si="13"/>
        <v>5935964.6287387116</v>
      </c>
      <c r="L34" s="134">
        <f t="shared" si="13"/>
        <v>6038105.5113469642</v>
      </c>
      <c r="M34" s="175">
        <f t="shared" si="13"/>
        <v>5798342.5759273041</v>
      </c>
      <c r="N34" s="134">
        <f t="shared" si="14"/>
        <v>6005385.0075540086</v>
      </c>
      <c r="O34" s="134">
        <f t="shared" si="14"/>
        <v>6354009.556133437</v>
      </c>
      <c r="P34" s="175">
        <f t="shared" si="14"/>
        <v>6768797.8520967122</v>
      </c>
      <c r="Q34" s="136"/>
      <c r="R34" s="142">
        <f t="shared" si="2"/>
        <v>5844133.2893400015</v>
      </c>
      <c r="S34" s="142">
        <f t="shared" si="3"/>
        <v>6768797.8520967122</v>
      </c>
      <c r="T34" s="142">
        <f t="shared" si="4"/>
        <v>4637306.766167813</v>
      </c>
      <c r="U34" s="136"/>
    </row>
    <row r="35" spans="1:21" ht="12" customHeight="1">
      <c r="A35" s="136"/>
      <c r="B35" s="133"/>
      <c r="C35" s="176"/>
      <c r="D35" s="139"/>
      <c r="E35" s="133"/>
      <c r="F35" s="133"/>
      <c r="G35" s="176"/>
      <c r="H35" s="133"/>
      <c r="I35" s="133"/>
      <c r="J35" s="176"/>
      <c r="K35" s="133"/>
      <c r="L35" s="133"/>
      <c r="M35" s="176"/>
      <c r="N35" s="133"/>
      <c r="O35" s="133"/>
      <c r="P35" s="176"/>
      <c r="Q35" s="136"/>
      <c r="R35" s="136"/>
      <c r="S35" s="136"/>
      <c r="T35" s="136"/>
      <c r="U35" s="136"/>
    </row>
    <row r="36" spans="1:21" s="143" customFormat="1" ht="12" customHeight="1">
      <c r="A36" s="136" t="s">
        <v>106</v>
      </c>
      <c r="B36" s="133"/>
      <c r="C36" s="177">
        <f>SQRT(SUMSQ(C27:C34))</f>
        <v>34118295.575245224</v>
      </c>
      <c r="D36" s="139"/>
      <c r="E36" s="135">
        <f t="shared" ref="E36:J36" si="15">SQRT(SUMSQ(E27:E34))</f>
        <v>88030547.588830635</v>
      </c>
      <c r="F36" s="135">
        <f t="shared" si="15"/>
        <v>73210836.041840583</v>
      </c>
      <c r="G36" s="177">
        <f t="shared" si="15"/>
        <v>78370043.09188278</v>
      </c>
      <c r="H36" s="135">
        <f t="shared" si="15"/>
        <v>85345122.969536468</v>
      </c>
      <c r="I36" s="135">
        <f t="shared" si="15"/>
        <v>80529048.038222641</v>
      </c>
      <c r="J36" s="177">
        <f t="shared" si="15"/>
        <v>78982157.915804595</v>
      </c>
      <c r="K36" s="135">
        <f t="shared" ref="K36:P36" si="16">SQRT(SUMSQ(K27:K34))</f>
        <v>83826933.030053899</v>
      </c>
      <c r="L36" s="135">
        <f t="shared" si="16"/>
        <v>103583989.78815812</v>
      </c>
      <c r="M36" s="177">
        <f t="shared" si="16"/>
        <v>82449986.802996323</v>
      </c>
      <c r="N36" s="135">
        <f t="shared" si="16"/>
        <v>75604617.345429584</v>
      </c>
      <c r="O36" s="135">
        <f t="shared" si="16"/>
        <v>106372363.22086813</v>
      </c>
      <c r="P36" s="177">
        <f t="shared" si="16"/>
        <v>108411790.842987</v>
      </c>
      <c r="Q36" s="136"/>
      <c r="R36" s="135">
        <f>SQRT(SUMSQ(R27:R34))</f>
        <v>85569917.241017401</v>
      </c>
      <c r="S36" s="135">
        <f>SQRT(SUMSQ(S27:S34))</f>
        <v>118601294.2862778</v>
      </c>
      <c r="T36" s="135">
        <f>SQRT(SUMSQ(T27:T34))</f>
        <v>61982356.110457294</v>
      </c>
      <c r="U36" s="136"/>
    </row>
    <row r="37" spans="1:21" ht="12" customHeight="1">
      <c r="A37" s="136"/>
      <c r="B37" s="133"/>
      <c r="C37" s="133"/>
      <c r="D37" s="139"/>
      <c r="E37" s="133"/>
      <c r="F37" s="133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136"/>
      <c r="R37" s="136"/>
      <c r="S37" s="136"/>
      <c r="T37" s="136"/>
      <c r="U37" s="136"/>
    </row>
    <row r="38" spans="1:21" ht="12" customHeight="1">
      <c r="A38" s="136"/>
      <c r="B38" s="133"/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36"/>
    </row>
    <row r="39" spans="1:21" ht="12.75" customHeight="1">
      <c r="A39" s="136"/>
      <c r="B39" s="133"/>
      <c r="C39" s="136"/>
      <c r="D39" s="136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36"/>
      <c r="T39" s="136"/>
      <c r="U39" s="136"/>
    </row>
    <row r="41" spans="1:21" ht="12" hidden="1" customHeight="1">
      <c r="C41" s="144" t="s">
        <v>182</v>
      </c>
      <c r="E41" s="179">
        <v>119911136.19040079</v>
      </c>
      <c r="F41" s="155">
        <v>139445086.63917992</v>
      </c>
      <c r="G41" s="155">
        <v>80231710.804782763</v>
      </c>
      <c r="H41" s="155">
        <v>66391245.084697865</v>
      </c>
      <c r="I41" s="155">
        <v>69632080.421878234</v>
      </c>
      <c r="J41" s="155">
        <v>77867611.547012046</v>
      </c>
      <c r="K41" s="155">
        <v>73541114.451100364</v>
      </c>
      <c r="L41" s="155">
        <v>85909099.604766086</v>
      </c>
      <c r="M41" s="155">
        <v>66983312.534666263</v>
      </c>
      <c r="N41" s="155">
        <v>62341523.636207126</v>
      </c>
      <c r="O41" s="155">
        <v>62553992.85278862</v>
      </c>
      <c r="P41" s="156">
        <v>61548814.779901341</v>
      </c>
    </row>
    <row r="42" spans="1:21" ht="12" hidden="1" customHeight="1">
      <c r="C42" s="144" t="s">
        <v>183</v>
      </c>
      <c r="E42" s="134">
        <v>121011676.47161373</v>
      </c>
      <c r="F42" s="134">
        <v>140185311.2075246</v>
      </c>
      <c r="G42" s="175">
        <v>82538859.593154341</v>
      </c>
      <c r="H42" s="134">
        <v>67771407.251738399</v>
      </c>
      <c r="I42" s="134">
        <v>70269205.912017882</v>
      </c>
      <c r="J42" s="175">
        <v>78226546.966787159</v>
      </c>
      <c r="K42" s="134">
        <v>74463146.197903141</v>
      </c>
      <c r="L42" s="134">
        <v>86681874.814902097</v>
      </c>
      <c r="M42" s="175">
        <v>68777667.517321214</v>
      </c>
      <c r="N42" s="134">
        <v>66451919.998970397</v>
      </c>
      <c r="O42" s="134">
        <v>66839432.481097527</v>
      </c>
      <c r="P42" s="175">
        <v>67865071.011532202</v>
      </c>
    </row>
    <row r="43" spans="1:21" ht="12" hidden="1" customHeight="1"/>
    <row r="44" spans="1:21" ht="12" hidden="1" customHeight="1">
      <c r="E44" s="184">
        <f t="shared" ref="E44:O44" si="17">E17-E41</f>
        <v>-58802468.510979891</v>
      </c>
      <c r="F44" s="184">
        <f t="shared" si="17"/>
        <v>-94572959.897026718</v>
      </c>
      <c r="G44" s="184">
        <f t="shared" si="17"/>
        <v>-32553873.804782763</v>
      </c>
      <c r="H44" s="184">
        <f t="shared" si="17"/>
        <v>-14770536.108464666</v>
      </c>
      <c r="I44" s="184">
        <f t="shared" si="17"/>
        <v>-24581298.654321834</v>
      </c>
      <c r="J44" s="184">
        <f t="shared" si="17"/>
        <v>-32271250.547012046</v>
      </c>
      <c r="K44" s="184">
        <f t="shared" si="17"/>
        <v>-22977088.691910967</v>
      </c>
      <c r="L44" s="184">
        <f t="shared" si="17"/>
        <v>-37870520.687356383</v>
      </c>
      <c r="M44" s="184">
        <f t="shared" si="17"/>
        <v>-26956372.534666263</v>
      </c>
      <c r="N44" s="184">
        <f t="shared" si="17"/>
        <v>-18400452.636207126</v>
      </c>
      <c r="O44" s="184">
        <f t="shared" si="17"/>
        <v>-18842560.85278862</v>
      </c>
      <c r="P44" s="184">
        <f>P17-P41</f>
        <v>5197274.2200986594</v>
      </c>
    </row>
    <row r="45" spans="1:21" ht="12" hidden="1" customHeight="1">
      <c r="E45" s="184">
        <f t="shared" ref="E45:O45" si="18">E30-E42</f>
        <v>-37763859.974479511</v>
      </c>
      <c r="F45" s="184">
        <f t="shared" si="18"/>
        <v>-71030387.314137399</v>
      </c>
      <c r="G45" s="184">
        <f t="shared" si="18"/>
        <v>-11476248.644453749</v>
      </c>
      <c r="H45" s="184">
        <f t="shared" si="18"/>
        <v>711035.44566094875</v>
      </c>
      <c r="I45" s="184">
        <f t="shared" si="18"/>
        <v>-7934111.4424639195</v>
      </c>
      <c r="J45" s="184">
        <f t="shared" si="18"/>
        <v>-20926861.819927208</v>
      </c>
      <c r="K45" s="184">
        <f t="shared" si="18"/>
        <v>-6827893.6454644203</v>
      </c>
      <c r="L45" s="184">
        <f t="shared" si="18"/>
        <v>-20441983.79400412</v>
      </c>
      <c r="M45" s="184">
        <f t="shared" si="18"/>
        <v>-8437988.3235406727</v>
      </c>
      <c r="N45" s="184">
        <f t="shared" si="18"/>
        <v>-226446.62322104722</v>
      </c>
      <c r="O45" s="184">
        <f t="shared" si="18"/>
        <v>1137475.9402234629</v>
      </c>
      <c r="P45" s="184">
        <f>P30-P42</f>
        <v>17644401.784621239</v>
      </c>
    </row>
    <row r="46" spans="1:21" ht="12" hidden="1" customHeight="1"/>
  </sheetData>
  <pageMargins left="0.18" right="0.17" top="1" bottom="1" header="0.5" footer="0.5"/>
  <pageSetup scale="52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pageSetUpPr fitToPage="1"/>
  </sheetPr>
  <dimension ref="A1:R43"/>
  <sheetViews>
    <sheetView showGridLines="0" zoomScale="90" workbookViewId="0">
      <selection activeCell="B23" sqref="B23:B24"/>
    </sheetView>
  </sheetViews>
  <sheetFormatPr defaultRowHeight="11.25"/>
  <cols>
    <col min="1" max="1" width="42" style="28" customWidth="1"/>
    <col min="2" max="2" width="13.85546875" style="36" customWidth="1"/>
    <col min="3" max="3" width="11.5703125" style="28" customWidth="1"/>
    <col min="4" max="4" width="12.42578125" style="28" customWidth="1"/>
    <col min="5" max="5" width="38.42578125" style="91" customWidth="1"/>
    <col min="6" max="8" width="20.28515625" style="28" customWidth="1"/>
    <col min="9" max="9" width="5.5703125" style="28" hidden="1" customWidth="1"/>
    <col min="10" max="10" width="9.140625" style="28" hidden="1" customWidth="1"/>
    <col min="11" max="11" width="9.140625" style="36" hidden="1" customWidth="1"/>
    <col min="12" max="13" width="9.140625" style="28" hidden="1" customWidth="1"/>
    <col min="14" max="14" width="4.140625" style="28" customWidth="1"/>
    <col min="15" max="16" width="8.42578125" style="28" customWidth="1"/>
    <col min="17" max="18" width="8.42578125" style="36" customWidth="1"/>
    <col min="19" max="16384" width="9.140625" style="28"/>
  </cols>
  <sheetData>
    <row r="1" spans="1:18" ht="13.5" thickBot="1">
      <c r="A1" s="35" t="s">
        <v>18</v>
      </c>
    </row>
    <row r="2" spans="1:18" ht="24.95" customHeight="1">
      <c r="A2" s="13" t="s">
        <v>23</v>
      </c>
      <c r="B2" s="31" t="s">
        <v>24</v>
      </c>
      <c r="C2" s="7"/>
      <c r="D2" s="27" t="s">
        <v>16</v>
      </c>
      <c r="E2" s="92"/>
      <c r="F2" s="27"/>
      <c r="G2" s="27" t="s">
        <v>119</v>
      </c>
      <c r="H2" s="27" t="s">
        <v>80</v>
      </c>
      <c r="J2" s="46" t="s">
        <v>104</v>
      </c>
      <c r="K2" s="47"/>
      <c r="L2" s="48"/>
      <c r="M2" s="49" t="s">
        <v>102</v>
      </c>
      <c r="O2" s="46" t="s">
        <v>104</v>
      </c>
      <c r="P2" s="47"/>
      <c r="Q2" s="48"/>
      <c r="R2" s="49" t="s">
        <v>126</v>
      </c>
    </row>
    <row r="3" spans="1:18">
      <c r="B3" s="31"/>
      <c r="C3" s="27"/>
      <c r="F3" s="27"/>
      <c r="J3" s="50"/>
      <c r="K3" s="41"/>
      <c r="L3" s="51"/>
      <c r="M3" s="52"/>
      <c r="O3" s="50"/>
      <c r="P3" s="41"/>
      <c r="Q3" s="51"/>
      <c r="R3" s="56"/>
    </row>
    <row r="4" spans="1:18">
      <c r="A4" s="6" t="s">
        <v>19</v>
      </c>
      <c r="B4" s="103">
        <v>18742019</v>
      </c>
      <c r="C4" s="34" t="s">
        <v>2</v>
      </c>
      <c r="D4" s="28" t="s">
        <v>3</v>
      </c>
      <c r="E4" s="94" t="s">
        <v>127</v>
      </c>
      <c r="F4" s="30" t="s">
        <v>85</v>
      </c>
      <c r="G4" s="28" t="s">
        <v>26</v>
      </c>
      <c r="J4" s="53">
        <f t="shared" ref="J4:J14" si="0">B4-L4</f>
        <v>-11701981</v>
      </c>
      <c r="K4" s="41"/>
      <c r="L4" s="51">
        <f>'6-30-99'!D4*1000</f>
        <v>30444000</v>
      </c>
      <c r="M4" s="52"/>
      <c r="O4" s="83">
        <f>B4-R4</f>
        <v>11071875.042669021</v>
      </c>
      <c r="P4" s="84"/>
      <c r="Q4" s="51"/>
      <c r="R4" s="56">
        <f>1000*'3-31-99 and 98 end'!E26</f>
        <v>7670143.9573309803</v>
      </c>
    </row>
    <row r="5" spans="1:18">
      <c r="A5" s="6" t="s">
        <v>20</v>
      </c>
      <c r="B5" s="103">
        <v>3654177</v>
      </c>
      <c r="C5" s="34" t="s">
        <v>2</v>
      </c>
      <c r="D5" s="28" t="s">
        <v>3</v>
      </c>
      <c r="E5" s="94" t="s">
        <v>127</v>
      </c>
      <c r="F5" s="30" t="s">
        <v>85</v>
      </c>
      <c r="G5" s="28" t="s">
        <v>26</v>
      </c>
      <c r="J5" s="53">
        <f t="shared" si="0"/>
        <v>-1940823</v>
      </c>
      <c r="K5" s="41"/>
      <c r="L5" s="51">
        <f>'6-30-99'!D5*1000</f>
        <v>5595000</v>
      </c>
      <c r="M5" s="52"/>
      <c r="O5" s="83">
        <f t="shared" ref="O5:O24" si="1">B5-R5</f>
        <v>-832155.97924043983</v>
      </c>
      <c r="P5" s="84"/>
      <c r="Q5" s="51"/>
      <c r="R5" s="56">
        <f>1000*'3-31-99 and 98 end'!E27</f>
        <v>4486332.9792404398</v>
      </c>
    </row>
    <row r="6" spans="1:18">
      <c r="A6" s="6" t="s">
        <v>21</v>
      </c>
      <c r="B6" s="103">
        <v>6513072.7471484896</v>
      </c>
      <c r="C6" s="34" t="s">
        <v>2</v>
      </c>
      <c r="D6" s="28" t="s">
        <v>3</v>
      </c>
      <c r="E6" s="94" t="s">
        <v>127</v>
      </c>
      <c r="F6" s="30" t="s">
        <v>86</v>
      </c>
      <c r="G6" s="28" t="s">
        <v>26</v>
      </c>
      <c r="J6" s="53">
        <f t="shared" si="0"/>
        <v>531072.74714848958</v>
      </c>
      <c r="K6" s="41"/>
      <c r="L6" s="51">
        <f>'6-30-99'!D6*1000</f>
        <v>5982000</v>
      </c>
      <c r="M6" s="52"/>
      <c r="O6" s="83">
        <f t="shared" si="1"/>
        <v>-1429927.2528515104</v>
      </c>
      <c r="P6" s="84"/>
      <c r="Q6" s="51"/>
      <c r="R6" s="56">
        <f>1000*'3-31-99 and 98 end'!E28</f>
        <v>7943000</v>
      </c>
    </row>
    <row r="7" spans="1:18">
      <c r="A7" s="6" t="s">
        <v>82</v>
      </c>
      <c r="B7" s="103">
        <v>1608245.2950719504</v>
      </c>
      <c r="C7" s="34" t="s">
        <v>2</v>
      </c>
      <c r="D7" s="28" t="s">
        <v>3</v>
      </c>
      <c r="E7" s="94" t="s">
        <v>127</v>
      </c>
      <c r="F7" s="30" t="s">
        <v>86</v>
      </c>
      <c r="G7" s="28" t="s">
        <v>26</v>
      </c>
      <c r="J7" s="53">
        <f t="shared" si="0"/>
        <v>-386754.70492804958</v>
      </c>
      <c r="K7" s="41"/>
      <c r="L7" s="51">
        <f>'6-30-99'!D7*1000</f>
        <v>1995000</v>
      </c>
      <c r="M7" s="52"/>
      <c r="O7" s="83">
        <f t="shared" si="1"/>
        <v>-112754.70492804958</v>
      </c>
      <c r="P7" s="84"/>
      <c r="Q7" s="51"/>
      <c r="R7" s="56">
        <f>1000*'3-31-99 and 98 end'!E29</f>
        <v>1721000</v>
      </c>
    </row>
    <row r="8" spans="1:18">
      <c r="A8" s="6" t="s">
        <v>83</v>
      </c>
      <c r="B8" s="103">
        <v>222549</v>
      </c>
      <c r="C8" s="34" t="s">
        <v>2</v>
      </c>
      <c r="D8" s="28" t="s">
        <v>3</v>
      </c>
      <c r="E8" s="94" t="s">
        <v>127</v>
      </c>
      <c r="F8" s="30" t="s">
        <v>86</v>
      </c>
      <c r="G8" s="28" t="s">
        <v>26</v>
      </c>
      <c r="J8" s="53">
        <f t="shared" si="0"/>
        <v>-60760</v>
      </c>
      <c r="K8" s="41"/>
      <c r="L8" s="51">
        <f>'6-30-99'!L8*1000</f>
        <v>283309</v>
      </c>
      <c r="M8" s="52"/>
      <c r="O8" s="83">
        <f t="shared" si="1"/>
        <v>222549</v>
      </c>
      <c r="P8" s="84"/>
      <c r="Q8" s="51"/>
      <c r="R8" s="56"/>
    </row>
    <row r="9" spans="1:18">
      <c r="A9" s="6" t="s">
        <v>84</v>
      </c>
      <c r="B9" s="103">
        <v>94610</v>
      </c>
      <c r="C9" s="34" t="s">
        <v>2</v>
      </c>
      <c r="D9" s="28" t="s">
        <v>3</v>
      </c>
      <c r="E9" s="94" t="s">
        <v>127</v>
      </c>
      <c r="F9" s="30" t="s">
        <v>86</v>
      </c>
      <c r="G9" s="28" t="s">
        <v>26</v>
      </c>
      <c r="J9" s="53">
        <f t="shared" si="0"/>
        <v>-165390</v>
      </c>
      <c r="K9" s="41"/>
      <c r="L9" s="51">
        <f>'6-30-99'!M8*1000</f>
        <v>260000</v>
      </c>
      <c r="M9" s="52"/>
      <c r="O9" s="83">
        <f t="shared" si="1"/>
        <v>94610</v>
      </c>
      <c r="P9" s="84"/>
      <c r="Q9" s="51"/>
      <c r="R9" s="56"/>
    </row>
    <row r="10" spans="1:18">
      <c r="A10" s="6" t="s">
        <v>92</v>
      </c>
      <c r="B10" s="103">
        <v>421077</v>
      </c>
      <c r="C10" s="34" t="s">
        <v>2</v>
      </c>
      <c r="D10" s="28" t="s">
        <v>3</v>
      </c>
      <c r="E10" s="94" t="s">
        <v>127</v>
      </c>
      <c r="F10" s="30" t="s">
        <v>87</v>
      </c>
      <c r="G10" s="28" t="s">
        <v>79</v>
      </c>
      <c r="J10" s="53">
        <f t="shared" si="0"/>
        <v>-296511</v>
      </c>
      <c r="K10" s="41"/>
      <c r="L10" s="51">
        <f>'6-30-99'!D9*1000</f>
        <v>717588</v>
      </c>
      <c r="M10" s="52"/>
      <c r="O10" s="83">
        <f t="shared" si="1"/>
        <v>421077</v>
      </c>
      <c r="P10" s="84"/>
      <c r="Q10" s="51"/>
      <c r="R10" s="56"/>
    </row>
    <row r="11" spans="1:18">
      <c r="A11" s="6" t="s">
        <v>8</v>
      </c>
      <c r="B11" s="103">
        <v>945166</v>
      </c>
      <c r="C11" s="34" t="s">
        <v>2</v>
      </c>
      <c r="D11" s="28" t="s">
        <v>3</v>
      </c>
      <c r="E11" s="112" t="s">
        <v>133</v>
      </c>
      <c r="F11" s="30" t="s">
        <v>123</v>
      </c>
      <c r="G11" s="28" t="s">
        <v>26</v>
      </c>
      <c r="J11" s="53">
        <f t="shared" si="0"/>
        <v>64072.361389437807</v>
      </c>
      <c r="K11" s="41"/>
      <c r="L11" s="51">
        <f>'6-30-99'!D10*1000</f>
        <v>881093.63861056219</v>
      </c>
      <c r="M11" s="52"/>
      <c r="O11" s="83">
        <f t="shared" si="1"/>
        <v>-122834</v>
      </c>
      <c r="P11" s="84"/>
      <c r="Q11" s="51"/>
      <c r="R11" s="56">
        <f>1000*'3-31-99 and 98 end'!E30</f>
        <v>1068000</v>
      </c>
    </row>
    <row r="12" spans="1:18">
      <c r="A12" s="6" t="s">
        <v>1</v>
      </c>
      <c r="B12" s="103">
        <v>411253.90507885936</v>
      </c>
      <c r="C12" s="34" t="s">
        <v>2</v>
      </c>
      <c r="D12" s="28" t="s">
        <v>1</v>
      </c>
      <c r="E12" s="113" t="s">
        <v>129</v>
      </c>
      <c r="F12" s="30" t="s">
        <v>98</v>
      </c>
      <c r="G12" s="28" t="s">
        <v>26</v>
      </c>
      <c r="J12" s="53">
        <f t="shared" si="0"/>
        <v>272253.90507885936</v>
      </c>
      <c r="K12" s="41"/>
      <c r="L12" s="51">
        <f>'6-30-99'!D11*1000</f>
        <v>139000</v>
      </c>
      <c r="M12" s="52"/>
      <c r="O12" s="83">
        <f t="shared" si="1"/>
        <v>334253.90507885936</v>
      </c>
      <c r="P12" s="84"/>
      <c r="Q12" s="51"/>
      <c r="R12" s="56">
        <f>1000*'3-31-99 and 98 end'!E31</f>
        <v>77000</v>
      </c>
    </row>
    <row r="13" spans="1:18">
      <c r="A13" s="6" t="s">
        <v>4</v>
      </c>
      <c r="B13" s="103">
        <v>16806.141833059221</v>
      </c>
      <c r="C13" s="34" t="s">
        <v>2</v>
      </c>
      <c r="D13" s="28" t="s">
        <v>4</v>
      </c>
      <c r="E13" s="113" t="s">
        <v>129</v>
      </c>
      <c r="F13" s="30" t="s">
        <v>98</v>
      </c>
      <c r="G13" s="28" t="s">
        <v>26</v>
      </c>
      <c r="J13" s="53">
        <f t="shared" si="0"/>
        <v>-9193.8581669407795</v>
      </c>
      <c r="K13" s="41"/>
      <c r="L13" s="51">
        <f>'6-30-99'!D12*1000</f>
        <v>26000</v>
      </c>
      <c r="M13" s="52"/>
      <c r="O13" s="83">
        <f t="shared" si="1"/>
        <v>-27193.858166940779</v>
      </c>
      <c r="P13" s="84"/>
      <c r="Q13" s="51"/>
      <c r="R13" s="56">
        <f>1000*'3-31-99 and 98 end'!E32</f>
        <v>44000</v>
      </c>
    </row>
    <row r="14" spans="1:18" ht="12" thickBot="1">
      <c r="A14" s="6" t="s">
        <v>95</v>
      </c>
      <c r="B14" s="103">
        <v>1948189.8665276396</v>
      </c>
      <c r="C14" s="34" t="s">
        <v>2</v>
      </c>
      <c r="D14" s="28" t="s">
        <v>0</v>
      </c>
      <c r="E14" s="93" t="s">
        <v>136</v>
      </c>
      <c r="F14" s="30" t="s">
        <v>100</v>
      </c>
      <c r="G14" s="28" t="s">
        <v>77</v>
      </c>
      <c r="J14" s="53">
        <f t="shared" si="0"/>
        <v>-7347665.1334723607</v>
      </c>
      <c r="K14" s="41"/>
      <c r="L14" s="51">
        <f>'6-30-99'!D13*1000</f>
        <v>9295855</v>
      </c>
      <c r="M14" s="52"/>
      <c r="O14" s="83">
        <f t="shared" si="1"/>
        <v>1948189.8665276396</v>
      </c>
      <c r="P14" s="84"/>
      <c r="Q14" s="51"/>
      <c r="R14" s="56"/>
    </row>
    <row r="15" spans="1:18">
      <c r="A15" s="6" t="s">
        <v>88</v>
      </c>
      <c r="B15" s="103">
        <v>1028975</v>
      </c>
      <c r="C15" s="34" t="s">
        <v>2</v>
      </c>
      <c r="D15" s="28" t="s">
        <v>0</v>
      </c>
      <c r="E15" s="94" t="s">
        <v>127</v>
      </c>
      <c r="F15" s="30" t="s">
        <v>86</v>
      </c>
      <c r="G15" s="28" t="s">
        <v>26</v>
      </c>
      <c r="J15" s="53">
        <f>SQRT(SUMSQ(B15:B16))-L15</f>
        <v>-525628.24619880971</v>
      </c>
      <c r="K15" s="41"/>
      <c r="L15" s="37">
        <f>'6-30-99'!D14*1000</f>
        <v>1582000</v>
      </c>
      <c r="M15" s="38"/>
      <c r="O15" s="83">
        <f t="shared" si="1"/>
        <v>498975</v>
      </c>
      <c r="P15" s="84"/>
      <c r="Q15" s="37"/>
      <c r="R15" s="82">
        <f>1000*'3-31-99 and 98 end'!E33</f>
        <v>530000</v>
      </c>
    </row>
    <row r="16" spans="1:18" ht="12" thickBot="1">
      <c r="A16" s="6" t="s">
        <v>89</v>
      </c>
      <c r="B16" s="103">
        <v>239022.45</v>
      </c>
      <c r="C16" s="34" t="s">
        <v>2</v>
      </c>
      <c r="D16" s="28" t="s">
        <v>0</v>
      </c>
      <c r="E16" s="94" t="s">
        <v>127</v>
      </c>
      <c r="F16" s="30" t="s">
        <v>86</v>
      </c>
      <c r="G16" s="28" t="s">
        <v>26</v>
      </c>
      <c r="J16" s="53"/>
      <c r="K16" s="41"/>
      <c r="L16" s="39" t="s">
        <v>103</v>
      </c>
      <c r="M16" s="40"/>
      <c r="N16" s="28" t="s">
        <v>110</v>
      </c>
      <c r="O16" s="83">
        <f t="shared" si="1"/>
        <v>239022.45</v>
      </c>
      <c r="P16" s="84"/>
      <c r="Q16" s="39"/>
      <c r="R16" s="61"/>
    </row>
    <row r="17" spans="1:18">
      <c r="A17" s="6" t="s">
        <v>90</v>
      </c>
      <c r="B17" s="103">
        <v>12351283.019486107</v>
      </c>
      <c r="C17" s="89" t="s">
        <v>2</v>
      </c>
      <c r="D17" s="90" t="s">
        <v>0</v>
      </c>
      <c r="E17" s="112" t="s">
        <v>131</v>
      </c>
      <c r="F17" s="63" t="s">
        <v>122</v>
      </c>
      <c r="G17" s="28" t="s">
        <v>75</v>
      </c>
      <c r="J17" s="53">
        <f t="shared" ref="J17:J24" si="2">B17-L17</f>
        <v>-3494716.9805138931</v>
      </c>
      <c r="K17" s="41"/>
      <c r="L17" s="51">
        <f>'6-30-99'!D15*1000</f>
        <v>15846000</v>
      </c>
      <c r="M17" s="52"/>
      <c r="O17" s="83">
        <f t="shared" si="1"/>
        <v>3558283.0194861069</v>
      </c>
      <c r="P17" s="84"/>
      <c r="Q17" s="51"/>
      <c r="R17" s="56">
        <f>1000*'3-31-99 and 98 end'!E34</f>
        <v>8793000</v>
      </c>
    </row>
    <row r="18" spans="1:18">
      <c r="A18" s="6" t="s">
        <v>120</v>
      </c>
      <c r="B18" s="103">
        <v>4050000</v>
      </c>
      <c r="C18" s="34" t="s">
        <v>2</v>
      </c>
      <c r="D18" s="28" t="s">
        <v>0</v>
      </c>
      <c r="E18" s="114" t="s">
        <v>134</v>
      </c>
      <c r="F18" s="30" t="s">
        <v>121</v>
      </c>
      <c r="J18" s="53"/>
      <c r="K18" s="41"/>
      <c r="L18" s="51"/>
      <c r="M18" s="52"/>
      <c r="O18" s="83"/>
      <c r="P18" s="84"/>
      <c r="Q18" s="51"/>
      <c r="R18" s="56"/>
    </row>
    <row r="19" spans="1:18">
      <c r="A19" s="6" t="s">
        <v>91</v>
      </c>
      <c r="B19" s="103">
        <v>5201871.6347180251</v>
      </c>
      <c r="C19" s="89" t="s">
        <v>2</v>
      </c>
      <c r="D19" s="90" t="s">
        <v>0</v>
      </c>
      <c r="E19" s="93" t="s">
        <v>130</v>
      </c>
      <c r="F19" s="63" t="s">
        <v>125</v>
      </c>
      <c r="G19" s="28" t="s">
        <v>74</v>
      </c>
      <c r="H19" s="28" t="s">
        <v>78</v>
      </c>
      <c r="J19" s="53">
        <f t="shared" si="2"/>
        <v>2142871.6347180251</v>
      </c>
      <c r="K19" s="41"/>
      <c r="L19" s="51">
        <f>'6-30-99'!D16*1000</f>
        <v>3059000</v>
      </c>
      <c r="M19" s="52"/>
      <c r="O19" s="83">
        <f t="shared" si="1"/>
        <v>-3530128.3652819749</v>
      </c>
      <c r="P19" s="84"/>
      <c r="Q19" s="51"/>
      <c r="R19" s="56">
        <f>1000*'3-31-99 and 98 end'!E35</f>
        <v>8732000</v>
      </c>
    </row>
    <row r="20" spans="1:18">
      <c r="A20" s="6" t="s">
        <v>43</v>
      </c>
      <c r="B20" s="103">
        <v>0</v>
      </c>
      <c r="C20" s="34" t="s">
        <v>9</v>
      </c>
      <c r="D20" s="34" t="s">
        <v>3</v>
      </c>
      <c r="E20" s="114" t="s">
        <v>146</v>
      </c>
      <c r="F20" s="30" t="s">
        <v>81</v>
      </c>
      <c r="G20" s="28" t="s">
        <v>74</v>
      </c>
      <c r="J20" s="53">
        <f t="shared" si="2"/>
        <v>-17552000</v>
      </c>
      <c r="K20" s="41"/>
      <c r="L20" s="51">
        <f>'6-30-99'!D17*1000</f>
        <v>17552000</v>
      </c>
      <c r="M20" s="52"/>
      <c r="O20" s="83">
        <f t="shared" si="1"/>
        <v>-10399000</v>
      </c>
      <c r="P20" s="84"/>
      <c r="Q20" s="51"/>
      <c r="R20" s="56">
        <f>1000*'3-31-99 and 98 end'!E36</f>
        <v>10399000</v>
      </c>
    </row>
    <row r="21" spans="1:18">
      <c r="A21" s="6" t="s">
        <v>10</v>
      </c>
      <c r="B21" s="103">
        <v>1649441</v>
      </c>
      <c r="C21" s="34" t="s">
        <v>9</v>
      </c>
      <c r="D21" s="34" t="s">
        <v>3</v>
      </c>
      <c r="E21" s="114" t="s">
        <v>127</v>
      </c>
      <c r="F21" s="30" t="s">
        <v>99</v>
      </c>
      <c r="G21" s="28" t="s">
        <v>73</v>
      </c>
      <c r="J21" s="53">
        <f t="shared" si="2"/>
        <v>-1477477</v>
      </c>
      <c r="K21" s="41"/>
      <c r="L21" s="51">
        <f>'6-30-99'!D18*1000</f>
        <v>3126918</v>
      </c>
      <c r="M21" s="52"/>
      <c r="O21" s="83">
        <f t="shared" si="1"/>
        <v>1186441</v>
      </c>
      <c r="P21" s="84"/>
      <c r="Q21" s="51"/>
      <c r="R21" s="56">
        <f>1000*'3-31-99 and 98 end'!E37</f>
        <v>463000</v>
      </c>
    </row>
    <row r="22" spans="1:18">
      <c r="A22" s="6" t="s">
        <v>107</v>
      </c>
      <c r="B22" s="103">
        <v>267043</v>
      </c>
      <c r="C22" s="34" t="s">
        <v>9</v>
      </c>
      <c r="D22" s="34" t="s">
        <v>3</v>
      </c>
      <c r="E22" s="111" t="s">
        <v>147</v>
      </c>
      <c r="F22" s="63" t="s">
        <v>128</v>
      </c>
      <c r="G22" s="28" t="s">
        <v>108</v>
      </c>
      <c r="J22" s="53"/>
      <c r="K22" s="41"/>
      <c r="L22" s="51" t="s">
        <v>109</v>
      </c>
      <c r="M22" s="52"/>
      <c r="N22" s="28" t="s">
        <v>110</v>
      </c>
      <c r="O22" s="83">
        <f t="shared" si="1"/>
        <v>267043</v>
      </c>
      <c r="P22" s="84"/>
      <c r="Q22" s="51"/>
      <c r="R22" s="56"/>
    </row>
    <row r="23" spans="1:18">
      <c r="A23" s="6" t="s">
        <v>97</v>
      </c>
      <c r="B23" s="103">
        <v>4272190.53</v>
      </c>
      <c r="C23" s="34" t="s">
        <v>9</v>
      </c>
      <c r="D23" s="34" t="s">
        <v>1</v>
      </c>
      <c r="E23" s="111" t="s">
        <v>132</v>
      </c>
      <c r="F23" s="63"/>
      <c r="G23" s="28" t="s">
        <v>76</v>
      </c>
      <c r="H23" s="28" t="s">
        <v>94</v>
      </c>
      <c r="J23" s="53">
        <f t="shared" si="2"/>
        <v>1570190.5300000003</v>
      </c>
      <c r="K23" s="41"/>
      <c r="L23" s="51">
        <f>'6-30-99'!D20*1000</f>
        <v>2702000</v>
      </c>
      <c r="M23" s="52"/>
      <c r="O23" s="83">
        <f t="shared" si="1"/>
        <v>3875190.5300000003</v>
      </c>
      <c r="P23" s="84"/>
      <c r="Q23" s="51"/>
      <c r="R23" s="56">
        <f>1000*'3-31-99 and 98 end'!E39</f>
        <v>397000</v>
      </c>
    </row>
    <row r="24" spans="1:18">
      <c r="A24" s="6" t="s">
        <v>96</v>
      </c>
      <c r="B24" s="103">
        <v>4736824.84</v>
      </c>
      <c r="C24" s="34" t="s">
        <v>9</v>
      </c>
      <c r="D24" s="34" t="s">
        <v>4</v>
      </c>
      <c r="E24" s="111" t="s">
        <v>132</v>
      </c>
      <c r="F24" s="63"/>
      <c r="G24" s="28" t="s">
        <v>76</v>
      </c>
      <c r="H24" s="28" t="s">
        <v>93</v>
      </c>
      <c r="J24" s="53">
        <f t="shared" si="2"/>
        <v>4736824.84</v>
      </c>
      <c r="K24" s="41"/>
      <c r="L24" s="51">
        <f>'6-30-99'!D19*1000</f>
        <v>0</v>
      </c>
      <c r="M24" s="52"/>
      <c r="O24" s="83">
        <f t="shared" si="1"/>
        <v>4736824.84</v>
      </c>
      <c r="P24" s="84"/>
      <c r="Q24" s="51"/>
      <c r="R24" s="56">
        <f>1000*'3-31-99 and 98 end'!E38</f>
        <v>0</v>
      </c>
    </row>
    <row r="25" spans="1:18">
      <c r="J25" s="50"/>
      <c r="K25" s="41"/>
      <c r="L25" s="54"/>
      <c r="M25" s="52"/>
      <c r="O25" s="83"/>
      <c r="P25" s="84"/>
      <c r="Q25" s="51"/>
      <c r="R25" s="56"/>
    </row>
    <row r="26" spans="1:18">
      <c r="J26" s="50"/>
      <c r="K26" s="41"/>
      <c r="L26" s="54"/>
      <c r="M26" s="52"/>
      <c r="O26" s="83"/>
      <c r="P26" s="84"/>
      <c r="Q26" s="51"/>
      <c r="R26" s="56"/>
    </row>
    <row r="27" spans="1:18">
      <c r="J27" s="50"/>
      <c r="K27" s="41"/>
      <c r="L27" s="54"/>
      <c r="M27" s="52"/>
      <c r="O27" s="83"/>
      <c r="P27" s="84"/>
      <c r="Q27" s="51"/>
      <c r="R27" s="56"/>
    </row>
    <row r="28" spans="1:18">
      <c r="J28" s="50"/>
      <c r="K28" s="41"/>
      <c r="L28" s="54"/>
      <c r="M28" s="52"/>
      <c r="O28" s="83"/>
      <c r="P28" s="84"/>
      <c r="Q28" s="51"/>
      <c r="R28" s="56"/>
    </row>
    <row r="29" spans="1:18">
      <c r="J29" s="50"/>
      <c r="K29" s="41"/>
      <c r="L29" s="54"/>
      <c r="M29" s="52"/>
      <c r="O29" s="83"/>
      <c r="P29" s="84"/>
      <c r="Q29" s="51"/>
      <c r="R29" s="56"/>
    </row>
    <row r="30" spans="1:18">
      <c r="J30" s="50"/>
      <c r="K30" s="41"/>
      <c r="L30" s="54"/>
      <c r="M30" s="52"/>
      <c r="O30" s="83"/>
      <c r="P30" s="84"/>
      <c r="Q30" s="51"/>
      <c r="R30" s="56"/>
    </row>
    <row r="31" spans="1:18">
      <c r="J31" s="50"/>
      <c r="K31" s="41"/>
      <c r="L31" s="54"/>
      <c r="M31" s="52"/>
      <c r="O31" s="83"/>
      <c r="P31" s="84"/>
      <c r="Q31" s="51"/>
      <c r="R31" s="56"/>
    </row>
    <row r="32" spans="1:18" ht="12.75">
      <c r="A32" s="35" t="s">
        <v>124</v>
      </c>
      <c r="F32" s="32"/>
      <c r="H32" s="20"/>
      <c r="I32" s="20"/>
      <c r="J32" s="55"/>
      <c r="K32" s="41"/>
      <c r="L32" s="54"/>
      <c r="M32" s="52"/>
      <c r="O32" s="85"/>
      <c r="P32" s="84"/>
      <c r="Q32" s="51"/>
      <c r="R32" s="56"/>
    </row>
    <row r="33" spans="1:18">
      <c r="F33" s="33"/>
      <c r="G33" s="43"/>
      <c r="H33" s="33"/>
      <c r="I33" s="33"/>
      <c r="J33" s="53">
        <f>B35-'6-30-99'!C28*1000</f>
        <v>-13202656.359790377</v>
      </c>
      <c r="K33" s="41">
        <f>C35-'6-30-99'!D28*1000</f>
        <v>-16157439.008756371</v>
      </c>
      <c r="L33" s="51">
        <f>'6-30-99'!C28*1000</f>
        <v>36606187.899414293</v>
      </c>
      <c r="M33" s="56">
        <f>'6-30-99'!D28*1000</f>
        <v>17828357.1923698</v>
      </c>
      <c r="O33" s="83">
        <f t="shared" ref="O33:P36" si="3">B35-Q33</f>
        <v>2918531.5396239161</v>
      </c>
      <c r="P33" s="84">
        <f t="shared" si="3"/>
        <v>-8791081.8163865712</v>
      </c>
      <c r="Q33" s="51">
        <f>'3-31-99 and 98 end'!D57*1000</f>
        <v>20485000</v>
      </c>
      <c r="R33" s="56">
        <f>'3-31-99 and 98 end'!E57*1000</f>
        <v>10462000</v>
      </c>
    </row>
    <row r="34" spans="1:18">
      <c r="B34" s="31" t="s">
        <v>2</v>
      </c>
      <c r="C34" s="13" t="s">
        <v>9</v>
      </c>
      <c r="F34" s="29"/>
      <c r="G34" s="43"/>
      <c r="H34" s="33"/>
      <c r="I34" s="33"/>
      <c r="J34" s="53">
        <f>B36-'6-30-99'!C29*1000</f>
        <v>272253.90507885936</v>
      </c>
      <c r="K34" s="41">
        <f>C36-'6-30-99'!D29*1000</f>
        <v>1570190.5300000003</v>
      </c>
      <c r="L34" s="51">
        <f>'6-30-99'!C29*1000</f>
        <v>139000</v>
      </c>
      <c r="M34" s="56">
        <f>'6-30-99'!D29*1000</f>
        <v>2702000</v>
      </c>
      <c r="O34" s="83">
        <f t="shared" si="3"/>
        <v>334253.90507885936</v>
      </c>
      <c r="P34" s="84">
        <f t="shared" si="3"/>
        <v>3875190.5300000003</v>
      </c>
      <c r="Q34" s="51">
        <f>'3-31-99 and 98 end'!D59*1000</f>
        <v>77000</v>
      </c>
      <c r="R34" s="56">
        <f>'3-31-99 and 98 end'!E59*1000</f>
        <v>397000</v>
      </c>
    </row>
    <row r="35" spans="1:18">
      <c r="A35" s="13" t="s">
        <v>3</v>
      </c>
      <c r="B35" s="95">
        <f>SQRT(SUMSQ(SUM(B4:B5),B6:B11))</f>
        <v>23403531.539623916</v>
      </c>
      <c r="C35" s="42">
        <f>SQRT(SUMSQ(B20:B22))</f>
        <v>1670918.1836134288</v>
      </c>
      <c r="F35" s="29"/>
      <c r="G35" s="45"/>
      <c r="H35" s="33"/>
      <c r="I35" s="33"/>
      <c r="J35" s="53">
        <f>B37-'6-30-99'!C30*1000</f>
        <v>-9193.8581669407795</v>
      </c>
      <c r="K35" s="41">
        <f>C37-'6-30-99'!D30*1000</f>
        <v>4736824.84</v>
      </c>
      <c r="L35" s="51">
        <f>'6-30-99'!C30*1000</f>
        <v>26000</v>
      </c>
      <c r="M35" s="56">
        <f>'6-30-99'!D30*1000</f>
        <v>0</v>
      </c>
      <c r="O35" s="83">
        <f t="shared" si="3"/>
        <v>-27193.858166940779</v>
      </c>
      <c r="P35" s="84">
        <f t="shared" si="3"/>
        <v>4736824.84</v>
      </c>
      <c r="Q35" s="51">
        <f>'3-31-99 and 98 end'!D58*1000</f>
        <v>44000</v>
      </c>
      <c r="R35" s="56">
        <f>'3-31-99 and 98 end'!E58*1000</f>
        <v>0</v>
      </c>
    </row>
    <row r="36" spans="1:18">
      <c r="A36" s="13" t="s">
        <v>6</v>
      </c>
      <c r="B36" s="44">
        <f>B12</f>
        <v>411253.90507885936</v>
      </c>
      <c r="C36" s="42">
        <f>B23</f>
        <v>4272190.53</v>
      </c>
      <c r="F36" s="29"/>
      <c r="G36" s="43"/>
      <c r="H36" s="33"/>
      <c r="I36" s="33"/>
      <c r="J36" s="53">
        <f>B38-'6-30-99'!C31*1000</f>
        <v>-2041024.9902004525</v>
      </c>
      <c r="K36" s="41">
        <f>C38-'6-30-99'!D31*1000</f>
        <v>0</v>
      </c>
      <c r="L36" s="51">
        <f>'6-30-99'!C31*1000</f>
        <v>16215915.669489652</v>
      </c>
      <c r="M36" s="56">
        <f>'6-30-99'!D31*1000</f>
        <v>0</v>
      </c>
      <c r="O36" s="83">
        <f t="shared" si="3"/>
        <v>1770890.6792891994</v>
      </c>
      <c r="P36" s="84">
        <f t="shared" si="3"/>
        <v>0</v>
      </c>
      <c r="Q36" s="51">
        <f>'3-31-99 and 98 end'!D60*1000</f>
        <v>12404000</v>
      </c>
      <c r="R36" s="56">
        <f>'3-31-99 and 98 end'!E60*1000</f>
        <v>0</v>
      </c>
    </row>
    <row r="37" spans="1:18">
      <c r="A37" s="13" t="s">
        <v>5</v>
      </c>
      <c r="B37" s="44">
        <f>B13</f>
        <v>16806.141833059221</v>
      </c>
      <c r="C37" s="42">
        <f>B24</f>
        <v>4736824.84</v>
      </c>
      <c r="F37" s="29"/>
      <c r="G37" s="43"/>
      <c r="H37" s="33"/>
      <c r="I37" s="33"/>
      <c r="J37" s="57"/>
      <c r="K37" s="41"/>
      <c r="L37" s="51"/>
      <c r="M37" s="56"/>
      <c r="O37" s="86"/>
      <c r="P37" s="84"/>
      <c r="Q37" s="51"/>
      <c r="R37" s="56"/>
    </row>
    <row r="38" spans="1:18" ht="12" thickBot="1">
      <c r="A38" s="13" t="s">
        <v>0</v>
      </c>
      <c r="B38" s="44">
        <f>SQRT(SUMSQ(B14:B19))</f>
        <v>14174890.679289199</v>
      </c>
      <c r="C38" s="42">
        <v>0</v>
      </c>
      <c r="F38" s="34"/>
      <c r="J38" s="58"/>
      <c r="K38" s="59">
        <f>C40-M38</f>
        <v>-15762708.404722694</v>
      </c>
      <c r="L38" s="60"/>
      <c r="M38" s="61">
        <f>'6-30-99'!F31*1000</f>
        <v>43910591.372765064</v>
      </c>
      <c r="O38" s="87"/>
      <c r="P38" s="88">
        <f>C40-R38</f>
        <v>2011445.5864863284</v>
      </c>
      <c r="Q38" s="60"/>
      <c r="R38" s="61">
        <f>SQRT(SUMSQ(Q33:R36))</f>
        <v>26136437.381556042</v>
      </c>
    </row>
    <row r="39" spans="1:18">
      <c r="A39" s="13"/>
      <c r="C39" s="33"/>
      <c r="F39" s="34"/>
    </row>
    <row r="40" spans="1:18">
      <c r="A40" s="13" t="s">
        <v>106</v>
      </c>
      <c r="C40" s="42">
        <f>SQRT(SUMSQ(B35:C38))</f>
        <v>28147882.96804237</v>
      </c>
      <c r="F40" s="34"/>
    </row>
    <row r="41" spans="1:18" ht="12" thickBot="1">
      <c r="F41" s="34"/>
    </row>
    <row r="42" spans="1:18">
      <c r="C42" s="97" t="s">
        <v>135</v>
      </c>
    </row>
    <row r="43" spans="1:18" ht="12" thickBot="1">
      <c r="C43" s="96">
        <v>25599414.174076017</v>
      </c>
    </row>
  </sheetData>
  <pageMargins left="0.75" right="0.75" top="1" bottom="1" header="0.5" footer="0.5"/>
  <pageSetup scale="50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48"/>
  <sheetViews>
    <sheetView showGridLines="0" zoomScale="75" workbookViewId="0">
      <selection activeCell="G14" sqref="G14:G17"/>
    </sheetView>
  </sheetViews>
  <sheetFormatPr defaultRowHeight="11.25"/>
  <cols>
    <col min="1" max="1" width="10.7109375" style="2" customWidth="1"/>
    <col min="2" max="2" width="5.7109375" style="2" customWidth="1"/>
    <col min="3" max="3" width="14.85546875" style="2" customWidth="1"/>
    <col min="4" max="4" width="10.7109375" style="2" customWidth="1"/>
    <col min="5" max="5" width="2.7109375" style="2" customWidth="1"/>
    <col min="6" max="6" width="20.5703125" style="2" customWidth="1"/>
    <col min="7" max="7" width="6.85546875" style="2" customWidth="1"/>
    <col min="8" max="8" width="6.7109375" style="2" customWidth="1"/>
    <col min="9" max="9" width="15.5703125" style="3" customWidth="1"/>
    <col min="10" max="10" width="24" style="2" customWidth="1"/>
    <col min="11" max="12" width="9.140625" style="2"/>
    <col min="13" max="13" width="9.85546875" style="2" bestFit="1" customWidth="1"/>
    <col min="14" max="14" width="11.140625" style="2" bestFit="1" customWidth="1"/>
    <col min="15" max="16384" width="9.140625" style="2"/>
  </cols>
  <sheetData>
    <row r="1" spans="1:14" ht="12.75">
      <c r="A1" s="1" t="s">
        <v>18</v>
      </c>
    </row>
    <row r="2" spans="1:14" ht="24.95" customHeight="1">
      <c r="A2" s="13" t="s">
        <v>15</v>
      </c>
      <c r="B2" s="185" t="s">
        <v>23</v>
      </c>
      <c r="C2" s="185"/>
      <c r="D2" s="7" t="s">
        <v>24</v>
      </c>
      <c r="E2" s="7"/>
      <c r="F2" s="5" t="s">
        <v>16</v>
      </c>
      <c r="G2" s="8" t="s">
        <v>30</v>
      </c>
      <c r="H2" s="8" t="s">
        <v>29</v>
      </c>
      <c r="I2" s="8" t="s">
        <v>37</v>
      </c>
      <c r="J2" s="8" t="s">
        <v>38</v>
      </c>
    </row>
    <row r="3" spans="1:14">
      <c r="D3" s="5"/>
      <c r="E3" s="5"/>
    </row>
    <row r="4" spans="1:14">
      <c r="A4" s="3">
        <v>1</v>
      </c>
      <c r="C4" s="6" t="s">
        <v>19</v>
      </c>
      <c r="D4" s="11">
        <v>30444</v>
      </c>
      <c r="E4" s="4"/>
      <c r="F4" s="3" t="s">
        <v>11</v>
      </c>
      <c r="G4" s="9" t="s">
        <v>25</v>
      </c>
      <c r="H4" s="9" t="s">
        <v>31</v>
      </c>
      <c r="I4" s="9" t="s">
        <v>36</v>
      </c>
      <c r="J4" s="2" t="s">
        <v>17</v>
      </c>
    </row>
    <row r="5" spans="1:14">
      <c r="A5" s="3">
        <v>2</v>
      </c>
      <c r="C5" s="6" t="s">
        <v>20</v>
      </c>
      <c r="D5" s="11">
        <v>5595</v>
      </c>
      <c r="E5" s="4"/>
      <c r="F5" s="3" t="s">
        <v>11</v>
      </c>
      <c r="G5" s="9" t="s">
        <v>25</v>
      </c>
      <c r="H5" s="9" t="s">
        <v>31</v>
      </c>
      <c r="I5" s="9" t="s">
        <v>36</v>
      </c>
      <c r="J5" s="2" t="s">
        <v>17</v>
      </c>
    </row>
    <row r="6" spans="1:14">
      <c r="A6" s="3">
        <v>3</v>
      </c>
      <c r="C6" s="6" t="s">
        <v>21</v>
      </c>
      <c r="D6" s="11">
        <v>5982</v>
      </c>
      <c r="E6" s="4"/>
      <c r="F6" s="3" t="s">
        <v>11</v>
      </c>
      <c r="G6" s="9" t="s">
        <v>26</v>
      </c>
      <c r="H6" s="9" t="s">
        <v>31</v>
      </c>
      <c r="I6" s="9" t="s">
        <v>28</v>
      </c>
      <c r="J6" s="2" t="s">
        <v>17</v>
      </c>
    </row>
    <row r="7" spans="1:14">
      <c r="A7" s="3">
        <v>4</v>
      </c>
      <c r="C7" s="6" t="s">
        <v>7</v>
      </c>
      <c r="D7" s="11">
        <v>1995</v>
      </c>
      <c r="E7" s="4"/>
      <c r="F7" s="3" t="s">
        <v>11</v>
      </c>
      <c r="G7" s="9" t="s">
        <v>26</v>
      </c>
      <c r="H7" s="9" t="s">
        <v>42</v>
      </c>
      <c r="I7" s="9" t="s">
        <v>28</v>
      </c>
      <c r="J7" s="2" t="s">
        <v>17</v>
      </c>
      <c r="L7" s="2" t="s">
        <v>66</v>
      </c>
      <c r="M7" s="2" t="s">
        <v>67</v>
      </c>
      <c r="N7" s="2" t="s">
        <v>56</v>
      </c>
    </row>
    <row r="8" spans="1:14">
      <c r="A8" s="3">
        <v>5</v>
      </c>
      <c r="C8" s="6" t="s">
        <v>64</v>
      </c>
      <c r="D8" s="11">
        <f>N8</f>
        <v>384.5308693473126</v>
      </c>
      <c r="E8" s="4"/>
      <c r="F8" s="3" t="s">
        <v>11</v>
      </c>
      <c r="G8" s="9" t="s">
        <v>27</v>
      </c>
      <c r="H8" s="9" t="s">
        <v>32</v>
      </c>
      <c r="I8" s="9" t="s">
        <v>68</v>
      </c>
      <c r="J8" s="2" t="s">
        <v>17</v>
      </c>
      <c r="L8" s="18">
        <v>283.30900000000003</v>
      </c>
      <c r="M8" s="18">
        <v>260</v>
      </c>
      <c r="N8" s="18">
        <f>SQRT(SUMSQ(L8:M8))</f>
        <v>384.5308693473126</v>
      </c>
    </row>
    <row r="9" spans="1:14">
      <c r="A9" s="3">
        <v>6</v>
      </c>
      <c r="C9" s="6" t="s">
        <v>65</v>
      </c>
      <c r="D9" s="11">
        <v>717.58799999999997</v>
      </c>
      <c r="E9" s="4"/>
      <c r="F9" s="3" t="s">
        <v>11</v>
      </c>
      <c r="G9" s="9" t="s">
        <v>27</v>
      </c>
      <c r="H9" s="9" t="s">
        <v>32</v>
      </c>
      <c r="I9" s="9" t="s">
        <v>68</v>
      </c>
      <c r="J9" s="2" t="s">
        <v>17</v>
      </c>
      <c r="L9" s="6" t="s">
        <v>57</v>
      </c>
      <c r="M9" s="6" t="s">
        <v>58</v>
      </c>
      <c r="N9" s="6" t="s">
        <v>56</v>
      </c>
    </row>
    <row r="10" spans="1:14">
      <c r="A10" s="3">
        <v>7</v>
      </c>
      <c r="C10" s="6" t="s">
        <v>8</v>
      </c>
      <c r="D10" s="11">
        <f>N10</f>
        <v>881.09363861056215</v>
      </c>
      <c r="E10" s="4"/>
      <c r="F10" s="3" t="s">
        <v>11</v>
      </c>
      <c r="G10" s="9" t="s">
        <v>27</v>
      </c>
      <c r="H10" s="9" t="s">
        <v>32</v>
      </c>
      <c r="I10" s="9" t="s">
        <v>68</v>
      </c>
      <c r="J10" s="2" t="s">
        <v>39</v>
      </c>
      <c r="L10" s="18">
        <f>SQRT(SUMSQ(114000,853000))/1000</f>
        <v>860.58410396660247</v>
      </c>
      <c r="M10" s="18">
        <v>189</v>
      </c>
      <c r="N10" s="18">
        <f>SQRT(SUMSQ(L10:M10))</f>
        <v>881.09363861056215</v>
      </c>
    </row>
    <row r="11" spans="1:14">
      <c r="A11" s="3">
        <v>8</v>
      </c>
      <c r="C11" s="6" t="s">
        <v>1</v>
      </c>
      <c r="D11" s="11">
        <v>139</v>
      </c>
      <c r="E11" s="4"/>
      <c r="F11" s="3" t="s">
        <v>12</v>
      </c>
      <c r="G11" s="9" t="s">
        <v>27</v>
      </c>
      <c r="H11" s="9" t="s">
        <v>32</v>
      </c>
      <c r="I11" s="9" t="s">
        <v>28</v>
      </c>
      <c r="J11" s="2" t="s">
        <v>40</v>
      </c>
    </row>
    <row r="12" spans="1:14">
      <c r="A12" s="3">
        <v>9</v>
      </c>
      <c r="C12" s="6" t="s">
        <v>4</v>
      </c>
      <c r="D12" s="11">
        <v>26</v>
      </c>
      <c r="E12" s="4"/>
      <c r="F12" s="3" t="s">
        <v>13</v>
      </c>
      <c r="G12" s="9" t="s">
        <v>27</v>
      </c>
      <c r="H12" s="9" t="s">
        <v>32</v>
      </c>
      <c r="I12" s="9" t="s">
        <v>28</v>
      </c>
      <c r="J12" s="2" t="s">
        <v>40</v>
      </c>
    </row>
    <row r="13" spans="1:14">
      <c r="A13" s="3">
        <v>10</v>
      </c>
      <c r="C13" s="6" t="s">
        <v>60</v>
      </c>
      <c r="D13" s="11">
        <f>5559.999+3735.856</f>
        <v>9295.8549999999996</v>
      </c>
      <c r="F13" s="3" t="s">
        <v>14</v>
      </c>
      <c r="G13" s="3" t="s">
        <v>27</v>
      </c>
      <c r="H13" s="3" t="s">
        <v>33</v>
      </c>
      <c r="I13" s="9" t="s">
        <v>28</v>
      </c>
      <c r="J13" s="2" t="s">
        <v>61</v>
      </c>
    </row>
    <row r="14" spans="1:14">
      <c r="A14" s="3">
        <v>11</v>
      </c>
      <c r="C14" s="6" t="s">
        <v>0</v>
      </c>
      <c r="D14" s="11">
        <v>1582</v>
      </c>
      <c r="E14" s="4"/>
      <c r="F14" s="3" t="s">
        <v>14</v>
      </c>
      <c r="G14" s="9" t="s">
        <v>26</v>
      </c>
      <c r="H14" s="9" t="s">
        <v>33</v>
      </c>
      <c r="I14" s="9" t="s">
        <v>28</v>
      </c>
      <c r="J14" s="2" t="s">
        <v>17</v>
      </c>
    </row>
    <row r="15" spans="1:14">
      <c r="A15" s="3">
        <v>12</v>
      </c>
      <c r="C15" s="6" t="s">
        <v>22</v>
      </c>
      <c r="D15" s="11">
        <v>15846</v>
      </c>
      <c r="E15" s="4"/>
      <c r="F15" s="3" t="s">
        <v>14</v>
      </c>
      <c r="G15" s="9" t="s">
        <v>27</v>
      </c>
      <c r="H15" s="9" t="s">
        <v>33</v>
      </c>
      <c r="I15" s="9" t="s">
        <v>34</v>
      </c>
      <c r="J15" s="2" t="s">
        <v>41</v>
      </c>
      <c r="L15" s="6" t="s">
        <v>69</v>
      </c>
      <c r="M15" s="6" t="s">
        <v>70</v>
      </c>
      <c r="N15" s="6" t="s">
        <v>56</v>
      </c>
    </row>
    <row r="16" spans="1:14">
      <c r="A16" s="3">
        <v>13</v>
      </c>
      <c r="C16" s="6" t="s">
        <v>52</v>
      </c>
      <c r="D16" s="11">
        <v>3059</v>
      </c>
      <c r="E16" s="4"/>
      <c r="F16" s="3" t="s">
        <v>14</v>
      </c>
      <c r="G16" s="9" t="s">
        <v>27</v>
      </c>
      <c r="H16" s="9" t="s">
        <v>33</v>
      </c>
      <c r="I16" s="9" t="s">
        <v>35</v>
      </c>
      <c r="J16" s="2" t="s">
        <v>17</v>
      </c>
      <c r="L16" s="18">
        <v>0</v>
      </c>
      <c r="M16" s="18">
        <v>0</v>
      </c>
      <c r="N16" s="18">
        <f>SQRT(SUMSQ(L16:M16))</f>
        <v>0</v>
      </c>
    </row>
    <row r="17" spans="1:14">
      <c r="A17" s="3">
        <v>14</v>
      </c>
      <c r="C17" s="6" t="s">
        <v>43</v>
      </c>
      <c r="D17" s="11">
        <v>17552</v>
      </c>
      <c r="E17" s="4"/>
      <c r="F17" s="10" t="s">
        <v>46</v>
      </c>
      <c r="G17" s="9" t="s">
        <v>25</v>
      </c>
      <c r="H17" s="9" t="s">
        <v>31</v>
      </c>
      <c r="I17" s="3" t="s">
        <v>49</v>
      </c>
      <c r="J17" s="2" t="s">
        <v>71</v>
      </c>
      <c r="L17" s="6" t="s">
        <v>54</v>
      </c>
      <c r="M17" s="6" t="s">
        <v>55</v>
      </c>
      <c r="N17" s="6" t="s">
        <v>56</v>
      </c>
    </row>
    <row r="18" spans="1:14">
      <c r="A18" s="3">
        <v>15</v>
      </c>
      <c r="C18" s="6" t="s">
        <v>10</v>
      </c>
      <c r="D18" s="11">
        <f>N18</f>
        <v>3126.9180000000001</v>
      </c>
      <c r="F18" s="10" t="s">
        <v>46</v>
      </c>
      <c r="G18" s="9" t="s">
        <v>27</v>
      </c>
      <c r="H18" s="9" t="s">
        <v>32</v>
      </c>
      <c r="I18" s="3" t="s">
        <v>50</v>
      </c>
      <c r="J18" s="2" t="s">
        <v>50</v>
      </c>
      <c r="L18" s="19">
        <v>3163.741</v>
      </c>
      <c r="M18" s="19">
        <v>169.96299999999999</v>
      </c>
      <c r="N18" s="18">
        <v>3126.9180000000001</v>
      </c>
    </row>
    <row r="19" spans="1:14">
      <c r="A19" s="3">
        <v>16</v>
      </c>
      <c r="B19" s="5"/>
      <c r="C19" s="6" t="s">
        <v>44</v>
      </c>
      <c r="D19" s="11">
        <v>0</v>
      </c>
      <c r="F19" s="10" t="s">
        <v>47</v>
      </c>
      <c r="G19" s="9" t="s">
        <v>27</v>
      </c>
      <c r="H19" s="9" t="s">
        <v>32</v>
      </c>
      <c r="I19" s="9" t="s">
        <v>28</v>
      </c>
      <c r="J19" s="2" t="s">
        <v>59</v>
      </c>
      <c r="N19" s="26"/>
    </row>
    <row r="20" spans="1:14">
      <c r="A20" s="3">
        <v>17</v>
      </c>
      <c r="C20" s="6" t="s">
        <v>45</v>
      </c>
      <c r="D20" s="11">
        <v>2702</v>
      </c>
      <c r="F20" s="10" t="s">
        <v>48</v>
      </c>
      <c r="G20" s="3" t="s">
        <v>27</v>
      </c>
      <c r="H20" s="3" t="s">
        <v>33</v>
      </c>
      <c r="I20" s="9" t="s">
        <v>28</v>
      </c>
      <c r="J20" s="2" t="s">
        <v>59</v>
      </c>
    </row>
    <row r="21" spans="1:14">
      <c r="A21" s="3"/>
      <c r="I21" s="2"/>
    </row>
    <row r="22" spans="1:14">
      <c r="A22" s="3"/>
    </row>
    <row r="23" spans="1:14">
      <c r="A23" s="3"/>
    </row>
    <row r="24" spans="1:14">
      <c r="A24" s="3"/>
    </row>
    <row r="25" spans="1:14" ht="12.75">
      <c r="A25" s="1" t="s">
        <v>72</v>
      </c>
    </row>
    <row r="26" spans="1:14">
      <c r="A26" s="3"/>
    </row>
    <row r="27" spans="1:14">
      <c r="A27" s="3"/>
      <c r="C27" s="13" t="s">
        <v>2</v>
      </c>
      <c r="D27" s="13" t="s">
        <v>9</v>
      </c>
      <c r="G27" s="4"/>
      <c r="H27" s="20"/>
      <c r="I27" s="20"/>
      <c r="J27" s="4"/>
    </row>
    <row r="28" spans="1:14">
      <c r="B28" s="13" t="s">
        <v>3</v>
      </c>
      <c r="C28" s="11">
        <f>SQRT(SUMSQ((D4+D5),D6:D10))</f>
        <v>36606.18789941429</v>
      </c>
      <c r="D28" s="11">
        <f>SQRT(SUMSQ(D17:D18))</f>
        <v>17828.3571923698</v>
      </c>
      <c r="F28" s="14"/>
      <c r="G28" s="20"/>
      <c r="H28" s="16"/>
      <c r="I28" s="16"/>
      <c r="J28" s="4"/>
    </row>
    <row r="29" spans="1:14">
      <c r="B29" s="13" t="s">
        <v>6</v>
      </c>
      <c r="C29" s="12">
        <f>D11</f>
        <v>139</v>
      </c>
      <c r="D29" s="11">
        <f>D20</f>
        <v>2702</v>
      </c>
      <c r="F29" s="14"/>
      <c r="G29" s="20"/>
      <c r="H29" s="16"/>
      <c r="I29" s="16"/>
      <c r="J29" s="4"/>
    </row>
    <row r="30" spans="1:14">
      <c r="B30" s="13" t="s">
        <v>5</v>
      </c>
      <c r="C30" s="12">
        <f>D12</f>
        <v>26</v>
      </c>
      <c r="D30" s="11">
        <f>D19</f>
        <v>0</v>
      </c>
      <c r="F30" s="17" t="s">
        <v>101</v>
      </c>
      <c r="G30" s="20"/>
      <c r="H30" s="15"/>
      <c r="I30" s="16"/>
      <c r="J30" s="4"/>
    </row>
    <row r="31" spans="1:14">
      <c r="B31" s="13" t="s">
        <v>0</v>
      </c>
      <c r="C31" s="12">
        <f>SQRT(SUMSQ(D14:D16))</f>
        <v>16215.915669489652</v>
      </c>
      <c r="D31" s="11">
        <v>0</v>
      </c>
      <c r="F31" s="11">
        <f>SQRT(SUMSQ(C28:D31))</f>
        <v>43910.591372765062</v>
      </c>
      <c r="G31" s="20"/>
      <c r="H31" s="15"/>
      <c r="I31" s="16"/>
      <c r="J31" s="4"/>
    </row>
    <row r="32" spans="1:14">
      <c r="B32" s="13"/>
      <c r="C32" s="15"/>
      <c r="D32" s="16"/>
      <c r="F32" s="14"/>
      <c r="G32" s="20"/>
      <c r="H32" s="15"/>
      <c r="I32" s="16"/>
      <c r="J32" s="4"/>
    </row>
    <row r="33" spans="1:9" ht="32.25">
      <c r="B33" s="21"/>
      <c r="C33" s="22" t="s">
        <v>62</v>
      </c>
      <c r="D33" s="22" t="s">
        <v>63</v>
      </c>
      <c r="F33" s="14"/>
      <c r="G33" s="13"/>
      <c r="H33" s="15"/>
      <c r="I33" s="16"/>
    </row>
    <row r="34" spans="1:9">
      <c r="B34" s="23" t="s">
        <v>3</v>
      </c>
      <c r="C34" s="24">
        <f>C28-C44</f>
        <v>11827.21938522968</v>
      </c>
      <c r="D34" s="24">
        <f>D28-D44</f>
        <v>8698.8028768514359</v>
      </c>
      <c r="F34" s="14"/>
      <c r="G34" s="13"/>
      <c r="H34" s="15"/>
      <c r="I34" s="16"/>
    </row>
    <row r="35" spans="1:9">
      <c r="B35" s="23" t="s">
        <v>5</v>
      </c>
      <c r="C35" s="25">
        <f>C30-C45</f>
        <v>-39.631</v>
      </c>
      <c r="D35" s="24">
        <f>D30-D45</f>
        <v>0</v>
      </c>
      <c r="F35" s="14"/>
      <c r="G35" s="13"/>
      <c r="H35" s="15"/>
      <c r="I35" s="16"/>
    </row>
    <row r="36" spans="1:9">
      <c r="B36" s="23" t="s">
        <v>6</v>
      </c>
      <c r="C36" s="25">
        <f>C29-C46</f>
        <v>37.566999999999993</v>
      </c>
      <c r="D36" s="24">
        <f>D29-D46</f>
        <v>1830</v>
      </c>
      <c r="F36" s="14"/>
      <c r="G36" s="13"/>
      <c r="H36" s="15"/>
      <c r="I36" s="16"/>
    </row>
    <row r="37" spans="1:9">
      <c r="B37" s="23" t="s">
        <v>0</v>
      </c>
      <c r="C37" s="25">
        <f>C31-C47</f>
        <v>2096.2731929984002</v>
      </c>
      <c r="D37" s="24">
        <f>D31-D47</f>
        <v>0</v>
      </c>
      <c r="F37" s="14"/>
      <c r="G37" s="13"/>
      <c r="H37" s="15"/>
      <c r="I37" s="16"/>
    </row>
    <row r="38" spans="1:9">
      <c r="B38" s="13"/>
      <c r="C38" s="15"/>
      <c r="D38" s="16"/>
      <c r="F38" s="14"/>
    </row>
    <row r="39" spans="1:9">
      <c r="B39" s="13"/>
      <c r="C39" s="15"/>
      <c r="D39" s="16"/>
      <c r="F39" s="14"/>
    </row>
    <row r="40" spans="1:9">
      <c r="A40" s="3"/>
      <c r="F40" s="14"/>
    </row>
    <row r="41" spans="1:9" ht="12.75">
      <c r="A41" s="1" t="s">
        <v>51</v>
      </c>
    </row>
    <row r="42" spans="1:9">
      <c r="A42" s="3"/>
    </row>
    <row r="43" spans="1:9">
      <c r="A43" s="3"/>
      <c r="C43" s="13" t="s">
        <v>2</v>
      </c>
      <c r="D43" s="13" t="s">
        <v>9</v>
      </c>
    </row>
    <row r="44" spans="1:9">
      <c r="B44" s="13" t="s">
        <v>3</v>
      </c>
      <c r="C44" s="11">
        <v>24778.968514184609</v>
      </c>
      <c r="D44" s="11">
        <v>9129.5543155183641</v>
      </c>
      <c r="F44" s="14"/>
    </row>
    <row r="45" spans="1:9">
      <c r="B45" s="13" t="s">
        <v>5</v>
      </c>
      <c r="C45" s="12">
        <v>65.631</v>
      </c>
      <c r="D45" s="11">
        <v>0</v>
      </c>
      <c r="F45" s="17" t="s">
        <v>53</v>
      </c>
    </row>
    <row r="46" spans="1:9">
      <c r="B46" s="13" t="s">
        <v>6</v>
      </c>
      <c r="C46" s="12">
        <v>101.43300000000001</v>
      </c>
      <c r="D46" s="11">
        <v>872</v>
      </c>
    </row>
    <row r="47" spans="1:9">
      <c r="B47" s="13" t="s">
        <v>0</v>
      </c>
      <c r="C47" s="12">
        <v>14119.642476491252</v>
      </c>
      <c r="D47" s="11">
        <v>0</v>
      </c>
      <c r="F47" s="14"/>
    </row>
    <row r="48" spans="1:9">
      <c r="A48" s="3"/>
      <c r="F48" s="14"/>
    </row>
  </sheetData>
  <mergeCells count="1">
    <mergeCell ref="B2:C2"/>
  </mergeCells>
  <pageMargins left="0.75" right="0.75" top="1" bottom="1" header="0.5" footer="0.5"/>
  <pageSetup scale="57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K60"/>
  <sheetViews>
    <sheetView showGridLines="0" workbookViewId="0">
      <selection activeCell="G14" sqref="G14:G17"/>
    </sheetView>
  </sheetViews>
  <sheetFormatPr defaultRowHeight="12.75"/>
  <cols>
    <col min="1" max="1" width="2.7109375" customWidth="1"/>
    <col min="2" max="2" width="5.7109375" customWidth="1"/>
    <col min="4" max="4" width="10.7109375" bestFit="1" customWidth="1"/>
    <col min="6" max="6" width="3.7109375" customWidth="1"/>
    <col min="7" max="7" width="20.5703125" bestFit="1" customWidth="1"/>
    <col min="8" max="8" width="7" bestFit="1" customWidth="1"/>
    <col min="10" max="10" width="15.5703125" bestFit="1" customWidth="1"/>
    <col min="11" max="11" width="24" bestFit="1" customWidth="1"/>
  </cols>
  <sheetData>
    <row r="1" spans="1:11">
      <c r="A1" s="1" t="s">
        <v>111</v>
      </c>
      <c r="B1" s="2"/>
      <c r="C1" s="2"/>
      <c r="D1" s="2"/>
      <c r="E1" s="2"/>
      <c r="F1" s="2"/>
      <c r="G1" s="2"/>
      <c r="H1" s="2"/>
      <c r="I1" s="2"/>
      <c r="J1" s="3"/>
      <c r="K1" s="2"/>
    </row>
    <row r="2" spans="1:11" ht="13.5" thickBot="1">
      <c r="A2" s="2"/>
      <c r="B2" s="1"/>
      <c r="C2" s="2"/>
      <c r="D2" s="2"/>
      <c r="E2" s="2"/>
      <c r="F2" s="2"/>
      <c r="G2" s="2"/>
      <c r="H2" s="2"/>
      <c r="I2" s="2"/>
      <c r="J2" s="3"/>
      <c r="K2" s="2"/>
    </row>
    <row r="3" spans="1:11" ht="13.5" thickBot="1">
      <c r="A3" s="2"/>
      <c r="B3" s="186">
        <v>36250</v>
      </c>
      <c r="C3" s="187"/>
      <c r="D3" s="187"/>
      <c r="E3" s="187"/>
      <c r="F3" s="187"/>
      <c r="G3" s="187"/>
      <c r="H3" s="187"/>
      <c r="I3" s="187"/>
      <c r="J3" s="187"/>
      <c r="K3" s="188"/>
    </row>
    <row r="4" spans="1:11" ht="22.5">
      <c r="A4" s="2"/>
      <c r="B4" s="64" t="s">
        <v>15</v>
      </c>
      <c r="C4" s="189" t="s">
        <v>23</v>
      </c>
      <c r="D4" s="189"/>
      <c r="E4" s="65" t="s">
        <v>24</v>
      </c>
      <c r="F4" s="65"/>
      <c r="G4" s="66" t="s">
        <v>16</v>
      </c>
      <c r="H4" s="67" t="s">
        <v>30</v>
      </c>
      <c r="I4" s="67" t="s">
        <v>29</v>
      </c>
      <c r="J4" s="67" t="s">
        <v>37</v>
      </c>
      <c r="K4" s="68" t="s">
        <v>38</v>
      </c>
    </row>
    <row r="5" spans="1:11">
      <c r="A5" s="2"/>
      <c r="B5" s="69"/>
      <c r="C5" s="4"/>
      <c r="D5" s="4"/>
      <c r="E5" s="70"/>
      <c r="F5" s="70"/>
      <c r="G5" s="4"/>
      <c r="H5" s="4"/>
      <c r="I5" s="4"/>
      <c r="J5" s="10"/>
      <c r="K5" s="71"/>
    </row>
    <row r="6" spans="1:11">
      <c r="A6" s="2"/>
      <c r="B6" s="72">
        <v>1</v>
      </c>
      <c r="C6" s="4"/>
      <c r="D6" s="73" t="s">
        <v>19</v>
      </c>
      <c r="E6" s="11">
        <v>16643.6147787183</v>
      </c>
      <c r="F6" s="4"/>
      <c r="G6" s="10" t="s">
        <v>11</v>
      </c>
      <c r="H6" s="74" t="s">
        <v>25</v>
      </c>
      <c r="I6" s="74" t="s">
        <v>31</v>
      </c>
      <c r="J6" s="74" t="s">
        <v>36</v>
      </c>
      <c r="K6" s="71" t="s">
        <v>17</v>
      </c>
    </row>
    <row r="7" spans="1:11">
      <c r="A7" s="2"/>
      <c r="B7" s="72">
        <v>2</v>
      </c>
      <c r="C7" s="4"/>
      <c r="D7" s="73" t="s">
        <v>20</v>
      </c>
      <c r="E7" s="11">
        <v>6935.7935782248005</v>
      </c>
      <c r="F7" s="4"/>
      <c r="G7" s="10" t="s">
        <v>11</v>
      </c>
      <c r="H7" s="74" t="s">
        <v>25</v>
      </c>
      <c r="I7" s="74" t="s">
        <v>31</v>
      </c>
      <c r="J7" s="74" t="s">
        <v>36</v>
      </c>
      <c r="K7" s="71" t="s">
        <v>17</v>
      </c>
    </row>
    <row r="8" spans="1:11">
      <c r="A8" s="2"/>
      <c r="B8" s="72">
        <v>3</v>
      </c>
      <c r="C8" s="4"/>
      <c r="D8" s="73" t="s">
        <v>21</v>
      </c>
      <c r="E8" s="11">
        <v>7378</v>
      </c>
      <c r="F8" s="4"/>
      <c r="G8" s="10" t="s">
        <v>11</v>
      </c>
      <c r="H8" s="74" t="s">
        <v>26</v>
      </c>
      <c r="I8" s="74" t="s">
        <v>31</v>
      </c>
      <c r="J8" s="74" t="s">
        <v>28</v>
      </c>
      <c r="K8" s="71" t="s">
        <v>17</v>
      </c>
    </row>
    <row r="9" spans="1:11">
      <c r="A9" s="2"/>
      <c r="B9" s="72">
        <v>4</v>
      </c>
      <c r="C9" s="4"/>
      <c r="D9" s="73" t="s">
        <v>7</v>
      </c>
      <c r="E9" s="11">
        <v>1225</v>
      </c>
      <c r="F9" s="4"/>
      <c r="G9" s="10" t="s">
        <v>11</v>
      </c>
      <c r="H9" s="74" t="s">
        <v>112</v>
      </c>
      <c r="I9" s="74" t="s">
        <v>42</v>
      </c>
      <c r="J9" s="74" t="s">
        <v>28</v>
      </c>
      <c r="K9" s="71" t="s">
        <v>17</v>
      </c>
    </row>
    <row r="10" spans="1:11">
      <c r="A10" s="2"/>
      <c r="B10" s="72">
        <v>5</v>
      </c>
      <c r="C10" s="4"/>
      <c r="D10" s="73" t="s">
        <v>8</v>
      </c>
      <c r="E10" s="11">
        <f>O10</f>
        <v>0</v>
      </c>
      <c r="F10" s="4"/>
      <c r="G10" s="10" t="s">
        <v>11</v>
      </c>
      <c r="H10" s="74" t="s">
        <v>27</v>
      </c>
      <c r="I10" s="74" t="s">
        <v>32</v>
      </c>
      <c r="J10" s="10" t="s">
        <v>49</v>
      </c>
      <c r="K10" s="71" t="s">
        <v>39</v>
      </c>
    </row>
    <row r="11" spans="1:11">
      <c r="A11" s="2"/>
      <c r="B11" s="72">
        <v>6</v>
      </c>
      <c r="C11" s="4"/>
      <c r="D11" s="73" t="s">
        <v>1</v>
      </c>
      <c r="E11" s="11">
        <v>101.43300000000001</v>
      </c>
      <c r="F11" s="4"/>
      <c r="G11" s="10" t="s">
        <v>12</v>
      </c>
      <c r="H11" s="74" t="s">
        <v>27</v>
      </c>
      <c r="I11" s="74" t="s">
        <v>32</v>
      </c>
      <c r="J11" s="74" t="s">
        <v>113</v>
      </c>
      <c r="K11" s="71" t="s">
        <v>40</v>
      </c>
    </row>
    <row r="12" spans="1:11">
      <c r="A12" s="2"/>
      <c r="B12" s="72">
        <v>7</v>
      </c>
      <c r="C12" s="4"/>
      <c r="D12" s="73" t="s">
        <v>4</v>
      </c>
      <c r="E12" s="11">
        <v>65.631</v>
      </c>
      <c r="F12" s="4"/>
      <c r="G12" s="10" t="s">
        <v>13</v>
      </c>
      <c r="H12" s="74" t="s">
        <v>27</v>
      </c>
      <c r="I12" s="74" t="s">
        <v>32</v>
      </c>
      <c r="J12" s="74" t="s">
        <v>113</v>
      </c>
      <c r="K12" s="71" t="s">
        <v>40</v>
      </c>
    </row>
    <row r="13" spans="1:11">
      <c r="A13" s="2"/>
      <c r="B13" s="72">
        <v>8</v>
      </c>
      <c r="C13" s="4"/>
      <c r="D13" s="73" t="s">
        <v>0</v>
      </c>
      <c r="E13" s="11">
        <v>855</v>
      </c>
      <c r="F13" s="4"/>
      <c r="G13" s="10" t="s">
        <v>14</v>
      </c>
      <c r="H13" s="74" t="s">
        <v>26</v>
      </c>
      <c r="I13" s="74" t="s">
        <v>33</v>
      </c>
      <c r="J13" s="74" t="s">
        <v>28</v>
      </c>
      <c r="K13" s="71" t="s">
        <v>17</v>
      </c>
    </row>
    <row r="14" spans="1:11">
      <c r="A14" s="2"/>
      <c r="B14" s="72">
        <v>9</v>
      </c>
      <c r="C14" s="4"/>
      <c r="D14" s="73" t="s">
        <v>22</v>
      </c>
      <c r="E14" s="11">
        <v>12427</v>
      </c>
      <c r="F14" s="4"/>
      <c r="G14" s="10" t="s">
        <v>14</v>
      </c>
      <c r="H14" s="74" t="s">
        <v>27</v>
      </c>
      <c r="I14" s="74" t="s">
        <v>33</v>
      </c>
      <c r="J14" s="74" t="s">
        <v>34</v>
      </c>
      <c r="K14" s="71" t="s">
        <v>41</v>
      </c>
    </row>
    <row r="15" spans="1:11">
      <c r="A15" s="2"/>
      <c r="B15" s="72">
        <v>10</v>
      </c>
      <c r="C15" s="4"/>
      <c r="D15" s="73" t="s">
        <v>52</v>
      </c>
      <c r="E15" s="11">
        <v>10186.544</v>
      </c>
      <c r="F15" s="4"/>
      <c r="G15" s="10" t="s">
        <v>14</v>
      </c>
      <c r="H15" s="74" t="s">
        <v>27</v>
      </c>
      <c r="I15" s="74" t="s">
        <v>33</v>
      </c>
      <c r="J15" s="74" t="s">
        <v>35</v>
      </c>
      <c r="K15" s="71" t="s">
        <v>41</v>
      </c>
    </row>
    <row r="16" spans="1:11">
      <c r="A16" s="2"/>
      <c r="B16" s="72">
        <v>11</v>
      </c>
      <c r="C16" s="4"/>
      <c r="D16" s="73" t="s">
        <v>43</v>
      </c>
      <c r="E16" s="11">
        <v>9129</v>
      </c>
      <c r="F16" s="4"/>
      <c r="G16" s="10" t="s">
        <v>46</v>
      </c>
      <c r="H16" s="74" t="s">
        <v>25</v>
      </c>
      <c r="I16" s="74" t="s">
        <v>31</v>
      </c>
      <c r="J16" s="10" t="s">
        <v>49</v>
      </c>
      <c r="K16" s="71" t="s">
        <v>17</v>
      </c>
    </row>
    <row r="17" spans="1:11">
      <c r="A17" s="2"/>
      <c r="B17" s="72">
        <v>12</v>
      </c>
      <c r="C17" s="4"/>
      <c r="D17" s="73" t="s">
        <v>10</v>
      </c>
      <c r="E17" s="11">
        <f>O17</f>
        <v>0</v>
      </c>
      <c r="F17" s="4"/>
      <c r="G17" s="10" t="s">
        <v>46</v>
      </c>
      <c r="H17" s="74" t="s">
        <v>27</v>
      </c>
      <c r="I17" s="74" t="s">
        <v>32</v>
      </c>
      <c r="J17" s="10" t="s">
        <v>50</v>
      </c>
      <c r="K17" s="75" t="s">
        <v>50</v>
      </c>
    </row>
    <row r="18" spans="1:11">
      <c r="A18" s="2"/>
      <c r="B18" s="72">
        <v>13</v>
      </c>
      <c r="C18" s="70"/>
      <c r="D18" s="73" t="s">
        <v>44</v>
      </c>
      <c r="E18" s="11">
        <v>0</v>
      </c>
      <c r="F18" s="4"/>
      <c r="G18" s="10" t="s">
        <v>47</v>
      </c>
      <c r="H18" s="74" t="s">
        <v>27</v>
      </c>
      <c r="I18" s="74" t="s">
        <v>32</v>
      </c>
      <c r="J18" s="10" t="s">
        <v>114</v>
      </c>
      <c r="K18" s="75" t="s">
        <v>115</v>
      </c>
    </row>
    <row r="19" spans="1:11">
      <c r="A19" s="2"/>
      <c r="B19" s="72">
        <v>14</v>
      </c>
      <c r="C19" s="4"/>
      <c r="D19" s="73" t="s">
        <v>45</v>
      </c>
      <c r="E19" s="11">
        <v>872</v>
      </c>
      <c r="F19" s="4"/>
      <c r="G19" s="10" t="s">
        <v>48</v>
      </c>
      <c r="H19" s="10" t="s">
        <v>27</v>
      </c>
      <c r="I19" s="10" t="s">
        <v>33</v>
      </c>
      <c r="J19" s="10" t="s">
        <v>114</v>
      </c>
      <c r="K19" s="75" t="s">
        <v>115</v>
      </c>
    </row>
    <row r="20" spans="1:11" ht="13.5" thickBot="1">
      <c r="A20" s="2"/>
      <c r="B20" s="76"/>
      <c r="C20" s="77"/>
      <c r="D20" s="78"/>
      <c r="E20" s="79"/>
      <c r="F20" s="77"/>
      <c r="G20" s="80"/>
      <c r="H20" s="80"/>
      <c r="I20" s="80"/>
      <c r="J20" s="80"/>
      <c r="K20" s="81"/>
    </row>
    <row r="21" spans="1:11">
      <c r="A21" s="2"/>
      <c r="B21" s="3"/>
      <c r="C21" s="2"/>
      <c r="D21" s="6"/>
      <c r="E21" s="16"/>
      <c r="F21" s="2"/>
      <c r="G21" s="10"/>
      <c r="H21" s="3"/>
      <c r="I21" s="3"/>
      <c r="J21" s="3"/>
      <c r="K21" s="3"/>
    </row>
    <row r="22" spans="1:11" ht="13.5" thickBot="1">
      <c r="A22" s="2"/>
      <c r="B22" s="3"/>
      <c r="C22" s="2"/>
      <c r="D22" s="6"/>
      <c r="E22" s="16"/>
      <c r="F22" s="2"/>
      <c r="G22" s="10"/>
      <c r="H22" s="3"/>
      <c r="I22" s="3"/>
      <c r="J22" s="3"/>
      <c r="K22" s="3"/>
    </row>
    <row r="23" spans="1:11" ht="13.5" thickBot="1">
      <c r="A23" s="2"/>
      <c r="B23" s="186">
        <v>36160</v>
      </c>
      <c r="C23" s="187"/>
      <c r="D23" s="187"/>
      <c r="E23" s="187"/>
      <c r="F23" s="187"/>
      <c r="G23" s="187"/>
      <c r="H23" s="187"/>
      <c r="I23" s="187"/>
      <c r="J23" s="187"/>
      <c r="K23" s="188"/>
    </row>
    <row r="24" spans="1:11" ht="22.5">
      <c r="A24" s="2"/>
      <c r="B24" s="64" t="s">
        <v>15</v>
      </c>
      <c r="C24" s="189" t="s">
        <v>23</v>
      </c>
      <c r="D24" s="189"/>
      <c r="E24" s="65" t="s">
        <v>24</v>
      </c>
      <c r="F24" s="65"/>
      <c r="G24" s="66" t="s">
        <v>16</v>
      </c>
      <c r="H24" s="67" t="s">
        <v>30</v>
      </c>
      <c r="I24" s="67" t="s">
        <v>29</v>
      </c>
      <c r="J24" s="67" t="s">
        <v>37</v>
      </c>
      <c r="K24" s="68" t="s">
        <v>38</v>
      </c>
    </row>
    <row r="25" spans="1:11">
      <c r="A25" s="2"/>
      <c r="B25" s="69"/>
      <c r="C25" s="4"/>
      <c r="D25" s="4"/>
      <c r="E25" s="70"/>
      <c r="F25" s="70"/>
      <c r="G25" s="4"/>
      <c r="H25" s="4"/>
      <c r="I25" s="4"/>
      <c r="J25" s="10"/>
      <c r="K25" s="71"/>
    </row>
    <row r="26" spans="1:11">
      <c r="A26" s="2"/>
      <c r="B26" s="72">
        <v>1</v>
      </c>
      <c r="C26" s="4"/>
      <c r="D26" s="73" t="s">
        <v>19</v>
      </c>
      <c r="E26" s="11">
        <f>7670143.95733098/1000</f>
        <v>7670.1439573309799</v>
      </c>
      <c r="F26" s="4"/>
      <c r="G26" s="10" t="s">
        <v>11</v>
      </c>
      <c r="H26" s="74" t="s">
        <v>25</v>
      </c>
      <c r="I26" s="74" t="s">
        <v>31</v>
      </c>
      <c r="J26" s="74" t="s">
        <v>116</v>
      </c>
      <c r="K26" s="71" t="s">
        <v>17</v>
      </c>
    </row>
    <row r="27" spans="1:11">
      <c r="A27" s="2"/>
      <c r="B27" s="72">
        <v>2</v>
      </c>
      <c r="C27" s="4"/>
      <c r="D27" s="73" t="s">
        <v>20</v>
      </c>
      <c r="E27" s="11">
        <f>4486332.97924044/1000</f>
        <v>4486.3329792404402</v>
      </c>
      <c r="F27" s="4"/>
      <c r="G27" s="10" t="s">
        <v>11</v>
      </c>
      <c r="H27" s="74" t="s">
        <v>25</v>
      </c>
      <c r="I27" s="74" t="s">
        <v>31</v>
      </c>
      <c r="J27" s="74" t="s">
        <v>116</v>
      </c>
      <c r="K27" s="71" t="s">
        <v>17</v>
      </c>
    </row>
    <row r="28" spans="1:11">
      <c r="A28" s="2"/>
      <c r="B28" s="72">
        <v>3</v>
      </c>
      <c r="C28" s="4"/>
      <c r="D28" s="73" t="s">
        <v>21</v>
      </c>
      <c r="E28" s="11">
        <v>7943</v>
      </c>
      <c r="F28" s="4"/>
      <c r="G28" s="10" t="s">
        <v>11</v>
      </c>
      <c r="H28" s="74" t="s">
        <v>26</v>
      </c>
      <c r="I28" s="74" t="s">
        <v>31</v>
      </c>
      <c r="J28" s="74" t="s">
        <v>28</v>
      </c>
      <c r="K28" s="71" t="s">
        <v>17</v>
      </c>
    </row>
    <row r="29" spans="1:11">
      <c r="A29" s="2"/>
      <c r="B29" s="72">
        <v>4</v>
      </c>
      <c r="C29" s="4"/>
      <c r="D29" s="73" t="s">
        <v>7</v>
      </c>
      <c r="E29" s="11">
        <v>1721</v>
      </c>
      <c r="F29" s="4"/>
      <c r="G29" s="10" t="s">
        <v>11</v>
      </c>
      <c r="H29" s="74" t="s">
        <v>112</v>
      </c>
      <c r="I29" s="74" t="s">
        <v>42</v>
      </c>
      <c r="J29" s="74" t="s">
        <v>28</v>
      </c>
      <c r="K29" s="71" t="s">
        <v>17</v>
      </c>
    </row>
    <row r="30" spans="1:11">
      <c r="A30" s="2"/>
      <c r="B30" s="72">
        <v>5</v>
      </c>
      <c r="C30" s="4"/>
      <c r="D30" s="73" t="s">
        <v>8</v>
      </c>
      <c r="E30" s="11">
        <v>1068</v>
      </c>
      <c r="F30" s="4"/>
      <c r="G30" s="10" t="s">
        <v>11</v>
      </c>
      <c r="H30" s="74" t="s">
        <v>27</v>
      </c>
      <c r="I30" s="74" t="s">
        <v>32</v>
      </c>
      <c r="J30" s="74" t="s">
        <v>116</v>
      </c>
      <c r="K30" s="71" t="s">
        <v>39</v>
      </c>
    </row>
    <row r="31" spans="1:11">
      <c r="A31" s="2"/>
      <c r="B31" s="72">
        <v>6</v>
      </c>
      <c r="C31" s="4"/>
      <c r="D31" s="73" t="s">
        <v>1</v>
      </c>
      <c r="E31" s="11">
        <v>77</v>
      </c>
      <c r="F31" s="4"/>
      <c r="G31" s="10" t="s">
        <v>12</v>
      </c>
      <c r="H31" s="74" t="s">
        <v>27</v>
      </c>
      <c r="I31" s="74" t="s">
        <v>32</v>
      </c>
      <c r="J31" s="74" t="s">
        <v>117</v>
      </c>
      <c r="K31" s="71" t="s">
        <v>40</v>
      </c>
    </row>
    <row r="32" spans="1:11">
      <c r="A32" s="2"/>
      <c r="B32" s="72">
        <v>7</v>
      </c>
      <c r="C32" s="4"/>
      <c r="D32" s="73" t="s">
        <v>4</v>
      </c>
      <c r="E32" s="11">
        <v>44</v>
      </c>
      <c r="F32" s="4"/>
      <c r="G32" s="10" t="s">
        <v>13</v>
      </c>
      <c r="H32" s="74" t="s">
        <v>27</v>
      </c>
      <c r="I32" s="74" t="s">
        <v>32</v>
      </c>
      <c r="J32" s="74" t="s">
        <v>117</v>
      </c>
      <c r="K32" s="71" t="s">
        <v>40</v>
      </c>
    </row>
    <row r="33" spans="1:11">
      <c r="A33" s="2"/>
      <c r="B33" s="72">
        <v>8</v>
      </c>
      <c r="C33" s="4"/>
      <c r="D33" s="73" t="s">
        <v>0</v>
      </c>
      <c r="E33" s="11">
        <v>530</v>
      </c>
      <c r="F33" s="4"/>
      <c r="G33" s="10" t="s">
        <v>14</v>
      </c>
      <c r="H33" s="74" t="s">
        <v>26</v>
      </c>
      <c r="I33" s="74" t="s">
        <v>33</v>
      </c>
      <c r="J33" s="74" t="s">
        <v>117</v>
      </c>
      <c r="K33" s="71" t="s">
        <v>17</v>
      </c>
    </row>
    <row r="34" spans="1:11">
      <c r="A34" s="2"/>
      <c r="B34" s="72">
        <v>9</v>
      </c>
      <c r="C34" s="4"/>
      <c r="D34" s="73" t="s">
        <v>22</v>
      </c>
      <c r="E34" s="11">
        <v>8793</v>
      </c>
      <c r="F34" s="4"/>
      <c r="G34" s="10" t="s">
        <v>14</v>
      </c>
      <c r="H34" s="74" t="s">
        <v>27</v>
      </c>
      <c r="I34" s="74" t="s">
        <v>33</v>
      </c>
      <c r="J34" s="74" t="s">
        <v>34</v>
      </c>
      <c r="K34" s="71" t="s">
        <v>117</v>
      </c>
    </row>
    <row r="35" spans="1:11">
      <c r="A35" s="2"/>
      <c r="B35" s="72">
        <v>10</v>
      </c>
      <c r="C35" s="4"/>
      <c r="D35" s="73" t="s">
        <v>52</v>
      </c>
      <c r="E35" s="11">
        <v>8732</v>
      </c>
      <c r="F35" s="4"/>
      <c r="G35" s="10" t="s">
        <v>14</v>
      </c>
      <c r="H35" s="74" t="s">
        <v>27</v>
      </c>
      <c r="I35" s="74" t="s">
        <v>33</v>
      </c>
      <c r="J35" s="74" t="s">
        <v>35</v>
      </c>
      <c r="K35" s="71" t="s">
        <v>117</v>
      </c>
    </row>
    <row r="36" spans="1:11">
      <c r="A36" s="2"/>
      <c r="B36" s="72">
        <v>11</v>
      </c>
      <c r="C36" s="4"/>
      <c r="D36" s="73" t="s">
        <v>43</v>
      </c>
      <c r="E36" s="11">
        <v>10399</v>
      </c>
      <c r="F36" s="4"/>
      <c r="G36" s="10" t="s">
        <v>46</v>
      </c>
      <c r="H36" s="74" t="s">
        <v>25</v>
      </c>
      <c r="I36" s="74" t="s">
        <v>31</v>
      </c>
      <c r="J36" s="74" t="s">
        <v>116</v>
      </c>
      <c r="K36" s="71" t="s">
        <v>17</v>
      </c>
    </row>
    <row r="37" spans="1:11">
      <c r="A37" s="2"/>
      <c r="B37" s="72">
        <v>12</v>
      </c>
      <c r="C37" s="4"/>
      <c r="D37" s="73" t="s">
        <v>10</v>
      </c>
      <c r="E37" s="11">
        <v>463</v>
      </c>
      <c r="F37" s="4"/>
      <c r="G37" s="10" t="s">
        <v>46</v>
      </c>
      <c r="H37" s="74" t="s">
        <v>27</v>
      </c>
      <c r="I37" s="74" t="s">
        <v>32</v>
      </c>
      <c r="J37" s="10" t="s">
        <v>50</v>
      </c>
      <c r="K37" s="75" t="s">
        <v>50</v>
      </c>
    </row>
    <row r="38" spans="1:11">
      <c r="A38" s="2"/>
      <c r="B38" s="72">
        <v>13</v>
      </c>
      <c r="C38" s="70"/>
      <c r="D38" s="73" t="s">
        <v>44</v>
      </c>
      <c r="E38" s="11">
        <v>0</v>
      </c>
      <c r="F38" s="4"/>
      <c r="G38" s="10" t="s">
        <v>47</v>
      </c>
      <c r="H38" s="74" t="s">
        <v>27</v>
      </c>
      <c r="I38" s="74" t="s">
        <v>32</v>
      </c>
      <c r="J38" s="10" t="s">
        <v>117</v>
      </c>
      <c r="K38" s="75" t="s">
        <v>115</v>
      </c>
    </row>
    <row r="39" spans="1:11">
      <c r="A39" s="2"/>
      <c r="B39" s="72">
        <v>14</v>
      </c>
      <c r="C39" s="4"/>
      <c r="D39" s="73" t="s">
        <v>45</v>
      </c>
      <c r="E39" s="11">
        <v>397</v>
      </c>
      <c r="F39" s="4"/>
      <c r="G39" s="10" t="s">
        <v>48</v>
      </c>
      <c r="H39" s="10" t="s">
        <v>27</v>
      </c>
      <c r="I39" s="10" t="s">
        <v>33</v>
      </c>
      <c r="J39" s="10" t="s">
        <v>117</v>
      </c>
      <c r="K39" s="75" t="s">
        <v>115</v>
      </c>
    </row>
    <row r="40" spans="1:11" ht="13.5" thickBot="1">
      <c r="A40" s="2"/>
      <c r="B40" s="76"/>
      <c r="C40" s="77"/>
      <c r="D40" s="78"/>
      <c r="E40" s="79"/>
      <c r="F40" s="77"/>
      <c r="G40" s="80"/>
      <c r="H40" s="80"/>
      <c r="I40" s="80"/>
      <c r="J40" s="80"/>
      <c r="K40" s="81"/>
    </row>
    <row r="41" spans="1:11">
      <c r="A41" s="2"/>
      <c r="B41" s="3"/>
      <c r="C41" s="2"/>
      <c r="D41" s="2"/>
      <c r="E41" s="2"/>
      <c r="F41" s="2"/>
      <c r="G41" s="2"/>
      <c r="H41" s="2"/>
      <c r="I41" s="2"/>
      <c r="J41" s="3"/>
      <c r="K41" s="2"/>
    </row>
    <row r="42" spans="1:11">
      <c r="A42" s="2"/>
      <c r="B42" s="3"/>
      <c r="C42" s="2"/>
      <c r="D42" s="2"/>
      <c r="E42" s="2"/>
      <c r="F42" s="2"/>
      <c r="G42" s="2"/>
      <c r="H42" s="2"/>
      <c r="I42" s="2"/>
      <c r="J42" s="3"/>
      <c r="K42" s="2"/>
    </row>
    <row r="43" spans="1:11">
      <c r="A43" s="2"/>
      <c r="B43" s="3"/>
      <c r="C43" s="2"/>
      <c r="D43" s="2"/>
      <c r="E43" s="2"/>
      <c r="F43" s="2"/>
      <c r="G43" s="2"/>
      <c r="H43" s="2"/>
      <c r="I43" s="2"/>
      <c r="J43" s="3"/>
      <c r="K43" s="2"/>
    </row>
    <row r="44" spans="1:11">
      <c r="A44" s="2"/>
      <c r="B44" s="1" t="s">
        <v>51</v>
      </c>
      <c r="C44" s="2"/>
      <c r="D44" s="2"/>
      <c r="E44" s="2"/>
      <c r="F44" s="2"/>
      <c r="G44" s="2"/>
      <c r="H44" s="2"/>
      <c r="I44" s="2"/>
      <c r="J44" s="3"/>
      <c r="K44" s="2"/>
    </row>
    <row r="45" spans="1:11">
      <c r="A45" s="2"/>
      <c r="B45" s="3"/>
      <c r="C45" s="2"/>
      <c r="D45" s="2"/>
      <c r="E45" s="2"/>
      <c r="F45" s="2"/>
      <c r="G45" s="2"/>
      <c r="H45" s="2"/>
      <c r="I45" s="2"/>
      <c r="J45" s="3"/>
      <c r="K45" s="2"/>
    </row>
    <row r="46" spans="1:11">
      <c r="A46" s="2"/>
      <c r="B46" s="3"/>
      <c r="C46" s="2"/>
      <c r="D46" s="13" t="s">
        <v>2</v>
      </c>
      <c r="E46" s="13" t="s">
        <v>9</v>
      </c>
      <c r="F46" s="2"/>
      <c r="G46" s="2"/>
      <c r="H46" s="2"/>
      <c r="I46" s="2"/>
      <c r="J46" s="3"/>
      <c r="K46" s="2"/>
    </row>
    <row r="47" spans="1:11">
      <c r="A47" s="2"/>
      <c r="B47" s="2"/>
      <c r="C47" s="13" t="s">
        <v>3</v>
      </c>
      <c r="D47" s="11">
        <f>SQRT(SUMSQ((E6+E7),E8:E10))</f>
        <v>24737.097797912313</v>
      </c>
      <c r="E47" s="11">
        <f>SQRT(SUMSQ(E16:E17))</f>
        <v>9129</v>
      </c>
      <c r="F47" s="2"/>
      <c r="G47" s="14"/>
      <c r="H47" s="2"/>
      <c r="I47" s="2"/>
      <c r="J47" s="3"/>
      <c r="K47" s="2"/>
    </row>
    <row r="48" spans="1:11">
      <c r="A48" s="2"/>
      <c r="B48" s="2"/>
      <c r="C48" s="13" t="s">
        <v>5</v>
      </c>
      <c r="D48" s="12">
        <f>E12</f>
        <v>65.631</v>
      </c>
      <c r="E48" s="11">
        <f>E18</f>
        <v>0</v>
      </c>
      <c r="F48" s="2"/>
      <c r="G48" s="17" t="s">
        <v>53</v>
      </c>
      <c r="H48" s="2"/>
      <c r="I48" s="2"/>
      <c r="J48" s="3"/>
      <c r="K48" s="2"/>
    </row>
    <row r="49" spans="1:11">
      <c r="A49" s="2"/>
      <c r="B49" s="2"/>
      <c r="C49" s="13" t="s">
        <v>6</v>
      </c>
      <c r="D49" s="12">
        <f>E11</f>
        <v>101.43300000000001</v>
      </c>
      <c r="E49" s="11">
        <f>E19</f>
        <v>872</v>
      </c>
      <c r="F49" s="2"/>
      <c r="G49" s="14"/>
      <c r="H49" s="2"/>
      <c r="I49" s="2"/>
      <c r="J49" s="3"/>
      <c r="K49" s="2"/>
    </row>
    <row r="50" spans="1:11">
      <c r="A50" s="2"/>
      <c r="B50" s="2"/>
      <c r="C50" s="13" t="s">
        <v>0</v>
      </c>
      <c r="D50" s="12">
        <f>SQRT(SUMSQ(E13:E15))</f>
        <v>16091.209794913993</v>
      </c>
      <c r="E50" s="11">
        <v>0</v>
      </c>
      <c r="F50" s="2"/>
      <c r="G50" s="14"/>
      <c r="H50" s="2"/>
      <c r="I50" s="2"/>
      <c r="J50" s="3"/>
      <c r="K50" s="2"/>
    </row>
    <row r="51" spans="1:11">
      <c r="A51" s="2"/>
      <c r="B51" s="2"/>
      <c r="C51" s="13"/>
      <c r="D51" s="15"/>
      <c r="E51" s="16"/>
      <c r="F51" s="2"/>
      <c r="G51" s="14"/>
      <c r="H51" s="2"/>
      <c r="I51" s="2"/>
      <c r="J51" s="3"/>
      <c r="K51" s="2"/>
    </row>
    <row r="52" spans="1:11">
      <c r="A52" s="2"/>
      <c r="B52" s="2"/>
      <c r="C52" s="13"/>
      <c r="D52" s="15"/>
      <c r="E52" s="16"/>
      <c r="F52" s="2"/>
      <c r="G52" s="14"/>
      <c r="H52" s="2"/>
      <c r="I52" s="2"/>
      <c r="J52" s="3"/>
      <c r="K52" s="2"/>
    </row>
    <row r="53" spans="1:11">
      <c r="A53" s="2"/>
      <c r="B53" s="3"/>
      <c r="C53" s="2"/>
      <c r="D53" s="2"/>
      <c r="E53" s="2"/>
      <c r="F53" s="2"/>
      <c r="G53" s="14"/>
      <c r="H53" s="2"/>
      <c r="I53" s="2"/>
      <c r="J53" s="3"/>
      <c r="K53" s="2"/>
    </row>
    <row r="54" spans="1:11">
      <c r="A54" s="2"/>
      <c r="B54" s="1" t="s">
        <v>118</v>
      </c>
      <c r="C54" s="2"/>
      <c r="D54" s="2"/>
      <c r="E54" s="2"/>
      <c r="F54" s="2"/>
      <c r="G54" s="2"/>
      <c r="H54" s="2"/>
      <c r="I54" s="2"/>
      <c r="J54" s="3"/>
      <c r="K54" s="2"/>
    </row>
    <row r="55" spans="1:11">
      <c r="A55" s="2"/>
      <c r="B55" s="3"/>
      <c r="C55" s="2"/>
      <c r="D55" s="2"/>
      <c r="E55" s="2"/>
      <c r="F55" s="2"/>
      <c r="G55" s="2"/>
      <c r="H55" s="2"/>
      <c r="I55" s="2"/>
      <c r="J55" s="3"/>
      <c r="K55" s="2"/>
    </row>
    <row r="56" spans="1:11">
      <c r="A56" s="2"/>
      <c r="B56" s="3"/>
      <c r="C56" s="2"/>
      <c r="D56" s="13" t="s">
        <v>2</v>
      </c>
      <c r="E56" s="13" t="s">
        <v>9</v>
      </c>
      <c r="F56" s="2"/>
      <c r="G56" s="2"/>
      <c r="H56" s="2"/>
      <c r="I56" s="2"/>
      <c r="J56" s="3"/>
      <c r="K56" s="2"/>
    </row>
    <row r="57" spans="1:11">
      <c r="A57" s="2"/>
      <c r="B57" s="2"/>
      <c r="C57" s="13" t="s">
        <v>3</v>
      </c>
      <c r="D57" s="11">
        <v>20485</v>
      </c>
      <c r="E57" s="11">
        <v>10462</v>
      </c>
      <c r="F57" s="2"/>
      <c r="G57" s="14"/>
      <c r="H57" s="2"/>
      <c r="I57" s="2"/>
      <c r="J57" s="3"/>
      <c r="K57" s="2"/>
    </row>
    <row r="58" spans="1:11">
      <c r="A58" s="2"/>
      <c r="B58" s="2"/>
      <c r="C58" s="13" t="s">
        <v>5</v>
      </c>
      <c r="D58" s="12">
        <v>44</v>
      </c>
      <c r="E58" s="11">
        <v>0</v>
      </c>
      <c r="F58" s="2"/>
      <c r="G58" s="17" t="s">
        <v>53</v>
      </c>
      <c r="H58" s="2"/>
      <c r="I58" s="2"/>
      <c r="J58" s="3"/>
      <c r="K58" s="2"/>
    </row>
    <row r="59" spans="1:11">
      <c r="A59" s="2"/>
      <c r="B59" s="2"/>
      <c r="C59" s="13" t="s">
        <v>6</v>
      </c>
      <c r="D59" s="12">
        <v>77</v>
      </c>
      <c r="E59" s="11">
        <v>397</v>
      </c>
      <c r="F59" s="2"/>
      <c r="G59" s="2"/>
      <c r="H59" s="2"/>
      <c r="I59" s="2"/>
      <c r="J59" s="3"/>
      <c r="K59" s="2"/>
    </row>
    <row r="60" spans="1:11">
      <c r="A60" s="2"/>
      <c r="B60" s="2"/>
      <c r="C60" s="13" t="s">
        <v>0</v>
      </c>
      <c r="D60" s="12">
        <v>12404</v>
      </c>
      <c r="E60" s="11">
        <v>0</v>
      </c>
      <c r="F60" s="2"/>
      <c r="G60" s="14"/>
      <c r="H60" s="2"/>
      <c r="I60" s="2"/>
      <c r="J60" s="3"/>
      <c r="K60" s="2"/>
    </row>
  </sheetData>
  <mergeCells count="4">
    <mergeCell ref="B3:K3"/>
    <mergeCell ref="C4:D4"/>
    <mergeCell ref="B23:K23"/>
    <mergeCell ref="C24:D24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8"/>
  <sheetViews>
    <sheetView zoomScale="75" workbookViewId="0">
      <selection activeCell="A14" sqref="A14"/>
    </sheetView>
  </sheetViews>
  <sheetFormatPr defaultRowHeight="12.75"/>
  <cols>
    <col min="1" max="1" width="178.7109375" customWidth="1"/>
  </cols>
  <sheetData>
    <row r="1" spans="1:1">
      <c r="A1" t="s">
        <v>105</v>
      </c>
    </row>
    <row r="4" spans="1:1">
      <c r="A4" s="173" t="s">
        <v>181</v>
      </c>
    </row>
    <row r="5" spans="1:1" ht="25.5">
      <c r="A5" s="174" t="s">
        <v>184</v>
      </c>
    </row>
    <row r="8" spans="1:1">
      <c r="A8" s="183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1999</vt:lpstr>
      <vt:lpstr>2000</vt:lpstr>
      <vt:lpstr>9-30-99</vt:lpstr>
      <vt:lpstr>6-30-99</vt:lpstr>
      <vt:lpstr>3-31-99 and 98 end</vt:lpstr>
      <vt:lpstr>Notes</vt:lpstr>
      <vt:lpstr>Chart 2000</vt:lpstr>
      <vt:lpstr>'1999'!Print_Area</vt:lpstr>
      <vt:lpstr>'2000'!Print_Area</vt:lpstr>
      <vt:lpstr>'9-30-99'!Print_Area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Nolen</dc:creator>
  <dc:description>- Oracle 8i ODBC QueryFix Applied</dc:description>
  <cp:lastModifiedBy>Jan Havlíček</cp:lastModifiedBy>
  <cp:lastPrinted>2001-02-05T21:11:42Z</cp:lastPrinted>
  <dcterms:created xsi:type="dcterms:W3CDTF">1998-04-20T23:59:16Z</dcterms:created>
  <dcterms:modified xsi:type="dcterms:W3CDTF">2023-09-18T00:11:20Z</dcterms:modified>
</cp:coreProperties>
</file>