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06C951-2BC4-47D1-8B6D-76DF7AB072ED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E25" i="1"/>
  <c r="G25" i="1"/>
  <c r="I25" i="1"/>
  <c r="K25" i="1"/>
  <c r="M25" i="1"/>
  <c r="Q25" i="1"/>
  <c r="S25" i="1"/>
  <c r="U25" i="1"/>
  <c r="E26" i="1"/>
  <c r="G26" i="1"/>
  <c r="I26" i="1"/>
  <c r="K26" i="1"/>
  <c r="M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<sst xmlns="http://schemas.openxmlformats.org/spreadsheetml/2006/main" count="188" uniqueCount="128">
  <si>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</si>
  <si>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</si>
  <si>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</si>
  <si>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</si>
  <si>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</si>
  <si>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</si>
  <si>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</si>
  <si>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</si>
  <si>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</si>
  <si>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</si>
  <si>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</si>
  <si>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</si>
  <si>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</si>
  <si>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</si>
  <si>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</si>
  <si>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</si>
  <si>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</si>
  <si>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</si>
  <si>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</si>
  <si>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</si>
  <si>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</si>
  <si>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</si>
  <si>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</si>
  <si>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</si>
  <si>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</si>
  <si>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</si>
  <si>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</si>
  <si>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</si>
  <si>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</si>
  <si>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</si>
  <si>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</si>
  <si>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</si>
  <si>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</si>
  <si>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</si>
  <si>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</si>
  <si>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</si>
  <si>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</si>
  <si>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</si>
  <si>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</si>
  <si>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</si>
  <si>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</si>
  <si>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</si>
  <si>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</si>
  <si>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</si>
  <si>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</si>
  <si>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</si>
  <si>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</si>
  <si>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</si>
  <si>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</si>
  <si>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</si>
  <si>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</si>
  <si>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</si>
  <si>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</si>
  <si>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</si>
  <si>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</si>
  <si>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</si>
  <si>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</si>
  <si>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</si>
  <si>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</si>
  <si>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</si>
  <si>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</si>
  <si>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</si>
  <si>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</si>
  <si>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</si>
  <si>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</si>
  <si>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</si>
  <si>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</si>
  <si>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</si>
  <si>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</si>
  <si>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</si>
  <si>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</si>
  <si>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</si>
  <si>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</si>
  <si>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</si>
  <si>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</si>
  <si>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</si>
  <si>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</si>
  <si>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</si>
  <si>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</si>
  <si>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</si>
  <si>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</si>
  <si>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</si>
  <si>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</si>
  <si>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</si>
  <si>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</si>
  <si>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</si>
  <si>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</si>
  <si>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</si>
  <si>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</si>
  <si>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</si>
  <si>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</si>
  <si>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</si>
  <si>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</si>
  <si>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</si>
  <si>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</si>
  <si>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</si>
  <si>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</si>
  <si>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</si>
  <si>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</si>
  <si>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</si>
  <si>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</si>
  <si>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</si>
  <si>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</si>
  <si>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</si>
  <si>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</si>
  <si>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</si>
  <si>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</si>
  <si>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</si>
  <si>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</si>
  <si>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</si>
  <si>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</si>
  <si>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</si>
  <si>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</si>
  <si>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</si>
  <si>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</si>
  <si>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</si>
  <si>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</si>
  <si>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</si>
  <si>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</si>
  <si>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</si>
  <si>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</si>
  <si>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</si>
  <si>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</si>
  <si>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</si>
  <si>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</si>
  <si>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r>
      <t>(3)</t>
    </r>
    <r>
      <rPr>
        <sz val="18"/>
        <rFont val="Arial"/>
        <family val="2"/>
      </rPr>
      <t xml:space="preserve"> </t>
    </r>
    <r>
      <rPr>
        <b/>
        <sz val="18"/>
        <rFont val="Arial"/>
        <family val="2"/>
      </rPr>
      <t xml:space="preserve">Restructuring approved by unitholders 12/7/00.  Annual distribution reduced to $0.80 per year.  </t>
    </r>
  </si>
  <si>
    <t>Date</t>
  </si>
  <si>
    <t>U.S. Treasury 10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</si>
</sst>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5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0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4" fontId="17" fillId="0" borderId="12" xfId="0" applyNumberFormat="1" applyFont="1" applyFill="1" applyBorder="1" applyAlignment="1">
      <alignment horizontal="center"/>
    </xf>
    <xf numFmtId="164" fontId="16" fillId="0" borderId="13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3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15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4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5" xfId="0" applyFont="1" applyFill="1" applyBorder="1" applyAlignment="1" applyProtection="1">
      <alignment horizontal="center"/>
    </xf>
    <xf numFmtId="164" fontId="20" fillId="0" borderId="14" xfId="0" applyFont="1" applyFill="1" applyBorder="1" applyAlignment="1">
      <alignment horizontal="center"/>
    </xf>
    <xf numFmtId="164" fontId="19" fillId="0" borderId="15" xfId="0" applyFont="1" applyFill="1" applyBorder="1" applyAlignment="1">
      <alignment horizontal="center"/>
    </xf>
    <xf numFmtId="164" fontId="20" fillId="0" borderId="14" xfId="0" quotePrefix="1" applyFont="1" applyFill="1" applyBorder="1" applyAlignment="1">
      <alignment horizontal="center"/>
    </xf>
    <xf numFmtId="164" fontId="17" fillId="0" borderId="16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7" xfId="0" applyFont="1" applyFill="1" applyBorder="1"/>
    <xf numFmtId="164" fontId="16" fillId="0" borderId="17" xfId="0" applyFont="1" applyFill="1" applyBorder="1" applyAlignment="1">
      <alignment horizontal="center"/>
    </xf>
    <xf numFmtId="7" fontId="18" fillId="0" borderId="17" xfId="0" applyNumberFormat="1" applyFont="1" applyFill="1" applyBorder="1" applyAlignment="1" applyProtection="1">
      <alignment horizontal="center"/>
    </xf>
    <xf numFmtId="164" fontId="16" fillId="0" borderId="17" xfId="0" applyFont="1" applyFill="1" applyBorder="1" applyAlignment="1"/>
    <xf numFmtId="10" fontId="16" fillId="0" borderId="17" xfId="0" applyNumberFormat="1" applyFont="1" applyFill="1" applyBorder="1" applyAlignment="1" applyProtection="1">
      <alignment horizontal="center"/>
    </xf>
    <xf numFmtId="9" fontId="24" fillId="0" borderId="17" xfId="0" applyNumberFormat="1" applyFont="1" applyFill="1" applyBorder="1" applyAlignment="1" applyProtection="1">
      <alignment horizontal="center"/>
    </xf>
    <xf numFmtId="9" fontId="24" fillId="0" borderId="17" xfId="0" applyNumberFormat="1" applyFont="1" applyFill="1" applyBorder="1" applyAlignment="1" applyProtection="1"/>
    <xf numFmtId="9" fontId="16" fillId="0" borderId="18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2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1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1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2" xfId="0" applyFont="1" applyFill="1" applyBorder="1" applyAlignment="1" applyProtection="1">
      <alignment horizontal="left"/>
    </xf>
    <xf numFmtId="164" fontId="16" fillId="0" borderId="23" xfId="0" applyFont="1" applyFill="1" applyBorder="1"/>
    <xf numFmtId="164" fontId="16" fillId="0" borderId="23" xfId="0" applyFont="1" applyFill="1" applyBorder="1" applyAlignment="1">
      <alignment horizontal="center"/>
    </xf>
    <xf numFmtId="166" fontId="16" fillId="0" borderId="23" xfId="0" applyNumberFormat="1" applyFont="1" applyFill="1" applyBorder="1" applyProtection="1"/>
    <xf numFmtId="7" fontId="16" fillId="0" borderId="23" xfId="0" applyNumberFormat="1" applyFont="1" applyFill="1" applyBorder="1" applyAlignment="1" applyProtection="1"/>
    <xf numFmtId="164" fontId="16" fillId="0" borderId="23" xfId="0" applyFont="1" applyFill="1" applyBorder="1" applyAlignment="1"/>
    <xf numFmtId="10" fontId="16" fillId="0" borderId="23" xfId="0" applyNumberFormat="1" applyFont="1" applyFill="1" applyBorder="1" applyAlignment="1" applyProtection="1">
      <alignment horizontal="center"/>
    </xf>
    <xf numFmtId="1" fontId="16" fillId="0" borderId="23" xfId="3" applyNumberFormat="1" applyFont="1" applyFill="1" applyBorder="1" applyAlignment="1" applyProtection="1">
      <alignment horizontal="center"/>
    </xf>
    <xf numFmtId="9" fontId="16" fillId="0" borderId="23" xfId="0" applyNumberFormat="1" applyFont="1" applyFill="1" applyBorder="1" applyAlignment="1" applyProtection="1">
      <alignment horizontal="center"/>
    </xf>
    <xf numFmtId="9" fontId="16" fillId="0" borderId="23" xfId="0" applyNumberFormat="1" applyFont="1" applyFill="1" applyBorder="1" applyAlignment="1" applyProtection="1">
      <alignment horizontal="right"/>
    </xf>
    <xf numFmtId="9" fontId="16" fillId="0" borderId="24" xfId="0" applyNumberFormat="1" applyFont="1" applyFill="1" applyBorder="1" applyAlignment="1" applyProtection="1">
      <alignment horizontal="center"/>
    </xf>
    <xf numFmtId="43" fontId="17" fillId="0" borderId="14" xfId="1" applyFont="1" applyFill="1" applyBorder="1" applyAlignment="1"/>
    <xf numFmtId="43" fontId="17" fillId="0" borderId="15" xfId="1" applyFont="1" applyFill="1" applyBorder="1" applyAlignment="1"/>
    <xf numFmtId="9" fontId="17" fillId="0" borderId="5" xfId="3" applyFont="1" applyFill="1" applyBorder="1" applyAlignment="1"/>
    <xf numFmtId="9" fontId="17" fillId="0" borderId="15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5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4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5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2" xfId="0" applyNumberFormat="1" applyFont="1" applyFill="1" applyBorder="1" applyAlignment="1" applyProtection="1">
      <alignment horizontal="center"/>
    </xf>
    <xf numFmtId="166" fontId="25" fillId="0" borderId="12" xfId="0" applyNumberFormat="1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26" fillId="0" borderId="16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4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7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7" xfId="0" applyNumberFormat="1" applyFont="1" applyFill="1" applyBorder="1"/>
    <xf numFmtId="7" fontId="18" fillId="0" borderId="19" xfId="0" applyNumberFormat="1" applyFont="1" applyFill="1" applyBorder="1" applyAlignment="1" applyProtection="1"/>
    <xf numFmtId="1" fontId="16" fillId="0" borderId="19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2" xfId="0" applyFont="1" applyFill="1" applyBorder="1"/>
    <xf numFmtId="14" fontId="19" fillId="0" borderId="0" xfId="0" quotePrefix="1" applyNumberFormat="1" applyFont="1" applyFill="1" applyBorder="1" applyAlignment="1">
      <alignment horizontal="center"/>
    </xf>
    <xf numFmtId="164" fontId="19" fillId="0" borderId="5" xfId="0" applyFont="1" applyFill="1" applyBorder="1" applyAlignment="1">
      <alignment horizontal="center"/>
    </xf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4" fontId="17" fillId="0" borderId="11" xfId="0" applyNumberFormat="1" applyFont="1" applyFill="1" applyBorder="1" applyAlignment="1">
      <alignment horizontal="center"/>
    </xf>
    <xf numFmtId="164" fontId="17" fillId="0" borderId="15" xfId="0" applyFont="1" applyFill="1" applyBorder="1" applyAlignment="1">
      <alignment horizontal="center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164" fontId="34" fillId="0" borderId="0" xfId="0" applyFont="1" applyFill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2" xfId="0" applyNumberFormat="1" applyFont="1" applyFill="1" applyBorder="1" applyAlignment="1" applyProtection="1">
      <alignment horizontal="center"/>
    </xf>
    <xf numFmtId="166" fontId="20" fillId="2" borderId="12" xfId="0" applyNumberFormat="1" applyFont="1" applyFill="1" applyBorder="1" applyAlignment="1">
      <alignment horizontal="center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23.88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35.67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47.8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20.98</val>
          </value>
        </values>
      </ddeItem>
      <ddeItem name="EPD,DIVIDEND,1">
        <values>
          <value>
            <val>2.35</val>
          </value>
        </values>
      </ddeItem>
      <ddeItem name="EPD,LAST,1">
        <values>
          <value>
            <val>51.5</val>
          </value>
        </values>
      </ddeItem>
      <ddeItem name="EPN,DIVIDEND,1">
        <values>
          <value>
            <val>2.2999999999999998</val>
          </value>
        </values>
      </ddeItem>
      <ddeItem name="EPN,LAST,1">
        <values>
          <value>
            <val>39.979999999999997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19.5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6.2</val>
          </value>
        </values>
      </ddeItem>
      <ddeItem name="KMP,DIVIDEND,1">
        <values>
          <value>
            <val>2.1</val>
          </value>
        </values>
      </ddeItem>
      <ddeItem name="KMP,LAST,1">
        <values>
          <value>
            <val>36.85</val>
          </value>
        </values>
      </ddeItem>
      <ddeItem name="KPP,DIVIDEND,1">
        <values>
          <value>
            <val>2.8</val>
          </value>
        </values>
      </ddeItem>
      <ddeItem name="KPP,LAST,1">
        <values>
          <value>
            <val>41.19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39.299999999999997</val>
          </value>
        </values>
      </ddeItem>
      <ddeItem name="PAA,DIVIDEND,1">
        <values>
          <value>
            <val>2</val>
          </value>
        </values>
      </ddeItem>
      <ddeItem name="PAA,LAST,1">
        <values>
          <value>
            <val>26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27.08</val>
          </value>
        </values>
      </ddeItem>
      <ddeItem name="TPP,DIVIDEND,1">
        <values>
          <value>
            <val>2.1</val>
          </value>
        </values>
      </ddeItem>
      <ddeItem name="TPP,LAST,1">
        <values>
          <value>
            <val>32.89</val>
          </value>
        </values>
      </ddeItem>
      <ddeItem name="UDL,DIVIDEND,1">
        <values>
          <value>
            <val>0.5</val>
          </value>
        </values>
      </ddeItem>
      <ddeItem name="UDL,LAST,1">
        <values>
          <value>
            <val>36.049999999999997</val>
          </value>
        </values>
      </ddeItem>
      <ddeItem name="WEG,DIVIDEND,1">
        <values>
          <value>
            <val>2.25</val>
          </value>
        </values>
      </ddeItem>
      <ddeItem name="WEG,LAST,1">
        <values>
          <value>
            <val>39.51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2.66406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1" customFormat="1" ht="23.25" x14ac:dyDescent="0.35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110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3.25" x14ac:dyDescent="0.35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37169</v>
      </c>
      <c r="V2" s="119"/>
      <c r="W2" s="279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3.25" x14ac:dyDescent="0.35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3.25" x14ac:dyDescent="0.35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25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3.25" x14ac:dyDescent="0.35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7" t="s">
        <v>9</v>
      </c>
      <c r="AK5" s="143"/>
      <c r="AL5" s="287"/>
      <c r="AM5" s="143"/>
      <c r="AN5" s="144"/>
      <c r="AO5" s="322"/>
      <c r="AP5" s="321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3.25" x14ac:dyDescent="0.35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70" t="s">
        <v>77</v>
      </c>
      <c r="AG6" s="155">
        <v>37162</v>
      </c>
      <c r="AH6" s="270" t="s">
        <v>77</v>
      </c>
      <c r="AI6" s="155">
        <v>37071</v>
      </c>
      <c r="AJ6" s="270" t="s">
        <v>77</v>
      </c>
      <c r="AK6" s="155">
        <v>36889</v>
      </c>
      <c r="AL6" s="270">
        <v>2000</v>
      </c>
      <c r="AM6" s="155">
        <v>36523</v>
      </c>
      <c r="AN6" s="319" t="s">
        <v>98</v>
      </c>
      <c r="AO6" s="323">
        <v>36160</v>
      </c>
      <c r="AP6" s="153">
        <v>1998</v>
      </c>
      <c r="AQ6" s="156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25" x14ac:dyDescent="0.35">
      <c r="A7" s="157" t="s">
        <v>20</v>
      </c>
      <c r="B7" s="74"/>
      <c r="C7" s="157" t="s">
        <v>21</v>
      </c>
      <c r="D7" s="74"/>
      <c r="E7" s="158" t="s">
        <v>22</v>
      </c>
      <c r="F7" s="159"/>
      <c r="G7" s="157" t="s">
        <v>23</v>
      </c>
      <c r="H7" s="96"/>
      <c r="I7" s="160" t="s">
        <v>24</v>
      </c>
      <c r="J7" s="161"/>
      <c r="K7" s="162" t="s">
        <v>25</v>
      </c>
      <c r="L7" s="96"/>
      <c r="M7" s="160" t="s">
        <v>67</v>
      </c>
      <c r="N7" s="96"/>
      <c r="O7" s="163" t="s">
        <v>26</v>
      </c>
      <c r="P7" s="149"/>
      <c r="Q7" s="163" t="s">
        <v>27</v>
      </c>
      <c r="R7" s="149"/>
      <c r="S7" s="164" t="s">
        <v>15</v>
      </c>
      <c r="T7" s="96"/>
      <c r="U7" s="164" t="s">
        <v>15</v>
      </c>
      <c r="V7" s="150"/>
      <c r="W7" s="115"/>
      <c r="X7" s="134"/>
      <c r="Y7" s="165" t="s">
        <v>28</v>
      </c>
      <c r="Z7" s="166" t="s">
        <v>28</v>
      </c>
      <c r="AA7" s="167" t="s">
        <v>29</v>
      </c>
      <c r="AB7" s="167" t="s">
        <v>29</v>
      </c>
      <c r="AC7" s="168"/>
      <c r="AD7" s="169" t="s">
        <v>30</v>
      </c>
      <c r="AE7" s="170" t="s">
        <v>31</v>
      </c>
      <c r="AF7" s="171" t="s">
        <v>27</v>
      </c>
      <c r="AG7" s="172" t="s">
        <v>32</v>
      </c>
      <c r="AH7" s="171" t="s">
        <v>33</v>
      </c>
      <c r="AI7" s="172" t="s">
        <v>32</v>
      </c>
      <c r="AJ7" s="173" t="s">
        <v>99</v>
      </c>
      <c r="AK7" s="172" t="s">
        <v>32</v>
      </c>
      <c r="AL7" s="173" t="s">
        <v>99</v>
      </c>
      <c r="AM7" s="172" t="s">
        <v>32</v>
      </c>
      <c r="AN7" s="320" t="s">
        <v>34</v>
      </c>
      <c r="AO7" s="324" t="s">
        <v>32</v>
      </c>
      <c r="AP7" s="169" t="s">
        <v>34</v>
      </c>
      <c r="AQ7" s="174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3.25" x14ac:dyDescent="0.35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5"/>
      <c r="W8" s="115"/>
      <c r="X8" s="134"/>
      <c r="Y8" s="176"/>
      <c r="Z8" s="177"/>
      <c r="AA8" s="178"/>
      <c r="AB8" s="177"/>
      <c r="AC8" s="74"/>
      <c r="AD8" s="179"/>
      <c r="AE8" s="180"/>
      <c r="AF8" s="181"/>
      <c r="AG8" s="181"/>
      <c r="AH8" s="181"/>
      <c r="AI8" s="181"/>
      <c r="AJ8" s="181"/>
      <c r="AK8" s="181"/>
      <c r="AL8" s="317"/>
      <c r="AM8" s="181"/>
      <c r="AN8" s="317"/>
      <c r="AO8" s="181"/>
      <c r="AP8" s="265"/>
      <c r="AQ8" s="237"/>
      <c r="AR8" s="182"/>
      <c r="AS8" s="182"/>
      <c r="AT8" s="182"/>
      <c r="AU8" s="183"/>
      <c r="AV8" s="183"/>
      <c r="AW8" s="183"/>
      <c r="AX8" s="183"/>
      <c r="AY8" s="94"/>
      <c r="AZ8" s="147"/>
    </row>
    <row r="9" spans="1:54" ht="18.75" thickBot="1" x14ac:dyDescent="0.3">
      <c r="Y9" s="314"/>
      <c r="AA9" s="314"/>
      <c r="AC9" s="315"/>
      <c r="AF9" s="316"/>
      <c r="AL9" s="316"/>
      <c r="AN9" s="316"/>
      <c r="AP9" s="318"/>
      <c r="AQ9" s="318"/>
    </row>
    <row r="10" spans="1:54" s="81" customFormat="1" ht="23.25" x14ac:dyDescent="0.35">
      <c r="A10" s="310" t="s">
        <v>37</v>
      </c>
      <c r="B10" s="184"/>
      <c r="C10" s="185" t="s">
        <v>38</v>
      </c>
      <c r="D10" s="184"/>
      <c r="E10" s="186">
        <f>[1]!'EOT,LAST,1'</f>
        <v>20.98</v>
      </c>
      <c r="F10" s="311"/>
      <c r="G10" s="186">
        <f>[1]!'EOT,DIVIDEND,1'</f>
        <v>1.9</v>
      </c>
      <c r="H10" s="187"/>
      <c r="I10" s="188">
        <f>+G10/E10</f>
        <v>9.0562440419447082E-2</v>
      </c>
      <c r="J10" s="188"/>
      <c r="K10" s="302">
        <f>(+I10-E$30)*10000</f>
        <v>421.62440419447086</v>
      </c>
      <c r="L10" s="185"/>
      <c r="M10" s="188">
        <f>(I10*AA10)+((I10*(1-AA10))*(1-0.3))</f>
        <v>8.920400381315538E-2</v>
      </c>
      <c r="N10" s="185"/>
      <c r="O10" s="189">
        <f>+G10/Z10</f>
        <v>1.7117117117117118</v>
      </c>
      <c r="P10" s="190"/>
      <c r="Q10" s="189">
        <f>(AF10+$E10-AG10)/AG10</f>
        <v>5.9595959595959577E-2</v>
      </c>
      <c r="R10" s="190"/>
      <c r="S10" s="189">
        <f>(AH10+$E10-AI10)/AI10</f>
        <v>0.16603260869565237</v>
      </c>
      <c r="T10" s="187"/>
      <c r="U10" s="191">
        <f>(AJ10+E10-AK10)/AK10</f>
        <v>0.36824427480916039</v>
      </c>
      <c r="V10" s="192"/>
      <c r="W10" s="115"/>
      <c r="X10" s="134"/>
      <c r="Y10" s="291">
        <f>G58</f>
        <v>0.8859999999999999</v>
      </c>
      <c r="Z10" s="292">
        <f>I58</f>
        <v>1.1099999999999999</v>
      </c>
      <c r="AA10" s="193">
        <v>0.95</v>
      </c>
      <c r="AB10" s="194"/>
      <c r="AD10" s="195">
        <v>37099</v>
      </c>
      <c r="AE10" s="305">
        <v>0.47499999999999998</v>
      </c>
      <c r="AF10" s="308"/>
      <c r="AG10" s="210">
        <v>19.8</v>
      </c>
      <c r="AH10" s="308">
        <v>0.47499999999999998</v>
      </c>
      <c r="AI10" s="210">
        <v>18.399999999999999</v>
      </c>
      <c r="AJ10" s="197">
        <f>0.475*3</f>
        <v>1.4249999999999998</v>
      </c>
      <c r="AK10" s="196">
        <v>16.375</v>
      </c>
      <c r="AL10" s="289">
        <f>0.475*4</f>
        <v>1.9</v>
      </c>
      <c r="AM10" s="196">
        <v>13</v>
      </c>
      <c r="AN10" s="197">
        <f>0.475*4</f>
        <v>1.9</v>
      </c>
      <c r="AO10" s="196">
        <v>15.75</v>
      </c>
      <c r="AP10" s="199">
        <f>0.475+0.475+0.475+0.475</f>
        <v>1.9</v>
      </c>
      <c r="AQ10" s="198">
        <v>17.125</v>
      </c>
      <c r="AR10" s="182"/>
      <c r="AS10" s="183"/>
      <c r="AT10" s="80"/>
      <c r="AU10" s="183"/>
      <c r="AV10" s="183"/>
      <c r="AW10" s="80"/>
      <c r="AX10" s="200"/>
      <c r="AY10" s="201"/>
      <c r="AZ10" s="76"/>
      <c r="BA10" s="76"/>
    </row>
    <row r="11" spans="1:54" s="81" customFormat="1" ht="24" thickBot="1" x14ac:dyDescent="0.4">
      <c r="A11" s="303" t="s">
        <v>35</v>
      </c>
      <c r="B11" s="202"/>
      <c r="C11" s="203" t="s">
        <v>36</v>
      </c>
      <c r="D11" s="202"/>
      <c r="E11" s="204">
        <f>[1]!'NBP,LAST,1'</f>
        <v>39.299999999999997</v>
      </c>
      <c r="F11" s="312"/>
      <c r="G11" s="204">
        <f>[1]!'NBP,DIVIDEND,1'</f>
        <v>3.05</v>
      </c>
      <c r="H11" s="205"/>
      <c r="I11" s="206">
        <f>+G11/E11</f>
        <v>7.7608142493638677E-2</v>
      </c>
      <c r="J11" s="206"/>
      <c r="K11" s="313">
        <f>(+I11-E$30)*10000</f>
        <v>292.08142493638678</v>
      </c>
      <c r="L11" s="203"/>
      <c r="M11" s="206">
        <f>(I11*AA11)+((I11*(1-AA11))*(1-0.3))</f>
        <v>7.6444020356234099E-2</v>
      </c>
      <c r="N11" s="203"/>
      <c r="O11" s="207">
        <f>+G11/Z11</f>
        <v>1.0385925085130534</v>
      </c>
      <c r="P11" s="208"/>
      <c r="Q11" s="207">
        <f>(AF11+$E11-AG11)/AG11</f>
        <v>1.1583011583011473E-2</v>
      </c>
      <c r="R11" s="208"/>
      <c r="S11" s="207">
        <f>(AH11+$E11-AI11)/AI11</f>
        <v>5.6221987872396531E-2</v>
      </c>
      <c r="T11" s="205"/>
      <c r="U11" s="209">
        <f>(AJ11+$E11-AK11)/AK11</f>
        <v>0.32350597609561749</v>
      </c>
      <c r="V11" s="192"/>
      <c r="W11" s="115"/>
      <c r="X11" s="134"/>
      <c r="Y11" s="291">
        <f>S58</f>
        <v>2.5150000000000001</v>
      </c>
      <c r="Z11" s="292">
        <f>U58</f>
        <v>2.9366666666666665</v>
      </c>
      <c r="AA11" s="193">
        <v>0.95</v>
      </c>
      <c r="AB11" s="194"/>
      <c r="AC11" s="74"/>
      <c r="AD11" s="195">
        <v>37099</v>
      </c>
      <c r="AE11" s="305">
        <v>0.76249999999999996</v>
      </c>
      <c r="AF11" s="308"/>
      <c r="AG11" s="210">
        <v>38.85</v>
      </c>
      <c r="AH11" s="308">
        <v>0.76249999999999996</v>
      </c>
      <c r="AI11" s="210">
        <v>37.93</v>
      </c>
      <c r="AJ11" s="197">
        <f>0.7+0.7625+0.7625</f>
        <v>2.2249999999999996</v>
      </c>
      <c r="AK11" s="196">
        <v>31.375</v>
      </c>
      <c r="AL11" s="289">
        <f>0.65*3+0.7</f>
        <v>2.6500000000000004</v>
      </c>
      <c r="AM11" s="196">
        <v>23</v>
      </c>
      <c r="AN11" s="197">
        <f>0.61*3+0.65</f>
        <v>2.48</v>
      </c>
      <c r="AO11" s="196">
        <v>32.5625</v>
      </c>
      <c r="AP11" s="355">
        <f>0.575+0.575+0.575+0.575</f>
        <v>2.2999999999999998</v>
      </c>
      <c r="AQ11" s="198">
        <v>34</v>
      </c>
      <c r="AR11" s="182"/>
      <c r="AS11" s="183"/>
      <c r="AT11" s="183"/>
      <c r="AU11" s="183"/>
      <c r="AV11" s="183"/>
      <c r="AW11" s="80"/>
      <c r="AX11" s="200"/>
      <c r="AY11" s="201"/>
    </row>
    <row r="12" spans="1:54" s="81" customFormat="1" ht="23.25" x14ac:dyDescent="0.35">
      <c r="A12" s="74"/>
      <c r="B12" s="74"/>
      <c r="C12" s="112"/>
      <c r="D12" s="74"/>
      <c r="E12" s="210"/>
      <c r="F12" s="211"/>
      <c r="G12" s="210"/>
      <c r="H12" s="96"/>
      <c r="I12" s="97"/>
      <c r="J12" s="97"/>
      <c r="K12" s="212"/>
      <c r="L12" s="94"/>
      <c r="M12" s="97"/>
      <c r="N12" s="94"/>
      <c r="O12" s="149"/>
      <c r="P12" s="213"/>
      <c r="Q12" s="149"/>
      <c r="R12" s="213"/>
      <c r="S12" s="149"/>
      <c r="T12" s="96"/>
      <c r="U12" s="214"/>
      <c r="V12" s="192"/>
      <c r="W12" s="115"/>
      <c r="X12" s="134"/>
      <c r="Y12" s="291"/>
      <c r="Z12" s="292"/>
      <c r="AA12" s="193"/>
      <c r="AB12" s="194"/>
      <c r="AC12" s="74"/>
      <c r="AD12" s="215"/>
      <c r="AE12" s="305"/>
      <c r="AF12" s="197"/>
      <c r="AG12" s="210"/>
      <c r="AH12" s="197"/>
      <c r="AI12" s="210"/>
      <c r="AJ12" s="197"/>
      <c r="AK12" s="196"/>
      <c r="AL12" s="289"/>
      <c r="AM12" s="196"/>
      <c r="AN12" s="197"/>
      <c r="AO12" s="196"/>
      <c r="AP12" s="266"/>
      <c r="AQ12" s="216"/>
      <c r="AR12" s="182"/>
      <c r="AS12" s="183"/>
      <c r="AT12" s="80"/>
      <c r="AU12" s="183"/>
      <c r="AV12" s="183"/>
      <c r="AW12" s="80"/>
      <c r="AX12" s="200"/>
      <c r="AY12" s="201"/>
      <c r="AZ12" s="76"/>
      <c r="BA12" s="76"/>
    </row>
    <row r="13" spans="1:54" s="81" customFormat="1" ht="26.25" x14ac:dyDescent="0.35">
      <c r="A13" s="111" t="s">
        <v>68</v>
      </c>
      <c r="B13" s="74"/>
      <c r="C13" s="128" t="s">
        <v>39</v>
      </c>
      <c r="D13" s="74"/>
      <c r="E13" s="210">
        <f>[1]!'APU,LAST,1'</f>
        <v>23.88</v>
      </c>
      <c r="F13" s="211"/>
      <c r="G13" s="210">
        <f>[1]!'APU,DIVIDEND,1'</f>
        <v>2.2000000000000002</v>
      </c>
      <c r="H13" s="96"/>
      <c r="I13" s="161">
        <f t="shared" ref="I13:I24" si="0">+G13/E13</f>
        <v>9.212730318257957E-2</v>
      </c>
      <c r="J13" s="161"/>
      <c r="K13" s="217">
        <f t="shared" ref="K13:K24" si="1">(+I13-E$30)*10000</f>
        <v>437.27303182579573</v>
      </c>
      <c r="L13" s="94"/>
      <c r="M13" s="161">
        <f t="shared" ref="M13:M24" si="2">(I13*AA13)+((I13*(1-AA13))*(1-0.3))</f>
        <v>8.3835845896147398E-2</v>
      </c>
      <c r="N13" s="94"/>
      <c r="O13" s="149">
        <f>+G13/Y13</f>
        <v>1.9819819819819819</v>
      </c>
      <c r="P13" s="213"/>
      <c r="Q13" s="149">
        <f t="shared" ref="Q13:Q24" si="3">(AF13+$E13-AG13)/AG13</f>
        <v>4.0069686411149746E-2</v>
      </c>
      <c r="R13" s="213"/>
      <c r="S13" s="149">
        <f t="shared" ref="S13:S24" si="4">(AH13+$E13-AI13)/AI13</f>
        <v>5.0752688172042995E-2</v>
      </c>
      <c r="T13" s="96"/>
      <c r="U13" s="218">
        <f>(AJ13+E13-AK13)/AK13</f>
        <v>0.5356390977443608</v>
      </c>
      <c r="V13" s="192"/>
      <c r="W13" s="115"/>
      <c r="X13" s="134"/>
      <c r="Y13" s="291">
        <v>1.1100000000000001</v>
      </c>
      <c r="Z13" s="292">
        <v>1.1200000000000001</v>
      </c>
      <c r="AA13" s="193">
        <v>0.7</v>
      </c>
      <c r="AB13" s="219"/>
      <c r="AC13" s="74"/>
      <c r="AD13" s="195">
        <v>37111</v>
      </c>
      <c r="AE13" s="305">
        <v>0.55000000000000004</v>
      </c>
      <c r="AF13" s="309"/>
      <c r="AG13" s="210">
        <v>22.96</v>
      </c>
      <c r="AH13" s="309">
        <v>0.55000000000000004</v>
      </c>
      <c r="AI13" s="210">
        <v>23.25</v>
      </c>
      <c r="AJ13" s="296">
        <f>0.55*3</f>
        <v>1.6500000000000001</v>
      </c>
      <c r="AK13" s="196">
        <v>16.625</v>
      </c>
      <c r="AL13" s="289">
        <f>0.55*4</f>
        <v>2.2000000000000002</v>
      </c>
      <c r="AM13" s="196">
        <v>14.875</v>
      </c>
      <c r="AN13" s="197">
        <f>0.55*4</f>
        <v>2.2000000000000002</v>
      </c>
      <c r="AO13" s="196">
        <v>22.875</v>
      </c>
      <c r="AP13" s="199">
        <f>0.55+0.55+0.55+0.55</f>
        <v>2.2000000000000002</v>
      </c>
      <c r="AQ13" s="220">
        <v>25.1875</v>
      </c>
      <c r="AR13" s="182"/>
      <c r="AS13" s="183"/>
      <c r="AT13" s="80"/>
      <c r="AU13" s="183"/>
      <c r="AV13" s="183"/>
      <c r="AW13" s="80"/>
      <c r="AX13" s="221"/>
      <c r="AY13" s="201"/>
    </row>
    <row r="14" spans="1:54" s="81" customFormat="1" ht="23.25" x14ac:dyDescent="0.35">
      <c r="A14" s="111" t="s">
        <v>40</v>
      </c>
      <c r="B14" s="74"/>
      <c r="C14" s="128" t="s">
        <v>41</v>
      </c>
      <c r="D14" s="74"/>
      <c r="E14" s="210">
        <f>[1]!'BPL,LAST,1'</f>
        <v>35.67</v>
      </c>
      <c r="F14" s="211"/>
      <c r="G14" s="210">
        <f>[1]!'BPL,DIVIDEND,1'</f>
        <v>2.5</v>
      </c>
      <c r="H14" s="96"/>
      <c r="I14" s="161">
        <f t="shared" si="0"/>
        <v>7.0086907765629383E-2</v>
      </c>
      <c r="J14" s="161"/>
      <c r="K14" s="217">
        <f t="shared" si="1"/>
        <v>216.86907765629385</v>
      </c>
      <c r="L14" s="94"/>
      <c r="M14" s="161">
        <f t="shared" si="2"/>
        <v>6.4830389683207187E-2</v>
      </c>
      <c r="N14" s="94"/>
      <c r="O14" s="149">
        <f t="shared" ref="O14:O24" si="5">+G14/Z14</f>
        <v>1.0040160642570279</v>
      </c>
      <c r="P14" s="213"/>
      <c r="Q14" s="149">
        <f t="shared" si="3"/>
        <v>2.9437229437229529E-2</v>
      </c>
      <c r="R14" s="213"/>
      <c r="S14" s="149">
        <f t="shared" si="4"/>
        <v>5.1419466975666232E-2</v>
      </c>
      <c r="T14" s="96"/>
      <c r="U14" s="218">
        <f t="shared" ref="U14:U24" si="6">(AJ14+E14-AK14)/AK14</f>
        <v>0.2985281385281387</v>
      </c>
      <c r="V14" s="192"/>
      <c r="W14" s="115"/>
      <c r="X14" s="134"/>
      <c r="Y14" s="291">
        <v>2.41</v>
      </c>
      <c r="Z14" s="292">
        <v>2.4900000000000002</v>
      </c>
      <c r="AA14" s="193">
        <v>0.75</v>
      </c>
      <c r="AB14" s="194"/>
      <c r="AC14" s="74"/>
      <c r="AD14" s="195">
        <v>37105</v>
      </c>
      <c r="AE14" s="305">
        <v>0.625</v>
      </c>
      <c r="AF14" s="308"/>
      <c r="AG14" s="210">
        <v>34.65</v>
      </c>
      <c r="AH14" s="308">
        <v>0.625</v>
      </c>
      <c r="AI14" s="210">
        <v>34.520000000000003</v>
      </c>
      <c r="AJ14" s="197">
        <f>(0.6*2)+0.625</f>
        <v>1.825</v>
      </c>
      <c r="AK14" s="196">
        <v>28.875</v>
      </c>
      <c r="AL14" s="289">
        <f>0.6*4</f>
        <v>2.4</v>
      </c>
      <c r="AM14" s="196">
        <v>26</v>
      </c>
      <c r="AN14" s="197">
        <f>0.525+0.55*3</f>
        <v>2.1750000000000003</v>
      </c>
      <c r="AO14" s="196">
        <v>29</v>
      </c>
      <c r="AP14" s="199">
        <f>0.525+0.525+0.525+0.525</f>
        <v>2.1</v>
      </c>
      <c r="AQ14" s="220">
        <f>57.9375/2</f>
        <v>28.96875</v>
      </c>
      <c r="AR14" s="182"/>
      <c r="AS14" s="183"/>
      <c r="AT14" s="80"/>
      <c r="AU14" s="183"/>
      <c r="AV14" s="183"/>
      <c r="AW14" s="80"/>
      <c r="AX14" s="200"/>
      <c r="AY14" s="201"/>
    </row>
    <row r="15" spans="1:54" s="81" customFormat="1" ht="23.25" x14ac:dyDescent="0.35">
      <c r="A15" s="111" t="s">
        <v>95</v>
      </c>
      <c r="B15" s="74"/>
      <c r="C15" s="128" t="s">
        <v>96</v>
      </c>
      <c r="D15" s="74"/>
      <c r="E15" s="210">
        <f>[1]!'EPN,LAST,1'</f>
        <v>39.979999999999997</v>
      </c>
      <c r="F15" s="211"/>
      <c r="G15" s="210">
        <f>[1]!'EPN,DIVIDEND,1'</f>
        <v>2.2999999999999998</v>
      </c>
      <c r="H15" s="96"/>
      <c r="I15" s="161">
        <f t="shared" si="0"/>
        <v>5.7528764382191094E-2</v>
      </c>
      <c r="J15" s="161"/>
      <c r="K15" s="217">
        <f t="shared" si="1"/>
        <v>91.287643821910962</v>
      </c>
      <c r="L15" s="94"/>
      <c r="M15" s="161">
        <f>(I15*AA15)+((I15*(1-AA15))*(1-0.3))</f>
        <v>5.68384192096048E-2</v>
      </c>
      <c r="N15" s="94"/>
      <c r="O15" s="149">
        <f>+G15/Z15</f>
        <v>2.6436781609195399</v>
      </c>
      <c r="P15" s="213"/>
      <c r="Q15" s="149">
        <f>(AF15+$E15-AG15)/AG15</f>
        <v>9.8351648351648308E-2</v>
      </c>
      <c r="R15" s="213"/>
      <c r="S15" s="149">
        <f>(AH15+$E15-AI15)/AI15</f>
        <v>0.2882782719186785</v>
      </c>
      <c r="T15" s="96"/>
      <c r="U15" s="218">
        <f t="shared" si="6"/>
        <v>0.51908883826879271</v>
      </c>
      <c r="V15" s="225"/>
      <c r="W15" s="115"/>
      <c r="X15" s="134"/>
      <c r="Y15" s="293">
        <v>0.54</v>
      </c>
      <c r="Z15" s="294">
        <v>0.87</v>
      </c>
      <c r="AA15" s="226">
        <v>0.96</v>
      </c>
      <c r="AB15" s="228"/>
      <c r="AC15" s="74"/>
      <c r="AD15" s="195">
        <v>37099</v>
      </c>
      <c r="AE15" s="306">
        <v>0.57499999999999996</v>
      </c>
      <c r="AF15" s="307"/>
      <c r="AG15" s="210">
        <v>36.4</v>
      </c>
      <c r="AH15" s="307">
        <v>0.57499999999999996</v>
      </c>
      <c r="AI15" s="210">
        <v>31.48</v>
      </c>
      <c r="AJ15" s="224">
        <f>0.55+(0.575*2)</f>
        <v>1.7</v>
      </c>
      <c r="AK15" s="223">
        <v>27.4375</v>
      </c>
      <c r="AL15" s="290">
        <f>0.525+0.5375*2+0.55</f>
        <v>2.1500000000000004</v>
      </c>
      <c r="AM15" s="223">
        <v>19</v>
      </c>
      <c r="AN15" s="224">
        <f>0.525*4</f>
        <v>2.1</v>
      </c>
      <c r="AO15" s="223">
        <v>20.125</v>
      </c>
      <c r="AP15" s="356">
        <f>0.5+0.525+0.525+0.525</f>
        <v>2.0749999999999997</v>
      </c>
      <c r="AQ15" s="220">
        <v>30.625</v>
      </c>
      <c r="AR15" s="182"/>
      <c r="AS15" s="183"/>
      <c r="AT15" s="80"/>
      <c r="AU15" s="183"/>
      <c r="AV15" s="183"/>
      <c r="AW15" s="80"/>
      <c r="AX15" s="200"/>
      <c r="AY15" s="201"/>
    </row>
    <row r="16" spans="1:54" s="81" customFormat="1" ht="23.25" x14ac:dyDescent="0.35">
      <c r="A16" s="111" t="s">
        <v>121</v>
      </c>
      <c r="B16" s="74"/>
      <c r="C16" s="128" t="s">
        <v>122</v>
      </c>
      <c r="D16" s="74"/>
      <c r="E16" s="210">
        <f>[1]!'EPD,LAST,1'</f>
        <v>51.5</v>
      </c>
      <c r="F16" s="211"/>
      <c r="G16" s="210">
        <f>[1]!'EPD,DIVIDEND,1'</f>
        <v>2.35</v>
      </c>
      <c r="H16" s="96"/>
      <c r="I16" s="161">
        <f t="shared" si="0"/>
        <v>4.5631067961165048E-2</v>
      </c>
      <c r="J16" s="161"/>
      <c r="K16" s="217">
        <f>(+I16-E$30)*10000</f>
        <v>-27.689320388349508</v>
      </c>
      <c r="L16" s="94"/>
      <c r="M16" s="161">
        <f>(I16*AA16)+((I16*(1-AA16))*(1-0.3))</f>
        <v>3.1941747572815531E-2</v>
      </c>
      <c r="N16" s="94"/>
      <c r="O16" s="149">
        <f>+G16/Z16</f>
        <v>0.92519685039370081</v>
      </c>
      <c r="P16" s="213"/>
      <c r="Q16" s="149">
        <f>(AF16+$E16-AG16)/AG16</f>
        <v>0.11231101511879056</v>
      </c>
      <c r="R16" s="213"/>
      <c r="S16" s="149">
        <f>(AH16+$E16-AI16)/AI16</f>
        <v>0.35292207792207786</v>
      </c>
      <c r="T16" s="96"/>
      <c r="U16" s="218">
        <f>(AJ16+E16-AK16)/AK16</f>
        <v>0.69184890656063613</v>
      </c>
      <c r="V16" s="225"/>
      <c r="W16" s="115"/>
      <c r="X16" s="134"/>
      <c r="Y16" s="293">
        <v>2.2799999999999998</v>
      </c>
      <c r="Z16" s="294">
        <v>2.54</v>
      </c>
      <c r="AA16" s="226"/>
      <c r="AB16" s="228"/>
      <c r="AC16" s="74"/>
      <c r="AD16" s="195">
        <v>37099</v>
      </c>
      <c r="AE16" s="306">
        <v>0.58750000000000002</v>
      </c>
      <c r="AF16" s="307"/>
      <c r="AG16" s="210">
        <v>46.3</v>
      </c>
      <c r="AH16" s="307">
        <v>0.58750000000000002</v>
      </c>
      <c r="AI16" s="210">
        <v>38.5</v>
      </c>
      <c r="AJ16" s="224">
        <f>(0.55*2)+0.5875</f>
        <v>1.6875</v>
      </c>
      <c r="AK16" s="223">
        <v>31.4375</v>
      </c>
      <c r="AL16" s="290">
        <f>0.525+0.525+0.5+0.5</f>
        <v>2.0499999999999998</v>
      </c>
      <c r="AM16" s="223">
        <v>18.4375</v>
      </c>
      <c r="AN16" s="224">
        <f>0.45+0.45+0.45+0.45</f>
        <v>1.8</v>
      </c>
      <c r="AO16" s="223">
        <v>14.875</v>
      </c>
      <c r="AP16" s="199">
        <v>0.32</v>
      </c>
      <c r="AQ16" s="271" t="s">
        <v>113</v>
      </c>
      <c r="AR16" s="182"/>
      <c r="AS16" s="183"/>
      <c r="AT16" s="80"/>
      <c r="AU16" s="183"/>
      <c r="AV16" s="183"/>
      <c r="AW16" s="80"/>
      <c r="AX16" s="200"/>
      <c r="AY16" s="201"/>
    </row>
    <row r="17" spans="1:54" s="81" customFormat="1" ht="26.25" x14ac:dyDescent="0.35">
      <c r="A17" s="111" t="s">
        <v>69</v>
      </c>
      <c r="B17" s="74"/>
      <c r="C17" s="128" t="s">
        <v>42</v>
      </c>
      <c r="D17" s="74"/>
      <c r="E17" s="210">
        <f>[1]!'FGP,LAST,1'</f>
        <v>19.5</v>
      </c>
      <c r="F17" s="211"/>
      <c r="G17" s="210">
        <f>[1]!'FGP,DIVIDEND,1'</f>
        <v>2</v>
      </c>
      <c r="H17" s="96"/>
      <c r="I17" s="161">
        <f t="shared" si="0"/>
        <v>0.10256410256410256</v>
      </c>
      <c r="J17" s="161"/>
      <c r="K17" s="217">
        <f t="shared" si="1"/>
        <v>541.64102564102564</v>
      </c>
      <c r="L17" s="94"/>
      <c r="M17" s="161">
        <f t="shared" si="2"/>
        <v>0.10194871794871795</v>
      </c>
      <c r="N17" s="94"/>
      <c r="O17" s="149">
        <f t="shared" si="5"/>
        <v>2.150537634408602</v>
      </c>
      <c r="P17" s="222"/>
      <c r="Q17" s="149">
        <f t="shared" si="3"/>
        <v>1.7745302713987467E-2</v>
      </c>
      <c r="R17" s="222"/>
      <c r="S17" s="149">
        <f t="shared" si="4"/>
        <v>3.3591731266149796E-2</v>
      </c>
      <c r="T17" s="96"/>
      <c r="U17" s="218">
        <f t="shared" si="6"/>
        <v>0.59241706161137442</v>
      </c>
      <c r="V17" s="192"/>
      <c r="W17" s="115"/>
      <c r="X17" s="134"/>
      <c r="Y17" s="291">
        <v>1.58</v>
      </c>
      <c r="Z17" s="292">
        <v>0.93</v>
      </c>
      <c r="AA17" s="193">
        <v>0.98</v>
      </c>
      <c r="AB17" s="194"/>
      <c r="AC17" s="74"/>
      <c r="AD17" s="195">
        <v>37132</v>
      </c>
      <c r="AE17" s="305">
        <v>0.5</v>
      </c>
      <c r="AF17" s="308"/>
      <c r="AG17" s="210">
        <v>19.16</v>
      </c>
      <c r="AH17" s="308">
        <v>0.5</v>
      </c>
      <c r="AI17" s="210">
        <v>19.350000000000001</v>
      </c>
      <c r="AJ17" s="197">
        <f>0.5*3</f>
        <v>1.5</v>
      </c>
      <c r="AK17" s="196">
        <v>13.1875</v>
      </c>
      <c r="AL17" s="289">
        <f>0.5+0.5+0.5+0.5</f>
        <v>2</v>
      </c>
      <c r="AM17" s="196">
        <v>12.625</v>
      </c>
      <c r="AN17" s="197">
        <f>0.5*4</f>
        <v>2</v>
      </c>
      <c r="AO17" s="196">
        <v>17.25</v>
      </c>
      <c r="AP17" s="199">
        <f>0.5+0.5+0.5+0.5</f>
        <v>2</v>
      </c>
      <c r="AQ17" s="220">
        <v>22.375</v>
      </c>
      <c r="AR17" s="182"/>
      <c r="AS17" s="183"/>
      <c r="AT17" s="80"/>
      <c r="AU17" s="183"/>
      <c r="AV17" s="183"/>
      <c r="AW17" s="80"/>
      <c r="AX17" s="200"/>
      <c r="AY17" s="201"/>
    </row>
    <row r="18" spans="1:54" s="81" customFormat="1" ht="23.25" x14ac:dyDescent="0.35">
      <c r="A18" s="111" t="s">
        <v>104</v>
      </c>
      <c r="B18" s="74"/>
      <c r="C18" s="128" t="s">
        <v>43</v>
      </c>
      <c r="D18" s="74"/>
      <c r="E18" s="210">
        <f>[1]!'GEL,LAST,1'</f>
        <v>6.2</v>
      </c>
      <c r="F18" s="211"/>
      <c r="G18" s="210">
        <f>[1]!'GEL,DIVIDEND,1'</f>
        <v>0.8</v>
      </c>
      <c r="H18" s="295" t="s">
        <v>107</v>
      </c>
      <c r="I18" s="161">
        <f t="shared" si="0"/>
        <v>0.12903225806451613</v>
      </c>
      <c r="J18" s="161"/>
      <c r="K18" s="217">
        <f t="shared" si="1"/>
        <v>806.32258064516122</v>
      </c>
      <c r="L18" s="94"/>
      <c r="M18" s="161">
        <f t="shared" si="2"/>
        <v>0.12903225806451613</v>
      </c>
      <c r="N18" s="94"/>
      <c r="O18" s="149" t="s">
        <v>113</v>
      </c>
      <c r="P18" s="213"/>
      <c r="Q18" s="149">
        <f t="shared" si="3"/>
        <v>6.5292096219931248E-2</v>
      </c>
      <c r="R18" s="213"/>
      <c r="S18" s="149">
        <f t="shared" si="4"/>
        <v>0.48837209302325596</v>
      </c>
      <c r="T18" s="96"/>
      <c r="U18" s="218">
        <f t="shared" si="6"/>
        <v>0.87586206896551744</v>
      </c>
      <c r="V18" s="192"/>
      <c r="W18" s="115"/>
      <c r="X18" s="134"/>
      <c r="Y18" s="291">
        <v>0.1</v>
      </c>
      <c r="Z18" s="292">
        <v>0.15</v>
      </c>
      <c r="AA18" s="193">
        <v>1</v>
      </c>
      <c r="AB18" s="194"/>
      <c r="AC18" s="74"/>
      <c r="AD18" s="195">
        <v>37099</v>
      </c>
      <c r="AE18" s="306">
        <v>0.2</v>
      </c>
      <c r="AF18" s="307"/>
      <c r="AG18" s="210">
        <v>5.82</v>
      </c>
      <c r="AH18" s="307">
        <v>0.2</v>
      </c>
      <c r="AI18" s="210">
        <v>4.3</v>
      </c>
      <c r="AJ18" s="224">
        <f>0.2*3</f>
        <v>0.60000000000000009</v>
      </c>
      <c r="AK18" s="223">
        <v>3.625</v>
      </c>
      <c r="AL18" s="290">
        <f>0.5*4+0.28</f>
        <v>2.2800000000000002</v>
      </c>
      <c r="AM18" s="223">
        <v>8.0625</v>
      </c>
      <c r="AN18" s="224">
        <f>0.5*4</f>
        <v>2</v>
      </c>
      <c r="AO18" s="223">
        <v>14.4375</v>
      </c>
      <c r="AP18" s="267">
        <f>0.5+0.5+0.5+0.5</f>
        <v>2</v>
      </c>
      <c r="AQ18" s="220">
        <v>16.375</v>
      </c>
      <c r="AR18" s="182"/>
      <c r="AS18" s="183"/>
      <c r="AT18" s="80"/>
      <c r="AU18" s="183"/>
      <c r="AV18" s="183"/>
      <c r="AW18" s="80"/>
      <c r="AX18" s="200"/>
      <c r="AY18" s="201"/>
    </row>
    <row r="19" spans="1:54" s="81" customFormat="1" ht="23.25" x14ac:dyDescent="0.35">
      <c r="A19" s="111" t="s">
        <v>44</v>
      </c>
      <c r="B19" s="74"/>
      <c r="C19" s="128" t="s">
        <v>45</v>
      </c>
      <c r="D19" s="74"/>
      <c r="E19" s="210">
        <f>[1]!'KPP,LAST,1'</f>
        <v>41.19</v>
      </c>
      <c r="F19" s="211"/>
      <c r="G19" s="210">
        <f>[1]!'KPP,DIVIDEND,1'</f>
        <v>2.8</v>
      </c>
      <c r="H19" s="96"/>
      <c r="I19" s="161">
        <f t="shared" si="0"/>
        <v>6.7977664481670308E-2</v>
      </c>
      <c r="J19" s="161"/>
      <c r="K19" s="217">
        <f t="shared" si="1"/>
        <v>195.77664481670308</v>
      </c>
      <c r="L19" s="94"/>
      <c r="M19" s="161">
        <f t="shared" si="2"/>
        <v>6.3899004612770094E-2</v>
      </c>
      <c r="N19" s="94"/>
      <c r="O19" s="149">
        <f t="shared" si="5"/>
        <v>0.91205211726384361</v>
      </c>
      <c r="P19" s="213"/>
      <c r="Q19" s="149">
        <f t="shared" si="3"/>
        <v>4.1993422716923766E-2</v>
      </c>
      <c r="R19" s="213"/>
      <c r="S19" s="149">
        <f t="shared" si="4"/>
        <v>0.16945840312674484</v>
      </c>
      <c r="T19" s="96"/>
      <c r="U19" s="218">
        <f t="shared" si="6"/>
        <v>0.38223123732251507</v>
      </c>
      <c r="V19" s="225"/>
      <c r="W19" s="115"/>
      <c r="X19" s="134"/>
      <c r="Y19" s="291">
        <v>2.98</v>
      </c>
      <c r="Z19" s="292">
        <v>3.07</v>
      </c>
      <c r="AA19" s="193">
        <v>0.8</v>
      </c>
      <c r="AB19" s="194"/>
      <c r="AC19" s="74"/>
      <c r="AD19" s="195">
        <v>37099</v>
      </c>
      <c r="AE19" s="306">
        <v>0.7</v>
      </c>
      <c r="AF19" s="307"/>
      <c r="AG19" s="210">
        <v>39.53</v>
      </c>
      <c r="AH19" s="307">
        <v>0.7</v>
      </c>
      <c r="AI19" s="210">
        <v>35.82</v>
      </c>
      <c r="AJ19" s="224">
        <f>0.7*2</f>
        <v>1.4</v>
      </c>
      <c r="AK19" s="223">
        <v>30.8125</v>
      </c>
      <c r="AL19" s="290">
        <f>0.7*4</f>
        <v>2.8</v>
      </c>
      <c r="AM19" s="223">
        <v>24.6875</v>
      </c>
      <c r="AN19" s="353">
        <f>0.65*2+0.7*2</f>
        <v>2.7</v>
      </c>
      <c r="AO19" s="223">
        <v>33</v>
      </c>
      <c r="AP19" s="199">
        <f>0.65+0.65+0.65+0.65</f>
        <v>2.6</v>
      </c>
      <c r="AQ19" s="220">
        <v>35.75</v>
      </c>
      <c r="AR19" s="182"/>
      <c r="AS19" s="76"/>
      <c r="AT19" s="76"/>
      <c r="AU19" s="76"/>
      <c r="AV19" s="76"/>
      <c r="AW19" s="80"/>
      <c r="AX19" s="200"/>
      <c r="AY19" s="201"/>
    </row>
    <row r="20" spans="1:54" s="81" customFormat="1" ht="26.25" x14ac:dyDescent="0.35">
      <c r="A20" s="111" t="s">
        <v>46</v>
      </c>
      <c r="B20" s="74"/>
      <c r="C20" s="128" t="s">
        <v>97</v>
      </c>
      <c r="D20" s="74"/>
      <c r="E20" s="210">
        <f>[1]!'KMP,LAST,1'</f>
        <v>36.85</v>
      </c>
      <c r="F20" s="211"/>
      <c r="G20" s="210">
        <f>[1]!'KMP,DIVIDEND,1'</f>
        <v>2.1</v>
      </c>
      <c r="H20" s="288"/>
      <c r="I20" s="161">
        <f t="shared" si="0"/>
        <v>5.698778833107191E-2</v>
      </c>
      <c r="J20" s="161"/>
      <c r="K20" s="217">
        <f t="shared" si="1"/>
        <v>85.877883310719113</v>
      </c>
      <c r="L20" s="94"/>
      <c r="M20" s="161">
        <f t="shared" si="2"/>
        <v>5.5278154681139752E-2</v>
      </c>
      <c r="N20" s="94"/>
      <c r="O20" s="149">
        <f t="shared" si="5"/>
        <v>0.8457511075312123</v>
      </c>
      <c r="P20" s="213"/>
      <c r="Q20" s="149">
        <f t="shared" si="3"/>
        <v>6.4721178850043401E-2</v>
      </c>
      <c r="R20" s="213"/>
      <c r="S20" s="149">
        <f t="shared" si="4"/>
        <v>-0.44880744618964519</v>
      </c>
      <c r="T20" s="96"/>
      <c r="U20" s="218">
        <f t="shared" si="6"/>
        <v>-0.2914539400665927</v>
      </c>
      <c r="V20" s="225"/>
      <c r="W20" s="115"/>
      <c r="X20" s="134"/>
      <c r="Y20" s="293">
        <v>1.89</v>
      </c>
      <c r="Z20" s="294">
        <v>2.4830000000000001</v>
      </c>
      <c r="AA20" s="226">
        <v>0.9</v>
      </c>
      <c r="AB20" s="227"/>
      <c r="AC20" s="74"/>
      <c r="AD20" s="195">
        <v>37099</v>
      </c>
      <c r="AE20" s="305">
        <v>1.05</v>
      </c>
      <c r="AF20" s="197"/>
      <c r="AG20" s="210">
        <v>34.61</v>
      </c>
      <c r="AH20" s="308">
        <v>1.05</v>
      </c>
      <c r="AI20" s="210">
        <v>68.760000000000005</v>
      </c>
      <c r="AJ20" s="197">
        <f>0.95+(1.05*2)</f>
        <v>3.05</v>
      </c>
      <c r="AK20" s="196">
        <v>56.3125</v>
      </c>
      <c r="AL20" s="289">
        <f>0.725+0.775+0.85*2</f>
        <v>3.2</v>
      </c>
      <c r="AM20" s="196">
        <v>41.4375</v>
      </c>
      <c r="AN20" s="354">
        <f>0.65+0.7*2+0.725</f>
        <v>2.7749999999999999</v>
      </c>
      <c r="AO20" s="196">
        <v>36.25</v>
      </c>
      <c r="AP20" s="356">
        <f>0.5625+0.5625+0.63+0.63</f>
        <v>2.3849999999999998</v>
      </c>
      <c r="AQ20" s="220">
        <v>33.875</v>
      </c>
      <c r="AR20" s="182"/>
      <c r="AS20" s="76"/>
      <c r="AT20" s="80"/>
      <c r="AU20" s="80"/>
      <c r="AV20" s="80"/>
      <c r="AW20" s="80"/>
      <c r="AX20" s="80"/>
      <c r="AY20" s="201"/>
    </row>
    <row r="21" spans="1:54" s="81" customFormat="1" ht="23.25" x14ac:dyDescent="0.35">
      <c r="A21" s="111" t="s">
        <v>124</v>
      </c>
      <c r="B21" s="74"/>
      <c r="C21" s="128" t="s">
        <v>123</v>
      </c>
      <c r="D21" s="74"/>
      <c r="E21" s="210">
        <f>[1]!'EEP,LAST,1'</f>
        <v>47.8</v>
      </c>
      <c r="F21" s="211"/>
      <c r="G21" s="210">
        <f>[1]!'EEP,DIVIDEND,1'</f>
        <v>3.5</v>
      </c>
      <c r="H21" s="96"/>
      <c r="I21" s="161">
        <f t="shared" si="0"/>
        <v>7.3221757322175743E-2</v>
      </c>
      <c r="J21" s="161"/>
      <c r="K21" s="217">
        <f t="shared" si="1"/>
        <v>248.21757322175745</v>
      </c>
      <c r="L21" s="94"/>
      <c r="M21" s="161">
        <f t="shared" si="2"/>
        <v>7.212343096234311E-2</v>
      </c>
      <c r="N21" s="94"/>
      <c r="O21" s="149">
        <f t="shared" si="5"/>
        <v>1.6055045871559632</v>
      </c>
      <c r="P21" s="213"/>
      <c r="Q21" s="149">
        <f t="shared" si="3"/>
        <v>4.8935703313583427E-2</v>
      </c>
      <c r="R21" s="213"/>
      <c r="S21" s="149">
        <f t="shared" si="4"/>
        <v>7.569060773480657E-2</v>
      </c>
      <c r="T21" s="96"/>
      <c r="U21" s="218">
        <f t="shared" si="6"/>
        <v>0.22242424242424236</v>
      </c>
      <c r="V21" s="225"/>
      <c r="W21" s="115"/>
      <c r="X21" s="134"/>
      <c r="Y21" s="293">
        <v>1.92</v>
      </c>
      <c r="Z21" s="294">
        <v>2.1800000000000002</v>
      </c>
      <c r="AA21" s="226">
        <v>0.95</v>
      </c>
      <c r="AB21" s="228"/>
      <c r="AC21" s="74"/>
      <c r="AD21" s="195">
        <v>37099</v>
      </c>
      <c r="AE21" s="305">
        <v>0.875</v>
      </c>
      <c r="AF21" s="308"/>
      <c r="AG21" s="210">
        <v>45.57</v>
      </c>
      <c r="AH21" s="308">
        <v>0.875</v>
      </c>
      <c r="AI21" s="210">
        <v>45.25</v>
      </c>
      <c r="AJ21" s="197">
        <f>0.875*3</f>
        <v>2.625</v>
      </c>
      <c r="AK21" s="196">
        <v>41.25</v>
      </c>
      <c r="AL21" s="289">
        <f>0.875*4</f>
        <v>3.5</v>
      </c>
      <c r="AM21" s="196">
        <v>34.8125</v>
      </c>
      <c r="AN21" s="197">
        <f>0.875*4</f>
        <v>3.5</v>
      </c>
      <c r="AO21" s="196">
        <v>48.5</v>
      </c>
      <c r="AP21" s="199">
        <f>0.78+0.86+0.86+0.86</f>
        <v>3.36</v>
      </c>
      <c r="AQ21" s="220">
        <v>43.6875</v>
      </c>
      <c r="AR21" s="182"/>
      <c r="AS21" s="183"/>
      <c r="AT21" s="183"/>
      <c r="AU21" s="183"/>
      <c r="AV21" s="183"/>
      <c r="AW21" s="80"/>
      <c r="AX21" s="200"/>
      <c r="AY21" s="201"/>
    </row>
    <row r="22" spans="1:54" s="81" customFormat="1" ht="26.25" x14ac:dyDescent="0.35">
      <c r="A22" s="111" t="s">
        <v>78</v>
      </c>
      <c r="B22" s="74"/>
      <c r="C22" s="128" t="s">
        <v>80</v>
      </c>
      <c r="D22" s="74"/>
      <c r="E22" s="210">
        <f>[1]!'PAA,LAST,1'</f>
        <v>26</v>
      </c>
      <c r="F22" s="211"/>
      <c r="G22" s="210">
        <f>[1]!'PAA,DIVIDEND,1'</f>
        <v>2</v>
      </c>
      <c r="H22" s="288"/>
      <c r="I22" s="161">
        <f t="shared" si="0"/>
        <v>7.6923076923076927E-2</v>
      </c>
      <c r="J22" s="161"/>
      <c r="K22" s="217">
        <f t="shared" si="1"/>
        <v>285.23076923076928</v>
      </c>
      <c r="L22" s="94"/>
      <c r="M22" s="161">
        <f>(I22*AA22)+((I22*(1-AA22))*(1-0.3))</f>
        <v>7.0000000000000007E-2</v>
      </c>
      <c r="N22" s="94"/>
      <c r="O22" s="149">
        <f>+G22/Z22</f>
        <v>1.1560693641618498</v>
      </c>
      <c r="P22" s="213"/>
      <c r="Q22" s="149">
        <f>(AF22+$E22-AG22)/AG22</f>
        <v>1.5624999999999944E-2</v>
      </c>
      <c r="R22" s="213"/>
      <c r="S22" s="149">
        <f>(AH22+$E22-AI22)/AI22</f>
        <v>0.11297774044519115</v>
      </c>
      <c r="T22" s="96"/>
      <c r="U22" s="218">
        <f t="shared" si="6"/>
        <v>0.434640522875817</v>
      </c>
      <c r="V22" s="225"/>
      <c r="W22" s="115"/>
      <c r="X22" s="134"/>
      <c r="Y22" s="293">
        <v>1.51</v>
      </c>
      <c r="Z22" s="294">
        <v>1.73</v>
      </c>
      <c r="AA22" s="226">
        <v>0.7</v>
      </c>
      <c r="AB22" s="228"/>
      <c r="AC22" s="74"/>
      <c r="AD22" s="195">
        <v>37104</v>
      </c>
      <c r="AE22" s="306">
        <v>0.5</v>
      </c>
      <c r="AF22" s="307"/>
      <c r="AG22" s="210">
        <v>25.6</v>
      </c>
      <c r="AH22" s="307">
        <v>0.5</v>
      </c>
      <c r="AI22" s="210">
        <v>23.81</v>
      </c>
      <c r="AJ22" s="224">
        <f>0.4625+0.475+0.5</f>
        <v>1.4375</v>
      </c>
      <c r="AK22" s="223">
        <v>19.125</v>
      </c>
      <c r="AL22" s="290">
        <f>0.45*2+0.4625*2</f>
        <v>1.8250000000000002</v>
      </c>
      <c r="AM22" s="223">
        <v>13</v>
      </c>
      <c r="AN22" s="353">
        <f>0.193+0.45+0.463+0.48125</f>
        <v>1.58725</v>
      </c>
      <c r="AO22" s="223">
        <v>17.3125</v>
      </c>
      <c r="AP22" s="356" t="s">
        <v>81</v>
      </c>
      <c r="AQ22" s="271" t="s">
        <v>81</v>
      </c>
      <c r="AR22" s="182"/>
      <c r="AS22" s="229"/>
      <c r="AT22" s="183"/>
      <c r="AU22" s="183"/>
      <c r="AV22" s="183"/>
      <c r="AW22" s="80"/>
      <c r="AX22" s="200"/>
      <c r="AY22" s="201"/>
    </row>
    <row r="23" spans="1:54" s="81" customFormat="1" ht="23.25" x14ac:dyDescent="0.35">
      <c r="A23" s="111" t="s">
        <v>100</v>
      </c>
      <c r="B23" s="74"/>
      <c r="C23" s="128" t="s">
        <v>82</v>
      </c>
      <c r="D23" s="74"/>
      <c r="E23" s="210">
        <f>[1]!'TCLPZ.O,LAST,1'</f>
        <v>27.08</v>
      </c>
      <c r="F23" s="211"/>
      <c r="G23" s="210">
        <f>[1]!'TCLPZ.O,DIVIDEND,1'</f>
        <v>2</v>
      </c>
      <c r="H23" s="96"/>
      <c r="I23" s="161">
        <f t="shared" si="0"/>
        <v>7.3855243722304287E-2</v>
      </c>
      <c r="J23" s="161"/>
      <c r="K23" s="217">
        <f t="shared" si="1"/>
        <v>254.55243722304289</v>
      </c>
      <c r="L23" s="94"/>
      <c r="M23" s="161">
        <f>(I23*AA23)+((I23*(1-AA23))*(1-0.3))</f>
        <v>7.2747415066469714E-2</v>
      </c>
      <c r="N23" s="94"/>
      <c r="O23" s="149">
        <f>+G23/Z23</f>
        <v>0.86956521739130443</v>
      </c>
      <c r="P23" s="213"/>
      <c r="Q23" s="149">
        <f>(AF23+$E23-AG23)/AG23</f>
        <v>3.3587786259541945E-2</v>
      </c>
      <c r="R23" s="213"/>
      <c r="S23" s="149">
        <f>(AH23+$E23-AI23)/AI23</f>
        <v>0.19913043478260861</v>
      </c>
      <c r="T23" s="96"/>
      <c r="U23" s="218">
        <f t="shared" si="6"/>
        <v>0.48207792207792194</v>
      </c>
      <c r="V23" s="225"/>
      <c r="W23" s="115"/>
      <c r="X23" s="134"/>
      <c r="Y23" s="293">
        <v>2.23</v>
      </c>
      <c r="Z23" s="294">
        <v>2.2999999999999998</v>
      </c>
      <c r="AA23" s="226">
        <v>0.95</v>
      </c>
      <c r="AB23" s="228"/>
      <c r="AC23" s="74"/>
      <c r="AD23" s="195">
        <v>37099</v>
      </c>
      <c r="AE23" s="306">
        <v>0.5</v>
      </c>
      <c r="AF23" s="307"/>
      <c r="AG23" s="285">
        <v>26.2</v>
      </c>
      <c r="AH23" s="307">
        <v>0.5</v>
      </c>
      <c r="AI23" s="285">
        <v>23</v>
      </c>
      <c r="AJ23" s="224">
        <f>(0.475*2)+0.5</f>
        <v>1.45</v>
      </c>
      <c r="AK23" s="223">
        <v>19.25</v>
      </c>
      <c r="AL23" s="290">
        <f>0.45*4</f>
        <v>1.8</v>
      </c>
      <c r="AM23" s="223">
        <v>14.25</v>
      </c>
      <c r="AN23" s="353">
        <f>0.168+0.45</f>
        <v>0.61799999999999999</v>
      </c>
      <c r="AO23" s="223" t="s">
        <v>81</v>
      </c>
      <c r="AP23" s="271" t="s">
        <v>81</v>
      </c>
      <c r="AQ23" s="271"/>
      <c r="AR23" s="182"/>
      <c r="AS23" s="229"/>
      <c r="AT23" s="183"/>
      <c r="AU23" s="183"/>
      <c r="AV23" s="183"/>
      <c r="AW23" s="80"/>
      <c r="AX23" s="200"/>
      <c r="AY23" s="201"/>
    </row>
    <row r="24" spans="1:54" s="81" customFormat="1" ht="23.25" x14ac:dyDescent="0.35">
      <c r="A24" s="111" t="s">
        <v>47</v>
      </c>
      <c r="B24" s="74"/>
      <c r="C24" s="128" t="s">
        <v>48</v>
      </c>
      <c r="D24" s="74"/>
      <c r="E24" s="210">
        <f>[1]!'TPP,LAST,1'</f>
        <v>32.89</v>
      </c>
      <c r="F24" s="211"/>
      <c r="G24" s="210">
        <f>[1]!'TPP,DIVIDEND,1'</f>
        <v>2.1</v>
      </c>
      <c r="H24" s="96"/>
      <c r="I24" s="161">
        <f t="shared" si="0"/>
        <v>6.3849194283976896E-2</v>
      </c>
      <c r="J24" s="161"/>
      <c r="K24" s="217">
        <f t="shared" si="1"/>
        <v>154.49194283976897</v>
      </c>
      <c r="L24" s="94"/>
      <c r="M24" s="161">
        <f t="shared" si="2"/>
        <v>5.810276679841897E-2</v>
      </c>
      <c r="N24" s="94"/>
      <c r="O24" s="149">
        <f t="shared" si="5"/>
        <v>1.0344827586206897</v>
      </c>
      <c r="P24" s="213"/>
      <c r="Q24" s="149">
        <f t="shared" si="3"/>
        <v>2.7812500000000018E-2</v>
      </c>
      <c r="R24" s="213"/>
      <c r="S24" s="149">
        <f t="shared" si="4"/>
        <v>0.13850085178875629</v>
      </c>
      <c r="T24" s="96"/>
      <c r="U24" s="218">
        <f t="shared" si="6"/>
        <v>0.40315521628498741</v>
      </c>
      <c r="V24" s="225"/>
      <c r="W24" s="115"/>
      <c r="X24" s="134"/>
      <c r="Y24" s="293">
        <v>1.96</v>
      </c>
      <c r="Z24" s="294">
        <v>2.0299999999999998</v>
      </c>
      <c r="AA24" s="226">
        <v>0.7</v>
      </c>
      <c r="AB24" s="228"/>
      <c r="AC24" s="74"/>
      <c r="AD24" s="195">
        <v>37099</v>
      </c>
      <c r="AE24" s="306">
        <v>0.52500000000000002</v>
      </c>
      <c r="AF24" s="307"/>
      <c r="AG24" s="210">
        <v>32</v>
      </c>
      <c r="AH24" s="307">
        <v>0.52500000000000002</v>
      </c>
      <c r="AI24" s="210">
        <v>29.35</v>
      </c>
      <c r="AJ24" s="224">
        <f>0.525*3</f>
        <v>1.5750000000000002</v>
      </c>
      <c r="AK24" s="223">
        <v>24.5625</v>
      </c>
      <c r="AL24" s="290">
        <f>0.475+0.5+0.5+0.525</f>
        <v>2</v>
      </c>
      <c r="AM24" s="223">
        <v>19.3125</v>
      </c>
      <c r="AN24" s="353">
        <f>0.45*2+0.475*2</f>
        <v>1.85</v>
      </c>
      <c r="AO24" s="223">
        <v>24.5625</v>
      </c>
      <c r="AP24" s="356">
        <f>(0.85+0.85+0.9)/2+0.45</f>
        <v>1.75</v>
      </c>
      <c r="AQ24" s="220">
        <f>52.6875/2</f>
        <v>26.34375</v>
      </c>
      <c r="AR24" s="182"/>
      <c r="AS24" s="76"/>
      <c r="AT24" s="76"/>
      <c r="AU24" s="76"/>
      <c r="AV24" s="76"/>
      <c r="AW24" s="76"/>
      <c r="AX24" s="200"/>
      <c r="AY24" s="201"/>
    </row>
    <row r="25" spans="1:54" s="81" customFormat="1" ht="26.25" x14ac:dyDescent="0.35">
      <c r="A25" s="327" t="s">
        <v>116</v>
      </c>
      <c r="B25" s="80"/>
      <c r="C25" s="147" t="s">
        <v>115</v>
      </c>
      <c r="D25" s="80"/>
      <c r="E25" s="210">
        <f>[1]!'UDL,LAST,1'</f>
        <v>36.049999999999997</v>
      </c>
      <c r="F25" s="328"/>
      <c r="G25" s="210">
        <f>[1]!'UDL,DIVIDEND,1'</f>
        <v>0.5</v>
      </c>
      <c r="H25" s="288"/>
      <c r="I25" s="161">
        <f>+G25/E25</f>
        <v>1.3869625520110958E-2</v>
      </c>
      <c r="J25" s="161"/>
      <c r="K25" s="217">
        <f>(+I25-E$30)*10000</f>
        <v>-345.30374479889042</v>
      </c>
      <c r="L25" s="94"/>
      <c r="M25" s="161">
        <f>(I25*AA25)+((I25*(1-AA25))*(1-0.3))</f>
        <v>9.7087378640776691E-3</v>
      </c>
      <c r="N25" s="94"/>
      <c r="O25" s="149" t="s">
        <v>113</v>
      </c>
      <c r="P25" s="213"/>
      <c r="Q25" s="149">
        <f>(AF25+$E25-AG25)/AG25</f>
        <v>0.10582822085889557</v>
      </c>
      <c r="R25" s="213"/>
      <c r="S25" s="149">
        <f>(AH25+$E25-AI25)/AI25</f>
        <v>0.22244481605351171</v>
      </c>
      <c r="T25" s="96"/>
      <c r="U25" s="329">
        <f>(AJ25+E25-AK25)/AK25</f>
        <v>0.49188163265306117</v>
      </c>
      <c r="V25" s="225"/>
      <c r="W25" s="115"/>
      <c r="X25" s="134"/>
      <c r="Y25" s="293">
        <v>2.15</v>
      </c>
      <c r="Z25" s="299">
        <v>2.57</v>
      </c>
      <c r="AA25" s="335">
        <v>0</v>
      </c>
      <c r="AB25" s="226"/>
      <c r="AC25" s="333"/>
      <c r="AD25" s="195">
        <v>37102</v>
      </c>
      <c r="AE25" s="307">
        <v>0.50109999999999999</v>
      </c>
      <c r="AF25" s="334"/>
      <c r="AG25" s="210">
        <v>32.6</v>
      </c>
      <c r="AH25" s="307">
        <v>0.50109999999999999</v>
      </c>
      <c r="AI25" s="210">
        <v>29.9</v>
      </c>
      <c r="AJ25" s="224">
        <v>0.50109999999999999</v>
      </c>
      <c r="AK25" s="300">
        <v>24.5</v>
      </c>
      <c r="AL25" s="331" t="s">
        <v>81</v>
      </c>
      <c r="AM25" s="300" t="s">
        <v>81</v>
      </c>
      <c r="AN25" s="331" t="s">
        <v>81</v>
      </c>
      <c r="AO25" s="300" t="s">
        <v>81</v>
      </c>
      <c r="AP25" s="331" t="s">
        <v>81</v>
      </c>
      <c r="AQ25" s="330" t="s">
        <v>81</v>
      </c>
      <c r="AR25" s="332"/>
      <c r="AS25" s="229"/>
      <c r="AT25" s="183"/>
      <c r="AU25" s="183"/>
      <c r="AV25" s="183"/>
      <c r="AW25" s="80"/>
      <c r="AX25" s="200"/>
      <c r="AY25" s="201"/>
    </row>
    <row r="26" spans="1:54" s="81" customFormat="1" ht="26.25" x14ac:dyDescent="0.35">
      <c r="A26" s="327" t="s">
        <v>117</v>
      </c>
      <c r="B26" s="80"/>
      <c r="C26" s="147" t="s">
        <v>118</v>
      </c>
      <c r="D26" s="80"/>
      <c r="E26" s="210">
        <f>[1]!'WEG,LAST,1'</f>
        <v>39.51</v>
      </c>
      <c r="F26" s="328"/>
      <c r="G26" s="210">
        <f>[1]!'WEG,DIVIDEND,1'</f>
        <v>2.25</v>
      </c>
      <c r="H26" s="288"/>
      <c r="I26" s="161">
        <f>+G26/E26</f>
        <v>5.6947608200455586E-2</v>
      </c>
      <c r="J26" s="161"/>
      <c r="K26" s="217">
        <f>(+I26-E$30)*10000</f>
        <v>85.476082004555877</v>
      </c>
      <c r="L26" s="94"/>
      <c r="M26" s="161">
        <f>(I26*AA26)+((I26*(1-AA26))*(1-0.3))</f>
        <v>3.9863325740318908E-2</v>
      </c>
      <c r="N26" s="94"/>
      <c r="O26" s="149" t="s">
        <v>113</v>
      </c>
      <c r="P26" s="213"/>
      <c r="Q26" s="149">
        <f>(AF26+$E26-AG26)/AG26</f>
        <v>6.7837837837837783E-2</v>
      </c>
      <c r="R26" s="213"/>
      <c r="S26" s="149">
        <f>(AH26+$E26-AI26)/AI26</f>
        <v>0.36254675280516824</v>
      </c>
      <c r="T26" s="96"/>
      <c r="U26" s="329">
        <f>(AJ26+E26-AK26)/AK26</f>
        <v>0.87741860465116273</v>
      </c>
      <c r="V26" s="225"/>
      <c r="W26" s="115"/>
      <c r="X26" s="134"/>
      <c r="Y26" s="293">
        <v>1.65</v>
      </c>
      <c r="Z26" s="299">
        <v>1.74</v>
      </c>
      <c r="AA26" s="335">
        <v>0</v>
      </c>
      <c r="AB26" s="226"/>
      <c r="AC26" s="333"/>
      <c r="AD26" s="195">
        <v>37103</v>
      </c>
      <c r="AE26" s="307">
        <v>0.5625</v>
      </c>
      <c r="AF26" s="334"/>
      <c r="AG26" s="210">
        <v>37</v>
      </c>
      <c r="AH26" s="307">
        <v>0.5625</v>
      </c>
      <c r="AI26" s="210">
        <v>29.41</v>
      </c>
      <c r="AJ26" s="224">
        <f>0.292+0.5625</f>
        <v>0.85450000000000004</v>
      </c>
      <c r="AK26" s="300">
        <v>21.5</v>
      </c>
      <c r="AL26" s="331" t="s">
        <v>81</v>
      </c>
      <c r="AM26" s="300" t="s">
        <v>81</v>
      </c>
      <c r="AN26" s="331" t="s">
        <v>81</v>
      </c>
      <c r="AO26" s="300" t="s">
        <v>81</v>
      </c>
      <c r="AP26" s="331" t="s">
        <v>81</v>
      </c>
      <c r="AQ26" s="330" t="s">
        <v>81</v>
      </c>
      <c r="AR26" s="332"/>
      <c r="AS26" s="229"/>
      <c r="AT26" s="183"/>
      <c r="AU26" s="183"/>
      <c r="AV26" s="183"/>
      <c r="AW26" s="80"/>
      <c r="AX26" s="200"/>
      <c r="AY26" s="201"/>
    </row>
    <row r="27" spans="1:54" s="81" customFormat="1" ht="24" thickBot="1" x14ac:dyDescent="0.4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2"/>
      <c r="L27" s="94"/>
      <c r="M27" s="97"/>
      <c r="N27" s="94"/>
      <c r="O27" s="149"/>
      <c r="P27" s="213"/>
      <c r="Q27" s="149"/>
      <c r="R27" s="213"/>
      <c r="S27" s="149"/>
      <c r="T27" s="96"/>
      <c r="U27" s="112"/>
      <c r="V27" s="230"/>
      <c r="W27" s="115"/>
      <c r="X27" s="134"/>
      <c r="Y27" s="231"/>
      <c r="Z27" s="73"/>
      <c r="AA27" s="336"/>
      <c r="AB27" s="233"/>
      <c r="AD27" s="234"/>
      <c r="AE27" s="235"/>
      <c r="AF27" s="102"/>
      <c r="AG27" s="80"/>
      <c r="AH27" s="102"/>
      <c r="AI27" s="80"/>
      <c r="AJ27" s="234"/>
      <c r="AK27" s="237"/>
      <c r="AL27" s="236"/>
      <c r="AM27" s="237"/>
      <c r="AN27" s="236"/>
      <c r="AO27" s="237"/>
      <c r="AP27" s="268"/>
      <c r="AQ27" s="263"/>
      <c r="AR27" s="76"/>
      <c r="AS27" s="76"/>
      <c r="AT27" s="76"/>
      <c r="AU27" s="76"/>
      <c r="AV27" s="76"/>
      <c r="AW27" s="76"/>
      <c r="AX27" s="200"/>
      <c r="AY27" s="200"/>
      <c r="AZ27" s="201"/>
    </row>
    <row r="28" spans="1:54" s="81" customFormat="1" ht="24" thickBot="1" x14ac:dyDescent="0.4">
      <c r="A28" s="238" t="s">
        <v>49</v>
      </c>
      <c r="B28" s="239"/>
      <c r="C28" s="240"/>
      <c r="D28" s="239"/>
      <c r="E28" s="241"/>
      <c r="F28" s="241"/>
      <c r="G28" s="242"/>
      <c r="H28" s="243"/>
      <c r="I28" s="244">
        <f>AVERAGEA(I13:I26)</f>
        <v>7.0043025907501888E-2</v>
      </c>
      <c r="J28" s="244"/>
      <c r="K28" s="245">
        <f>(+I28-E$30)*10000</f>
        <v>216.43025907501888</v>
      </c>
      <c r="L28" s="240"/>
      <c r="M28" s="244">
        <f>AVERAGEA(M13:M24)</f>
        <v>7.1714845874679217E-2</v>
      </c>
      <c r="N28" s="240"/>
      <c r="O28" s="246">
        <f>AVERAGEA(O13:O26)</f>
        <v>1.0806311317204085</v>
      </c>
      <c r="P28" s="247"/>
      <c r="Q28" s="246">
        <f>AVERAGEA(Q13:Q26)</f>
        <v>5.4967759149254482E-2</v>
      </c>
      <c r="R28" s="247"/>
      <c r="S28" s="246">
        <f>AVERAGEA(S13:S26)</f>
        <v>0.14980560641607241</v>
      </c>
      <c r="T28" s="243"/>
      <c r="U28" s="248">
        <f>AVERAGEA(U13:U26)</f>
        <v>0.4654113964215667</v>
      </c>
      <c r="V28" s="230"/>
      <c r="W28" s="115"/>
      <c r="X28" s="134"/>
      <c r="Y28" s="249"/>
      <c r="Z28" s="250"/>
      <c r="AA28" s="251"/>
      <c r="AB28" s="252"/>
      <c r="AC28" s="104"/>
      <c r="AD28" s="253"/>
      <c r="AE28" s="254"/>
      <c r="AF28" s="255"/>
      <c r="AG28" s="298"/>
      <c r="AH28" s="255"/>
      <c r="AI28" s="298"/>
      <c r="AJ28" s="297"/>
      <c r="AK28" s="254"/>
      <c r="AL28" s="256"/>
      <c r="AM28" s="254"/>
      <c r="AN28" s="256"/>
      <c r="AO28" s="254"/>
      <c r="AP28" s="269"/>
      <c r="AQ28" s="264"/>
      <c r="AR28" s="76"/>
      <c r="AS28" s="76"/>
      <c r="AT28" s="76"/>
      <c r="AU28" s="76"/>
      <c r="AV28" s="76"/>
      <c r="AW28" s="76"/>
      <c r="AX28" s="80"/>
      <c r="AY28" s="80"/>
      <c r="AZ28" s="201"/>
    </row>
    <row r="29" spans="1:54" s="81" customFormat="1" ht="23.25" x14ac:dyDescent="0.35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3"/>
      <c r="Q29" s="149"/>
      <c r="R29" s="213"/>
      <c r="S29" s="149"/>
      <c r="T29" s="96"/>
      <c r="U29" s="74"/>
      <c r="V29" s="230"/>
      <c r="W29" s="230"/>
      <c r="X29" s="73"/>
      <c r="Y29" s="73"/>
      <c r="Z29" s="73"/>
      <c r="AA29" s="73"/>
      <c r="AB29" s="73"/>
      <c r="AC29" s="74"/>
      <c r="AD29" s="234"/>
      <c r="AE29" s="102"/>
      <c r="AF29" s="280"/>
      <c r="AG29" s="1">
        <v>98.761515752013068</v>
      </c>
      <c r="AH29" s="281"/>
      <c r="AI29" s="1">
        <v>96.003752294332116</v>
      </c>
      <c r="AJ29" s="281"/>
      <c r="AK29" s="1">
        <f>PV(AK30/2,60,-$AK$30*100/2,-100,0)</f>
        <v>100</v>
      </c>
      <c r="AL29" s="281">
        <f>+AM30*100</f>
        <v>6.4820000000000002</v>
      </c>
      <c r="AM29" s="1">
        <f>PV(AM30/2,60,-$AM$30*100/2,-100,0)</f>
        <v>100</v>
      </c>
      <c r="AN29" s="281">
        <f>+AO30*100</f>
        <v>5.0999999999999996</v>
      </c>
      <c r="AO29" s="1">
        <v>100</v>
      </c>
      <c r="AP29" s="1"/>
      <c r="AQ29" s="1"/>
      <c r="AR29" s="277" t="s">
        <v>92</v>
      </c>
      <c r="AS29" s="32"/>
      <c r="AT29" s="8"/>
      <c r="AU29" s="80"/>
      <c r="AV29" s="76"/>
      <c r="AW29" s="80"/>
      <c r="AX29" s="80"/>
      <c r="AY29" s="80"/>
      <c r="AZ29" s="80"/>
      <c r="BA29" s="221"/>
      <c r="BB29" s="201"/>
    </row>
    <row r="30" spans="1:54" s="81" customFormat="1" ht="23.25" customHeight="1" x14ac:dyDescent="0.35">
      <c r="A30" s="111" t="s">
        <v>127</v>
      </c>
      <c r="B30" s="74"/>
      <c r="C30" s="112"/>
      <c r="D30" s="74"/>
      <c r="E30" s="258">
        <v>4.8399999999999999E-2</v>
      </c>
      <c r="F30" s="74"/>
      <c r="G30" s="257"/>
      <c r="H30" s="96"/>
      <c r="J30" s="258"/>
      <c r="K30" s="212"/>
      <c r="L30" s="94"/>
      <c r="M30" s="161">
        <f>(E30*AA30)+((E30*(1-AA30))*(1-0.3))</f>
        <v>3.3879999999999993E-2</v>
      </c>
      <c r="N30" s="94"/>
      <c r="O30" s="149"/>
      <c r="P30" s="213"/>
      <c r="Q30" s="149">
        <f>(AF29+$E29-AG29)/AG29</f>
        <v>0</v>
      </c>
      <c r="R30" s="213"/>
      <c r="S30" s="149">
        <f>(AH29+$E29-AI29)/AI29</f>
        <v>2.8725579904690504E-2</v>
      </c>
      <c r="T30" s="96"/>
      <c r="U30" s="218">
        <f>(AJ29+E29-AK29)/AK29</f>
        <v>-1.238484247986932E-2</v>
      </c>
      <c r="V30" s="230"/>
      <c r="W30" s="230"/>
      <c r="X30" s="73"/>
      <c r="Y30" s="73"/>
      <c r="Z30" s="73"/>
      <c r="AA30" s="73"/>
      <c r="AB30" s="73"/>
      <c r="AC30" s="76"/>
      <c r="AD30" s="259"/>
      <c r="AE30" s="259"/>
      <c r="AF30" s="259"/>
      <c r="AG30" s="258">
        <v>4.8423999999999995E-2</v>
      </c>
      <c r="AH30" s="260"/>
      <c r="AI30" s="345">
        <v>5.7512000000000001E-2</v>
      </c>
      <c r="AJ30" s="346"/>
      <c r="AK30" s="347">
        <v>5.4600999999999997E-2</v>
      </c>
      <c r="AL30" s="346"/>
      <c r="AM30" s="347">
        <v>6.4820000000000003E-2</v>
      </c>
      <c r="AN30" s="348"/>
      <c r="AO30" s="348">
        <v>5.0999999999999997E-2</v>
      </c>
      <c r="AP30" s="358" t="s">
        <v>88</v>
      </c>
      <c r="AQ30" s="359"/>
      <c r="AR30" s="284" t="s">
        <v>91</v>
      </c>
      <c r="AS30" s="259"/>
      <c r="AT30" s="282">
        <v>36525</v>
      </c>
      <c r="AU30" s="80"/>
      <c r="AV30" s="76"/>
      <c r="AW30" s="80"/>
      <c r="AX30" s="80"/>
      <c r="AY30" s="80"/>
      <c r="AZ30" s="80"/>
      <c r="BA30" s="80"/>
      <c r="BB30" s="201"/>
    </row>
    <row r="31" spans="1:54" ht="20.100000000000001" customHeight="1" x14ac:dyDescent="0.35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8" t="s">
        <v>89</v>
      </c>
      <c r="S31" s="278" t="s">
        <v>89</v>
      </c>
      <c r="U31" s="278" t="s">
        <v>89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M31" s="281"/>
      <c r="AN31" s="281"/>
      <c r="AO31" s="281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25">
      <c r="A32" s="49" t="s">
        <v>66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25">
      <c r="A33" s="49"/>
      <c r="B33" s="6"/>
      <c r="C33" s="10"/>
      <c r="D33" s="6"/>
      <c r="E33" s="286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3"/>
      <c r="AK33" s="283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6.25" x14ac:dyDescent="0.35">
      <c r="A34" s="272" t="s">
        <v>84</v>
      </c>
      <c r="B34" s="50"/>
      <c r="C34" s="51"/>
      <c r="D34" s="50"/>
      <c r="E34" s="210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75" customHeight="1" x14ac:dyDescent="0.35">
      <c r="A35" s="272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6.25" x14ac:dyDescent="0.35">
      <c r="A36" s="272" t="s">
        <v>85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6.75" customHeight="1" x14ac:dyDescent="0.35">
      <c r="A37" s="272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31.5" customHeight="1" x14ac:dyDescent="0.4">
      <c r="A38" s="337" t="s">
        <v>125</v>
      </c>
      <c r="B38" s="273"/>
      <c r="C38" s="273"/>
      <c r="D38" s="27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31.5" customHeight="1" x14ac:dyDescent="0.4">
      <c r="A39" s="6"/>
      <c r="B39" s="273"/>
      <c r="C39" s="273"/>
      <c r="D39" s="27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18.75" customHeight="1" x14ac:dyDescent="0.35">
      <c r="A40" s="304" t="s">
        <v>119</v>
      </c>
      <c r="B40" s="74"/>
      <c r="C40" s="128"/>
      <c r="D40" s="74"/>
      <c r="E40" s="210"/>
      <c r="F40" s="211"/>
      <c r="G40" s="210"/>
      <c r="H40" s="288"/>
      <c r="I40" s="161"/>
      <c r="J40" s="161"/>
      <c r="K40" s="217"/>
      <c r="L40" s="94"/>
      <c r="M40" s="161"/>
      <c r="N40" s="94"/>
      <c r="O40" s="149"/>
      <c r="P40" s="213"/>
      <c r="Q40" s="149"/>
      <c r="R40" s="213"/>
      <c r="S40" s="149"/>
      <c r="T40" s="96"/>
      <c r="U40" s="218"/>
      <c r="V40" s="225"/>
      <c r="W40" s="115"/>
      <c r="X40" s="134"/>
      <c r="Y40" s="299"/>
      <c r="Z40" s="299"/>
      <c r="AA40" s="226"/>
      <c r="AB40" s="226"/>
      <c r="AC40" s="74"/>
      <c r="AD40" s="195"/>
      <c r="AE40" s="224"/>
      <c r="AF40" s="224"/>
      <c r="AG40" s="210"/>
      <c r="AH40" s="224"/>
      <c r="AI40" s="210"/>
      <c r="AJ40" s="300"/>
      <c r="AK40" s="300"/>
      <c r="AL40" s="300"/>
      <c r="AM40" s="300"/>
      <c r="AN40" s="300"/>
      <c r="AO40" s="300"/>
      <c r="AP40" s="300"/>
      <c r="AQ40" s="301"/>
      <c r="AR40" s="182"/>
      <c r="AS40" s="229"/>
      <c r="AT40" s="183"/>
      <c r="AU40" s="183"/>
      <c r="AV40" s="183"/>
      <c r="AW40" s="80"/>
      <c r="AX40" s="200"/>
      <c r="AY40" s="201"/>
    </row>
    <row r="41" spans="1:54" s="81" customFormat="1" ht="18.75" customHeight="1" x14ac:dyDescent="0.35">
      <c r="A41" s="304" t="s">
        <v>120</v>
      </c>
      <c r="B41" s="63"/>
      <c r="C41" s="58"/>
      <c r="D41" s="63"/>
      <c r="E41" s="63"/>
      <c r="F41" s="211"/>
      <c r="G41" s="210"/>
      <c r="H41" s="288"/>
      <c r="I41" s="161"/>
      <c r="J41" s="161"/>
      <c r="K41" s="217"/>
      <c r="L41" s="94"/>
      <c r="M41" s="161"/>
      <c r="N41" s="94"/>
      <c r="O41" s="149"/>
      <c r="P41" s="213"/>
      <c r="Q41" s="149"/>
      <c r="R41" s="213"/>
      <c r="S41" s="149"/>
      <c r="T41" s="96"/>
      <c r="U41" s="218"/>
      <c r="V41" s="225"/>
      <c r="W41" s="115"/>
      <c r="X41" s="134"/>
      <c r="Y41" s="299"/>
      <c r="Z41" s="299"/>
      <c r="AA41" s="226"/>
      <c r="AB41" s="226"/>
      <c r="AC41" s="74"/>
      <c r="AD41" s="195"/>
      <c r="AE41" s="224"/>
      <c r="AF41" s="224"/>
      <c r="AG41" s="210"/>
      <c r="AH41" s="224"/>
      <c r="AI41" s="210"/>
      <c r="AJ41" s="300"/>
      <c r="AK41" s="300"/>
      <c r="AL41" s="300"/>
      <c r="AM41" s="300"/>
      <c r="AN41" s="300"/>
      <c r="AO41" s="300"/>
      <c r="AP41" s="300"/>
      <c r="AQ41" s="301"/>
      <c r="AR41" s="182"/>
      <c r="AS41" s="229"/>
      <c r="AT41" s="183"/>
      <c r="AU41" s="183"/>
      <c r="AV41" s="183"/>
      <c r="AW41" s="80"/>
      <c r="AX41" s="200"/>
      <c r="AY41" s="201"/>
    </row>
    <row r="42" spans="1:54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3" t="s">
        <v>93</v>
      </c>
      <c r="AH42" s="4"/>
      <c r="AI42" s="283" t="s">
        <v>94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65">
      <c r="A43" s="69"/>
      <c r="B43" s="70"/>
      <c r="C43" s="71"/>
      <c r="D43" s="70"/>
      <c r="E43" s="357" t="s">
        <v>37</v>
      </c>
      <c r="F43" s="357"/>
      <c r="G43" s="357"/>
      <c r="H43" s="357"/>
      <c r="I43" s="357"/>
      <c r="J43" s="357"/>
      <c r="K43" s="357"/>
      <c r="L43" s="357"/>
      <c r="M43" s="357"/>
      <c r="N43" s="357"/>
      <c r="O43" s="357"/>
      <c r="P43" s="338"/>
      <c r="Q43" s="357" t="s">
        <v>35</v>
      </c>
      <c r="R43" s="357"/>
      <c r="S43" s="357"/>
      <c r="T43" s="357"/>
      <c r="U43" s="357"/>
      <c r="V43" s="357"/>
      <c r="W43" s="357"/>
      <c r="X43" s="326"/>
      <c r="Y43" s="344"/>
      <c r="Z43" s="262" t="s">
        <v>75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35">
      <c r="A44" s="82" t="s">
        <v>50</v>
      </c>
      <c r="B44" s="83"/>
      <c r="C44" s="83"/>
      <c r="D44" s="83"/>
      <c r="E44" s="261" t="s">
        <v>51</v>
      </c>
      <c r="F44" s="85"/>
      <c r="G44" s="84" t="s">
        <v>101</v>
      </c>
      <c r="H44" s="85"/>
      <c r="I44" s="84" t="s">
        <v>112</v>
      </c>
      <c r="J44" s="115"/>
      <c r="K44" s="84" t="s">
        <v>52</v>
      </c>
      <c r="L44" s="80"/>
      <c r="M44" s="97"/>
      <c r="N44" s="85"/>
      <c r="O44" s="340" t="s">
        <v>126</v>
      </c>
      <c r="P44" s="85"/>
      <c r="Q44" s="84" t="s">
        <v>51</v>
      </c>
      <c r="R44" s="83"/>
      <c r="S44" s="84" t="s">
        <v>101</v>
      </c>
      <c r="T44" s="85"/>
      <c r="U44" s="84" t="s">
        <v>112</v>
      </c>
      <c r="V44" s="84"/>
      <c r="W44" s="84" t="s">
        <v>52</v>
      </c>
      <c r="X44" s="84"/>
      <c r="Y44" s="341" t="s">
        <v>126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35">
      <c r="A45" s="87" t="s">
        <v>53</v>
      </c>
      <c r="B45" s="83"/>
      <c r="C45" s="83"/>
      <c r="D45" s="83"/>
      <c r="E45" s="90" t="s">
        <v>55</v>
      </c>
      <c r="F45" s="342"/>
      <c r="G45" s="90"/>
      <c r="H45" s="91"/>
      <c r="I45" s="72"/>
      <c r="J45" s="115"/>
      <c r="K45" s="92"/>
      <c r="L45" s="80"/>
      <c r="M45" s="97"/>
      <c r="N45" s="83"/>
      <c r="O45" s="349"/>
      <c r="P45" s="83"/>
      <c r="Q45" s="88" t="s">
        <v>54</v>
      </c>
      <c r="R45" s="83"/>
      <c r="S45" s="89">
        <v>2.52</v>
      </c>
      <c r="T45" s="83"/>
      <c r="U45" s="89">
        <v>2.95</v>
      </c>
      <c r="V45" s="83"/>
      <c r="W45" s="89">
        <v>42</v>
      </c>
      <c r="X45" s="92"/>
      <c r="Y45" s="351">
        <v>37139</v>
      </c>
      <c r="Z45" s="73" t="s">
        <v>103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35">
      <c r="A46" s="87" t="s">
        <v>83</v>
      </c>
      <c r="B46" s="83"/>
      <c r="C46" s="83"/>
      <c r="D46" s="83"/>
      <c r="E46" s="90" t="s">
        <v>63</v>
      </c>
      <c r="F46" s="342"/>
      <c r="G46" s="92"/>
      <c r="H46" s="91"/>
      <c r="I46" s="92"/>
      <c r="J46" s="115"/>
      <c r="K46" s="92"/>
      <c r="L46" s="80"/>
      <c r="M46" s="97"/>
      <c r="N46" s="83"/>
      <c r="O46" s="349"/>
      <c r="P46" s="83"/>
      <c r="Q46" s="88" t="s">
        <v>54</v>
      </c>
      <c r="R46" s="83"/>
      <c r="S46" s="89">
        <v>2.65</v>
      </c>
      <c r="T46" s="83"/>
      <c r="U46" s="89">
        <v>3</v>
      </c>
      <c r="V46" s="83"/>
      <c r="W46" s="89">
        <v>43</v>
      </c>
      <c r="X46" s="92"/>
      <c r="Y46" s="351">
        <v>37144</v>
      </c>
      <c r="Z46" s="73" t="s">
        <v>73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35">
      <c r="A47" s="87" t="s">
        <v>56</v>
      </c>
      <c r="B47" s="83"/>
      <c r="C47" s="83"/>
      <c r="D47" s="83"/>
      <c r="E47" s="90" t="s">
        <v>63</v>
      </c>
      <c r="F47" s="342"/>
      <c r="G47" s="90"/>
      <c r="H47" s="91"/>
      <c r="I47" s="72"/>
      <c r="J47" s="115"/>
      <c r="K47" s="92"/>
      <c r="L47" s="80"/>
      <c r="M47" s="97"/>
      <c r="N47" s="83"/>
      <c r="O47" s="349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51">
        <v>37113</v>
      </c>
      <c r="Z47" s="73" t="s">
        <v>70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35">
      <c r="A48" s="87" t="s">
        <v>57</v>
      </c>
      <c r="B48" s="83"/>
      <c r="C48" s="83"/>
      <c r="D48" s="83"/>
      <c r="E48" s="90" t="s">
        <v>86</v>
      </c>
      <c r="F48" s="342"/>
      <c r="G48" s="89">
        <v>0.8</v>
      </c>
      <c r="H48" s="83"/>
      <c r="I48" s="89">
        <v>1.25</v>
      </c>
      <c r="J48" s="115"/>
      <c r="K48" s="89">
        <v>24</v>
      </c>
      <c r="L48" s="80"/>
      <c r="M48" s="97"/>
      <c r="N48" s="83"/>
      <c r="O48" s="349">
        <v>37145</v>
      </c>
      <c r="P48" s="83"/>
      <c r="Q48" s="88" t="s">
        <v>54</v>
      </c>
      <c r="R48" s="83"/>
      <c r="S48" s="89">
        <v>2.5</v>
      </c>
      <c r="T48" s="83"/>
      <c r="U48" s="89">
        <v>2.95</v>
      </c>
      <c r="V48" s="83"/>
      <c r="W48" s="89">
        <v>44</v>
      </c>
      <c r="X48" s="89"/>
      <c r="Y48" s="351">
        <v>37158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35">
      <c r="A49" s="87" t="s">
        <v>111</v>
      </c>
      <c r="B49" s="83"/>
      <c r="C49" s="83"/>
      <c r="D49" s="83"/>
      <c r="E49" s="90"/>
      <c r="F49" s="342"/>
      <c r="G49" s="89"/>
      <c r="H49" s="83"/>
      <c r="I49" s="89"/>
      <c r="J49" s="115"/>
      <c r="K49" s="89"/>
      <c r="L49" s="80"/>
      <c r="M49" s="97"/>
      <c r="N49" s="83"/>
      <c r="O49" s="349"/>
      <c r="P49" s="83"/>
      <c r="Q49" s="88" t="s">
        <v>114</v>
      </c>
      <c r="R49" s="83"/>
      <c r="S49" s="89">
        <v>2.4700000000000002</v>
      </c>
      <c r="T49" s="83"/>
      <c r="U49" s="89">
        <v>2.9</v>
      </c>
      <c r="V49" s="83"/>
      <c r="W49" s="89">
        <v>43</v>
      </c>
      <c r="X49" s="89"/>
      <c r="Y49" s="351">
        <v>37126</v>
      </c>
      <c r="Z49" s="73"/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35">
      <c r="A50" s="87" t="s">
        <v>58</v>
      </c>
      <c r="B50" s="83"/>
      <c r="C50" s="83"/>
      <c r="D50" s="83"/>
      <c r="E50" s="90" t="s">
        <v>60</v>
      </c>
      <c r="F50" s="342"/>
      <c r="G50" s="92"/>
      <c r="H50" s="91"/>
      <c r="I50" s="92"/>
      <c r="J50" s="115"/>
      <c r="K50" s="92"/>
      <c r="L50" s="80"/>
      <c r="M50" s="97"/>
      <c r="N50" s="83"/>
      <c r="O50" s="349"/>
      <c r="P50" s="83"/>
      <c r="Q50" s="88" t="s">
        <v>79</v>
      </c>
      <c r="R50" s="83"/>
      <c r="S50" s="89">
        <v>2.4</v>
      </c>
      <c r="T50" s="83"/>
      <c r="U50" s="89">
        <v>2.9</v>
      </c>
      <c r="V50" s="83"/>
      <c r="W50" s="89">
        <v>46</v>
      </c>
      <c r="X50" s="92"/>
      <c r="Y50" s="351">
        <v>37168</v>
      </c>
      <c r="Z50" s="73" t="s">
        <v>72</v>
      </c>
      <c r="AA50" s="73"/>
      <c r="AB50" s="73"/>
      <c r="AC50" s="73"/>
      <c r="AD50" s="74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35">
      <c r="A51" s="87" t="s">
        <v>87</v>
      </c>
      <c r="B51" s="83"/>
      <c r="C51" s="83"/>
      <c r="D51" s="83"/>
      <c r="E51" s="90" t="s">
        <v>54</v>
      </c>
      <c r="F51" s="342"/>
      <c r="G51" s="274"/>
      <c r="H51" s="275"/>
      <c r="I51" s="274"/>
      <c r="J51" s="230"/>
      <c r="K51" s="274"/>
      <c r="L51" s="80"/>
      <c r="M51" s="97"/>
      <c r="N51" s="83"/>
      <c r="O51" s="349"/>
      <c r="P51" s="83"/>
      <c r="Q51" s="88"/>
      <c r="R51" s="83"/>
      <c r="S51" s="89"/>
      <c r="T51" s="83"/>
      <c r="U51" s="89"/>
      <c r="V51" s="83"/>
      <c r="W51" s="89"/>
      <c r="X51" s="92"/>
      <c r="Y51" s="351"/>
      <c r="Z51" s="73" t="s">
        <v>106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35">
      <c r="A52" s="87" t="s">
        <v>65</v>
      </c>
      <c r="B52" s="83"/>
      <c r="C52" s="83"/>
      <c r="D52" s="83"/>
      <c r="E52" s="90" t="s">
        <v>54</v>
      </c>
      <c r="F52" s="342"/>
      <c r="G52" s="274">
        <v>0.91</v>
      </c>
      <c r="H52" s="275"/>
      <c r="I52" s="89">
        <v>1.05</v>
      </c>
      <c r="J52" s="230"/>
      <c r="K52" s="274">
        <v>28</v>
      </c>
      <c r="L52" s="80"/>
      <c r="M52" s="97"/>
      <c r="N52" s="83"/>
      <c r="O52" s="349">
        <v>37141</v>
      </c>
      <c r="P52" s="83"/>
      <c r="Q52" s="88" t="s">
        <v>54</v>
      </c>
      <c r="R52" s="83"/>
      <c r="S52" s="89">
        <v>2.4900000000000002</v>
      </c>
      <c r="T52" s="83"/>
      <c r="U52" s="89">
        <v>2.93</v>
      </c>
      <c r="V52" s="83"/>
      <c r="W52" s="89">
        <v>48</v>
      </c>
      <c r="X52" s="92"/>
      <c r="Y52" s="351">
        <v>37146</v>
      </c>
      <c r="Z52" s="73" t="s">
        <v>102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35">
      <c r="A53" s="87" t="s">
        <v>64</v>
      </c>
      <c r="B53" s="83"/>
      <c r="C53" s="83"/>
      <c r="D53" s="83"/>
      <c r="E53" s="90" t="s">
        <v>76</v>
      </c>
      <c r="F53" s="342"/>
      <c r="G53" s="89">
        <v>0.82</v>
      </c>
      <c r="H53" s="83"/>
      <c r="I53" s="89">
        <v>0.9</v>
      </c>
      <c r="J53" s="115"/>
      <c r="K53" s="89">
        <v>21</v>
      </c>
      <c r="L53" s="80"/>
      <c r="M53" s="97"/>
      <c r="N53" s="83"/>
      <c r="O53" s="349">
        <v>37118</v>
      </c>
      <c r="P53" s="83"/>
      <c r="Q53" s="88" t="s">
        <v>108</v>
      </c>
      <c r="R53" s="83"/>
      <c r="S53" s="89">
        <v>2.52</v>
      </c>
      <c r="T53" s="83"/>
      <c r="U53" s="89">
        <v>2.95</v>
      </c>
      <c r="V53" s="83"/>
      <c r="W53" s="89">
        <v>36</v>
      </c>
      <c r="X53" s="89"/>
      <c r="Y53" s="351">
        <v>37062</v>
      </c>
      <c r="Z53" s="73" t="s">
        <v>105</v>
      </c>
      <c r="AA53" s="73"/>
      <c r="AB53" s="73"/>
      <c r="AC53" s="73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35">
      <c r="A54" s="87" t="s">
        <v>59</v>
      </c>
      <c r="B54" s="83"/>
      <c r="C54" s="83"/>
      <c r="D54" s="83"/>
      <c r="E54" s="90" t="s">
        <v>63</v>
      </c>
      <c r="F54" s="342"/>
      <c r="G54" s="92"/>
      <c r="H54" s="91"/>
      <c r="I54" s="92"/>
      <c r="J54" s="115"/>
      <c r="K54" s="92"/>
      <c r="L54" s="80"/>
      <c r="M54" s="97"/>
      <c r="N54" s="83"/>
      <c r="O54" s="349"/>
      <c r="P54" s="83"/>
      <c r="Q54" s="88" t="s">
        <v>60</v>
      </c>
      <c r="R54" s="83"/>
      <c r="S54" s="89"/>
      <c r="T54" s="83"/>
      <c r="U54" s="89"/>
      <c r="V54" s="83"/>
      <c r="W54" s="89">
        <v>40</v>
      </c>
      <c r="X54" s="92"/>
      <c r="Y54" s="351"/>
      <c r="Z54" s="73" t="s">
        <v>74</v>
      </c>
      <c r="AA54" s="73"/>
      <c r="AB54" s="73"/>
      <c r="AC54" s="73"/>
      <c r="AD54" s="74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</row>
    <row r="55" spans="1:55" s="81" customFormat="1" ht="26.1" customHeight="1" x14ac:dyDescent="0.35">
      <c r="A55" s="93" t="s">
        <v>61</v>
      </c>
      <c r="B55" s="83"/>
      <c r="C55" s="83"/>
      <c r="D55" s="83"/>
      <c r="E55" s="90" t="s">
        <v>60</v>
      </c>
      <c r="F55" s="342"/>
      <c r="G55" s="89">
        <v>0.95</v>
      </c>
      <c r="H55" s="83"/>
      <c r="I55" s="89">
        <v>1.25</v>
      </c>
      <c r="J55" s="115"/>
      <c r="K55" s="89">
        <v>23</v>
      </c>
      <c r="L55" s="80"/>
      <c r="M55" s="97"/>
      <c r="N55" s="83"/>
      <c r="O55" s="349">
        <v>37155</v>
      </c>
      <c r="P55" s="83"/>
      <c r="Q55" s="88" t="s">
        <v>54</v>
      </c>
      <c r="R55" s="83"/>
      <c r="S55" s="89">
        <v>2.5</v>
      </c>
      <c r="T55" s="83"/>
      <c r="U55" s="89">
        <v>2.95</v>
      </c>
      <c r="V55" s="83"/>
      <c r="W55" s="89">
        <v>50</v>
      </c>
      <c r="X55" s="92"/>
      <c r="Y55" s="351">
        <v>37155</v>
      </c>
      <c r="Z55" s="73"/>
      <c r="AA55" s="73"/>
      <c r="AB55" s="73"/>
      <c r="AC55" s="73"/>
      <c r="AD55" s="74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  <c r="AU55" s="76"/>
      <c r="AV55" s="76"/>
      <c r="AW55" s="76"/>
      <c r="AX55" s="76"/>
      <c r="AY55" s="76"/>
      <c r="AZ55" s="76"/>
      <c r="BA55" s="76"/>
      <c r="BB55" s="76"/>
    </row>
    <row r="56" spans="1:55" s="81" customFormat="1" ht="26.1" customHeight="1" x14ac:dyDescent="0.35">
      <c r="A56" s="93" t="s">
        <v>109</v>
      </c>
      <c r="B56" s="83"/>
      <c r="C56" s="83"/>
      <c r="D56" s="83"/>
      <c r="E56" s="90" t="s">
        <v>54</v>
      </c>
      <c r="F56" s="342"/>
      <c r="G56" s="89">
        <v>0.95</v>
      </c>
      <c r="H56" s="83"/>
      <c r="I56" s="89">
        <v>1.1000000000000001</v>
      </c>
      <c r="J56" s="115"/>
      <c r="K56" s="89">
        <v>24</v>
      </c>
      <c r="L56" s="80"/>
      <c r="M56" s="97"/>
      <c r="N56" s="83"/>
      <c r="O56" s="349">
        <v>37141</v>
      </c>
      <c r="P56" s="83"/>
      <c r="Q56" s="88" t="s">
        <v>114</v>
      </c>
      <c r="R56" s="83"/>
      <c r="S56" s="89">
        <v>2.5</v>
      </c>
      <c r="T56" s="83"/>
      <c r="U56" s="89">
        <v>2.9</v>
      </c>
      <c r="V56" s="83"/>
      <c r="W56" s="89">
        <v>47</v>
      </c>
      <c r="X56" s="89"/>
      <c r="Y56" s="351">
        <v>37098</v>
      </c>
      <c r="Z56" s="73" t="s">
        <v>90</v>
      </c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  <c r="AU56" s="76"/>
      <c r="AV56" s="76"/>
      <c r="AW56" s="76"/>
      <c r="AX56" s="76"/>
      <c r="AY56" s="76"/>
      <c r="AZ56" s="76"/>
      <c r="BA56" s="76"/>
      <c r="BB56" s="76"/>
      <c r="BC56" s="76"/>
    </row>
    <row r="57" spans="1:55" s="76" customFormat="1" ht="26.1" customHeight="1" x14ac:dyDescent="0.35">
      <c r="A57" s="93"/>
      <c r="B57" s="83"/>
      <c r="C57" s="83"/>
      <c r="D57" s="83"/>
      <c r="E57" s="80"/>
      <c r="F57" s="342"/>
      <c r="G57" s="88"/>
      <c r="H57" s="83"/>
      <c r="I57" s="80"/>
      <c r="J57" s="80"/>
      <c r="K57" s="83"/>
      <c r="L57" s="80"/>
      <c r="M57" s="80"/>
      <c r="N57" s="83"/>
      <c r="O57" s="349"/>
      <c r="P57" s="83"/>
      <c r="Q57" s="80"/>
      <c r="R57" s="83"/>
      <c r="S57" s="89"/>
      <c r="T57" s="83"/>
      <c r="U57" s="89"/>
      <c r="V57" s="83"/>
      <c r="W57" s="89"/>
      <c r="X57" s="83"/>
      <c r="Y57" s="351"/>
      <c r="Z57" s="73"/>
      <c r="AA57" s="73"/>
      <c r="AB57" s="73"/>
      <c r="AC57" s="73"/>
      <c r="AE57" s="86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7"/>
      <c r="AR57" s="78"/>
      <c r="AS57" s="79"/>
      <c r="AT57" s="79"/>
    </row>
    <row r="58" spans="1:55" s="76" customFormat="1" ht="26.1" customHeight="1" thickBot="1" x14ac:dyDescent="0.4">
      <c r="A58" s="93" t="s">
        <v>16</v>
      </c>
      <c r="B58" s="80"/>
      <c r="C58" s="94"/>
      <c r="D58" s="80"/>
      <c r="E58" s="80"/>
      <c r="F58" s="342"/>
      <c r="G58" s="95">
        <f>AVERAGEA(G45:G56)</f>
        <v>0.8859999999999999</v>
      </c>
      <c r="H58" s="98"/>
      <c r="I58" s="95">
        <f>AVERAGEA(I45:I56)</f>
        <v>1.1099999999999999</v>
      </c>
      <c r="J58" s="80"/>
      <c r="K58" s="95">
        <f>AVERAGEA(K45:K56)</f>
        <v>24</v>
      </c>
      <c r="L58" s="80"/>
      <c r="M58" s="80"/>
      <c r="N58" s="96"/>
      <c r="O58" s="350"/>
      <c r="P58" s="96"/>
      <c r="Q58" s="80"/>
      <c r="R58" s="80"/>
      <c r="S58" s="95">
        <f>AVERAGEA(S45:S56)</f>
        <v>2.5150000000000001</v>
      </c>
      <c r="T58" s="96"/>
      <c r="U58" s="95">
        <f>AVERAGEA(U45:U56)</f>
        <v>2.9366666666666665</v>
      </c>
      <c r="V58" s="97"/>
      <c r="W58" s="95">
        <f>AVERAGEA(W45:W56)</f>
        <v>42.909090909090907</v>
      </c>
      <c r="X58" s="99"/>
      <c r="Y58" s="352"/>
      <c r="Z58" s="73"/>
      <c r="AA58" s="73"/>
      <c r="AB58" s="73"/>
      <c r="AC58" s="73"/>
      <c r="AE58" s="86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7"/>
      <c r="AR58" s="78"/>
      <c r="AS58" s="79"/>
      <c r="AT58" s="79"/>
    </row>
    <row r="59" spans="1:55" s="76" customFormat="1" ht="24" thickTop="1" x14ac:dyDescent="0.35">
      <c r="A59" s="93"/>
      <c r="B59" s="80"/>
      <c r="C59" s="94"/>
      <c r="D59" s="80"/>
      <c r="E59" s="80"/>
      <c r="F59" s="80"/>
      <c r="G59" s="96"/>
      <c r="H59" s="96"/>
      <c r="I59" s="99"/>
      <c r="J59" s="97"/>
      <c r="K59" s="80"/>
      <c r="L59" s="80"/>
      <c r="M59" s="100"/>
      <c r="N59" s="96"/>
      <c r="O59" s="97"/>
      <c r="P59" s="96"/>
      <c r="Q59" s="98"/>
      <c r="R59" s="342"/>
      <c r="S59" s="80"/>
      <c r="T59" s="98"/>
      <c r="U59" s="80"/>
      <c r="V59" s="99"/>
      <c r="W59" s="230"/>
      <c r="X59" s="73"/>
      <c r="Y59" s="232"/>
      <c r="Z59" s="73"/>
      <c r="AA59" s="73"/>
      <c r="AB59" s="73"/>
      <c r="AD59" s="86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7"/>
      <c r="AQ59" s="78"/>
      <c r="AR59" s="79"/>
      <c r="AS59" s="79"/>
    </row>
    <row r="60" spans="1:55" s="76" customFormat="1" ht="23.25" x14ac:dyDescent="0.35">
      <c r="A60" s="101" t="s">
        <v>62</v>
      </c>
      <c r="B60" s="80"/>
      <c r="C60" s="94"/>
      <c r="D60" s="80"/>
      <c r="E60" s="80"/>
      <c r="F60" s="80"/>
      <c r="G60" s="96"/>
      <c r="H60" s="96"/>
      <c r="I60" s="97"/>
      <c r="J60" s="97"/>
      <c r="K60" s="80"/>
      <c r="L60" s="80"/>
      <c r="M60" s="100"/>
      <c r="N60" s="96"/>
      <c r="O60" s="97"/>
      <c r="P60" s="96"/>
      <c r="Q60" s="98"/>
      <c r="R60" s="342"/>
      <c r="S60" s="80"/>
      <c r="T60" s="98"/>
      <c r="U60" s="80"/>
      <c r="V60" s="98"/>
      <c r="W60" s="230"/>
      <c r="X60" s="73"/>
      <c r="Y60" s="232"/>
      <c r="Z60" s="73"/>
      <c r="AA60" s="73"/>
      <c r="AB60" s="73"/>
      <c r="AD60" s="81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81"/>
      <c r="AQ60" s="81"/>
      <c r="AR60" s="103"/>
      <c r="AS60" s="81"/>
    </row>
    <row r="61" spans="1:55" s="76" customFormat="1" ht="23.25" x14ac:dyDescent="0.35">
      <c r="A61" s="101"/>
      <c r="B61" s="80"/>
      <c r="C61" s="94"/>
      <c r="D61" s="80"/>
      <c r="E61" s="80"/>
      <c r="F61" s="80"/>
      <c r="G61" s="96"/>
      <c r="H61" s="96"/>
      <c r="I61" s="97"/>
      <c r="J61" s="97"/>
      <c r="K61" s="80"/>
      <c r="L61" s="80"/>
      <c r="M61" s="100"/>
      <c r="N61" s="96"/>
      <c r="O61" s="97"/>
      <c r="P61" s="96"/>
      <c r="Q61" s="98"/>
      <c r="R61" s="342"/>
      <c r="S61" s="80"/>
      <c r="T61" s="98"/>
      <c r="U61" s="80"/>
      <c r="V61" s="98"/>
      <c r="W61" s="230"/>
      <c r="X61" s="73"/>
      <c r="Y61" s="232"/>
      <c r="Z61" s="73"/>
      <c r="AA61" s="73"/>
      <c r="AB61" s="73"/>
      <c r="AD61" s="81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81"/>
      <c r="AQ61" s="81"/>
      <c r="AR61" s="103"/>
      <c r="AS61" s="81"/>
    </row>
    <row r="62" spans="1:55" s="76" customFormat="1" ht="23.25" x14ac:dyDescent="0.35">
      <c r="A62" s="276"/>
      <c r="B62" s="104"/>
      <c r="C62" s="105"/>
      <c r="D62" s="104"/>
      <c r="E62" s="104"/>
      <c r="F62" s="104"/>
      <c r="G62" s="106"/>
      <c r="H62" s="106"/>
      <c r="I62" s="107"/>
      <c r="J62" s="107"/>
      <c r="K62" s="104"/>
      <c r="L62" s="104"/>
      <c r="M62" s="108"/>
      <c r="N62" s="106"/>
      <c r="O62" s="107"/>
      <c r="P62" s="106"/>
      <c r="Q62" s="109"/>
      <c r="R62" s="110"/>
      <c r="S62" s="104"/>
      <c r="T62" s="109"/>
      <c r="U62" s="104"/>
      <c r="V62" s="109"/>
      <c r="W62" s="339"/>
      <c r="X62" s="343"/>
      <c r="Y62" s="250"/>
      <c r="Z62" s="73"/>
      <c r="AA62" s="73"/>
      <c r="AB62" s="73"/>
      <c r="AD62" s="81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81"/>
      <c r="AQ62" s="81"/>
      <c r="AR62" s="103"/>
      <c r="AS62" s="81"/>
    </row>
    <row r="63" spans="1:55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10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10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10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10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X67" s="21"/>
      <c r="Y67" s="21"/>
      <c r="Z67" s="21"/>
      <c r="AA67" s="21"/>
      <c r="AB67" s="21"/>
      <c r="AE67" s="12"/>
      <c r="AF67" s="210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X68" s="21"/>
      <c r="Y68" s="21"/>
      <c r="Z68" s="21"/>
      <c r="AA68" s="21"/>
      <c r="AB68" s="21"/>
      <c r="AE68" s="12"/>
      <c r="AF68" s="210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X69" s="21"/>
      <c r="Y69" s="21"/>
      <c r="Z69" s="21"/>
      <c r="AA69" s="21"/>
      <c r="AB69" s="21"/>
      <c r="AE69" s="45"/>
      <c r="AF69" s="210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X70" s="21"/>
      <c r="Y70" s="21"/>
      <c r="Z70" s="21"/>
      <c r="AA70" s="21"/>
      <c r="AB70" s="21"/>
      <c r="AE70" s="45"/>
      <c r="AF70" s="210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X71" s="21"/>
      <c r="Y71" s="21"/>
      <c r="Z71" s="21"/>
      <c r="AA71" s="21"/>
      <c r="AB71" s="21"/>
      <c r="AE71" s="45"/>
      <c r="AF71" s="210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X72" s="21"/>
      <c r="Y72" s="21"/>
      <c r="Z72" s="21"/>
      <c r="AA72" s="21"/>
      <c r="AB72" s="21"/>
      <c r="AE72" s="45"/>
      <c r="AF72" s="210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X73" s="21"/>
      <c r="Y73" s="21"/>
      <c r="Z73" s="21"/>
      <c r="AA73" s="21"/>
      <c r="AB73" s="21"/>
      <c r="AE73" s="45"/>
      <c r="AF73" s="210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X74" s="21"/>
      <c r="Y74" s="21"/>
      <c r="Z74" s="21"/>
      <c r="AA74" s="21"/>
      <c r="AB74" s="21"/>
      <c r="AE74" s="45"/>
      <c r="AF74" s="210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2001-09-27T15:04:06Z</cp:lastPrinted>
  <dcterms:created xsi:type="dcterms:W3CDTF">1997-07-25T21:20:20Z</dcterms:created>
  <dcterms:modified xsi:type="dcterms:W3CDTF">2023-09-18T00:17:32Z</dcterms:modified>
</cp:coreProperties>
</file>