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39973D-3919-4480-8DF4-06890AE88CC4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<sst xmlns="http://schemas.openxmlformats.org/spreadsheetml/2006/main" count="166" uniqueCount="114">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</sst>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70" fontId="11" fillId="3" borderId="0" xfId="0" quotePrefix="1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1828.48</val>
          </value>
        </values>
      </ddeItem>
      <ddeItem name=".SPX,LAST,1" advise="1">
        <values>
          <value>
            <val>1120.31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13.87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25.98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39.659999999999997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38.76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8.6300000000000008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49.53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20.149999999999999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50.51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26.3</val>
          </value>
        </values>
      </ddeItem>
      <ddeItem name="NRG,DIVIDEND,1" advise="1">
        <values>
          <value>
            <val>0</val>
          </value>
        </values>
      </ddeItem>
      <ddeItem name="NRG,LAST,1" advise="1">
        <values>
          <value>
            <val>18.55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16.48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29.8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49" bestFit="1" customWidth="1"/>
    <col min="2" max="2" width="8.88671875" style="250"/>
    <col min="3" max="3" width="2" style="249" customWidth="1"/>
    <col min="4" max="4" width="7.77734375" style="249" customWidth="1"/>
    <col min="5" max="5" width="1.44140625" style="249" customWidth="1"/>
    <col min="6" max="6" width="7.21875" style="249" customWidth="1"/>
    <col min="7" max="7" width="1.44140625" style="249" customWidth="1"/>
    <col min="8" max="16384" width="8.88671875" style="249"/>
  </cols>
  <sheetData>
    <row r="1" spans="1:8" ht="18.75" customHeight="1" x14ac:dyDescent="0.25">
      <c r="A1" s="249" t="s">
        <v>63</v>
      </c>
      <c r="H1" s="251" t="str">
        <f>+ENRON!AS1</f>
        <v>Friday</v>
      </c>
    </row>
    <row r="2" spans="1:8" ht="18" customHeight="1" x14ac:dyDescent="0.25">
      <c r="A2" s="252" t="s">
        <v>17</v>
      </c>
      <c r="H2" s="253">
        <f>+ENRON!AS2</f>
        <v>37204</v>
      </c>
    </row>
    <row r="3" spans="1:8" ht="16.5" thickBot="1" x14ac:dyDescent="0.3"/>
    <row r="4" spans="1:8" ht="16.5" thickBot="1" x14ac:dyDescent="0.3">
      <c r="B4" s="254">
        <v>2002</v>
      </c>
      <c r="D4" s="302" t="s">
        <v>64</v>
      </c>
      <c r="E4" s="303"/>
      <c r="F4" s="303"/>
      <c r="G4" s="303"/>
      <c r="H4" s="304"/>
    </row>
    <row r="5" spans="1:8" ht="32.25" thickBot="1" x14ac:dyDescent="0.3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25">
      <c r="A6" s="249" t="s">
        <v>65</v>
      </c>
      <c r="B6" s="261">
        <f>ENRON!AG7</f>
        <v>4.3150000000000004</v>
      </c>
      <c r="D6" s="262">
        <f>ENRON!AM7</f>
        <v>-0.23628318584070795</v>
      </c>
      <c r="E6" s="263"/>
      <c r="F6" s="264">
        <f>ENRON!AO7</f>
        <v>-0.68307014322438486</v>
      </c>
      <c r="G6" s="263"/>
      <c r="H6" s="265">
        <f>ENRON!AQ7</f>
        <v>-0.89166917293233083</v>
      </c>
    </row>
    <row r="7" spans="1:8" x14ac:dyDescent="0.25">
      <c r="A7" s="249" t="s">
        <v>66</v>
      </c>
      <c r="B7" s="266">
        <f>ENRON!AG9</f>
        <v>22.018671383647796</v>
      </c>
      <c r="D7" s="267">
        <f>ENRON!AM9</f>
        <v>3.0912435614422321E-2</v>
      </c>
      <c r="E7" s="268"/>
      <c r="F7" s="269">
        <f>ENRON!AO9</f>
        <v>7.7848867369877062E-2</v>
      </c>
      <c r="G7" s="268"/>
      <c r="H7" s="270">
        <f>ENRON!AQ9</f>
        <v>-0.14129275608204325</v>
      </c>
    </row>
    <row r="8" spans="1:8" x14ac:dyDescent="0.25">
      <c r="A8" s="249" t="s">
        <v>70</v>
      </c>
      <c r="B8" s="266" t="str">
        <f>ENRON!Z10</f>
        <v xml:space="preserve">N/A </v>
      </c>
      <c r="D8" s="267">
        <f>ENRON!AM10</f>
        <v>4.7498181276600673E-2</v>
      </c>
      <c r="E8" s="268"/>
      <c r="F8" s="269">
        <f>ENRON!AO10</f>
        <v>0.22030958099813189</v>
      </c>
      <c r="G8" s="268"/>
      <c r="H8" s="270">
        <f>ENRON!AQ10</f>
        <v>-0.25774776160484431</v>
      </c>
    </row>
    <row r="9" spans="1:8" ht="16.5" thickBot="1" x14ac:dyDescent="0.3">
      <c r="A9" s="249" t="s">
        <v>80</v>
      </c>
      <c r="B9" s="288">
        <f>ENRON!AG25</f>
        <v>11.989096296741332</v>
      </c>
      <c r="C9" s="271"/>
      <c r="D9" s="289">
        <f>ENRON!AM25</f>
        <v>7.786775568909253E-2</v>
      </c>
      <c r="E9" s="290"/>
      <c r="F9" s="291">
        <f>ENRON!AO25</f>
        <v>0.11697687057806067</v>
      </c>
      <c r="G9" s="292"/>
      <c r="H9" s="272">
        <f>ENRON!AQ25</f>
        <v>-0.27794376302066331</v>
      </c>
    </row>
    <row r="10" spans="1:8" x14ac:dyDescent="0.25">
      <c r="D10" s="273"/>
    </row>
    <row r="11" spans="1:8" x14ac:dyDescent="0.25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6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8" x14ac:dyDescent="0.25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37204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37197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75" thickBot="1" x14ac:dyDescent="0.25">
      <c r="A7" s="75" t="s">
        <v>47</v>
      </c>
      <c r="B7" s="76"/>
      <c r="C7" s="77" t="s">
        <v>0</v>
      </c>
      <c r="D7" s="76"/>
      <c r="E7" s="78">
        <f>[1]!'ENE,LAST,1'</f>
        <v>8.6300000000000008</v>
      </c>
      <c r="F7" s="76"/>
      <c r="G7" s="79">
        <v>2.16</v>
      </c>
      <c r="H7" s="80" t="s">
        <v>48</v>
      </c>
      <c r="I7" s="81">
        <f>E7/G7</f>
        <v>3.9953703703703707</v>
      </c>
      <c r="J7" s="76"/>
      <c r="K7" s="79">
        <v>2.14</v>
      </c>
      <c r="L7" s="82" t="s">
        <v>49</v>
      </c>
      <c r="M7" s="81">
        <f>E7/K7</f>
        <v>4.0327102803738315</v>
      </c>
      <c r="N7" s="76"/>
      <c r="O7" s="79">
        <v>2.16</v>
      </c>
      <c r="P7" s="80" t="s">
        <v>48</v>
      </c>
      <c r="Q7" s="81">
        <f>M7/O7</f>
        <v>1.86699550017307</v>
      </c>
      <c r="R7" s="76"/>
      <c r="S7" s="83">
        <f>+S57</f>
        <v>1.9988888888888892</v>
      </c>
      <c r="T7" s="81">
        <f>E7/S7</f>
        <v>4.3173985547526401</v>
      </c>
      <c r="U7" s="84"/>
      <c r="V7" s="85">
        <f>(S7-K7)/K7</f>
        <v>-6.5939771547248116E-2</v>
      </c>
      <c r="W7" s="86"/>
      <c r="X7" s="87">
        <f>X57</f>
        <v>1.8022222222222224</v>
      </c>
      <c r="Y7" s="88"/>
      <c r="Z7" s="81">
        <f>E7/X7</f>
        <v>4.7885326757090017</v>
      </c>
      <c r="AA7" s="84"/>
      <c r="AB7" s="89">
        <f>(AE7-X7)/X7</f>
        <v>0.10974106041923541</v>
      </c>
      <c r="AC7" s="285">
        <v>0.10299999999999999</v>
      </c>
      <c r="AD7" s="84"/>
      <c r="AE7" s="87">
        <f>AE57</f>
        <v>2</v>
      </c>
      <c r="AF7" s="90"/>
      <c r="AG7" s="81">
        <f>E7/AE7</f>
        <v>4.3150000000000004</v>
      </c>
      <c r="AH7" s="91"/>
      <c r="AJ7" s="92"/>
      <c r="AK7" s="93">
        <f>(X7-S7)/S7</f>
        <v>-9.838799332962761E-2</v>
      </c>
      <c r="AL7" s="86"/>
      <c r="AM7" s="94">
        <f>((+AX7+E7-AY7)/AY7)</f>
        <v>-0.23628318584070795</v>
      </c>
      <c r="AN7" s="86"/>
      <c r="AO7" s="86">
        <f>((+AZ7+E7-BA7)/BA7)</f>
        <v>-0.68307014322438486</v>
      </c>
      <c r="AP7" s="86"/>
      <c r="AQ7" s="93">
        <f>((+BB7+E7-BC7)/BC7)</f>
        <v>-0.89166917293233083</v>
      </c>
      <c r="AR7" s="95"/>
      <c r="AS7" s="1">
        <f>AU7/E7</f>
        <v>5.7937427578215524E-2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11.3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50</v>
      </c>
      <c r="B9" s="18"/>
      <c r="C9" s="19" t="s">
        <v>55</v>
      </c>
      <c r="D9" s="18"/>
      <c r="E9" s="118">
        <f>[1]!'.SPX,LAST,1'</f>
        <v>1120.31</v>
      </c>
      <c r="F9" s="119"/>
      <c r="G9" s="120">
        <v>40.53</v>
      </c>
      <c r="H9" s="101"/>
      <c r="I9" s="92">
        <f>E9/G9</f>
        <v>27.641500123365407</v>
      </c>
      <c r="J9" s="26"/>
      <c r="K9" s="120">
        <v>42.08</v>
      </c>
      <c r="L9" s="26"/>
      <c r="M9" s="92">
        <f>E9/K9</f>
        <v>26.623336501901139</v>
      </c>
      <c r="N9" s="119"/>
      <c r="O9" s="120">
        <v>40.53</v>
      </c>
      <c r="P9" s="101"/>
      <c r="Q9" s="92">
        <f>M9/O9</f>
        <v>0.65687975578339841</v>
      </c>
      <c r="R9" s="26"/>
      <c r="S9" s="121">
        <v>40.18</v>
      </c>
      <c r="T9" s="92">
        <f>E9/S9</f>
        <v>27.882279741164758</v>
      </c>
      <c r="U9" s="91"/>
      <c r="V9" s="122">
        <f>(S9-K9)/K9</f>
        <v>-4.5152091254752821E-2</v>
      </c>
      <c r="W9" s="123"/>
      <c r="X9" s="121">
        <v>44.15</v>
      </c>
      <c r="Y9" s="124"/>
      <c r="Z9" s="92">
        <f>E9/X9</f>
        <v>25.375084937712344</v>
      </c>
      <c r="AA9" s="91"/>
      <c r="AB9" s="125">
        <f>(AE9-X9)/X9</f>
        <v>0.15243488108720282</v>
      </c>
      <c r="AC9" s="286"/>
      <c r="AD9" s="91"/>
      <c r="AE9" s="121">
        <v>50.88</v>
      </c>
      <c r="AF9" s="124"/>
      <c r="AG9" s="92">
        <f>E9/AE9</f>
        <v>22.018671383647796</v>
      </c>
      <c r="AH9" s="91"/>
      <c r="AJ9" s="91"/>
      <c r="AK9" s="122">
        <f>(X9-S9)/S9</f>
        <v>9.8805375808860105E-2</v>
      </c>
      <c r="AL9" s="123"/>
      <c r="AM9" s="96">
        <f>((+AX9+E9-AY9)/AY9)</f>
        <v>3.0912435614422321E-2</v>
      </c>
      <c r="AN9" s="123"/>
      <c r="AO9" s="123">
        <f>((+AZ9+E9-BA9)/BA9)</f>
        <v>7.7848867369877062E-2</v>
      </c>
      <c r="AP9" s="123"/>
      <c r="AQ9" s="126">
        <f>((+BB9+E9-BC9)/BC9)</f>
        <v>-0.14129275608204325</v>
      </c>
      <c r="AS9" s="2">
        <v>1.3899999999999999E-2</v>
      </c>
      <c r="AT9" s="96"/>
      <c r="AU9" s="127">
        <f>AS9*E9</f>
        <v>15.572308999999999</v>
      </c>
      <c r="AV9" s="128"/>
      <c r="AW9" s="97"/>
      <c r="AX9" s="129">
        <v>0.498</v>
      </c>
      <c r="AY9" s="130">
        <v>1087.2</v>
      </c>
      <c r="AZ9" s="129">
        <v>1.6659999999999999</v>
      </c>
      <c r="BA9" s="130">
        <v>1040.94</v>
      </c>
      <c r="BB9" s="129">
        <v>13.423999999999999</v>
      </c>
      <c r="BC9" s="131">
        <v>1320.28</v>
      </c>
    </row>
    <row r="10" spans="1:56" x14ac:dyDescent="0.2">
      <c r="A10" s="17" t="s">
        <v>70</v>
      </c>
      <c r="B10" s="18"/>
      <c r="C10" s="19" t="s">
        <v>67</v>
      </c>
      <c r="D10" s="18"/>
      <c r="E10" s="118">
        <f>[1]!'.IXIC,LAST,1'</f>
        <v>1828.48</v>
      </c>
      <c r="F10" s="119"/>
      <c r="G10" s="120">
        <v>40.53</v>
      </c>
      <c r="H10" s="101"/>
      <c r="I10" s="92">
        <f>E10/G10</f>
        <v>45.114236368122377</v>
      </c>
      <c r="J10" s="26"/>
      <c r="K10" s="120">
        <v>42.08</v>
      </c>
      <c r="L10" s="26"/>
      <c r="M10" s="92">
        <f>E10/K10</f>
        <v>43.452471482889734</v>
      </c>
      <c r="N10" s="119"/>
      <c r="O10" s="120">
        <v>40.53</v>
      </c>
      <c r="P10" s="101"/>
      <c r="Q10" s="92">
        <f>M10/O10</f>
        <v>1.0721063775694482</v>
      </c>
      <c r="R10" s="26"/>
      <c r="S10" s="121">
        <v>40.18</v>
      </c>
      <c r="T10" s="92">
        <f>E10/S10</f>
        <v>45.507217521154807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4.7498181276600673E-2</v>
      </c>
      <c r="AN10" s="123"/>
      <c r="AO10" s="123">
        <f>((+AZ10+E10-BA10)/BA10)</f>
        <v>0.22030958099813189</v>
      </c>
      <c r="AP10" s="123"/>
      <c r="AQ10" s="126">
        <f>((+BB10+E10-BC10)/BC10)</f>
        <v>-0.25774776160484431</v>
      </c>
      <c r="AS10" s="2">
        <v>3.0999999999999999E-3</v>
      </c>
      <c r="AT10" s="96"/>
      <c r="AU10" s="127">
        <f>AS10*E10</f>
        <v>5.6682879999999995</v>
      </c>
      <c r="AV10" s="128"/>
      <c r="AW10" s="97"/>
      <c r="AX10" s="129">
        <v>0.16900000000000001</v>
      </c>
      <c r="AY10" s="130">
        <v>1745.73</v>
      </c>
      <c r="AZ10" s="129">
        <v>0.52</v>
      </c>
      <c r="BA10" s="130">
        <v>1498.8</v>
      </c>
      <c r="BB10" s="129">
        <v>5.2690000000000001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104</v>
      </c>
      <c r="B13" s="18"/>
      <c r="C13" s="39" t="s">
        <v>100</v>
      </c>
      <c r="D13" s="18"/>
      <c r="E13" s="135">
        <f>[1]!'ILA,LAST,1'</f>
        <v>20.149999999999999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17.521739130434781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8.6853448275862064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9.8292682926829276</v>
      </c>
      <c r="AH13" s="91"/>
      <c r="AJ13" s="91"/>
      <c r="AK13" s="122">
        <f>(X13-S13)/S13</f>
        <v>1.0173913043478262</v>
      </c>
      <c r="AL13" s="123"/>
      <c r="AM13" s="96">
        <f>((+AX13+E13-AY13)/AY13)</f>
        <v>0.1332958380202473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17.78</v>
      </c>
      <c r="AZ13" s="141"/>
      <c r="BA13" s="149">
        <v>21.8</v>
      </c>
      <c r="BB13" s="141">
        <v>0</v>
      </c>
      <c r="BC13" s="149" t="s">
        <v>68</v>
      </c>
    </row>
    <row r="14" spans="1:56" x14ac:dyDescent="0.2">
      <c r="A14" s="18" t="s">
        <v>86</v>
      </c>
      <c r="B14" s="150"/>
      <c r="C14" s="39" t="s">
        <v>61</v>
      </c>
      <c r="D14" s="18"/>
      <c r="E14" s="135">
        <f>[1]!'AES,LAST,1'</f>
        <v>13.87</v>
      </c>
      <c r="F14" s="18"/>
      <c r="G14" s="120">
        <v>4.72</v>
      </c>
      <c r="H14" s="143" t="s">
        <v>48</v>
      </c>
      <c r="I14" s="92">
        <f>E14/G14</f>
        <v>2.9385593220338984</v>
      </c>
      <c r="J14" s="18"/>
      <c r="K14" s="120">
        <v>4.9400000000000004</v>
      </c>
      <c r="L14" s="26"/>
      <c r="M14" s="92">
        <f>E14/K14</f>
        <v>2.8076923076923075</v>
      </c>
      <c r="N14" s="18"/>
      <c r="O14" s="120">
        <v>4.72</v>
      </c>
      <c r="P14" s="143" t="s">
        <v>48</v>
      </c>
      <c r="Q14" s="92">
        <f>M14/O14</f>
        <v>0.59485006518904826</v>
      </c>
      <c r="R14" s="18"/>
      <c r="S14" s="121">
        <v>3.43</v>
      </c>
      <c r="T14" s="92">
        <f t="shared" si="0"/>
        <v>4.0437317784256557</v>
      </c>
      <c r="U14" s="91"/>
      <c r="V14" s="122">
        <f>(S14-K14)/K14</f>
        <v>-0.30566801619433198</v>
      </c>
      <c r="W14" s="123"/>
      <c r="X14" s="121">
        <v>1.29</v>
      </c>
      <c r="Y14" s="124"/>
      <c r="Z14" s="92">
        <f t="shared" si="1"/>
        <v>10.751937984496124</v>
      </c>
      <c r="AA14" s="91"/>
      <c r="AB14" s="125">
        <f t="shared" si="2"/>
        <v>0.2170542635658915</v>
      </c>
      <c r="AC14" s="286">
        <v>0.106</v>
      </c>
      <c r="AD14" s="91"/>
      <c r="AE14" s="121">
        <v>1.57</v>
      </c>
      <c r="AF14" s="124"/>
      <c r="AG14" s="92">
        <f t="shared" si="3"/>
        <v>8.8343949044585983</v>
      </c>
      <c r="AH14" s="91"/>
      <c r="AJ14" s="91"/>
      <c r="AK14" s="122">
        <f t="shared" ref="AK14:AK23" si="4">(X14-S14)/S14</f>
        <v>-0.62390670553935856</v>
      </c>
      <c r="AL14" s="123"/>
      <c r="AM14" s="96">
        <f t="shared" ref="AM14:AM23" si="5">((+AX14+E14-AY14)/AY14)</f>
        <v>2.4372230428360422E-2</v>
      </c>
      <c r="AN14" s="123"/>
      <c r="AO14" s="123">
        <f t="shared" ref="AO14:AO23" si="6">((+AZ14+E14-BA14)/BA14)</f>
        <v>8.1903276131045158E-2</v>
      </c>
      <c r="AP14" s="123"/>
      <c r="AQ14" s="126">
        <f t="shared" ref="AQ14:AQ23" si="7">((+BB14+E14-BC14)/BC14)</f>
        <v>-0.74952595936794586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13.54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105</v>
      </c>
      <c r="B15" s="150"/>
      <c r="C15" s="39" t="s">
        <v>106</v>
      </c>
      <c r="D15" s="18"/>
      <c r="E15" s="135">
        <f>[1]!'CPN,LAST,1'</f>
        <v>25.98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12.735294117647058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10.30952380952381</v>
      </c>
      <c r="AH15" s="91"/>
      <c r="AJ15" s="91"/>
      <c r="AK15" s="122"/>
      <c r="AL15" s="123"/>
      <c r="AM15" s="96">
        <f>((+AX15+E15-AY15)/AY15)</f>
        <v>0.10365335598980464</v>
      </c>
      <c r="AN15" s="123"/>
      <c r="AO15" s="123">
        <f>((+AZ15+E15-BA15)/BA15)</f>
        <v>0.13897413415168794</v>
      </c>
      <c r="AP15" s="123"/>
      <c r="AQ15" s="126">
        <f>((+BB15+E15-BC15)/BC15)</f>
        <v>-0.4234354194407457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23.54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51</v>
      </c>
      <c r="B16" s="150"/>
      <c r="C16" s="39" t="s">
        <v>1</v>
      </c>
      <c r="D16" s="18"/>
      <c r="E16" s="135">
        <f>[1]!'DUK,LAST,1'</f>
        <v>39.659999999999997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13.444067796610167</v>
      </c>
      <c r="N16" s="18"/>
      <c r="O16" s="120"/>
      <c r="P16" s="143"/>
      <c r="Q16" s="92"/>
      <c r="R16" s="18"/>
      <c r="S16" s="121">
        <v>3.38</v>
      </c>
      <c r="T16" s="92">
        <f t="shared" si="0"/>
        <v>11.733727810650887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14.474452554744524</v>
      </c>
      <c r="AA16" s="91"/>
      <c r="AB16" s="125">
        <f t="shared" si="2"/>
        <v>4.0145985401459805E-2</v>
      </c>
      <c r="AC16" s="286">
        <v>0.185</v>
      </c>
      <c r="AD16" s="91"/>
      <c r="AE16" s="121">
        <v>2.85</v>
      </c>
      <c r="AF16" s="124"/>
      <c r="AG16" s="92">
        <f t="shared" si="3"/>
        <v>13.915789473684208</v>
      </c>
      <c r="AH16" s="91"/>
      <c r="AJ16" s="91"/>
      <c r="AK16" s="122">
        <f t="shared" si="4"/>
        <v>-0.18934911242603542</v>
      </c>
      <c r="AL16" s="123"/>
      <c r="AM16" s="96">
        <f t="shared" si="5"/>
        <v>5.8729311265349589E-2</v>
      </c>
      <c r="AN16" s="123"/>
      <c r="AO16" s="123">
        <f t="shared" si="6"/>
        <v>4.7820343461030257E-2</v>
      </c>
      <c r="AP16" s="123"/>
      <c r="AQ16" s="126">
        <f t="shared" si="7"/>
        <v>-5.0093852651337353E-2</v>
      </c>
      <c r="AS16" s="146">
        <f t="shared" si="8"/>
        <v>2.7735753908219873E-2</v>
      </c>
      <c r="AT16" s="147"/>
      <c r="AU16" s="3">
        <f>[1]!'DUK,DIVIDEND,1'</f>
        <v>1.1000000000000001</v>
      </c>
      <c r="AV16" s="294">
        <v>37209</v>
      </c>
      <c r="AW16" s="97">
        <v>0.27500000000000002</v>
      </c>
      <c r="AX16" s="277"/>
      <c r="AY16" s="131">
        <v>37.46</v>
      </c>
      <c r="AZ16" s="277"/>
      <c r="BA16" s="131">
        <v>37.85</v>
      </c>
      <c r="BB16" s="277">
        <f>0.275*3</f>
        <v>0.82500000000000007</v>
      </c>
      <c r="BC16" s="131">
        <v>42.62</v>
      </c>
    </row>
    <row r="17" spans="1:55" ht="15.75" x14ac:dyDescent="0.25">
      <c r="A17" s="17" t="s">
        <v>87</v>
      </c>
      <c r="B17" s="150"/>
      <c r="C17" s="39" t="s">
        <v>52</v>
      </c>
      <c r="D17" s="18"/>
      <c r="E17" s="135">
        <f>[1]!'DYN,LAST,1'</f>
        <v>38.76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55.371428571428574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66.827586206896555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18.457142857142856</v>
      </c>
      <c r="AA17" s="91"/>
      <c r="AB17" s="125">
        <f t="shared" si="2"/>
        <v>0.22380952380952368</v>
      </c>
      <c r="AC17" s="286">
        <v>0.182</v>
      </c>
      <c r="AD17" s="91"/>
      <c r="AE17" s="121">
        <v>2.57</v>
      </c>
      <c r="AF17" s="151"/>
      <c r="AG17" s="92">
        <f t="shared" si="3"/>
        <v>15.081712062256809</v>
      </c>
      <c r="AH17" s="91"/>
      <c r="AJ17" s="91"/>
      <c r="AK17" s="122">
        <f t="shared" si="4"/>
        <v>2.6206896551724141</v>
      </c>
      <c r="AL17" s="123"/>
      <c r="AM17" s="96">
        <f t="shared" si="5"/>
        <v>0.15874439461883391</v>
      </c>
      <c r="AN17" s="123"/>
      <c r="AO17" s="123">
        <f t="shared" si="6"/>
        <v>0.1186147186147186</v>
      </c>
      <c r="AP17" s="123"/>
      <c r="AQ17" s="126">
        <f t="shared" si="7"/>
        <v>-0.30461538461538462</v>
      </c>
      <c r="AS17" s="146">
        <f t="shared" si="8"/>
        <v>7.7399380804953561E-3</v>
      </c>
      <c r="AT17" s="147"/>
      <c r="AU17" s="3">
        <f>[1]!'DYN,DIVIDEND,1'</f>
        <v>0.3</v>
      </c>
      <c r="AV17" s="293">
        <v>37132</v>
      </c>
      <c r="AW17" s="97">
        <v>7.4999999999999997E-2</v>
      </c>
      <c r="AX17" s="277"/>
      <c r="AY17" s="131">
        <v>33.450000000000003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">
      <c r="A18" s="17" t="s">
        <v>53</v>
      </c>
      <c r="B18" s="6"/>
      <c r="C18" s="39" t="s">
        <v>2</v>
      </c>
      <c r="D18" s="18"/>
      <c r="E18" s="135">
        <f>[1]!'EPG,LAST,1'</f>
        <v>49.53</v>
      </c>
      <c r="F18" s="18"/>
      <c r="G18" s="120">
        <v>2.85</v>
      </c>
      <c r="H18" s="143" t="s">
        <v>48</v>
      </c>
      <c r="I18" s="92">
        <f>E18/G18</f>
        <v>17.378947368421052</v>
      </c>
      <c r="J18" s="18"/>
      <c r="K18" s="120">
        <v>3.18</v>
      </c>
      <c r="L18" s="26"/>
      <c r="M18" s="92">
        <f>E18/K18</f>
        <v>15.575471698113207</v>
      </c>
      <c r="N18" s="18"/>
      <c r="O18" s="120">
        <v>2.85</v>
      </c>
      <c r="P18" s="143" t="s">
        <v>48</v>
      </c>
      <c r="Q18" s="92">
        <f>M18/O18</f>
        <v>5.4650777888116515</v>
      </c>
      <c r="R18" s="18"/>
      <c r="S18" s="121">
        <v>1.83</v>
      </c>
      <c r="T18" s="92">
        <f t="shared" si="0"/>
        <v>27.065573770491802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14.873873873873874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13.49591280653951</v>
      </c>
      <c r="AH18" s="91"/>
      <c r="AJ18" s="91"/>
      <c r="AK18" s="122">
        <f t="shared" si="4"/>
        <v>0.81967213114754101</v>
      </c>
      <c r="AL18" s="123"/>
      <c r="AM18" s="96">
        <f t="shared" si="5"/>
        <v>4.3615676359039193E-2</v>
      </c>
      <c r="AN18" s="123"/>
      <c r="AO18" s="123">
        <f t="shared" si="6"/>
        <v>0.19205776173285211</v>
      </c>
      <c r="AP18" s="123"/>
      <c r="AQ18" s="126">
        <f t="shared" si="7"/>
        <v>-0.2995811518324607</v>
      </c>
      <c r="AS18" s="146">
        <f t="shared" si="8"/>
        <v>1.7161316373914798E-2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47.46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">
      <c r="A19" s="17" t="s">
        <v>59</v>
      </c>
      <c r="B19" s="6"/>
      <c r="C19" s="39" t="s">
        <v>60</v>
      </c>
      <c r="D19" s="18"/>
      <c r="E19" s="135">
        <f>[1]!'KMI,LAST,1'</f>
        <v>50.51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20.786008230452673</v>
      </c>
      <c r="N19" s="18"/>
      <c r="O19" s="120"/>
      <c r="P19" s="143"/>
      <c r="Q19" s="92"/>
      <c r="R19" s="18"/>
      <c r="S19" s="121">
        <v>1.17</v>
      </c>
      <c r="T19" s="92">
        <f t="shared" si="0"/>
        <v>43.17094017094017</v>
      </c>
      <c r="U19" s="91"/>
      <c r="V19" s="122"/>
      <c r="W19" s="123"/>
      <c r="X19" s="121">
        <v>1.9</v>
      </c>
      <c r="Y19" s="124"/>
      <c r="Z19" s="92">
        <f t="shared" si="1"/>
        <v>26.58421052631579</v>
      </c>
      <c r="AA19" s="91"/>
      <c r="AB19" s="125">
        <f t="shared" si="2"/>
        <v>0.3052631578947369</v>
      </c>
      <c r="AC19" s="286">
        <v>0.12</v>
      </c>
      <c r="AD19" s="91"/>
      <c r="AE19" s="121">
        <v>2.48</v>
      </c>
      <c r="AF19" s="124"/>
      <c r="AG19" s="92">
        <f t="shared" si="3"/>
        <v>20.366935483870968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3.9300411522633673E-2</v>
      </c>
      <c r="AN19" s="123"/>
      <c r="AO19" s="123">
        <f t="shared" si="6"/>
        <v>3.6577931314773361E-2</v>
      </c>
      <c r="AP19" s="123"/>
      <c r="AQ19" s="126">
        <f t="shared" si="7"/>
        <v>-2.8311377245508966E-2</v>
      </c>
      <c r="AS19" s="146">
        <f t="shared" si="8"/>
        <v>3.9596119580281135E-3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48.6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">
      <c r="A20" s="152" t="s">
        <v>95</v>
      </c>
      <c r="B20" s="153"/>
      <c r="C20" s="62" t="s">
        <v>94</v>
      </c>
      <c r="D20" s="18"/>
      <c r="E20" s="135">
        <f>[1]!'MIR,LAST,1'</f>
        <v>26.3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13.350253807106599</v>
      </c>
      <c r="AA20" s="91"/>
      <c r="AB20" s="125">
        <f t="shared" si="2"/>
        <v>0.31472081218274106</v>
      </c>
      <c r="AC20" s="286">
        <v>0.123</v>
      </c>
      <c r="AD20" s="91"/>
      <c r="AE20" s="121">
        <v>2.59</v>
      </c>
      <c r="AF20" s="124"/>
      <c r="AG20" s="92">
        <f>E20/AE20</f>
        <v>10.154440154440156</v>
      </c>
      <c r="AH20" s="91"/>
      <c r="AJ20" s="91"/>
      <c r="AK20" s="122" t="e">
        <f>(X20-S20)/S20</f>
        <v>#DIV/0!</v>
      </c>
      <c r="AL20" s="123"/>
      <c r="AM20" s="96">
        <f>((+AX20+E20-AY20)/AY20)</f>
        <v>0.12875536480686695</v>
      </c>
      <c r="AN20" s="123"/>
      <c r="AO20" s="123">
        <f>((+AZ20+E20-BA20)/BA20)</f>
        <v>0.20091324200913252</v>
      </c>
      <c r="AP20" s="123"/>
      <c r="AQ20" s="126">
        <f>((+BB20+E20-BC20)/BC20)</f>
        <v>-7.108167770419424E-2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23.3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84</v>
      </c>
      <c r="B21" s="153"/>
      <c r="C21" s="19" t="s">
        <v>83</v>
      </c>
      <c r="D21" s="5"/>
      <c r="E21" s="135">
        <f>[1]!'NRG,LAST,1'</f>
        <v>18.55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13.345323741007196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10.976331360946746</v>
      </c>
      <c r="AH21" s="91"/>
      <c r="AJ21" s="91"/>
      <c r="AK21" s="122" t="e">
        <f>(X21-S21)/S21</f>
        <v>#DIV/0!</v>
      </c>
      <c r="AL21" s="123"/>
      <c r="AM21" s="96">
        <f t="shared" si="5"/>
        <v>5.4576463899943195E-2</v>
      </c>
      <c r="AN21" s="123"/>
      <c r="AO21" s="123">
        <f t="shared" si="6"/>
        <v>0.14435533621221466</v>
      </c>
      <c r="AP21" s="123"/>
      <c r="AQ21" s="126">
        <f t="shared" si="7"/>
        <v>-0.3330337078651685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17.59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103</v>
      </c>
      <c r="B22" s="18"/>
      <c r="C22" s="39" t="s">
        <v>101</v>
      </c>
      <c r="D22" s="18"/>
      <c r="E22" s="135">
        <f>[1]!'RRI,LAST,1'</f>
        <v>16.48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14.330434782608696</v>
      </c>
      <c r="U22" s="91"/>
      <c r="V22" s="122"/>
      <c r="W22" s="123"/>
      <c r="X22" s="132">
        <v>1.68</v>
      </c>
      <c r="Y22" s="144"/>
      <c r="Z22" s="92">
        <f t="shared" si="1"/>
        <v>9.8095238095238102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8</v>
      </c>
      <c r="AH22" s="91"/>
      <c r="AJ22" s="91"/>
      <c r="AK22" s="122">
        <f>(X22-S22)/S22</f>
        <v>0.46086956521739136</v>
      </c>
      <c r="AL22" s="123"/>
      <c r="AM22" s="96">
        <f t="shared" si="5"/>
        <v>7.6420640104506846E-2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15.31</v>
      </c>
      <c r="AZ22" s="141"/>
      <c r="BA22" s="149">
        <v>16.2</v>
      </c>
      <c r="BB22" s="141">
        <v>0</v>
      </c>
      <c r="BC22" s="149" t="s">
        <v>68</v>
      </c>
    </row>
    <row r="23" spans="1:55" x14ac:dyDescent="0.2">
      <c r="A23" s="17" t="s">
        <v>76</v>
      </c>
      <c r="B23" s="18"/>
      <c r="C23" s="39" t="s">
        <v>3</v>
      </c>
      <c r="D23" s="18"/>
      <c r="E23" s="135">
        <f>[1]!'WMB,LAST,1'</f>
        <v>29.8</v>
      </c>
      <c r="F23" s="18"/>
      <c r="G23" s="120">
        <v>2.08</v>
      </c>
      <c r="H23" s="143" t="s">
        <v>48</v>
      </c>
      <c r="I23" s="92">
        <f>E23/G23</f>
        <v>14.326923076923077</v>
      </c>
      <c r="J23" s="18"/>
      <c r="K23" s="120">
        <v>1.04</v>
      </c>
      <c r="L23" s="26"/>
      <c r="M23" s="92">
        <f>E23/K23</f>
        <v>28.653846153846153</v>
      </c>
      <c r="N23" s="18"/>
      <c r="O23" s="120">
        <v>2.08</v>
      </c>
      <c r="P23" s="143" t="s">
        <v>48</v>
      </c>
      <c r="Q23" s="92">
        <f>M23/O23</f>
        <v>13.775887573964496</v>
      </c>
      <c r="R23" s="18"/>
      <c r="S23" s="121">
        <v>0.82</v>
      </c>
      <c r="T23" s="92">
        <f>E23/S23</f>
        <v>36.341463414634148</v>
      </c>
      <c r="U23" s="91"/>
      <c r="V23" s="122">
        <f>(S23-K23)/K23</f>
        <v>-0.21153846153846162</v>
      </c>
      <c r="W23" s="123"/>
      <c r="X23" s="121">
        <v>2.44</v>
      </c>
      <c r="Y23" s="124"/>
      <c r="Z23" s="92">
        <f t="shared" si="1"/>
        <v>12.213114754098362</v>
      </c>
      <c r="AA23" s="91"/>
      <c r="AB23" s="125">
        <f t="shared" si="2"/>
        <v>0.11885245901639346</v>
      </c>
      <c r="AC23" s="286">
        <v>0.182</v>
      </c>
      <c r="AD23" s="91"/>
      <c r="AE23" s="121">
        <v>2.73</v>
      </c>
      <c r="AF23" s="124"/>
      <c r="AG23" s="92">
        <f t="shared" si="3"/>
        <v>10.915750915750916</v>
      </c>
      <c r="AH23" s="91"/>
      <c r="AJ23" s="91"/>
      <c r="AK23" s="122">
        <f t="shared" si="4"/>
        <v>1.9756097560975612</v>
      </c>
      <c r="AL23" s="123"/>
      <c r="AM23" s="96">
        <f t="shared" si="5"/>
        <v>3.5081625564432152E-2</v>
      </c>
      <c r="AN23" s="123"/>
      <c r="AO23" s="123">
        <f t="shared" si="6"/>
        <v>9.1575091575091569E-2</v>
      </c>
      <c r="AP23" s="123"/>
      <c r="AQ23" s="126">
        <f t="shared" si="7"/>
        <v>-0.24181533646322376</v>
      </c>
      <c r="AS23" s="146">
        <f t="shared" si="8"/>
        <v>2.4161073825503355E-2</v>
      </c>
      <c r="AT23" s="147"/>
      <c r="AU23" s="3">
        <f>[1]!'WMB,DIVIDEND,1'</f>
        <v>0.72</v>
      </c>
      <c r="AV23" s="293">
        <v>37125</v>
      </c>
      <c r="AW23" s="97">
        <v>0.18</v>
      </c>
      <c r="AX23" s="277"/>
      <c r="AY23" s="131">
        <v>28.79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11.548143255792676</v>
      </c>
      <c r="J25" s="26"/>
      <c r="K25" s="164"/>
      <c r="L25" s="165"/>
      <c r="M25" s="166">
        <f>AVERAGE(M14:M23)</f>
        <v>22.773085793023849</v>
      </c>
      <c r="N25" s="18"/>
      <c r="O25" s="164"/>
      <c r="P25" s="165"/>
      <c r="Q25" s="166">
        <f>AVERAGE(Q14:Q23)</f>
        <v>6.6119384759883983</v>
      </c>
      <c r="R25" s="26"/>
      <c r="S25" s="164"/>
      <c r="T25" s="166">
        <f>AVERAGE(T14:T23)</f>
        <v>29.073351133521133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14.116406623049311</v>
      </c>
      <c r="AA25" s="91"/>
      <c r="AB25" s="170"/>
      <c r="AC25" s="166"/>
      <c r="AD25" s="91"/>
      <c r="AE25" s="171"/>
      <c r="AF25" s="172"/>
      <c r="AG25" s="166">
        <f>AVERAGE(AG13:AG23)</f>
        <v>11.989096296741332</v>
      </c>
      <c r="AH25" s="91"/>
      <c r="AJ25" s="91"/>
      <c r="AK25" s="167" t="e">
        <f>AVERAGE(AK14:AK23)</f>
        <v>#DIV/0!</v>
      </c>
      <c r="AL25" s="123"/>
      <c r="AM25" s="173">
        <f>AVERAGE(AM13:AM23)</f>
        <v>7.786775568909253E-2</v>
      </c>
      <c r="AN25" s="174"/>
      <c r="AO25" s="175">
        <f>AVERAGE(AO13:AO23)</f>
        <v>0.11697687057806067</v>
      </c>
      <c r="AP25" s="174"/>
      <c r="AQ25" s="176">
        <f>AVERAGE(AQ13:AQ23)</f>
        <v>-0.27794376302066331</v>
      </c>
      <c r="AS25" s="167">
        <f>AVERAGE(AS13:AS23)</f>
        <v>7.3416085587419541E-3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1.8022222222222224</v>
      </c>
      <c r="Y30" s="18"/>
      <c r="Z30" s="18"/>
      <c r="AA30" s="18"/>
      <c r="AB30" s="18"/>
      <c r="AC30" s="18"/>
      <c r="AD30" s="18"/>
      <c r="AE30" s="200">
        <f>AVERAGE(AE37:AE55)</f>
        <v>2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1.75</v>
      </c>
      <c r="Y32" s="18"/>
      <c r="Z32" s="18"/>
      <c r="AA32" s="18"/>
      <c r="AB32" s="18"/>
      <c r="AC32" s="18"/>
      <c r="AD32" s="18"/>
      <c r="AE32" s="201">
        <f>MIN(AE37:AE55)</f>
        <v>1.5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75" x14ac:dyDescent="0.25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25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75" x14ac:dyDescent="0.25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75" x14ac:dyDescent="0.25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5"/>
      <c r="AT38" s="295"/>
      <c r="AU38" s="91"/>
    </row>
    <row r="39" spans="1:50" ht="15.75" x14ac:dyDescent="0.25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75" x14ac:dyDescent="0.25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>
        <v>1.8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75" x14ac:dyDescent="0.25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75" x14ac:dyDescent="0.25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7"/>
      <c r="AO42" s="62"/>
      <c r="AQ42" s="247"/>
      <c r="AR42" s="247"/>
      <c r="AS42" s="124"/>
      <c r="AT42" s="124"/>
      <c r="AU42" s="91"/>
    </row>
    <row r="43" spans="1:50" ht="15.75" x14ac:dyDescent="0.25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7"/>
      <c r="AO43" s="62"/>
      <c r="AP43" s="298"/>
      <c r="AQ43" s="299"/>
      <c r="AR43" s="299"/>
      <c r="AS43" s="124"/>
      <c r="AT43" s="124"/>
      <c r="AU43" s="91"/>
      <c r="AV43" s="232"/>
    </row>
    <row r="44" spans="1:50" s="231" customFormat="1" ht="15.75" x14ac:dyDescent="0.25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1.8</v>
      </c>
      <c r="Y44" s="223"/>
      <c r="Z44" s="229"/>
      <c r="AA44" s="229"/>
      <c r="AB44" s="229"/>
      <c r="AC44" s="229"/>
      <c r="AD44" s="229"/>
      <c r="AE44" s="224">
        <v>2.15</v>
      </c>
      <c r="AF44" s="223"/>
      <c r="AJ44" s="298"/>
      <c r="AK44" s="230"/>
      <c r="AL44" s="230"/>
      <c r="AM44" s="152"/>
      <c r="AN44" s="297"/>
      <c r="AO44" s="62"/>
      <c r="AP44" s="298"/>
      <c r="AQ44" s="299"/>
      <c r="AR44" s="299"/>
      <c r="AS44" s="124"/>
      <c r="AT44" s="124"/>
      <c r="AU44" s="91"/>
      <c r="AV44" s="232"/>
      <c r="AW44" s="233"/>
    </row>
    <row r="45" spans="1:50" s="231" customFormat="1" ht="15.75" x14ac:dyDescent="0.25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1.77</v>
      </c>
      <c r="Y45" s="223"/>
      <c r="Z45" s="229"/>
      <c r="AA45" s="229"/>
      <c r="AB45" s="229"/>
      <c r="AC45" s="229"/>
      <c r="AD45" s="229"/>
      <c r="AE45" s="224">
        <v>1.6</v>
      </c>
      <c r="AF45" s="223"/>
      <c r="AJ45" s="298"/>
      <c r="AK45" s="230"/>
      <c r="AL45" s="230"/>
      <c r="AM45" s="152"/>
      <c r="AN45" s="297"/>
      <c r="AO45" s="62"/>
      <c r="AP45" s="298"/>
      <c r="AQ45" s="299"/>
      <c r="AR45" s="299"/>
      <c r="AS45" s="124"/>
      <c r="AT45" s="124"/>
      <c r="AU45" s="91"/>
      <c r="AV45" s="232"/>
      <c r="AW45" s="233"/>
    </row>
    <row r="46" spans="1:50" s="231" customFormat="1" ht="15.75" x14ac:dyDescent="0.25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1.82</v>
      </c>
      <c r="Y46" s="223"/>
      <c r="Z46" s="229"/>
      <c r="AA46" s="229">
        <v>0</v>
      </c>
      <c r="AB46" s="229"/>
      <c r="AC46" s="229"/>
      <c r="AD46" s="229"/>
      <c r="AE46" s="224">
        <v>2.17</v>
      </c>
      <c r="AF46" s="223"/>
      <c r="AJ46" s="298"/>
      <c r="AK46" s="230"/>
      <c r="AL46" s="230"/>
      <c r="AM46" s="152"/>
      <c r="AN46" s="300"/>
      <c r="AO46" s="62"/>
      <c r="AP46" s="298"/>
      <c r="AQ46" s="299"/>
      <c r="AR46" s="299"/>
      <c r="AS46" s="124"/>
      <c r="AT46" s="124"/>
      <c r="AU46" s="91"/>
      <c r="AV46" s="232"/>
      <c r="AW46" s="233"/>
    </row>
    <row r="47" spans="1:50" s="231" customFormat="1" ht="15.75" x14ac:dyDescent="0.25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8"/>
      <c r="AK47" s="230"/>
      <c r="AL47" s="230"/>
      <c r="AM47" s="152"/>
      <c r="AN47" s="300"/>
      <c r="AO47" s="62"/>
      <c r="AP47" s="298"/>
      <c r="AQ47" s="299"/>
      <c r="AR47" s="299"/>
      <c r="AS47" s="124"/>
      <c r="AT47" s="124"/>
      <c r="AU47" s="91"/>
      <c r="AV47" s="232"/>
      <c r="AW47" s="233"/>
    </row>
    <row r="48" spans="1:50" s="231" customFormat="1" ht="15.75" x14ac:dyDescent="0.25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>
        <v>1.8</v>
      </c>
      <c r="Y48" s="223"/>
      <c r="Z48" s="229"/>
      <c r="AA48" s="229"/>
      <c r="AB48" s="229"/>
      <c r="AC48" s="229"/>
      <c r="AD48" s="229"/>
      <c r="AE48" s="224">
        <v>2.1</v>
      </c>
      <c r="AF48" s="223"/>
      <c r="AJ48" s="298"/>
      <c r="AK48" s="230"/>
      <c r="AL48" s="230"/>
      <c r="AM48" s="152"/>
      <c r="AN48" s="301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75" x14ac:dyDescent="0.25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75" x14ac:dyDescent="0.25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1.82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1"/>
      <c r="AO50" s="62"/>
      <c r="AQ50" s="247"/>
      <c r="AR50" s="247"/>
      <c r="AS50" s="124"/>
      <c r="AT50" s="124"/>
      <c r="AU50" s="91"/>
      <c r="AV50" s="236"/>
      <c r="AW50" s="237"/>
    </row>
    <row r="51" spans="1:49" ht="15.75" x14ac:dyDescent="0.25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6"/>
      <c r="AN51" s="26"/>
      <c r="AO51" s="43"/>
      <c r="AQ51" s="247"/>
      <c r="AR51" s="247"/>
      <c r="AS51" s="124"/>
      <c r="AT51" s="124"/>
      <c r="AU51" s="7"/>
    </row>
    <row r="52" spans="1:49" ht="15.75" x14ac:dyDescent="0.25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1.8</v>
      </c>
      <c r="Y52" s="223"/>
      <c r="Z52" s="227"/>
      <c r="AA52" s="227"/>
      <c r="AB52" s="227"/>
      <c r="AC52" s="227"/>
      <c r="AD52" s="227"/>
      <c r="AE52" s="224">
        <v>2.15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75" x14ac:dyDescent="0.25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1.82</v>
      </c>
      <c r="Y53" s="223"/>
      <c r="Z53" s="227"/>
      <c r="AA53" s="227"/>
      <c r="AB53" s="227"/>
      <c r="AC53" s="227"/>
      <c r="AD53" s="227"/>
      <c r="AE53" s="224">
        <v>2.15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75" x14ac:dyDescent="0.25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300"/>
      <c r="AQ54" s="247"/>
      <c r="AR54" s="247"/>
      <c r="AS54" s="7"/>
      <c r="AT54" s="7"/>
      <c r="AU54" s="7"/>
      <c r="AV54" s="236"/>
      <c r="AW54" s="237"/>
    </row>
    <row r="55" spans="1:49" ht="15.75" x14ac:dyDescent="0.25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1.75</v>
      </c>
      <c r="Y55" s="223"/>
      <c r="Z55" s="227"/>
      <c r="AA55" s="227"/>
      <c r="AB55" s="227"/>
      <c r="AC55" s="227"/>
      <c r="AD55" s="227"/>
      <c r="AE55" s="224">
        <v>1.95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5"/>
      <c r="AT55" s="295"/>
      <c r="AU55" s="91"/>
      <c r="AV55" s="186"/>
      <c r="AW55" s="237"/>
    </row>
    <row r="56" spans="1:49" ht="15.75" x14ac:dyDescent="0.25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75" x14ac:dyDescent="0.25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1.8022222222222224</v>
      </c>
      <c r="Y57" s="244"/>
      <c r="Z57" s="242"/>
      <c r="AA57" s="242"/>
      <c r="AB57" s="242"/>
      <c r="AC57" s="242"/>
      <c r="AD57" s="242"/>
      <c r="AE57" s="245">
        <f>AVERAGE(AE37:AE55)</f>
        <v>2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75" x14ac:dyDescent="0.25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2001-10-12T20:18:49Z</cp:lastPrinted>
  <dcterms:created xsi:type="dcterms:W3CDTF">1997-07-25T21:14:12Z</dcterms:created>
  <dcterms:modified xsi:type="dcterms:W3CDTF">2023-09-18T00:18:13Z</dcterms:modified>
</cp:coreProperties>
</file>