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899D4A-4029-4C54-A90A-1132B23114CF}" xr6:coauthVersionLast="47" xr6:coauthVersionMax="47" xr10:uidLastSave="{00000000-0000-0000-0000-000000000000}"/>
  <bookViews>
    <workbookView xWindow="-120" yWindow="-120" windowWidth="23280" windowHeight="12480" tabRatio="602"/>
  </bookViews>
  <sheets>
    <sheet name="PG&amp;E Corp. " sheetId="1" r:id="rId1"/>
    <sheet name="Edison Int'l " sheetId="2" r:id="rId2"/>
    <sheet name="Px - ISO " sheetId="3" r:id="rId3"/>
    <sheet name="By Enron Entity" sheetId="5" r:id="rId4"/>
    <sheet name="Summary" sheetId="4" state="hidden" r:id="rId5"/>
  </sheets>
  <definedNames>
    <definedName name="_xlnm.Print_Area" localSheetId="3">'By Enron Entity'!$A$1:$I$29</definedName>
    <definedName name="_xlnm.Print_Area" localSheetId="1">'Edison Int''l '!$A$1:$T$37</definedName>
    <definedName name="_xlnm.Print_Area" localSheetId="0">'PG&amp;E Corp. '!$A$1:$T$69</definedName>
    <definedName name="_xlnm.Print_Area" localSheetId="2">'Px - ISO '!$A$1:$M$47</definedName>
    <definedName name="_xlnm.Print_Area" localSheetId="4">Summary!$A$6:$J$87</definedName>
    <definedName name="_xlnm.Print_Titles" localSheetId="4">Summary!$1:$5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5" l="1"/>
  <c r="D7" i="5"/>
  <c r="F7" i="5"/>
  <c r="H7" i="5"/>
  <c r="J7" i="5"/>
  <c r="B8" i="5"/>
  <c r="D8" i="5"/>
  <c r="H8" i="5"/>
  <c r="B9" i="5"/>
  <c r="D9" i="5"/>
  <c r="F9" i="5"/>
  <c r="G9" i="5"/>
  <c r="H9" i="5"/>
  <c r="B10" i="5"/>
  <c r="E10" i="5"/>
  <c r="H10" i="5"/>
  <c r="B11" i="5"/>
  <c r="G11" i="5"/>
  <c r="H11" i="5"/>
  <c r="B12" i="5"/>
  <c r="G12" i="5"/>
  <c r="H12" i="5"/>
  <c r="B13" i="5"/>
  <c r="D13" i="5"/>
  <c r="E13" i="5"/>
  <c r="F13" i="5"/>
  <c r="G13" i="5"/>
  <c r="H15" i="5"/>
  <c r="J15" i="5"/>
  <c r="H30" i="5"/>
  <c r="H32" i="5"/>
  <c r="B2" i="2"/>
  <c r="H7" i="2"/>
  <c r="I7" i="2"/>
  <c r="K7" i="2"/>
  <c r="L7" i="2"/>
  <c r="N7" i="2"/>
  <c r="P7" i="2"/>
  <c r="R7" i="2"/>
  <c r="H8" i="2"/>
  <c r="K8" i="2"/>
  <c r="L8" i="2"/>
  <c r="P8" i="2"/>
  <c r="Q8" i="2"/>
  <c r="H9" i="2"/>
  <c r="K9" i="2"/>
  <c r="L9" i="2"/>
  <c r="P9" i="2"/>
  <c r="Q9" i="2"/>
  <c r="H10" i="2"/>
  <c r="K10" i="2"/>
  <c r="L10" i="2"/>
  <c r="P10" i="2"/>
  <c r="Q10" i="2"/>
  <c r="F11" i="2"/>
  <c r="H11" i="2"/>
  <c r="K11" i="2"/>
  <c r="L11" i="2"/>
  <c r="P11" i="2"/>
  <c r="Q11" i="2"/>
  <c r="Q12" i="2"/>
  <c r="R12" i="2"/>
  <c r="S12" i="2"/>
  <c r="H16" i="2"/>
  <c r="K16" i="2"/>
  <c r="L16" i="2"/>
  <c r="P16" i="2"/>
  <c r="Q16" i="2"/>
  <c r="H17" i="2"/>
  <c r="K17" i="2"/>
  <c r="L17" i="2"/>
  <c r="P17" i="2"/>
  <c r="R17" i="2"/>
  <c r="H18" i="2"/>
  <c r="K18" i="2"/>
  <c r="L18" i="2"/>
  <c r="P18" i="2"/>
  <c r="Q18" i="2"/>
  <c r="H19" i="2"/>
  <c r="K19" i="2"/>
  <c r="L19" i="2"/>
  <c r="M19" i="2"/>
  <c r="P19" i="2"/>
  <c r="R19" i="2"/>
  <c r="H22" i="2"/>
  <c r="K22" i="2"/>
  <c r="L22" i="2"/>
  <c r="P22" i="2"/>
  <c r="Q22" i="2"/>
  <c r="H23" i="2"/>
  <c r="I23" i="2"/>
  <c r="J23" i="2"/>
  <c r="K23" i="2"/>
  <c r="L23" i="2"/>
  <c r="N23" i="2"/>
  <c r="O23" i="2"/>
  <c r="P23" i="2"/>
  <c r="Q23" i="2"/>
  <c r="Q25" i="2"/>
  <c r="R25" i="2"/>
  <c r="S26" i="2"/>
  <c r="U26" i="2"/>
  <c r="W26" i="2"/>
  <c r="S27" i="2"/>
  <c r="S28" i="2"/>
  <c r="Q30" i="2"/>
  <c r="R30" i="2"/>
  <c r="S31" i="2"/>
  <c r="U31" i="2"/>
  <c r="S32" i="2"/>
  <c r="S33" i="2"/>
  <c r="Q40" i="2"/>
  <c r="R40" i="2"/>
  <c r="F8" i="1"/>
  <c r="H8" i="1"/>
  <c r="K8" i="1"/>
  <c r="L8" i="1"/>
  <c r="P8" i="1"/>
  <c r="Q8" i="1"/>
  <c r="F9" i="1"/>
  <c r="H9" i="1"/>
  <c r="K9" i="1"/>
  <c r="L9" i="1"/>
  <c r="P9" i="1"/>
  <c r="Q9" i="1"/>
  <c r="R9" i="1"/>
  <c r="H10" i="1"/>
  <c r="I10" i="1"/>
  <c r="K10" i="1"/>
  <c r="L10" i="1"/>
  <c r="N10" i="1"/>
  <c r="P10" i="1"/>
  <c r="R10" i="1"/>
  <c r="H11" i="1"/>
  <c r="K11" i="1"/>
  <c r="L11" i="1"/>
  <c r="P11" i="1"/>
  <c r="Q11" i="1"/>
  <c r="H12" i="1"/>
  <c r="K12" i="1"/>
  <c r="L12" i="1"/>
  <c r="P12" i="1"/>
  <c r="Q12" i="1"/>
  <c r="G13" i="1"/>
  <c r="H13" i="1"/>
  <c r="K13" i="1"/>
  <c r="L13" i="1"/>
  <c r="P13" i="1"/>
  <c r="R13" i="1"/>
  <c r="F14" i="1"/>
  <c r="H14" i="1"/>
  <c r="K14" i="1"/>
  <c r="L14" i="1"/>
  <c r="P14" i="1"/>
  <c r="Q14" i="1"/>
  <c r="Q15" i="1"/>
  <c r="R15" i="1"/>
  <c r="S15" i="1"/>
  <c r="H17" i="1"/>
  <c r="K17" i="1"/>
  <c r="L17" i="1"/>
  <c r="P17" i="1"/>
  <c r="Q17" i="1"/>
  <c r="H18" i="1"/>
  <c r="K18" i="1"/>
  <c r="L18" i="1"/>
  <c r="P18" i="1"/>
  <c r="R18" i="1"/>
  <c r="K19" i="1"/>
  <c r="L19" i="1"/>
  <c r="P19" i="1"/>
  <c r="R19" i="1"/>
  <c r="F20" i="1"/>
  <c r="H20" i="1"/>
  <c r="K20" i="1"/>
  <c r="L20" i="1"/>
  <c r="P20" i="1"/>
  <c r="Q20" i="1"/>
  <c r="S21" i="1"/>
  <c r="H23" i="1"/>
  <c r="K23" i="1"/>
  <c r="L23" i="1"/>
  <c r="P23" i="1"/>
  <c r="Q23" i="1"/>
  <c r="H24" i="1"/>
  <c r="K24" i="1"/>
  <c r="L24" i="1"/>
  <c r="P24" i="1"/>
  <c r="R24" i="1"/>
  <c r="H25" i="1"/>
  <c r="K25" i="1"/>
  <c r="L25" i="1"/>
  <c r="P25" i="1"/>
  <c r="Q25" i="1"/>
  <c r="R25" i="1"/>
  <c r="H26" i="1"/>
  <c r="K26" i="1"/>
  <c r="L26" i="1"/>
  <c r="O26" i="1"/>
  <c r="P26" i="1"/>
  <c r="R26" i="1"/>
  <c r="H27" i="1"/>
  <c r="K27" i="1"/>
  <c r="L27" i="1"/>
  <c r="P27" i="1"/>
  <c r="Q27" i="1"/>
  <c r="H28" i="1"/>
  <c r="K28" i="1"/>
  <c r="L28" i="1"/>
  <c r="N28" i="1"/>
  <c r="O28" i="1"/>
  <c r="P28" i="1"/>
  <c r="Q28" i="1"/>
  <c r="S29" i="1"/>
  <c r="H31" i="1"/>
  <c r="K31" i="1"/>
  <c r="L31" i="1"/>
  <c r="P31" i="1"/>
  <c r="Q31" i="1"/>
  <c r="H32" i="1"/>
  <c r="K32" i="1"/>
  <c r="L32" i="1"/>
  <c r="P32" i="1"/>
  <c r="Q32" i="1"/>
  <c r="S33" i="1"/>
  <c r="W33" i="1"/>
  <c r="H35" i="1"/>
  <c r="K35" i="1"/>
  <c r="L35" i="1"/>
  <c r="P35" i="1"/>
  <c r="Q35" i="1"/>
  <c r="F36" i="1"/>
  <c r="G36" i="1"/>
  <c r="H36" i="1"/>
  <c r="K36" i="1"/>
  <c r="L36" i="1"/>
  <c r="P36" i="1"/>
  <c r="Q36" i="1"/>
  <c r="H37" i="1"/>
  <c r="K37" i="1"/>
  <c r="L37" i="1"/>
  <c r="Q37" i="1"/>
  <c r="H38" i="1"/>
  <c r="K38" i="1"/>
  <c r="L38" i="1"/>
  <c r="P38" i="1"/>
  <c r="R38" i="1"/>
  <c r="S39" i="1"/>
  <c r="H41" i="1"/>
  <c r="K41" i="1"/>
  <c r="L41" i="1"/>
  <c r="P41" i="1"/>
  <c r="R41" i="1"/>
  <c r="H42" i="1"/>
  <c r="K42" i="1"/>
  <c r="L42" i="1"/>
  <c r="P42" i="1"/>
  <c r="Q42" i="1"/>
  <c r="G43" i="1"/>
  <c r="H43" i="1"/>
  <c r="K43" i="1"/>
  <c r="L43" i="1"/>
  <c r="P43" i="1"/>
  <c r="R43" i="1"/>
  <c r="H44" i="1"/>
  <c r="K44" i="1"/>
  <c r="L44" i="1"/>
  <c r="P44" i="1"/>
  <c r="Q44" i="1"/>
  <c r="G45" i="1"/>
  <c r="H45" i="1"/>
  <c r="K45" i="1"/>
  <c r="L45" i="1"/>
  <c r="P45" i="1"/>
  <c r="Q45" i="1"/>
  <c r="S46" i="1"/>
  <c r="Q47" i="1"/>
  <c r="R47" i="1"/>
  <c r="S49" i="1"/>
  <c r="S50" i="1"/>
  <c r="S51" i="1"/>
  <c r="H53" i="1"/>
  <c r="K53" i="1"/>
  <c r="L53" i="1"/>
  <c r="P53" i="1"/>
  <c r="Q53" i="1"/>
  <c r="Q54" i="1"/>
  <c r="R54" i="1"/>
  <c r="S55" i="1"/>
  <c r="H57" i="1"/>
  <c r="K57" i="1"/>
  <c r="L57" i="1"/>
  <c r="P57" i="1"/>
  <c r="Q57" i="1"/>
  <c r="Q61" i="1"/>
  <c r="R61" i="1"/>
  <c r="S62" i="1"/>
  <c r="S63" i="1"/>
  <c r="S64" i="1"/>
  <c r="Q72" i="1"/>
  <c r="R72" i="1"/>
  <c r="B2" i="3"/>
  <c r="J7" i="3"/>
  <c r="G8" i="3"/>
  <c r="K8" i="3"/>
  <c r="K9" i="3"/>
  <c r="J10" i="3"/>
  <c r="J11" i="3"/>
  <c r="J12" i="3"/>
  <c r="F14" i="3"/>
  <c r="G14" i="3"/>
  <c r="J14" i="3"/>
  <c r="K14" i="3"/>
  <c r="G20" i="3"/>
  <c r="K20" i="3"/>
  <c r="G21" i="3"/>
  <c r="K21" i="3"/>
  <c r="F22" i="3"/>
  <c r="J22" i="3"/>
  <c r="G23" i="3"/>
  <c r="K23" i="3"/>
  <c r="G24" i="3"/>
  <c r="K24" i="3"/>
  <c r="G25" i="3"/>
  <c r="K25" i="3"/>
  <c r="K26" i="3"/>
  <c r="J27" i="3"/>
  <c r="E29" i="3"/>
  <c r="F29" i="3"/>
  <c r="G29" i="3"/>
  <c r="J29" i="3"/>
  <c r="K29" i="3"/>
  <c r="G35" i="3"/>
  <c r="L35" i="3"/>
  <c r="G36" i="3"/>
  <c r="L36" i="3"/>
  <c r="G37" i="3"/>
  <c r="L37" i="3"/>
  <c r="G38" i="3"/>
  <c r="J38" i="3"/>
  <c r="L38" i="3"/>
  <c r="G39" i="3"/>
  <c r="L39" i="3"/>
  <c r="G40" i="3"/>
  <c r="J40" i="3"/>
  <c r="L40" i="3"/>
  <c r="G42" i="3"/>
  <c r="J42" i="3"/>
  <c r="L42" i="3"/>
  <c r="G43" i="3"/>
  <c r="J43" i="3"/>
  <c r="L43" i="3"/>
  <c r="G44" i="3"/>
  <c r="J44" i="3"/>
  <c r="L44" i="3"/>
  <c r="B2" i="4"/>
  <c r="C6" i="4"/>
  <c r="D6" i="4"/>
  <c r="E6" i="4"/>
  <c r="F6" i="4"/>
  <c r="G6" i="4"/>
  <c r="H6" i="4"/>
  <c r="I6" i="4"/>
  <c r="J6" i="4"/>
  <c r="C7" i="4"/>
  <c r="D7" i="4"/>
  <c r="E7" i="4"/>
  <c r="F7" i="4"/>
  <c r="G7" i="4"/>
  <c r="H7" i="4"/>
  <c r="I7" i="4"/>
  <c r="J7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I10" i="4"/>
  <c r="J10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6" i="4"/>
  <c r="D16" i="4"/>
  <c r="E16" i="4"/>
  <c r="F16" i="4"/>
  <c r="G16" i="4"/>
  <c r="H16" i="4"/>
  <c r="I16" i="4"/>
  <c r="J16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I19" i="4"/>
  <c r="J19" i="4"/>
  <c r="C22" i="4"/>
  <c r="D22" i="4"/>
  <c r="E22" i="4"/>
  <c r="F22" i="4"/>
  <c r="G22" i="4"/>
  <c r="H22" i="4"/>
  <c r="I22" i="4"/>
  <c r="J22" i="4"/>
  <c r="C23" i="4"/>
  <c r="D23" i="4"/>
  <c r="E23" i="4"/>
  <c r="F23" i="4"/>
  <c r="G23" i="4"/>
  <c r="H23" i="4"/>
  <c r="I23" i="4"/>
  <c r="J23" i="4"/>
  <c r="I24" i="4"/>
  <c r="J24" i="4"/>
  <c r="C27" i="4"/>
  <c r="D27" i="4"/>
  <c r="E27" i="4"/>
  <c r="F27" i="4"/>
  <c r="G27" i="4"/>
  <c r="H27" i="4"/>
  <c r="I27" i="4"/>
  <c r="J27" i="4"/>
  <c r="C28" i="4"/>
  <c r="D28" i="4"/>
  <c r="E28" i="4"/>
  <c r="F28" i="4"/>
  <c r="G28" i="4"/>
  <c r="H28" i="4"/>
  <c r="I28" i="4"/>
  <c r="J28" i="4"/>
  <c r="I29" i="4"/>
  <c r="J29" i="4"/>
  <c r="C32" i="4"/>
  <c r="D32" i="4"/>
  <c r="E32" i="4"/>
  <c r="F32" i="4"/>
  <c r="G32" i="4"/>
  <c r="H32" i="4"/>
  <c r="I32" i="4"/>
  <c r="J32" i="4"/>
  <c r="C33" i="4"/>
  <c r="D33" i="4"/>
  <c r="E33" i="4"/>
  <c r="F33" i="4"/>
  <c r="G33" i="4"/>
  <c r="H33" i="4"/>
  <c r="I33" i="4"/>
  <c r="J33" i="4"/>
  <c r="I34" i="4"/>
  <c r="J34" i="4"/>
  <c r="C37" i="4"/>
  <c r="D37" i="4"/>
  <c r="E37" i="4"/>
  <c r="F37" i="4"/>
  <c r="G37" i="4"/>
  <c r="H37" i="4"/>
  <c r="I37" i="4"/>
  <c r="J37" i="4"/>
  <c r="C38" i="4"/>
  <c r="D38" i="4"/>
  <c r="E38" i="4"/>
  <c r="F38" i="4"/>
  <c r="G38" i="4"/>
  <c r="H38" i="4"/>
  <c r="I38" i="4"/>
  <c r="J38" i="4"/>
  <c r="C39" i="4"/>
  <c r="D39" i="4"/>
  <c r="E39" i="4"/>
  <c r="F39" i="4"/>
  <c r="G39" i="4"/>
  <c r="H39" i="4"/>
  <c r="I39" i="4"/>
  <c r="J39" i="4"/>
  <c r="C40" i="4"/>
  <c r="D40" i="4"/>
  <c r="E40" i="4"/>
  <c r="F40" i="4"/>
  <c r="G40" i="4"/>
  <c r="H40" i="4"/>
  <c r="I40" i="4"/>
  <c r="J40" i="4"/>
  <c r="C41" i="4"/>
  <c r="D41" i="4"/>
  <c r="E41" i="4"/>
  <c r="F41" i="4"/>
  <c r="G41" i="4"/>
  <c r="H41" i="4"/>
  <c r="I41" i="4"/>
  <c r="J41" i="4"/>
  <c r="C42" i="4"/>
  <c r="D42" i="4"/>
  <c r="E42" i="4"/>
  <c r="F42" i="4"/>
  <c r="G42" i="4"/>
  <c r="H42" i="4"/>
  <c r="I42" i="4"/>
  <c r="J42" i="4"/>
  <c r="C43" i="4"/>
  <c r="D43" i="4"/>
  <c r="E43" i="4"/>
  <c r="F43" i="4"/>
  <c r="G43" i="4"/>
  <c r="H43" i="4"/>
  <c r="I43" i="4"/>
  <c r="J43" i="4"/>
  <c r="C44" i="4"/>
  <c r="D44" i="4"/>
  <c r="E44" i="4"/>
  <c r="F44" i="4"/>
  <c r="G44" i="4"/>
  <c r="H44" i="4"/>
  <c r="I44" i="4"/>
  <c r="J44" i="4"/>
  <c r="C45" i="4"/>
  <c r="D45" i="4"/>
  <c r="E45" i="4"/>
  <c r="F45" i="4"/>
  <c r="G45" i="4"/>
  <c r="H45" i="4"/>
  <c r="I45" i="4"/>
  <c r="J45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I47" i="4"/>
  <c r="J47" i="4"/>
  <c r="I48" i="4"/>
  <c r="J48" i="4"/>
  <c r="E51" i="4"/>
  <c r="I51" i="4"/>
  <c r="F52" i="4"/>
  <c r="J52" i="4"/>
  <c r="F53" i="4"/>
  <c r="J53" i="4"/>
  <c r="F54" i="4"/>
  <c r="J54" i="4"/>
  <c r="F55" i="4"/>
  <c r="J55" i="4"/>
  <c r="E56" i="4"/>
  <c r="I56" i="4"/>
  <c r="F57" i="4"/>
  <c r="J57" i="4"/>
  <c r="F58" i="4"/>
  <c r="J58" i="4"/>
  <c r="F59" i="4"/>
  <c r="J59" i="4"/>
  <c r="J60" i="4"/>
  <c r="C61" i="4"/>
  <c r="D61" i="4"/>
  <c r="E61" i="4"/>
  <c r="F61" i="4"/>
  <c r="G61" i="4"/>
  <c r="H61" i="4"/>
  <c r="I61" i="4"/>
  <c r="J61" i="4"/>
  <c r="C62" i="4"/>
  <c r="D62" i="4"/>
  <c r="E62" i="4"/>
  <c r="F62" i="4"/>
  <c r="G62" i="4"/>
  <c r="H62" i="4"/>
  <c r="I62" i="4"/>
  <c r="J62" i="4"/>
  <c r="C63" i="4"/>
  <c r="D63" i="4"/>
  <c r="E63" i="4"/>
  <c r="F63" i="4"/>
  <c r="G63" i="4"/>
  <c r="H63" i="4"/>
  <c r="I63" i="4"/>
  <c r="J63" i="4"/>
  <c r="C64" i="4"/>
  <c r="D64" i="4"/>
  <c r="E64" i="4"/>
  <c r="F64" i="4"/>
  <c r="G64" i="4"/>
  <c r="H64" i="4"/>
  <c r="I64" i="4"/>
  <c r="J64" i="4"/>
  <c r="I65" i="4"/>
  <c r="J65" i="4"/>
  <c r="C68" i="4"/>
  <c r="D68" i="4"/>
  <c r="E68" i="4"/>
  <c r="F68" i="4"/>
  <c r="G68" i="4"/>
  <c r="H68" i="4"/>
  <c r="I68" i="4"/>
  <c r="J68" i="4"/>
  <c r="C69" i="4"/>
  <c r="D69" i="4"/>
  <c r="E69" i="4"/>
  <c r="F69" i="4"/>
  <c r="G69" i="4"/>
  <c r="H69" i="4"/>
  <c r="I69" i="4"/>
  <c r="J69" i="4"/>
  <c r="I70" i="4"/>
  <c r="J70" i="4"/>
  <c r="C73" i="4"/>
  <c r="D73" i="4"/>
  <c r="E73" i="4"/>
  <c r="F73" i="4"/>
  <c r="G73" i="4"/>
  <c r="H73" i="4"/>
  <c r="I73" i="4"/>
  <c r="J73" i="4"/>
  <c r="I74" i="4"/>
  <c r="J74" i="4"/>
  <c r="I77" i="4"/>
  <c r="I78" i="4"/>
  <c r="I79" i="4"/>
  <c r="I80" i="4"/>
  <c r="C81" i="4"/>
  <c r="D81" i="4"/>
  <c r="E81" i="4"/>
  <c r="F81" i="4"/>
  <c r="G81" i="4"/>
  <c r="H81" i="4"/>
  <c r="I81" i="4"/>
  <c r="J81" i="4"/>
  <c r="I82" i="4"/>
  <c r="J82" i="4"/>
  <c r="I84" i="4"/>
  <c r="J84" i="4"/>
  <c r="J86" i="4"/>
  <c r="I90" i="4"/>
  <c r="J90" i="4"/>
  <c r="I92" i="4"/>
  <c r="J92" i="4"/>
</calcChain>
</file>

<file path=xl/comments1.xml><?xml version="1.0" encoding="utf-8"?>
<comments xmlns="http://schemas.openxmlformats.org/spreadsheetml/2006/main">
  <authors>
    <author>wconwell</author>
  </authors>
  <commentList>
    <comment ref="F9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$26,240,380 per CAS</t>
        </r>
      </text>
    </comment>
    <comment ref="G13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Intramonth receivable per EES</t>
        </r>
      </text>
    </comment>
    <comment ref="F20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Unbilled receivable per EES</t>
        </r>
      </text>
    </comment>
    <comment ref="G20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Unbilled payable per EES</t>
        </r>
      </text>
    </comment>
    <comment ref="E24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London</t>
        </r>
      </text>
    </comment>
    <comment ref="O26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Interpolated based on sell volume and sell exposure as there was buy volume but no buy exposure associated with it.</t>
        </r>
      </text>
    </comment>
    <comment ref="F27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Settlements, equal to EES Schedule</t>
        </r>
      </text>
    </comment>
    <comment ref="F28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$115,987,728 per CAS</t>
        </r>
      </text>
    </comment>
    <comment ref="G28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$150,881,257 per CAS.</t>
        </r>
      </text>
    </comment>
    <comment ref="J28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Includes $723,600 payable as a result of assigments.</t>
        </r>
      </text>
    </comment>
    <comment ref="D35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Includes $40.4mm assigment of out-of-$ position with PG&amp;E to Duke thereby creating in-the-$ position.</t>
        </r>
      </text>
    </comment>
    <comment ref="G43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Includes ENA physical gas and swaps.</t>
        </r>
      </text>
    </comment>
    <comment ref="F45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Settlements, agrees with EES Schedule.</t>
        </r>
      </text>
    </comment>
    <comment ref="G45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Unbilled payable per EES</t>
        </r>
      </text>
    </comment>
    <comment ref="E53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Debbie.</t>
        </r>
      </text>
    </comment>
  </commentList>
</comments>
</file>

<file path=xl/comments2.xml><?xml version="1.0" encoding="utf-8"?>
<comments xmlns="http://schemas.openxmlformats.org/spreadsheetml/2006/main">
  <authors>
    <author>wconwell</author>
  </authors>
  <commentList>
    <comment ref="E17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London</t>
        </r>
      </text>
    </comment>
    <comment ref="D19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London, not on CAS</t>
        </r>
      </text>
    </comment>
  </commentList>
</comments>
</file>

<file path=xl/sharedStrings.xml><?xml version="1.0" encoding="utf-8"?>
<sst xmlns="http://schemas.openxmlformats.org/spreadsheetml/2006/main" count="536" uniqueCount="197">
  <si>
    <t>Pacific Gas &amp; Electric Company</t>
  </si>
  <si>
    <t>Enron Power Marketing, Inc.</t>
  </si>
  <si>
    <t>PG&amp;E Energy Services, Energy Trading Corporation</t>
  </si>
  <si>
    <t>PG&amp;E Energy Trading - Power, L.P.</t>
  </si>
  <si>
    <t>PG&amp;E Energy Trading, Canada Corporation</t>
  </si>
  <si>
    <t>PG&amp;E Energy Trading-Gas Corporation</t>
  </si>
  <si>
    <t>PG&amp;E Gas Transmission, Northwest Corporation</t>
  </si>
  <si>
    <t xml:space="preserve">Financial </t>
  </si>
  <si>
    <t xml:space="preserve">Physical </t>
  </si>
  <si>
    <t xml:space="preserve">Sales </t>
  </si>
  <si>
    <t xml:space="preserve">Purchases </t>
  </si>
  <si>
    <t>Enron's Net</t>
  </si>
  <si>
    <t xml:space="preserve">Counterparty's  </t>
  </si>
  <si>
    <t>Counterparty</t>
  </si>
  <si>
    <t>Enron Entity</t>
  </si>
  <si>
    <t xml:space="preserve">Mark-to-Market </t>
  </si>
  <si>
    <t>(A/R)</t>
  </si>
  <si>
    <t>(A/P)</t>
  </si>
  <si>
    <t>(A/R - A/P)</t>
  </si>
  <si>
    <t>Exposure</t>
  </si>
  <si>
    <t>Net Exposure</t>
  </si>
  <si>
    <t>EEMC/EES</t>
  </si>
  <si>
    <t>Net Physical</t>
  </si>
  <si>
    <t>(Cash + Phys)</t>
  </si>
  <si>
    <t xml:space="preserve">     Total Pacific Gas &amp; Electric Company</t>
  </si>
  <si>
    <t xml:space="preserve">      Total PG&amp;E Energy Services, Energy Trading Corporation</t>
  </si>
  <si>
    <t>EEMC</t>
  </si>
  <si>
    <t xml:space="preserve">    Total PG&amp;E Energy Trading, Canada Corporation</t>
  </si>
  <si>
    <t>PG&amp;E Energy Trading-Gas Corporation*</t>
  </si>
  <si>
    <t>EES gas exposure with PG&amp;E.</t>
  </si>
  <si>
    <t xml:space="preserve">     Total PGE Relationship Exposure</t>
  </si>
  <si>
    <t xml:space="preserve">     Total  PG&amp;E Energy Trading-Gas Corporation*</t>
  </si>
  <si>
    <t>Edison First Power Limited</t>
  </si>
  <si>
    <t>Edison Mission Energy</t>
  </si>
  <si>
    <t>Edison Mission Marketing &amp; Trading Inc.</t>
  </si>
  <si>
    <t>Southern California Edison Company</t>
  </si>
  <si>
    <t>Master Power Contract; forward exposure relating to EPMI fixed power supply out to 2005</t>
  </si>
  <si>
    <t xml:space="preserve">     Total Utility Exposure</t>
  </si>
  <si>
    <t>PGE exposure relating to an annuity stream (23 remaining monthly pmts of $2,667,000) for the termination of a long-term power sales agreement 3 years ago.</t>
  </si>
  <si>
    <t>ENA has a $35MM inc gty from Edison Mission Energy for (4) specific swaps and a $15MM inc gty from Edison Mission Midwest Holdings for the remaining swap portfolio.</t>
  </si>
  <si>
    <t>EPMI has a $20MM inc gty from Edison Mission Energy and a $5MM inc letter of credit.</t>
  </si>
  <si>
    <t xml:space="preserve">     Total Relationship Exposure</t>
  </si>
  <si>
    <t>Net Sales</t>
  </si>
  <si>
    <t>Net Purchases</t>
  </si>
  <si>
    <t>Activity Month</t>
  </si>
  <si>
    <t>(if A/R-A/P &gt; $0)</t>
  </si>
  <si>
    <t>(if A/P-A/R &lt; $0)</t>
  </si>
  <si>
    <t>California ISO</t>
  </si>
  <si>
    <t>November 2000</t>
  </si>
  <si>
    <t>December 2000</t>
  </si>
  <si>
    <t>MTD January 2001</t>
  </si>
  <si>
    <t>Portland General</t>
  </si>
  <si>
    <t>Total CA ISO</t>
  </si>
  <si>
    <t>California Power Exchange Corporation</t>
  </si>
  <si>
    <t>November 2000 (Real Time Mkt)</t>
  </si>
  <si>
    <t>December 2000 (Real Time Mkt)</t>
  </si>
  <si>
    <t>December 2000 (Core Mkt)</t>
  </si>
  <si>
    <t>December 2000 (Blk FW Mkt)</t>
  </si>
  <si>
    <t>MTD January 2001 (Real Time Mkt)</t>
  </si>
  <si>
    <t>MTD January 2001 (Core Mkt)</t>
  </si>
  <si>
    <t>Existing Block FW Portfolio</t>
  </si>
  <si>
    <t>Total CA PX</t>
  </si>
  <si>
    <t>CA ISO's</t>
  </si>
  <si>
    <t>CA PX's</t>
  </si>
  <si>
    <t>ISO</t>
  </si>
  <si>
    <t>Pmt. Date</t>
  </si>
  <si>
    <t>PX Net Purchases</t>
  </si>
  <si>
    <t>PX Net Sales</t>
  </si>
  <si>
    <t>Payment</t>
  </si>
  <si>
    <t>Receipt</t>
  </si>
  <si>
    <t>Date:</t>
  </si>
  <si>
    <t>Block forward positions out to 12/01</t>
  </si>
  <si>
    <t>ENRON</t>
  </si>
  <si>
    <t>PCG REGULATED</t>
  </si>
  <si>
    <t>PCG NON-REGULATED FILING SUBS</t>
  </si>
  <si>
    <t>PCG EXPECTED NON-FILING SUBS</t>
  </si>
  <si>
    <t>EIX REGULATED</t>
  </si>
  <si>
    <t>EIX NON-REGULATED</t>
  </si>
  <si>
    <t xml:space="preserve">     SUBTOTAL</t>
  </si>
  <si>
    <t>PX</t>
  </si>
  <si>
    <t>PORTLAND GENERAL</t>
  </si>
  <si>
    <t>TOTAL</t>
  </si>
  <si>
    <t xml:space="preserve">California Counterparty Exposure as of </t>
  </si>
  <si>
    <t>RAC - Risk Assessment &amp; Control</t>
  </si>
  <si>
    <t>check</t>
  </si>
  <si>
    <t xml:space="preserve">Portland General </t>
  </si>
  <si>
    <t xml:space="preserve">     Total Exposure Relating to EEMC/EES</t>
  </si>
  <si>
    <t xml:space="preserve">     Total Exposure Relating to Enron Canada Corp.</t>
  </si>
  <si>
    <t xml:space="preserve">     Total Exposure Relating to Enron Capital &amp; Trade Resources</t>
  </si>
  <si>
    <t xml:space="preserve">     Total Exposure Relating to Enron Coal Services Limited</t>
  </si>
  <si>
    <t xml:space="preserve">     Total Exposure Relating to Enron Europe Ltd.</t>
  </si>
  <si>
    <t xml:space="preserve">     Total Exposure Relating to Enron North America Corp.</t>
  </si>
  <si>
    <t xml:space="preserve">     Total Exposure Relating to Enron Power Marketing, Inc.</t>
  </si>
  <si>
    <t xml:space="preserve">     Total Exposure Relating to Enron Wind Corp.</t>
  </si>
  <si>
    <t xml:space="preserve">     Total Exposure Relating to Houston Pipe Line Company</t>
  </si>
  <si>
    <t xml:space="preserve">     Total Exposure Relating to Portland General</t>
  </si>
  <si>
    <t xml:space="preserve">          Total Exposure to California Counterparty by Enron Entity</t>
  </si>
  <si>
    <t>Enron Canada</t>
  </si>
  <si>
    <t>ENA Corp.</t>
  </si>
  <si>
    <t>EPMI</t>
  </si>
  <si>
    <t>Enron Wind</t>
  </si>
  <si>
    <t>HPL Co.</t>
  </si>
  <si>
    <t xml:space="preserve">Enron Wind </t>
  </si>
  <si>
    <t>ECT Resources Int.</t>
  </si>
  <si>
    <t>ECT Resources Ltd.</t>
  </si>
  <si>
    <t>Edison Mission Marketing &amp; Trading</t>
  </si>
  <si>
    <t xml:space="preserve">Edison Mission Marketing &amp; Trading </t>
  </si>
  <si>
    <t xml:space="preserve">Enron Canada </t>
  </si>
  <si>
    <t>Enron Coal</t>
  </si>
  <si>
    <t xml:space="preserve">Enron Europe </t>
  </si>
  <si>
    <t>Portland Gen.</t>
  </si>
  <si>
    <t>ECT Res. Int.</t>
  </si>
  <si>
    <t>ECT Res. Ltd.</t>
  </si>
  <si>
    <t>Nov. 2000</t>
  </si>
  <si>
    <t>Dec. 2000</t>
  </si>
  <si>
    <t>MTD Jan. 2001</t>
  </si>
  <si>
    <t>Nov. 2000 (Real Time Mkt)</t>
  </si>
  <si>
    <t>Dec. 2000 (Real Time Mkt)</t>
  </si>
  <si>
    <t>Dec. 2000 (Core Mkt)</t>
  </si>
  <si>
    <t>Dec. 2000 (Blk FW Mkt)</t>
  </si>
  <si>
    <t>MTD Jan. 2001 (Real Time Mkt)</t>
  </si>
  <si>
    <t>MTD Jan. 2001 (Core Mkt)</t>
  </si>
  <si>
    <t>EES</t>
  </si>
  <si>
    <t>Check Figures</t>
  </si>
  <si>
    <t>CHECK</t>
  </si>
  <si>
    <t>PG&amp;E Quantum Ventures</t>
  </si>
  <si>
    <t xml:space="preserve">    Total PG&amp;E Energy Trading - Power, L.P.</t>
  </si>
  <si>
    <t>Southern California Edison</t>
  </si>
  <si>
    <t>CEG Energy Options Inc.</t>
  </si>
  <si>
    <t xml:space="preserve">     Total Quantum Ventures and CEG Energy Options</t>
  </si>
  <si>
    <t>(a)</t>
  </si>
  <si>
    <t xml:space="preserve">Notes: </t>
  </si>
  <si>
    <t xml:space="preserve">          Subtotal PG&amp;E Trading Subsidiaries</t>
  </si>
  <si>
    <t xml:space="preserve">     Total Exposure to PG&amp;E Trading Subsidiaries</t>
  </si>
  <si>
    <t xml:space="preserve">          Subtotal Non-Utility Exposure</t>
  </si>
  <si>
    <t xml:space="preserve">     Total Exposure to Non-Utility Subsidiaries</t>
  </si>
  <si>
    <t>With Master Set-Off</t>
  </si>
  <si>
    <t>PG&amp;E Utility</t>
  </si>
  <si>
    <t>PG&amp;E Non-Utility</t>
  </si>
  <si>
    <t>SCE Utility</t>
  </si>
  <si>
    <t>SCE Non-Utility</t>
  </si>
  <si>
    <t>Px</t>
  </si>
  <si>
    <t>ENA</t>
  </si>
  <si>
    <t>EEL</t>
  </si>
  <si>
    <t>EWS</t>
  </si>
  <si>
    <t>PGE</t>
  </si>
  <si>
    <t>Entity Code</t>
  </si>
  <si>
    <t>EWC</t>
  </si>
  <si>
    <t xml:space="preserve">EEL </t>
  </si>
  <si>
    <t>Total</t>
  </si>
  <si>
    <t xml:space="preserve">     Subtotal</t>
  </si>
  <si>
    <t xml:space="preserve">     Total California Utility Exposure</t>
  </si>
  <si>
    <t>Note:</t>
  </si>
  <si>
    <t>SUMMARY EXPOSURE BY ENRON ENTITY</t>
  </si>
  <si>
    <t xml:space="preserve">          Total Exposure to California Counterparty  - assumes netting of Utility, and certain trading entities.</t>
  </si>
  <si>
    <t>(b)/('c)</t>
  </si>
  <si>
    <t>Per London. Financial swap settles weekly.</t>
  </si>
  <si>
    <t>Per London. Power Swaps</t>
  </si>
  <si>
    <t xml:space="preserve">Edison Mission Energy - First Hydro </t>
  </si>
  <si>
    <t>$4.4MM due December 30, 2000 assumes A/R accrues $213,807 per day through January 30, 2001.</t>
  </si>
  <si>
    <t>Check</t>
  </si>
  <si>
    <t>No Set Off</t>
  </si>
  <si>
    <t>Set Off W/I Enron Canada</t>
  </si>
  <si>
    <t xml:space="preserve">(b) Total California Utility Exposure assumes netting among Enron entities within both Utilities, </t>
  </si>
  <si>
    <t xml:space="preserve">and netting within Enron Canada for PG&amp;E Energy Trading, Canada Corp. </t>
  </si>
  <si>
    <t>January</t>
  </si>
  <si>
    <t>February</t>
  </si>
  <si>
    <t>Net Settlement Risk</t>
  </si>
  <si>
    <t>PG&amp;E Corp. guaranteed $10MM receivable to EES was received 01/23.</t>
  </si>
  <si>
    <t>Nine Energy Services LLC</t>
  </si>
  <si>
    <t>Cash</t>
  </si>
  <si>
    <t>EPMI paid invoice</t>
  </si>
  <si>
    <t>EPMI received $4.1MM of $12.5MM</t>
  </si>
  <si>
    <t>EES/EEMC</t>
  </si>
  <si>
    <t>California Exposure as of COB</t>
  </si>
  <si>
    <t>Enron Coal -London</t>
  </si>
  <si>
    <t>Phys. MTM per London</t>
  </si>
  <si>
    <t xml:space="preserve">Px Credit due to EES.  </t>
  </si>
  <si>
    <t xml:space="preserve">Px Credit due to EEMC.  </t>
  </si>
  <si>
    <t>March</t>
  </si>
  <si>
    <t>March Cash</t>
  </si>
  <si>
    <t xml:space="preserve">      and Resale/Direct Pay Agreements.  It was determined that Nine Energy is no longer selling to PG&amp;E.</t>
  </si>
  <si>
    <t>(a) Net Settlement Risk for Coal is only one-month receivables/payables due to approx. 10 day settlement for coal delivery.</t>
  </si>
  <si>
    <t>Physical MTM has been reduce by $61.8MM due to assigment to other CPs. Total cost of assigments is $36.8mm paid through 12/06.</t>
  </si>
  <si>
    <t>Per London, Enron Coal sleeves for ECT Resources under one coal contract.</t>
  </si>
  <si>
    <t>Financial MTM has been increased by $40.4mm due to assigment of out-of-$ position with PG&amp;E to other CP in exchange for potential assigment of in-the-$ position from PG&amp;E - Gas Corp.</t>
  </si>
  <si>
    <t>(a)approx.$180mm of exposure assigned from EES on 12/28/00.  MTM on 12/28/00 was $260.5mm.</t>
  </si>
  <si>
    <t xml:space="preserve">              Total Exposure after Set-Off</t>
  </si>
  <si>
    <t xml:space="preserve">     Total Master Set-Off Benefit</t>
  </si>
  <si>
    <t>(a) Nine Energy Services LLC is a WIMBE which sells power various Utilities with whom we have Master Agreements</t>
  </si>
  <si>
    <t xml:space="preserve">           Total Relationship Exposure after Set-Off</t>
  </si>
  <si>
    <t>Power Swap - One day only</t>
  </si>
  <si>
    <t>Does not include $638,654 disputed charge</t>
  </si>
  <si>
    <t>As of COB 02/28/01</t>
  </si>
  <si>
    <t>Px Credit due to EES.  Physical MTM of $270.3mm was released due to putting customers back to utility.</t>
  </si>
  <si>
    <t>Px Credit due to EEMC.  Physical MTM of $322.0mm was released due to putting customers back to utility.</t>
  </si>
  <si>
    <t>('c) Total California Utility Exposure will reduce to $1,079.4mm with Master Set-Off.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</si>
</sst>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"/>
    <numFmt numFmtId="165" formatCode="mm/dd/yy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24"/>
      <name val="Arial"/>
      <family val="2"/>
    </font>
    <font>
      <b/>
      <i/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</fills>
  <borders count="18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9">
    <xf numFmtId="0" fontId="0" fillId="0" borderId="0" xfId="0"/>
    <xf numFmtId="0" fontId="2" fillId="0" borderId="0" xfId="0" applyFont="1"/>
    <xf numFmtId="0" fontId="2" fillId="0" borderId="0" xfId="0" applyFont="1" applyProtection="1">
      <protection locked="0"/>
    </xf>
    <xf numFmtId="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2" borderId="0" xfId="0" applyFill="1"/>
    <xf numFmtId="0" fontId="3" fillId="0" borderId="0" xfId="0" applyFont="1" applyAlignment="1">
      <alignment horizontal="right"/>
    </xf>
    <xf numFmtId="0" fontId="4" fillId="3" borderId="0" xfId="0" applyFont="1" applyFill="1"/>
    <xf numFmtId="6" fontId="4" fillId="3" borderId="0" xfId="0" applyNumberFormat="1" applyFont="1" applyFill="1" applyAlignment="1">
      <alignment horizontal="right"/>
    </xf>
    <xf numFmtId="6" fontId="4" fillId="3" borderId="1" xfId="0" applyNumberFormat="1" applyFont="1" applyFill="1" applyBorder="1" applyAlignment="1">
      <alignment horizontal="right"/>
    </xf>
    <xf numFmtId="6" fontId="4" fillId="3" borderId="0" xfId="0" applyNumberFormat="1" applyFont="1" applyFill="1" applyAlignment="1">
      <alignment horizontal="center"/>
    </xf>
    <xf numFmtId="6" fontId="4" fillId="0" borderId="0" xfId="0" applyNumberFormat="1" applyFont="1"/>
    <xf numFmtId="164" fontId="3" fillId="3" borderId="0" xfId="0" applyNumberFormat="1" applyFont="1" applyFill="1" applyAlignment="1">
      <alignment horizontal="right"/>
    </xf>
    <xf numFmtId="6" fontId="4" fillId="3" borderId="0" xfId="0" applyNumberFormat="1" applyFont="1" applyFill="1"/>
    <xf numFmtId="6" fontId="3" fillId="3" borderId="0" xfId="0" applyNumberFormat="1" applyFont="1" applyFill="1" applyAlignment="1">
      <alignment horizontal="right"/>
    </xf>
    <xf numFmtId="6" fontId="4" fillId="3" borderId="0" xfId="0" applyNumberFormat="1" applyFont="1" applyFill="1" applyBorder="1" applyAlignment="1">
      <alignment horizontal="right"/>
    </xf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4" fillId="0" borderId="0" xfId="0" applyFont="1" applyAlignment="1" applyProtection="1">
      <alignment horizontal="right"/>
      <protection locked="0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0" fontId="7" fillId="0" borderId="0" xfId="0" applyFont="1"/>
    <xf numFmtId="6" fontId="7" fillId="2" borderId="0" xfId="0" applyNumberFormat="1" applyFont="1" applyFill="1"/>
    <xf numFmtId="0" fontId="7" fillId="2" borderId="0" xfId="0" applyFont="1" applyFill="1"/>
    <xf numFmtId="6" fontId="7" fillId="2" borderId="2" xfId="0" applyNumberFormat="1" applyFont="1" applyFill="1" applyBorder="1" applyAlignment="1">
      <alignment vertical="top"/>
    </xf>
    <xf numFmtId="6" fontId="7" fillId="2" borderId="3" xfId="0" applyNumberFormat="1" applyFont="1" applyFill="1" applyBorder="1" applyAlignment="1">
      <alignment vertical="top" wrapText="1"/>
    </xf>
    <xf numFmtId="6" fontId="7" fillId="0" borderId="0" xfId="0" applyNumberFormat="1" applyFont="1"/>
    <xf numFmtId="0" fontId="7" fillId="4" borderId="0" xfId="0" applyFont="1" applyFill="1" applyProtection="1">
      <protection locked="0"/>
    </xf>
    <xf numFmtId="6" fontId="7" fillId="4" borderId="0" xfId="0" applyNumberFormat="1" applyFont="1" applyFill="1"/>
    <xf numFmtId="0" fontId="4" fillId="0" borderId="0" xfId="0" applyFont="1" applyProtection="1">
      <protection locked="0"/>
    </xf>
    <xf numFmtId="6" fontId="7" fillId="0" borderId="0" xfId="0" applyNumberFormat="1" applyFont="1" applyAlignment="1" applyProtection="1">
      <alignment vertical="top"/>
      <protection locked="0"/>
    </xf>
    <xf numFmtId="6" fontId="7" fillId="0" borderId="0" xfId="0" applyNumberFormat="1" applyFont="1" applyBorder="1" applyAlignment="1" applyProtection="1">
      <alignment vertical="top"/>
      <protection locked="0"/>
    </xf>
    <xf numFmtId="6" fontId="4" fillId="0" borderId="1" xfId="0" applyNumberFormat="1" applyFont="1" applyBorder="1" applyAlignment="1">
      <alignment horizontal="center" wrapText="1"/>
    </xf>
    <xf numFmtId="6" fontId="7" fillId="0" borderId="0" xfId="0" applyNumberFormat="1" applyFont="1" applyAlignment="1">
      <alignment horizontal="center"/>
    </xf>
    <xf numFmtId="0" fontId="4" fillId="0" borderId="0" xfId="0" applyFont="1"/>
    <xf numFmtId="6" fontId="4" fillId="0" borderId="0" xfId="0" applyNumberFormat="1" applyFont="1" applyAlignment="1">
      <alignment horizontal="center"/>
    </xf>
    <xf numFmtId="0" fontId="10" fillId="0" borderId="0" xfId="0" applyFont="1" applyProtection="1">
      <protection locked="0"/>
    </xf>
    <xf numFmtId="6" fontId="7" fillId="0" borderId="3" xfId="0" applyNumberFormat="1" applyFont="1" applyBorder="1"/>
    <xf numFmtId="6" fontId="4" fillId="0" borderId="0" xfId="0" applyNumberFormat="1" applyFont="1" applyBorder="1"/>
    <xf numFmtId="6" fontId="4" fillId="2" borderId="0" xfId="0" applyNumberFormat="1" applyFont="1" applyFill="1" applyAlignment="1">
      <alignment horizontal="center" vertical="top"/>
    </xf>
    <xf numFmtId="0" fontId="4" fillId="2" borderId="0" xfId="0" applyFont="1" applyFill="1" applyAlignment="1">
      <alignment horizontal="right" vertical="top"/>
    </xf>
    <xf numFmtId="6" fontId="4" fillId="2" borderId="3" xfId="0" applyNumberFormat="1" applyFont="1" applyFill="1" applyBorder="1" applyAlignment="1">
      <alignment horizontal="center" vertical="top" wrapText="1"/>
    </xf>
    <xf numFmtId="38" fontId="4" fillId="0" borderId="0" xfId="0" applyNumberFormat="1" applyFont="1"/>
    <xf numFmtId="6" fontId="4" fillId="0" borderId="0" xfId="0" applyNumberFormat="1" applyFont="1" applyBorder="1" applyAlignment="1">
      <alignment horizontal="center" vertical="top" wrapText="1"/>
    </xf>
    <xf numFmtId="6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38" fontId="7" fillId="0" borderId="0" xfId="0" applyNumberFormat="1" applyFont="1"/>
    <xf numFmtId="0" fontId="7" fillId="4" borderId="0" xfId="0" applyFont="1" applyFill="1"/>
    <xf numFmtId="6" fontId="7" fillId="0" borderId="0" xfId="0" applyNumberFormat="1" applyFont="1" applyAlignment="1">
      <alignment horizontal="center" wrapText="1"/>
    </xf>
    <xf numFmtId="6" fontId="4" fillId="0" borderId="4" xfId="0" applyNumberFormat="1" applyFont="1" applyBorder="1" applyProtection="1">
      <protection locked="0"/>
    </xf>
    <xf numFmtId="6" fontId="4" fillId="0" borderId="0" xfId="0" applyNumberFormat="1" applyFont="1" applyBorder="1" applyProtection="1">
      <protection locked="0"/>
    </xf>
    <xf numFmtId="0" fontId="4" fillId="0" borderId="3" xfId="0" applyFont="1" applyBorder="1"/>
    <xf numFmtId="6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center"/>
    </xf>
    <xf numFmtId="6" fontId="7" fillId="0" borderId="0" xfId="1" applyNumberFormat="1" applyFont="1"/>
    <xf numFmtId="6" fontId="7" fillId="0" borderId="0" xfId="1" applyNumberFormat="1" applyFont="1" applyAlignment="1">
      <alignment horizontal="right"/>
    </xf>
    <xf numFmtId="164" fontId="4" fillId="0" borderId="0" xfId="0" applyNumberFormat="1" applyFont="1" applyFill="1"/>
    <xf numFmtId="164" fontId="4" fillId="0" borderId="0" xfId="0" applyNumberFormat="1" applyFont="1"/>
    <xf numFmtId="49" fontId="7" fillId="0" borderId="0" xfId="0" applyNumberFormat="1" applyFont="1" applyAlignment="1">
      <alignment horizontal="center" wrapText="1"/>
    </xf>
    <xf numFmtId="38" fontId="7" fillId="0" borderId="0" xfId="0" applyNumberFormat="1" applyFont="1" applyBorder="1" applyAlignment="1">
      <alignment horizontal="center"/>
    </xf>
    <xf numFmtId="6" fontId="7" fillId="0" borderId="3" xfId="1" applyNumberFormat="1" applyFont="1" applyBorder="1" applyAlignment="1">
      <alignment horizontal="right"/>
    </xf>
    <xf numFmtId="6" fontId="7" fillId="0" borderId="3" xfId="1" applyNumberFormat="1" applyFont="1" applyBorder="1"/>
    <xf numFmtId="0" fontId="7" fillId="0" borderId="3" xfId="0" applyFont="1" applyBorder="1"/>
    <xf numFmtId="38" fontId="7" fillId="0" borderId="3" xfId="0" applyNumberFormat="1" applyFont="1" applyBorder="1"/>
    <xf numFmtId="6" fontId="4" fillId="0" borderId="0" xfId="0" applyNumberFormat="1" applyFont="1" applyBorder="1" applyAlignment="1">
      <alignment horizontal="center"/>
    </xf>
    <xf numFmtId="38" fontId="7" fillId="0" borderId="0" xfId="0" applyNumberFormat="1" applyFont="1" applyAlignment="1">
      <alignment horizontal="center"/>
    </xf>
    <xf numFmtId="38" fontId="4" fillId="0" borderId="0" xfId="0" applyNumberFormat="1" applyFont="1" applyAlignment="1" applyProtection="1">
      <alignment horizontal="right"/>
      <protection locked="0"/>
    </xf>
    <xf numFmtId="38" fontId="4" fillId="0" borderId="0" xfId="0" applyNumberFormat="1" applyFont="1" applyAlignment="1" applyProtection="1">
      <alignment horizontal="center"/>
      <protection locked="0"/>
    </xf>
    <xf numFmtId="6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right" wrapText="1"/>
    </xf>
    <xf numFmtId="164" fontId="7" fillId="0" borderId="0" xfId="0" applyNumberFormat="1" applyFont="1"/>
    <xf numFmtId="38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/>
    </xf>
    <xf numFmtId="17" fontId="7" fillId="0" borderId="0" xfId="0" quotePrefix="1" applyNumberFormat="1" applyFont="1" applyAlignment="1">
      <alignment horizontal="center"/>
    </xf>
    <xf numFmtId="6" fontId="7" fillId="0" borderId="3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6" fontId="7" fillId="0" borderId="0" xfId="0" applyNumberFormat="1" applyFont="1" applyAlignment="1">
      <alignment horizontal="right"/>
    </xf>
    <xf numFmtId="165" fontId="4" fillId="0" borderId="0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6" fontId="4" fillId="0" borderId="0" xfId="1" applyNumberFormat="1" applyFont="1" applyAlignment="1">
      <alignment horizontal="right"/>
    </xf>
    <xf numFmtId="165" fontId="7" fillId="0" borderId="0" xfId="0" applyNumberFormat="1" applyFont="1"/>
    <xf numFmtId="6" fontId="7" fillId="3" borderId="0" xfId="0" applyNumberFormat="1" applyFont="1" applyFill="1" applyAlignment="1">
      <alignment horizontal="center"/>
    </xf>
    <xf numFmtId="6" fontId="4" fillId="2" borderId="0" xfId="0" applyNumberFormat="1" applyFont="1" applyFill="1" applyBorder="1" applyAlignment="1">
      <alignment vertical="top"/>
    </xf>
    <xf numFmtId="6" fontId="4" fillId="2" borderId="0" xfId="0" applyNumberFormat="1" applyFont="1" applyFill="1" applyBorder="1" applyAlignment="1">
      <alignment vertical="top" wrapText="1"/>
    </xf>
    <xf numFmtId="6" fontId="4" fillId="2" borderId="0" xfId="0" applyNumberFormat="1" applyFont="1" applyFill="1" applyBorder="1" applyAlignment="1" applyProtection="1">
      <alignment horizontal="right" vertical="top"/>
      <protection locked="0"/>
    </xf>
    <xf numFmtId="6" fontId="7" fillId="0" borderId="0" xfId="0" applyNumberFormat="1" applyFont="1" applyBorder="1"/>
    <xf numFmtId="0" fontId="7" fillId="0" borderId="0" xfId="0" applyFont="1" applyAlignment="1">
      <alignment vertical="top"/>
    </xf>
    <xf numFmtId="6" fontId="4" fillId="0" borderId="0" xfId="0" applyNumberFormat="1" applyFont="1" applyFill="1" applyAlignment="1">
      <alignment vertical="top"/>
    </xf>
    <xf numFmtId="6" fontId="7" fillId="0" borderId="0" xfId="0" applyNumberFormat="1" applyFont="1" applyFill="1"/>
    <xf numFmtId="6" fontId="0" fillId="0" borderId="0" xfId="0" applyNumberFormat="1" applyFill="1"/>
    <xf numFmtId="0" fontId="0" fillId="0" borderId="0" xfId="0" applyFill="1"/>
    <xf numFmtId="0" fontId="7" fillId="0" borderId="0" xfId="0" applyFont="1" applyFill="1"/>
    <xf numFmtId="6" fontId="7" fillId="0" borderId="0" xfId="0" applyNumberFormat="1" applyFont="1" applyFill="1" applyProtection="1">
      <protection locked="0"/>
    </xf>
    <xf numFmtId="6" fontId="7" fillId="0" borderId="0" xfId="0" applyNumberFormat="1" applyFont="1" applyFill="1" applyBorder="1" applyProtection="1">
      <protection locked="0"/>
    </xf>
    <xf numFmtId="0" fontId="4" fillId="0" borderId="0" xfId="0" applyFont="1" applyFill="1" applyProtection="1">
      <protection locked="0"/>
    </xf>
    <xf numFmtId="6" fontId="4" fillId="0" borderId="0" xfId="0" applyNumberFormat="1" applyFont="1" applyFill="1" applyProtection="1">
      <protection locked="0"/>
    </xf>
    <xf numFmtId="6" fontId="4" fillId="0" borderId="0" xfId="0" applyNumberFormat="1" applyFont="1" applyFill="1"/>
    <xf numFmtId="0" fontId="7" fillId="0" borderId="0" xfId="0" applyFont="1" applyFill="1" applyProtection="1">
      <protection locked="0"/>
    </xf>
    <xf numFmtId="6" fontId="7" fillId="0" borderId="2" xfId="0" applyNumberFormat="1" applyFont="1" applyFill="1" applyBorder="1" applyProtection="1">
      <protection locked="0"/>
    </xf>
    <xf numFmtId="6" fontId="7" fillId="0" borderId="0" xfId="0" applyNumberFormat="1" applyFont="1" applyFill="1" applyAlignment="1">
      <alignment vertical="top"/>
    </xf>
    <xf numFmtId="6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4" fillId="0" borderId="0" xfId="0" applyFont="1" applyFill="1" applyAlignment="1" applyProtection="1">
      <alignment vertical="top"/>
      <protection locked="0"/>
    </xf>
    <xf numFmtId="6" fontId="4" fillId="0" borderId="0" xfId="0" applyNumberFormat="1" applyFont="1" applyFill="1" applyAlignment="1" applyProtection="1">
      <alignment vertical="top"/>
      <protection locked="0"/>
    </xf>
    <xf numFmtId="6" fontId="4" fillId="0" borderId="0" xfId="0" applyNumberFormat="1" applyFont="1" applyFill="1" applyAlignment="1" applyProtection="1">
      <alignment horizontal="right"/>
      <protection locked="0"/>
    </xf>
    <xf numFmtId="49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/>
    <xf numFmtId="6" fontId="7" fillId="0" borderId="0" xfId="1" applyNumberFormat="1" applyFont="1" applyFill="1"/>
    <xf numFmtId="6" fontId="7" fillId="0" borderId="0" xfId="1" applyNumberFormat="1" applyFont="1" applyFill="1" applyAlignment="1">
      <alignment horizontal="right"/>
    </xf>
    <xf numFmtId="49" fontId="7" fillId="0" borderId="0" xfId="0" applyNumberFormat="1" applyFont="1" applyFill="1" applyAlignment="1">
      <alignment horizontal="center" wrapText="1"/>
    </xf>
    <xf numFmtId="38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 applyProtection="1">
      <alignment vertical="top"/>
      <protection locked="0"/>
    </xf>
    <xf numFmtId="6" fontId="7" fillId="0" borderId="0" xfId="0" applyNumberFormat="1" applyFont="1" applyFill="1" applyAlignment="1" applyProtection="1">
      <alignment vertical="top"/>
      <protection locked="0"/>
    </xf>
    <xf numFmtId="6" fontId="7" fillId="0" borderId="0" xfId="0" applyNumberFormat="1" applyFont="1" applyFill="1" applyBorder="1" applyAlignment="1">
      <alignment vertical="top"/>
    </xf>
    <xf numFmtId="6" fontId="4" fillId="0" borderId="0" xfId="0" applyNumberFormat="1" applyFont="1" applyFill="1" applyAlignment="1" applyProtection="1">
      <alignment horizontal="right" vertical="top"/>
      <protection locked="0"/>
    </xf>
    <xf numFmtId="0" fontId="7" fillId="0" borderId="0" xfId="0" applyFont="1" applyFill="1" applyAlignment="1">
      <alignment vertical="top"/>
    </xf>
    <xf numFmtId="17" fontId="7" fillId="0" borderId="0" xfId="0" quotePrefix="1" applyNumberFormat="1" applyFont="1" applyFill="1" applyAlignment="1">
      <alignment horizontal="center"/>
    </xf>
    <xf numFmtId="6" fontId="7" fillId="0" borderId="0" xfId="0" applyNumberFormat="1" applyFont="1" applyFill="1" applyAlignment="1">
      <alignment horizontal="center" wrapText="1"/>
    </xf>
    <xf numFmtId="0" fontId="4" fillId="0" borderId="0" xfId="0" applyFont="1" applyFill="1"/>
    <xf numFmtId="6" fontId="4" fillId="0" borderId="0" xfId="0" applyNumberFormat="1" applyFont="1" applyFill="1" applyBorder="1" applyProtection="1">
      <protection locked="0"/>
    </xf>
    <xf numFmtId="6" fontId="4" fillId="0" borderId="2" xfId="0" applyNumberFormat="1" applyFont="1" applyFill="1" applyBorder="1" applyProtection="1">
      <protection locked="0"/>
    </xf>
    <xf numFmtId="6" fontId="2" fillId="0" borderId="0" xfId="0" applyNumberFormat="1" applyFont="1" applyFill="1"/>
    <xf numFmtId="0" fontId="2" fillId="0" borderId="0" xfId="0" applyFont="1" applyFill="1"/>
    <xf numFmtId="6" fontId="4" fillId="0" borderId="3" xfId="0" applyNumberFormat="1" applyFont="1" applyFill="1" applyBorder="1"/>
    <xf numFmtId="0" fontId="5" fillId="0" borderId="0" xfId="0" applyFont="1"/>
    <xf numFmtId="0" fontId="11" fillId="0" borderId="0" xfId="0" applyFont="1"/>
    <xf numFmtId="0" fontId="7" fillId="0" borderId="0" xfId="0" applyFont="1" applyFill="1" applyBorder="1"/>
    <xf numFmtId="6" fontId="7" fillId="5" borderId="0" xfId="0" applyNumberFormat="1" applyFont="1" applyFill="1"/>
    <xf numFmtId="0" fontId="7" fillId="5" borderId="0" xfId="0" applyFont="1" applyFill="1"/>
    <xf numFmtId="0" fontId="4" fillId="6" borderId="0" xfId="0" applyFont="1" applyFill="1" applyAlignment="1">
      <alignment vertical="top"/>
    </xf>
    <xf numFmtId="6" fontId="4" fillId="6" borderId="0" xfId="0" applyNumberFormat="1" applyFont="1" applyFill="1" applyAlignment="1">
      <alignment vertical="top"/>
    </xf>
    <xf numFmtId="6" fontId="7" fillId="6" borderId="0" xfId="0" applyNumberFormat="1" applyFont="1" applyFill="1"/>
    <xf numFmtId="6" fontId="0" fillId="6" borderId="0" xfId="0" applyNumberFormat="1" applyFill="1"/>
    <xf numFmtId="0" fontId="0" fillId="6" borderId="0" xfId="0" applyFill="1"/>
    <xf numFmtId="0" fontId="7" fillId="6" borderId="0" xfId="0" applyFont="1" applyFill="1"/>
    <xf numFmtId="6" fontId="7" fillId="6" borderId="0" xfId="0" applyNumberFormat="1" applyFont="1" applyFill="1" applyProtection="1">
      <protection locked="0"/>
    </xf>
    <xf numFmtId="6" fontId="7" fillId="6" borderId="2" xfId="0" applyNumberFormat="1" applyFont="1" applyFill="1" applyBorder="1" applyProtection="1">
      <protection locked="0"/>
    </xf>
    <xf numFmtId="6" fontId="4" fillId="0" borderId="5" xfId="0" applyNumberFormat="1" applyFont="1" applyFill="1" applyBorder="1"/>
    <xf numFmtId="0" fontId="4" fillId="4" borderId="0" xfId="0" applyFont="1" applyFill="1" applyProtection="1">
      <protection locked="0"/>
    </xf>
    <xf numFmtId="6" fontId="4" fillId="4" borderId="0" xfId="0" applyNumberFormat="1" applyFont="1" applyFill="1" applyProtection="1">
      <protection locked="0"/>
    </xf>
    <xf numFmtId="0" fontId="0" fillId="4" borderId="0" xfId="0" applyFill="1"/>
    <xf numFmtId="0" fontId="4" fillId="4" borderId="0" xfId="0" applyFont="1" applyFill="1" applyAlignment="1" applyProtection="1">
      <alignment vertical="top"/>
      <protection locked="0"/>
    </xf>
    <xf numFmtId="6" fontId="0" fillId="4" borderId="0" xfId="0" applyNumberFormat="1" applyFill="1"/>
    <xf numFmtId="0" fontId="7" fillId="4" borderId="0" xfId="0" applyFont="1" applyFill="1" applyAlignment="1" applyProtection="1">
      <alignment vertical="top"/>
      <protection locked="0"/>
    </xf>
    <xf numFmtId="6" fontId="7" fillId="4" borderId="0" xfId="0" applyNumberFormat="1" applyFont="1" applyFill="1" applyAlignment="1" applyProtection="1">
      <alignment vertical="top"/>
      <protection locked="0"/>
    </xf>
    <xf numFmtId="6" fontId="7" fillId="4" borderId="2" xfId="0" applyNumberFormat="1" applyFont="1" applyFill="1" applyBorder="1" applyAlignment="1" applyProtection="1">
      <alignment vertical="top"/>
      <protection locked="0"/>
    </xf>
    <xf numFmtId="0" fontId="7" fillId="4" borderId="0" xfId="0" applyFont="1" applyFill="1" applyAlignment="1">
      <alignment vertical="top"/>
    </xf>
    <xf numFmtId="6" fontId="7" fillId="4" borderId="0" xfId="0" applyNumberFormat="1" applyFont="1" applyFill="1" applyAlignment="1">
      <alignment vertical="top"/>
    </xf>
    <xf numFmtId="6" fontId="7" fillId="4" borderId="2" xfId="0" applyNumberFormat="1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6" fontId="4" fillId="4" borderId="0" xfId="0" applyNumberFormat="1" applyFont="1" applyFill="1" applyAlignment="1">
      <alignment vertical="top"/>
    </xf>
    <xf numFmtId="6" fontId="4" fillId="4" borderId="2" xfId="0" applyNumberFormat="1" applyFont="1" applyFill="1" applyBorder="1" applyAlignment="1">
      <alignment vertical="top"/>
    </xf>
    <xf numFmtId="6" fontId="7" fillId="0" borderId="0" xfId="0" applyNumberFormat="1" applyFont="1" applyBorder="1" applyProtection="1">
      <protection locked="0"/>
    </xf>
    <xf numFmtId="6" fontId="4" fillId="0" borderId="1" xfId="0" applyNumberFormat="1" applyFont="1" applyBorder="1" applyAlignment="1">
      <alignment horizontal="center"/>
    </xf>
    <xf numFmtId="0" fontId="4" fillId="2" borderId="0" xfId="0" applyFont="1" applyFill="1" applyBorder="1" applyProtection="1">
      <protection locked="0"/>
    </xf>
    <xf numFmtId="6" fontId="7" fillId="2" borderId="0" xfId="0" applyNumberFormat="1" applyFont="1" applyFill="1" applyBorder="1" applyProtection="1">
      <protection locked="0"/>
    </xf>
    <xf numFmtId="6" fontId="4" fillId="2" borderId="0" xfId="0" applyNumberFormat="1" applyFont="1" applyFill="1" applyBorder="1"/>
    <xf numFmtId="0" fontId="7" fillId="2" borderId="0" xfId="0" applyFont="1" applyFill="1" applyBorder="1" applyProtection="1">
      <protection locked="0"/>
    </xf>
    <xf numFmtId="6" fontId="7" fillId="2" borderId="0" xfId="0" applyNumberFormat="1" applyFont="1" applyFill="1" applyBorder="1"/>
    <xf numFmtId="0" fontId="4" fillId="2" borderId="0" xfId="0" applyFont="1" applyFill="1" applyBorder="1" applyAlignment="1">
      <alignment vertical="top"/>
    </xf>
    <xf numFmtId="6" fontId="4" fillId="2" borderId="0" xfId="0" applyNumberFormat="1" applyFont="1" applyFill="1" applyBorder="1" applyProtection="1">
      <protection locked="0"/>
    </xf>
    <xf numFmtId="0" fontId="7" fillId="2" borderId="0" xfId="0" applyFont="1" applyFill="1" applyBorder="1" applyAlignment="1">
      <alignment vertical="top"/>
    </xf>
    <xf numFmtId="6" fontId="7" fillId="2" borderId="0" xfId="0" applyNumberFormat="1" applyFont="1" applyFill="1" applyBorder="1" applyAlignment="1">
      <alignment vertical="top"/>
    </xf>
    <xf numFmtId="6" fontId="7" fillId="0" borderId="2" xfId="0" applyNumberFormat="1" applyFont="1" applyBorder="1" applyProtection="1">
      <protection locked="0"/>
    </xf>
    <xf numFmtId="6" fontId="7" fillId="0" borderId="2" xfId="0" applyNumberFormat="1" applyFont="1" applyBorder="1"/>
    <xf numFmtId="0" fontId="7" fillId="0" borderId="0" xfId="0" applyFont="1" applyFill="1" applyBorder="1" applyProtection="1">
      <protection locked="0"/>
    </xf>
    <xf numFmtId="6" fontId="7" fillId="0" borderId="0" xfId="0" applyNumberFormat="1" applyFont="1" applyFill="1" applyBorder="1"/>
    <xf numFmtId="0" fontId="7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8" fillId="0" borderId="0" xfId="0" applyFont="1" applyBorder="1" applyAlignment="1">
      <alignment vertical="top"/>
    </xf>
    <xf numFmtId="0" fontId="7" fillId="0" borderId="0" xfId="0" applyFont="1" applyBorder="1"/>
    <xf numFmtId="0" fontId="4" fillId="0" borderId="6" xfId="0" applyFont="1" applyBorder="1" applyProtection="1">
      <protection locked="0"/>
    </xf>
    <xf numFmtId="0" fontId="7" fillId="0" borderId="6" xfId="0" applyFont="1" applyBorder="1" applyProtection="1">
      <protection locked="0"/>
    </xf>
    <xf numFmtId="6" fontId="7" fillId="0" borderId="7" xfId="0" applyNumberFormat="1" applyFont="1" applyBorder="1"/>
    <xf numFmtId="0" fontId="9" fillId="0" borderId="6" xfId="0" applyFont="1" applyBorder="1" applyProtection="1">
      <protection locked="0"/>
    </xf>
    <xf numFmtId="0" fontId="8" fillId="0" borderId="6" xfId="0" applyFont="1" applyBorder="1" applyAlignment="1">
      <alignment vertical="top"/>
    </xf>
    <xf numFmtId="0" fontId="7" fillId="0" borderId="6" xfId="0" applyFont="1" applyBorder="1"/>
    <xf numFmtId="0" fontId="4" fillId="0" borderId="6" xfId="0" applyFont="1" applyBorder="1"/>
    <xf numFmtId="0" fontId="4" fillId="0" borderId="8" xfId="0" applyFont="1" applyBorder="1"/>
    <xf numFmtId="0" fontId="7" fillId="0" borderId="9" xfId="0" applyFont="1" applyBorder="1" applyProtection="1">
      <protection locked="0"/>
    </xf>
    <xf numFmtId="6" fontId="7" fillId="0" borderId="9" xfId="0" applyNumberFormat="1" applyFont="1" applyBorder="1" applyProtection="1">
      <protection locked="0"/>
    </xf>
    <xf numFmtId="6" fontId="7" fillId="0" borderId="9" xfId="0" applyNumberFormat="1" applyFont="1" applyBorder="1"/>
    <xf numFmtId="0" fontId="4" fillId="2" borderId="10" xfId="0" applyFont="1" applyFill="1" applyBorder="1" applyProtection="1">
      <protection locked="0"/>
    </xf>
    <xf numFmtId="0" fontId="4" fillId="2" borderId="11" xfId="0" applyFont="1" applyFill="1" applyBorder="1" applyProtection="1">
      <protection locked="0"/>
    </xf>
    <xf numFmtId="6" fontId="7" fillId="2" borderId="11" xfId="0" applyNumberFormat="1" applyFont="1" applyFill="1" applyBorder="1" applyProtection="1">
      <protection locked="0"/>
    </xf>
    <xf numFmtId="6" fontId="4" fillId="2" borderId="11" xfId="0" applyNumberFormat="1" applyFont="1" applyFill="1" applyBorder="1"/>
    <xf numFmtId="0" fontId="4" fillId="2" borderId="6" xfId="0" applyFont="1" applyFill="1" applyBorder="1" applyProtection="1">
      <protection locked="0"/>
    </xf>
    <xf numFmtId="0" fontId="7" fillId="2" borderId="6" xfId="0" applyFont="1" applyFill="1" applyBorder="1" applyProtection="1">
      <protection locked="0"/>
    </xf>
    <xf numFmtId="6" fontId="7" fillId="2" borderId="7" xfId="0" applyNumberFormat="1" applyFont="1" applyFill="1" applyBorder="1"/>
    <xf numFmtId="0" fontId="4" fillId="2" borderId="6" xfId="0" applyFont="1" applyFill="1" applyBorder="1" applyAlignment="1">
      <alignment vertical="top"/>
    </xf>
    <xf numFmtId="6" fontId="4" fillId="2" borderId="7" xfId="0" applyNumberFormat="1" applyFont="1" applyFill="1" applyBorder="1" applyAlignment="1">
      <alignment vertical="top" wrapText="1"/>
    </xf>
    <xf numFmtId="0" fontId="7" fillId="2" borderId="6" xfId="0" applyFont="1" applyFill="1" applyBorder="1" applyAlignment="1">
      <alignment vertical="top"/>
    </xf>
    <xf numFmtId="0" fontId="7" fillId="0" borderId="8" xfId="0" applyFont="1" applyBorder="1" applyProtection="1">
      <protection locked="0"/>
    </xf>
    <xf numFmtId="6" fontId="7" fillId="0" borderId="12" xfId="0" applyNumberFormat="1" applyFont="1" applyBorder="1"/>
    <xf numFmtId="6" fontId="4" fillId="0" borderId="9" xfId="0" applyNumberFormat="1" applyFont="1" applyBorder="1" applyAlignment="1">
      <alignment horizontal="center"/>
    </xf>
    <xf numFmtId="6" fontId="7" fillId="2" borderId="13" xfId="0" applyNumberFormat="1" applyFont="1" applyFill="1" applyBorder="1"/>
    <xf numFmtId="0" fontId="7" fillId="2" borderId="7" xfId="0" applyFont="1" applyFill="1" applyBorder="1"/>
    <xf numFmtId="6" fontId="7" fillId="0" borderId="7" xfId="0" applyNumberFormat="1" applyFont="1" applyFill="1" applyBorder="1"/>
    <xf numFmtId="6" fontId="4" fillId="2" borderId="0" xfId="0" applyNumberFormat="1" applyFont="1" applyFill="1" applyBorder="1" applyAlignment="1" applyProtection="1">
      <alignment vertical="top"/>
      <protection locked="0"/>
    </xf>
    <xf numFmtId="0" fontId="4" fillId="2" borderId="7" xfId="0" applyFont="1" applyFill="1" applyBorder="1" applyAlignment="1" applyProtection="1">
      <alignment horizontal="right" vertical="top"/>
      <protection locked="0"/>
    </xf>
    <xf numFmtId="0" fontId="4" fillId="2" borderId="6" xfId="0" applyFont="1" applyFill="1" applyBorder="1"/>
    <xf numFmtId="0" fontId="7" fillId="2" borderId="0" xfId="0" applyFont="1" applyFill="1" applyBorder="1"/>
    <xf numFmtId="40" fontId="7" fillId="2" borderId="0" xfId="0" applyNumberFormat="1" applyFont="1" applyFill="1" applyBorder="1"/>
    <xf numFmtId="6" fontId="7" fillId="2" borderId="0" xfId="0" applyNumberFormat="1" applyFont="1" applyFill="1" applyBorder="1" applyAlignment="1" applyProtection="1">
      <alignment vertical="top"/>
      <protection locked="0"/>
    </xf>
    <xf numFmtId="38" fontId="4" fillId="2" borderId="0" xfId="0" applyNumberFormat="1" applyFont="1" applyFill="1" applyBorder="1"/>
    <xf numFmtId="0" fontId="7" fillId="0" borderId="9" xfId="0" applyFont="1" applyBorder="1"/>
    <xf numFmtId="40" fontId="7" fillId="0" borderId="9" xfId="0" applyNumberFormat="1" applyFont="1" applyBorder="1"/>
    <xf numFmtId="6" fontId="7" fillId="0" borderId="9" xfId="0" applyNumberFormat="1" applyFont="1" applyBorder="1" applyAlignment="1" applyProtection="1">
      <alignment vertical="top"/>
      <protection locked="0"/>
    </xf>
    <xf numFmtId="38" fontId="4" fillId="0" borderId="9" xfId="0" applyNumberFormat="1" applyFont="1" applyBorder="1"/>
    <xf numFmtId="6" fontId="4" fillId="0" borderId="9" xfId="0" applyNumberFormat="1" applyFont="1" applyBorder="1" applyAlignment="1">
      <alignment horizontal="center" vertical="top" wrapText="1"/>
    </xf>
    <xf numFmtId="0" fontId="4" fillId="0" borderId="12" xfId="0" applyFont="1" applyBorder="1" applyAlignment="1" applyProtection="1">
      <alignment horizontal="right" vertical="top"/>
      <protection locked="0"/>
    </xf>
    <xf numFmtId="0" fontId="4" fillId="0" borderId="10" xfId="0" applyFont="1" applyBorder="1"/>
    <xf numFmtId="0" fontId="7" fillId="0" borderId="11" xfId="0" applyFont="1" applyBorder="1"/>
    <xf numFmtId="40" fontId="7" fillId="0" borderId="11" xfId="0" applyNumberFormat="1" applyFont="1" applyBorder="1"/>
    <xf numFmtId="6" fontId="7" fillId="0" borderId="11" xfId="0" applyNumberFormat="1" applyFont="1" applyBorder="1" applyAlignment="1" applyProtection="1">
      <alignment vertical="top"/>
      <protection locked="0"/>
    </xf>
    <xf numFmtId="38" fontId="4" fillId="0" borderId="11" xfId="0" applyNumberFormat="1" applyFont="1" applyBorder="1"/>
    <xf numFmtId="6" fontId="4" fillId="0" borderId="11" xfId="0" applyNumberFormat="1" applyFont="1" applyBorder="1" applyAlignment="1">
      <alignment horizontal="center" vertical="top" wrapText="1"/>
    </xf>
    <xf numFmtId="0" fontId="4" fillId="0" borderId="13" xfId="0" applyFont="1" applyBorder="1" applyAlignment="1" applyProtection="1">
      <alignment horizontal="right" vertical="top"/>
      <protection locked="0"/>
    </xf>
    <xf numFmtId="40" fontId="7" fillId="0" borderId="0" xfId="0" applyNumberFormat="1" applyFont="1" applyBorder="1"/>
    <xf numFmtId="6" fontId="7" fillId="0" borderId="0" xfId="0" applyNumberFormat="1" applyFont="1" applyBorder="1" applyAlignment="1" applyProtection="1">
      <alignment horizontal="right" vertical="top"/>
      <protection locked="0"/>
    </xf>
    <xf numFmtId="0" fontId="4" fillId="0" borderId="7" xfId="0" applyFont="1" applyBorder="1" applyAlignment="1" applyProtection="1">
      <alignment horizontal="right" vertical="top"/>
      <protection locked="0"/>
    </xf>
    <xf numFmtId="0" fontId="7" fillId="0" borderId="7" xfId="0" applyFont="1" applyBorder="1"/>
    <xf numFmtId="6" fontId="4" fillId="0" borderId="6" xfId="0" applyNumberFormat="1" applyFont="1" applyBorder="1"/>
    <xf numFmtId="0" fontId="4" fillId="2" borderId="0" xfId="0" applyFont="1" applyFill="1" applyBorder="1"/>
    <xf numFmtId="6" fontId="0" fillId="0" borderId="0" xfId="0" applyNumberFormat="1"/>
    <xf numFmtId="0" fontId="4" fillId="0" borderId="0" xfId="0" applyFont="1" applyAlignment="1" applyProtection="1">
      <alignment horizontal="center"/>
      <protection locked="0"/>
    </xf>
    <xf numFmtId="6" fontId="0" fillId="0" borderId="2" xfId="0" applyNumberFormat="1" applyBorder="1"/>
    <xf numFmtId="6" fontId="0" fillId="0" borderId="3" xfId="0" applyNumberFormat="1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6" fontId="0" fillId="0" borderId="11" xfId="0" applyNumberFormat="1" applyBorder="1"/>
    <xf numFmtId="0" fontId="0" fillId="0" borderId="11" xfId="0" applyBorder="1"/>
    <xf numFmtId="0" fontId="0" fillId="0" borderId="13" xfId="0" applyBorder="1"/>
    <xf numFmtId="0" fontId="0" fillId="0" borderId="6" xfId="0" applyBorder="1"/>
    <xf numFmtId="6" fontId="0" fillId="0" borderId="0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7" fillId="0" borderId="1" xfId="0" applyFont="1" applyFill="1" applyBorder="1"/>
    <xf numFmtId="0" fontId="5" fillId="0" borderId="0" xfId="0" applyFont="1" applyFill="1"/>
    <xf numFmtId="6" fontId="7" fillId="2" borderId="0" xfId="0" applyNumberFormat="1" applyFont="1" applyFill="1" applyProtection="1">
      <protection locked="0"/>
    </xf>
    <xf numFmtId="6" fontId="0" fillId="5" borderId="0" xfId="0" applyNumberFormat="1" applyFill="1"/>
    <xf numFmtId="6" fontId="7" fillId="0" borderId="11" xfId="0" applyNumberFormat="1" applyFont="1" applyFill="1" applyBorder="1" applyProtection="1">
      <protection locked="0"/>
    </xf>
    <xf numFmtId="6" fontId="7" fillId="4" borderId="0" xfId="0" applyNumberFormat="1" applyFont="1" applyFill="1" applyBorder="1" applyProtection="1">
      <protection locked="0"/>
    </xf>
    <xf numFmtId="49" fontId="7" fillId="4" borderId="0" xfId="0" applyNumberFormat="1" applyFont="1" applyFill="1" applyAlignment="1">
      <alignment horizontal="center"/>
    </xf>
    <xf numFmtId="38" fontId="7" fillId="4" borderId="0" xfId="0" applyNumberFormat="1" applyFont="1" applyFill="1"/>
    <xf numFmtId="6" fontId="7" fillId="4" borderId="0" xfId="1" applyNumberFormat="1" applyFont="1" applyFill="1"/>
    <xf numFmtId="6" fontId="7" fillId="4" borderId="0" xfId="1" applyNumberFormat="1" applyFont="1" applyFill="1" applyAlignment="1">
      <alignment horizontal="right"/>
    </xf>
    <xf numFmtId="6" fontId="7" fillId="4" borderId="0" xfId="0" applyNumberFormat="1" applyFont="1" applyFill="1" applyAlignment="1">
      <alignment horizontal="center"/>
    </xf>
    <xf numFmtId="164" fontId="4" fillId="4" borderId="0" xfId="0" applyNumberFormat="1" applyFont="1" applyFill="1"/>
    <xf numFmtId="0" fontId="7" fillId="4" borderId="0" xfId="0" applyFont="1" applyFill="1" applyAlignment="1">
      <alignment horizontal="center"/>
    </xf>
    <xf numFmtId="164" fontId="7" fillId="4" borderId="0" xfId="0" applyNumberFormat="1" applyFont="1" applyFill="1" applyAlignment="1">
      <alignment horizontal="center" wrapText="1"/>
    </xf>
    <xf numFmtId="164" fontId="7" fillId="4" borderId="0" xfId="0" applyNumberFormat="1" applyFont="1" applyFill="1"/>
    <xf numFmtId="6" fontId="7" fillId="4" borderId="0" xfId="0" applyNumberFormat="1" applyFont="1" applyFill="1" applyProtection="1">
      <protection locked="0"/>
    </xf>
    <xf numFmtId="6" fontId="7" fillId="0" borderId="14" xfId="0" applyNumberFormat="1" applyFont="1" applyBorder="1"/>
    <xf numFmtId="6" fontId="7" fillId="0" borderId="9" xfId="0" applyNumberFormat="1" applyFont="1" applyFill="1" applyBorder="1" applyProtection="1">
      <protection locked="0"/>
    </xf>
    <xf numFmtId="6" fontId="7" fillId="4" borderId="0" xfId="0" applyNumberFormat="1" applyFont="1" applyFill="1" applyBorder="1"/>
    <xf numFmtId="6" fontId="7" fillId="4" borderId="11" xfId="0" applyNumberFormat="1" applyFont="1" applyFill="1" applyBorder="1"/>
    <xf numFmtId="6" fontId="7" fillId="4" borderId="13" xfId="0" applyNumberFormat="1" applyFont="1" applyFill="1" applyBorder="1"/>
    <xf numFmtId="0" fontId="7" fillId="4" borderId="0" xfId="0" applyFont="1" applyFill="1" applyBorder="1" applyProtection="1">
      <protection locked="0"/>
    </xf>
    <xf numFmtId="0" fontId="4" fillId="4" borderId="0" xfId="0" applyFont="1" applyFill="1" applyBorder="1" applyProtection="1">
      <protection locked="0"/>
    </xf>
    <xf numFmtId="6" fontId="7" fillId="4" borderId="0" xfId="0" applyNumberFormat="1" applyFont="1" applyFill="1" applyBorder="1" applyAlignment="1">
      <alignment horizontal="left" vertical="top" wrapText="1"/>
    </xf>
    <xf numFmtId="6" fontId="7" fillId="4" borderId="7" xfId="0" applyNumberFormat="1" applyFont="1" applyFill="1" applyBorder="1" applyAlignment="1">
      <alignment horizontal="center" vertical="top" wrapText="1"/>
    </xf>
    <xf numFmtId="6" fontId="7" fillId="4" borderId="7" xfId="0" applyNumberFormat="1" applyFont="1" applyFill="1" applyBorder="1"/>
    <xf numFmtId="0" fontId="8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6" fontId="7" fillId="4" borderId="0" xfId="0" applyNumberFormat="1" applyFont="1" applyFill="1" applyBorder="1" applyAlignment="1" applyProtection="1">
      <alignment vertical="top"/>
      <protection locked="0"/>
    </xf>
    <xf numFmtId="6" fontId="7" fillId="4" borderId="0" xfId="0" applyNumberFormat="1" applyFont="1" applyFill="1" applyBorder="1" applyAlignment="1">
      <alignment vertical="top"/>
    </xf>
    <xf numFmtId="0" fontId="7" fillId="4" borderId="6" xfId="0" applyFont="1" applyFill="1" applyBorder="1" applyProtection="1">
      <protection locked="0"/>
    </xf>
    <xf numFmtId="0" fontId="8" fillId="4" borderId="6" xfId="0" applyFont="1" applyFill="1" applyBorder="1" applyProtection="1">
      <protection locked="0"/>
    </xf>
    <xf numFmtId="0" fontId="8" fillId="4" borderId="0" xfId="0" applyFont="1" applyFill="1" applyBorder="1" applyProtection="1">
      <protection locked="0"/>
    </xf>
    <xf numFmtId="0" fontId="4" fillId="4" borderId="0" xfId="0" applyFont="1" applyFill="1" applyBorder="1"/>
    <xf numFmtId="0" fontId="7" fillId="4" borderId="6" xfId="0" applyFont="1" applyFill="1" applyBorder="1" applyAlignment="1" applyProtection="1">
      <alignment vertical="top"/>
      <protection locked="0"/>
    </xf>
    <xf numFmtId="0" fontId="7" fillId="4" borderId="0" xfId="0" applyFont="1" applyFill="1" applyBorder="1" applyAlignment="1" applyProtection="1">
      <alignment vertical="top"/>
      <protection locked="0"/>
    </xf>
    <xf numFmtId="0" fontId="4" fillId="4" borderId="0" xfId="0" applyFont="1" applyFill="1" applyBorder="1" applyAlignment="1" applyProtection="1">
      <alignment vertical="top"/>
      <protection locked="0"/>
    </xf>
    <xf numFmtId="0" fontId="7" fillId="4" borderId="6" xfId="0" applyFont="1" applyFill="1" applyBorder="1"/>
    <xf numFmtId="0" fontId="7" fillId="4" borderId="0" xfId="0" applyFont="1" applyFill="1" applyBorder="1"/>
    <xf numFmtId="6" fontId="7" fillId="4" borderId="0" xfId="0" applyNumberFormat="1" applyFont="1" applyFill="1" applyBorder="1" applyAlignment="1">
      <alignment horizontal="center"/>
    </xf>
    <xf numFmtId="0" fontId="4" fillId="0" borderId="0" xfId="0" applyFont="1" applyFill="1" applyAlignment="1" applyProtection="1">
      <alignment horizontal="right"/>
      <protection locked="0"/>
    </xf>
    <xf numFmtId="0" fontId="7" fillId="4" borderId="10" xfId="0" applyFont="1" applyFill="1" applyBorder="1" applyProtection="1">
      <protection locked="0"/>
    </xf>
    <xf numFmtId="0" fontId="7" fillId="4" borderId="11" xfId="0" applyFont="1" applyFill="1" applyBorder="1" applyProtection="1">
      <protection locked="0"/>
    </xf>
    <xf numFmtId="6" fontId="7" fillId="4" borderId="3" xfId="0" applyNumberFormat="1" applyFont="1" applyFill="1" applyBorder="1"/>
    <xf numFmtId="0" fontId="4" fillId="0" borderId="6" xfId="0" applyFont="1" applyFill="1" applyBorder="1" applyProtection="1">
      <protection locked="0"/>
    </xf>
    <xf numFmtId="6" fontId="4" fillId="0" borderId="3" xfId="0" applyNumberFormat="1" applyFont="1" applyFill="1" applyBorder="1" applyAlignment="1">
      <alignment horizontal="center"/>
    </xf>
    <xf numFmtId="0" fontId="4" fillId="4" borderId="6" xfId="0" applyFont="1" applyFill="1" applyBorder="1" applyAlignment="1" applyProtection="1">
      <alignment vertical="top"/>
      <protection locked="0"/>
    </xf>
    <xf numFmtId="0" fontId="7" fillId="7" borderId="0" xfId="0" applyFont="1" applyFill="1"/>
    <xf numFmtId="0" fontId="4" fillId="7" borderId="0" xfId="0" applyFont="1" applyFill="1"/>
    <xf numFmtId="0" fontId="4" fillId="7" borderId="0" xfId="0" applyFont="1" applyFill="1" applyAlignment="1" applyProtection="1">
      <alignment horizontal="right"/>
      <protection locked="0"/>
    </xf>
    <xf numFmtId="0" fontId="7" fillId="7" borderId="0" xfId="0" applyFont="1" applyFill="1" applyProtection="1">
      <protection locked="0"/>
    </xf>
    <xf numFmtId="6" fontId="7" fillId="7" borderId="0" xfId="0" applyNumberFormat="1" applyFont="1" applyFill="1" applyBorder="1" applyProtection="1">
      <protection locked="0"/>
    </xf>
    <xf numFmtId="6" fontId="7" fillId="7" borderId="9" xfId="0" applyNumberFormat="1" applyFont="1" applyFill="1" applyBorder="1" applyProtection="1">
      <protection locked="0"/>
    </xf>
    <xf numFmtId="6" fontId="7" fillId="7" borderId="0" xfId="0" applyNumberFormat="1" applyFont="1" applyFill="1" applyBorder="1"/>
    <xf numFmtId="6" fontId="7" fillId="7" borderId="0" xfId="0" applyNumberFormat="1" applyFont="1" applyFill="1"/>
    <xf numFmtId="0" fontId="0" fillId="7" borderId="0" xfId="0" applyFill="1"/>
    <xf numFmtId="0" fontId="2" fillId="7" borderId="0" xfId="0" applyFont="1" applyFill="1"/>
    <xf numFmtId="6" fontId="4" fillId="2" borderId="0" xfId="0" applyNumberFormat="1" applyFont="1" applyFill="1" applyBorder="1" applyAlignment="1">
      <alignment wrapText="1"/>
    </xf>
    <xf numFmtId="6" fontId="4" fillId="0" borderId="14" xfId="0" applyNumberFormat="1" applyFont="1" applyBorder="1" applyAlignment="1">
      <alignment horizontal="center"/>
    </xf>
    <xf numFmtId="6" fontId="4" fillId="4" borderId="0" xfId="0" applyNumberFormat="1" applyFont="1" applyFill="1" applyBorder="1" applyAlignment="1" applyProtection="1">
      <alignment vertical="top"/>
      <protection locked="0"/>
    </xf>
    <xf numFmtId="40" fontId="7" fillId="0" borderId="9" xfId="0" applyNumberFormat="1" applyFont="1" applyFill="1" applyBorder="1"/>
    <xf numFmtId="6" fontId="7" fillId="0" borderId="9" xfId="0" applyNumberFormat="1" applyFont="1" applyFill="1" applyBorder="1" applyAlignment="1" applyProtection="1">
      <alignment vertical="top"/>
      <protection locked="0"/>
    </xf>
    <xf numFmtId="38" fontId="4" fillId="0" borderId="9" xfId="0" applyNumberFormat="1" applyFont="1" applyFill="1" applyBorder="1"/>
    <xf numFmtId="40" fontId="7" fillId="0" borderId="11" xfId="0" applyNumberFormat="1" applyFont="1" applyFill="1" applyBorder="1"/>
    <xf numFmtId="6" fontId="7" fillId="0" borderId="11" xfId="0" applyNumberFormat="1" applyFont="1" applyFill="1" applyBorder="1" applyAlignment="1" applyProtection="1">
      <alignment vertical="top"/>
      <protection locked="0"/>
    </xf>
    <xf numFmtId="38" fontId="4" fillId="0" borderId="11" xfId="0" applyNumberFormat="1" applyFont="1" applyFill="1" applyBorder="1"/>
    <xf numFmtId="40" fontId="7" fillId="0" borderId="0" xfId="0" applyNumberFormat="1" applyFont="1" applyFill="1" applyBorder="1"/>
    <xf numFmtId="6" fontId="7" fillId="0" borderId="0" xfId="0" applyNumberFormat="1" applyFon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6" fontId="4" fillId="4" borderId="0" xfId="0" applyNumberFormat="1" applyFont="1" applyFill="1" applyBorder="1" applyAlignment="1">
      <alignment wrapText="1"/>
    </xf>
    <xf numFmtId="0" fontId="9" fillId="4" borderId="0" xfId="0" applyFont="1" applyFill="1" applyBorder="1" applyAlignment="1" applyProtection="1">
      <alignment vertical="top"/>
      <protection locked="0"/>
    </xf>
    <xf numFmtId="6" fontId="4" fillId="4" borderId="0" xfId="0" applyNumberFormat="1" applyFont="1" applyFill="1" applyBorder="1" applyAlignment="1">
      <alignment vertical="top" wrapText="1"/>
    </xf>
    <xf numFmtId="0" fontId="8" fillId="4" borderId="0" xfId="0" applyFont="1" applyFill="1" applyBorder="1" applyAlignment="1" applyProtection="1">
      <alignment vertical="top"/>
      <protection locked="0"/>
    </xf>
    <xf numFmtId="6" fontId="0" fillId="2" borderId="0" xfId="0" applyNumberFormat="1" applyFill="1" applyProtection="1">
      <protection locked="0"/>
    </xf>
    <xf numFmtId="6" fontId="7" fillId="4" borderId="2" xfId="0" applyNumberFormat="1" applyFont="1" applyFill="1" applyBorder="1" applyProtection="1">
      <protection locked="0"/>
    </xf>
    <xf numFmtId="6" fontId="7" fillId="4" borderId="2" xfId="0" applyNumberFormat="1" applyFont="1" applyFill="1" applyBorder="1"/>
    <xf numFmtId="6" fontId="4" fillId="0" borderId="0" xfId="0" applyNumberFormat="1" applyFont="1" applyFill="1" applyBorder="1" applyAlignment="1">
      <alignment horizontal="center"/>
    </xf>
    <xf numFmtId="6" fontId="0" fillId="0" borderId="0" xfId="0" applyNumberFormat="1" applyFill="1" applyBorder="1"/>
    <xf numFmtId="6" fontId="7" fillId="2" borderId="11" xfId="0" applyNumberFormat="1" applyFont="1" applyFill="1" applyBorder="1"/>
    <xf numFmtId="0" fontId="4" fillId="2" borderId="0" xfId="0" applyFont="1" applyFill="1" applyBorder="1" applyAlignment="1" applyProtection="1">
      <alignment vertical="top"/>
      <protection locked="0"/>
    </xf>
    <xf numFmtId="6" fontId="7" fillId="2" borderId="0" xfId="0" applyNumberFormat="1" applyFont="1" applyFill="1" applyAlignment="1" applyProtection="1">
      <alignment vertical="top"/>
      <protection locked="0"/>
    </xf>
    <xf numFmtId="0" fontId="4" fillId="2" borderId="6" xfId="0" applyFont="1" applyFill="1" applyBorder="1" applyAlignment="1" applyProtection="1">
      <alignment vertical="top"/>
      <protection locked="0"/>
    </xf>
    <xf numFmtId="0" fontId="7" fillId="4" borderId="6" xfId="0" applyFont="1" applyFill="1" applyBorder="1" applyAlignment="1">
      <alignment vertical="top"/>
    </xf>
    <xf numFmtId="0" fontId="4" fillId="4" borderId="6" xfId="0" applyFont="1" applyFill="1" applyBorder="1" applyProtection="1">
      <protection locked="0"/>
    </xf>
    <xf numFmtId="0" fontId="7" fillId="0" borderId="6" xfId="0" applyFont="1" applyBorder="1" applyAlignment="1">
      <alignment vertical="top"/>
    </xf>
    <xf numFmtId="0" fontId="7" fillId="2" borderId="6" xfId="0" applyFont="1" applyFill="1" applyBorder="1" applyAlignment="1" applyProtection="1">
      <alignment vertical="top"/>
      <protection locked="0"/>
    </xf>
    <xf numFmtId="0" fontId="7" fillId="2" borderId="0" xfId="0" applyFont="1" applyFill="1" applyBorder="1" applyAlignment="1" applyProtection="1">
      <alignment vertical="top"/>
      <protection locked="0"/>
    </xf>
    <xf numFmtId="0" fontId="7" fillId="2" borderId="10" xfId="0" applyFont="1" applyFill="1" applyBorder="1"/>
    <xf numFmtId="0" fontId="7" fillId="2" borderId="11" xfId="0" applyFont="1" applyFill="1" applyBorder="1"/>
    <xf numFmtId="6" fontId="7" fillId="2" borderId="11" xfId="1" applyNumberFormat="1" applyFont="1" applyFill="1" applyBorder="1"/>
    <xf numFmtId="6" fontId="7" fillId="2" borderId="11" xfId="0" applyNumberFormat="1" applyFont="1" applyFill="1" applyBorder="1" applyAlignment="1">
      <alignment horizontal="center"/>
    </xf>
    <xf numFmtId="0" fontId="7" fillId="2" borderId="8" xfId="0" applyFont="1" applyFill="1" applyBorder="1" applyProtection="1">
      <protection locked="0"/>
    </xf>
    <xf numFmtId="0" fontId="7" fillId="2" borderId="9" xfId="0" applyFont="1" applyFill="1" applyBorder="1"/>
    <xf numFmtId="0" fontId="4" fillId="2" borderId="9" xfId="0" applyFont="1" applyFill="1" applyBorder="1" applyProtection="1">
      <protection locked="0"/>
    </xf>
    <xf numFmtId="6" fontId="7" fillId="2" borderId="9" xfId="0" applyNumberFormat="1" applyFont="1" applyFill="1" applyBorder="1"/>
    <xf numFmtId="6" fontId="7" fillId="2" borderId="9" xfId="0" applyNumberFormat="1" applyFont="1" applyFill="1" applyBorder="1" applyProtection="1">
      <protection locked="0"/>
    </xf>
    <xf numFmtId="6" fontId="7" fillId="2" borderId="12" xfId="0" applyNumberFormat="1" applyFont="1" applyFill="1" applyBorder="1"/>
    <xf numFmtId="6" fontId="7" fillId="2" borderId="0" xfId="0" applyNumberFormat="1" applyFont="1" applyFill="1" applyBorder="1" applyAlignment="1">
      <alignment vertical="top" wrapText="1"/>
    </xf>
    <xf numFmtId="6" fontId="4" fillId="2" borderId="0" xfId="0" applyNumberFormat="1" applyFont="1" applyFill="1" applyBorder="1" applyAlignment="1">
      <alignment horizontal="left" wrapText="1"/>
    </xf>
    <xf numFmtId="6" fontId="7" fillId="2" borderId="0" xfId="0" applyNumberFormat="1" applyFont="1" applyFill="1" applyBorder="1" applyAlignment="1">
      <alignment horizontal="left" wrapText="1"/>
    </xf>
    <xf numFmtId="0" fontId="7" fillId="2" borderId="10" xfId="0" applyFont="1" applyFill="1" applyBorder="1" applyAlignment="1" applyProtection="1">
      <alignment vertical="top"/>
      <protection locked="0"/>
    </xf>
    <xf numFmtId="0" fontId="7" fillId="2" borderId="11" xfId="0" applyFont="1" applyFill="1" applyBorder="1" applyAlignment="1" applyProtection="1">
      <alignment vertical="top"/>
      <protection locked="0"/>
    </xf>
    <xf numFmtId="0" fontId="4" fillId="2" borderId="11" xfId="0" applyFont="1" applyFill="1" applyBorder="1" applyAlignment="1" applyProtection="1">
      <alignment vertical="top"/>
      <protection locked="0"/>
    </xf>
    <xf numFmtId="6" fontId="7" fillId="2" borderId="11" xfId="0" applyNumberFormat="1" applyFont="1" applyFill="1" applyBorder="1" applyAlignment="1" applyProtection="1">
      <alignment vertical="top"/>
      <protection locked="0"/>
    </xf>
    <xf numFmtId="6" fontId="4" fillId="2" borderId="11" xfId="0" applyNumberFormat="1" applyFont="1" applyFill="1" applyBorder="1" applyAlignment="1" applyProtection="1">
      <alignment horizontal="right" vertical="top"/>
      <protection locked="0"/>
    </xf>
    <xf numFmtId="6" fontId="7" fillId="2" borderId="11" xfId="0" applyNumberFormat="1" applyFont="1" applyFill="1" applyBorder="1" applyAlignment="1">
      <alignment horizontal="left" vertical="top" wrapText="1"/>
    </xf>
    <xf numFmtId="0" fontId="4" fillId="2" borderId="13" xfId="0" applyFont="1" applyFill="1" applyBorder="1" applyAlignment="1" applyProtection="1">
      <alignment horizontal="right" vertical="top"/>
      <protection locked="0"/>
    </xf>
    <xf numFmtId="6" fontId="4" fillId="2" borderId="0" xfId="0" applyNumberFormat="1" applyFont="1" applyFill="1" applyBorder="1" applyAlignment="1">
      <alignment horizontal="left" vertical="top" wrapText="1"/>
    </xf>
    <xf numFmtId="6" fontId="7" fillId="2" borderId="3" xfId="0" applyNumberFormat="1" applyFont="1" applyFill="1" applyBorder="1" applyAlignment="1">
      <alignment horizontal="left" vertical="top" wrapText="1"/>
    </xf>
    <xf numFmtId="6" fontId="7" fillId="2" borderId="0" xfId="0" applyNumberFormat="1" applyFont="1" applyFill="1" applyAlignment="1">
      <alignment horizontal="right" vertical="top"/>
    </xf>
    <xf numFmtId="0" fontId="4" fillId="8" borderId="6" xfId="0" applyFont="1" applyFill="1" applyBorder="1"/>
    <xf numFmtId="0" fontId="7" fillId="8" borderId="0" xfId="0" applyFont="1" applyFill="1" applyBorder="1" applyProtection="1">
      <protection locked="0"/>
    </xf>
    <xf numFmtId="6" fontId="7" fillId="8" borderId="0" xfId="0" applyNumberFormat="1" applyFont="1" applyFill="1" applyBorder="1" applyProtection="1">
      <protection locked="0"/>
    </xf>
    <xf numFmtId="6" fontId="7" fillId="8" borderId="0" xfId="0" applyNumberFormat="1" applyFont="1" applyFill="1" applyBorder="1"/>
    <xf numFmtId="6" fontId="4" fillId="8" borderId="0" xfId="0" applyNumberFormat="1" applyFont="1" applyFill="1" applyBorder="1" applyAlignment="1">
      <alignment horizontal="center"/>
    </xf>
    <xf numFmtId="6" fontId="7" fillId="8" borderId="7" xfId="0" applyNumberFormat="1" applyFont="1" applyFill="1" applyBorder="1"/>
    <xf numFmtId="0" fontId="7" fillId="8" borderId="0" xfId="0" applyFont="1" applyFill="1"/>
    <xf numFmtId="6" fontId="7" fillId="8" borderId="0" xfId="0" applyNumberFormat="1" applyFont="1" applyFill="1"/>
    <xf numFmtId="6" fontId="4" fillId="8" borderId="2" xfId="0" applyNumberFormat="1" applyFont="1" applyFill="1" applyBorder="1" applyAlignment="1">
      <alignment horizontal="center"/>
    </xf>
    <xf numFmtId="6" fontId="4" fillId="8" borderId="15" xfId="0" applyNumberFormat="1" applyFont="1" applyFill="1" applyBorder="1" applyAlignment="1">
      <alignment horizontal="center"/>
    </xf>
    <xf numFmtId="0" fontId="7" fillId="8" borderId="10" xfId="0" applyFont="1" applyFill="1" applyBorder="1"/>
    <xf numFmtId="0" fontId="7" fillId="8" borderId="11" xfId="0" applyFont="1" applyFill="1" applyBorder="1"/>
    <xf numFmtId="6" fontId="7" fillId="8" borderId="11" xfId="0" applyNumberFormat="1" applyFont="1" applyFill="1" applyBorder="1"/>
    <xf numFmtId="6" fontId="7" fillId="8" borderId="13" xfId="0" applyNumberFormat="1" applyFont="1" applyFill="1" applyBorder="1"/>
    <xf numFmtId="0" fontId="7" fillId="8" borderId="6" xfId="0" applyFont="1" applyFill="1" applyBorder="1"/>
    <xf numFmtId="0" fontId="7" fillId="8" borderId="0" xfId="0" applyFont="1" applyFill="1" applyBorder="1"/>
    <xf numFmtId="6" fontId="4" fillId="8" borderId="4" xfId="0" applyNumberFormat="1" applyFont="1" applyFill="1" applyBorder="1"/>
    <xf numFmtId="0" fontId="7" fillId="8" borderId="8" xfId="0" applyFont="1" applyFill="1" applyBorder="1"/>
    <xf numFmtId="0" fontId="7" fillId="8" borderId="9" xfId="0" applyFont="1" applyFill="1" applyBorder="1"/>
    <xf numFmtId="6" fontId="7" fillId="8" borderId="9" xfId="0" applyNumberFormat="1" applyFont="1" applyFill="1" applyBorder="1"/>
    <xf numFmtId="6" fontId="7" fillId="8" borderId="12" xfId="0" applyNumberFormat="1" applyFont="1" applyFill="1" applyBorder="1"/>
    <xf numFmtId="6" fontId="4" fillId="9" borderId="10" xfId="0" applyNumberFormat="1" applyFont="1" applyFill="1" applyBorder="1"/>
    <xf numFmtId="0" fontId="7" fillId="9" borderId="11" xfId="0" applyFont="1" applyFill="1" applyBorder="1" applyProtection="1">
      <protection locked="0"/>
    </xf>
    <xf numFmtId="6" fontId="7" fillId="9" borderId="11" xfId="0" applyNumberFormat="1" applyFont="1" applyFill="1" applyBorder="1" applyProtection="1">
      <protection locked="0"/>
    </xf>
    <xf numFmtId="6" fontId="4" fillId="9" borderId="16" xfId="0" applyNumberFormat="1" applyFont="1" applyFill="1" applyBorder="1" applyProtection="1">
      <protection locked="0"/>
    </xf>
    <xf numFmtId="0" fontId="4" fillId="9" borderId="11" xfId="0" applyFont="1" applyFill="1" applyBorder="1"/>
    <xf numFmtId="0" fontId="7" fillId="9" borderId="13" xfId="0" applyFont="1" applyFill="1" applyBorder="1"/>
    <xf numFmtId="0" fontId="7" fillId="9" borderId="0" xfId="0" applyFont="1" applyFill="1"/>
    <xf numFmtId="6" fontId="4" fillId="9" borderId="6" xfId="0" applyNumberFormat="1" applyFont="1" applyFill="1" applyBorder="1"/>
    <xf numFmtId="0" fontId="7" fillId="9" borderId="0" xfId="0" applyFont="1" applyFill="1" applyBorder="1" applyProtection="1">
      <protection locked="0"/>
    </xf>
    <xf numFmtId="6" fontId="7" fillId="9" borderId="0" xfId="0" applyNumberFormat="1" applyFont="1" applyFill="1" applyBorder="1" applyProtection="1">
      <protection locked="0"/>
    </xf>
    <xf numFmtId="0" fontId="7" fillId="9" borderId="7" xfId="0" applyFont="1" applyFill="1" applyBorder="1"/>
    <xf numFmtId="0" fontId="7" fillId="9" borderId="9" xfId="0" applyFont="1" applyFill="1" applyBorder="1"/>
    <xf numFmtId="0" fontId="7" fillId="9" borderId="12" xfId="0" applyFont="1" applyFill="1" applyBorder="1"/>
    <xf numFmtId="6" fontId="7" fillId="9" borderId="0" xfId="0" applyNumberFormat="1" applyFont="1" applyFill="1"/>
    <xf numFmtId="0" fontId="4" fillId="0" borderId="0" xfId="0" applyFont="1" applyBorder="1"/>
    <xf numFmtId="0" fontId="4" fillId="0" borderId="6" xfId="0" applyFont="1" applyFill="1" applyBorder="1"/>
    <xf numFmtId="6" fontId="4" fillId="0" borderId="2" xfId="0" applyNumberFormat="1" applyFont="1" applyBorder="1" applyAlignment="1">
      <alignment horizontal="center"/>
    </xf>
    <xf numFmtId="0" fontId="7" fillId="9" borderId="0" xfId="0" applyFont="1" applyFill="1" applyBorder="1"/>
    <xf numFmtId="6" fontId="4" fillId="9" borderId="0" xfId="0" applyNumberFormat="1" applyFont="1" applyFill="1" applyBorder="1" applyAlignment="1">
      <alignment horizontal="center"/>
    </xf>
    <xf numFmtId="6" fontId="4" fillId="9" borderId="0" xfId="0" applyNumberFormat="1" applyFont="1" applyFill="1" applyBorder="1" applyProtection="1">
      <protection locked="0"/>
    </xf>
    <xf numFmtId="6" fontId="7" fillId="9" borderId="0" xfId="0" applyNumberFormat="1" applyFont="1" applyFill="1" applyBorder="1"/>
    <xf numFmtId="6" fontId="4" fillId="9" borderId="2" xfId="0" applyNumberFormat="1" applyFont="1" applyFill="1" applyBorder="1" applyAlignment="1">
      <alignment horizontal="center"/>
    </xf>
    <xf numFmtId="6" fontId="4" fillId="9" borderId="17" xfId="0" applyNumberFormat="1" applyFont="1" applyFill="1" applyBorder="1" applyAlignment="1">
      <alignment horizontal="center"/>
    </xf>
    <xf numFmtId="0" fontId="7" fillId="9" borderId="6" xfId="0" applyFont="1" applyFill="1" applyBorder="1"/>
    <xf numFmtId="0" fontId="4" fillId="9" borderId="6" xfId="0" applyFont="1" applyFill="1" applyBorder="1"/>
    <xf numFmtId="0" fontId="4" fillId="9" borderId="8" xfId="0" applyFont="1" applyFill="1" applyBorder="1"/>
    <xf numFmtId="6" fontId="4" fillId="2" borderId="0" xfId="1" applyNumberFormat="1" applyFont="1" applyFill="1" applyBorder="1"/>
    <xf numFmtId="0" fontId="4" fillId="0" borderId="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130"/>
  <sheetViews>
    <sheetView tabSelected="1" zoomScale="75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S30" sqref="S30"/>
    </sheetView>
  </sheetViews>
  <sheetFormatPr defaultColWidth="20.5703125" defaultRowHeight="15" x14ac:dyDescent="0.2"/>
  <cols>
    <col min="1" max="1" width="57.42578125" style="23" customWidth="1"/>
    <col min="2" max="2" width="23.140625" style="23" customWidth="1"/>
    <col min="3" max="3" width="10.28515625" style="23" hidden="1" customWidth="1"/>
    <col min="4" max="4" width="20.5703125" style="96" customWidth="1"/>
    <col min="5" max="5" width="21.140625" style="23" customWidth="1"/>
    <col min="6" max="11" width="20.5703125" style="23" hidden="1" customWidth="1"/>
    <col min="12" max="12" width="24.85546875" style="23" customWidth="1"/>
    <col min="13" max="13" width="20.5703125" style="295" hidden="1" customWidth="1"/>
    <col min="14" max="14" width="21.140625" style="23" hidden="1" customWidth="1"/>
    <col min="15" max="16" width="20.5703125" style="23" hidden="1" customWidth="1"/>
    <col min="17" max="18" width="20.5703125" style="23" customWidth="1"/>
    <col min="19" max="19" width="46.5703125" style="23" customWidth="1"/>
    <col min="20" max="20" width="5.85546875" style="23" customWidth="1"/>
    <col min="21" max="16384" width="20.5703125" style="23"/>
  </cols>
  <sheetData>
    <row r="1" spans="1:22" ht="18" x14ac:dyDescent="0.25">
      <c r="A1" s="131" t="s">
        <v>83</v>
      </c>
      <c r="B1" s="132"/>
      <c r="C1" s="132"/>
    </row>
    <row r="2" spans="1:22" ht="18" x14ac:dyDescent="0.25">
      <c r="A2" s="17" t="s">
        <v>174</v>
      </c>
      <c r="B2" s="16">
        <v>36950</v>
      </c>
      <c r="C2" s="16"/>
    </row>
    <row r="3" spans="1:22" ht="18" x14ac:dyDescent="0.25">
      <c r="A3" s="17"/>
      <c r="B3" s="16"/>
      <c r="C3" s="16"/>
    </row>
    <row r="4" spans="1:22" s="36" customFormat="1" ht="15.75" x14ac:dyDescent="0.25">
      <c r="D4" s="125"/>
      <c r="F4" s="406" t="s">
        <v>165</v>
      </c>
      <c r="G4" s="406"/>
      <c r="H4" s="406"/>
      <c r="I4" s="406" t="s">
        <v>166</v>
      </c>
      <c r="J4" s="406"/>
      <c r="K4" s="406"/>
      <c r="M4" s="296"/>
      <c r="N4" s="406" t="s">
        <v>179</v>
      </c>
      <c r="O4" s="406"/>
      <c r="P4" s="406"/>
      <c r="T4" s="31"/>
      <c r="U4" s="37"/>
    </row>
    <row r="5" spans="1:22" s="20" customFormat="1" ht="15.75" x14ac:dyDescent="0.25">
      <c r="A5" s="19"/>
      <c r="B5" s="19"/>
      <c r="C5" s="19"/>
      <c r="D5" s="288" t="s">
        <v>7</v>
      </c>
      <c r="E5" s="19" t="s">
        <v>8</v>
      </c>
      <c r="F5" s="19" t="s">
        <v>9</v>
      </c>
      <c r="G5" s="19" t="s">
        <v>10</v>
      </c>
      <c r="H5" s="19" t="s">
        <v>170</v>
      </c>
      <c r="I5" s="19" t="s">
        <v>9</v>
      </c>
      <c r="J5" s="19" t="s">
        <v>10</v>
      </c>
      <c r="K5" s="19" t="s">
        <v>170</v>
      </c>
      <c r="L5" s="20" t="s">
        <v>167</v>
      </c>
      <c r="M5" s="297" t="s">
        <v>22</v>
      </c>
      <c r="N5" s="19" t="s">
        <v>9</v>
      </c>
      <c r="O5" s="19" t="s">
        <v>10</v>
      </c>
      <c r="P5" s="19" t="s">
        <v>180</v>
      </c>
      <c r="Q5" s="19" t="s">
        <v>11</v>
      </c>
      <c r="R5" s="19" t="s">
        <v>12</v>
      </c>
      <c r="T5" s="19"/>
      <c r="U5" s="37"/>
    </row>
    <row r="6" spans="1:22" s="20" customFormat="1" ht="15.75" x14ac:dyDescent="0.25">
      <c r="A6" s="21" t="s">
        <v>13</v>
      </c>
      <c r="B6" s="21" t="s">
        <v>14</v>
      </c>
      <c r="C6" s="21" t="s">
        <v>146</v>
      </c>
      <c r="D6" s="288" t="s">
        <v>15</v>
      </c>
      <c r="E6" s="19" t="s">
        <v>15</v>
      </c>
      <c r="F6" s="19" t="s">
        <v>16</v>
      </c>
      <c r="G6" s="19" t="s">
        <v>17</v>
      </c>
      <c r="H6" s="19" t="s">
        <v>18</v>
      </c>
      <c r="I6" s="19" t="s">
        <v>16</v>
      </c>
      <c r="J6" s="19" t="s">
        <v>17</v>
      </c>
      <c r="K6" s="19" t="s">
        <v>18</v>
      </c>
      <c r="L6" s="19" t="s">
        <v>18</v>
      </c>
      <c r="M6" s="297" t="s">
        <v>23</v>
      </c>
      <c r="N6" s="19" t="s">
        <v>16</v>
      </c>
      <c r="O6" s="19" t="s">
        <v>17</v>
      </c>
      <c r="P6" s="19" t="s">
        <v>18</v>
      </c>
      <c r="Q6" s="19" t="s">
        <v>19</v>
      </c>
      <c r="R6" s="19" t="s">
        <v>20</v>
      </c>
      <c r="T6" s="19"/>
      <c r="U6" s="37"/>
    </row>
    <row r="7" spans="1:22" ht="15.75" thickBot="1" x14ac:dyDescent="0.25">
      <c r="A7" s="22"/>
      <c r="B7" s="22"/>
      <c r="C7" s="22"/>
      <c r="D7" s="102"/>
      <c r="E7" s="22"/>
      <c r="F7" s="22"/>
      <c r="G7" s="22"/>
      <c r="H7" s="22"/>
      <c r="I7" s="22"/>
      <c r="J7" s="22"/>
      <c r="K7" s="22"/>
      <c r="L7" s="22"/>
      <c r="M7" s="298"/>
      <c r="N7" s="22"/>
      <c r="O7" s="22"/>
      <c r="P7" s="22"/>
      <c r="Q7" s="22"/>
    </row>
    <row r="8" spans="1:22" s="25" customFormat="1" ht="15.75" x14ac:dyDescent="0.25">
      <c r="A8" s="189" t="s">
        <v>0</v>
      </c>
      <c r="B8" s="190" t="s">
        <v>97</v>
      </c>
      <c r="C8" s="190" t="s">
        <v>142</v>
      </c>
      <c r="D8" s="191">
        <v>0</v>
      </c>
      <c r="E8" s="191">
        <v>-847772</v>
      </c>
      <c r="F8" s="191">
        <f>32923240+1401789</f>
        <v>34325029</v>
      </c>
      <c r="G8" s="191">
        <v>-576402</v>
      </c>
      <c r="H8" s="191">
        <f t="shared" ref="H8:H14" si="0">SUM(F8:G8)</f>
        <v>33748627</v>
      </c>
      <c r="I8" s="191">
        <v>34188190</v>
      </c>
      <c r="J8" s="191">
        <v>-455229</v>
      </c>
      <c r="K8" s="191">
        <f t="shared" ref="K8:K14" si="1">SUM(I8:J8)</f>
        <v>33732961</v>
      </c>
      <c r="L8" s="191">
        <f>+K8+H8</f>
        <v>67481588</v>
      </c>
      <c r="M8" s="321">
        <v>70169385</v>
      </c>
      <c r="N8" s="191">
        <v>26648397</v>
      </c>
      <c r="O8" s="191">
        <v>-502136</v>
      </c>
      <c r="P8" s="191">
        <f t="shared" ref="P8:P14" si="2">SUM(N8:O8)</f>
        <v>26146261</v>
      </c>
      <c r="Q8" s="191">
        <f>+L8+E8</f>
        <v>66633816</v>
      </c>
      <c r="R8" s="192">
        <v>0</v>
      </c>
      <c r="S8" s="192"/>
      <c r="T8" s="202"/>
      <c r="U8" s="24"/>
      <c r="V8" s="24"/>
    </row>
    <row r="9" spans="1:22" s="25" customFormat="1" ht="15.75" x14ac:dyDescent="0.25">
      <c r="A9" s="193" t="s">
        <v>0</v>
      </c>
      <c r="B9" s="161" t="s">
        <v>98</v>
      </c>
      <c r="C9" s="161" t="s">
        <v>142</v>
      </c>
      <c r="D9" s="250">
        <v>25285600</v>
      </c>
      <c r="E9" s="250">
        <v>-63474323</v>
      </c>
      <c r="F9" s="250">
        <f>0+15054607.41</f>
        <v>15054607.41</v>
      </c>
      <c r="G9" s="250">
        <v>-874714.12</v>
      </c>
      <c r="H9" s="162">
        <f t="shared" si="0"/>
        <v>14179893.290000001</v>
      </c>
      <c r="I9" s="250">
        <v>18836770</v>
      </c>
      <c r="J9" s="250">
        <v>0</v>
      </c>
      <c r="K9" s="162">
        <f t="shared" si="1"/>
        <v>18836770</v>
      </c>
      <c r="L9" s="162">
        <f t="shared" ref="L9:L20" si="3">+K9+H9</f>
        <v>33016663.289999999</v>
      </c>
      <c r="M9" s="321">
        <v>-21241850</v>
      </c>
      <c r="N9" s="210">
        <v>19971130</v>
      </c>
      <c r="O9" s="205">
        <v>0</v>
      </c>
      <c r="P9" s="210">
        <f>SUM(N9:O9)</f>
        <v>19971130</v>
      </c>
      <c r="Q9" s="162">
        <f>+D9</f>
        <v>25285600</v>
      </c>
      <c r="R9" s="165">
        <f>+L9+E9</f>
        <v>-30457659.710000001</v>
      </c>
      <c r="S9" s="163"/>
      <c r="T9" s="195"/>
      <c r="U9" s="24"/>
      <c r="V9" s="24"/>
    </row>
    <row r="10" spans="1:22" s="25" customFormat="1" ht="15.75" x14ac:dyDescent="0.25">
      <c r="A10" s="194" t="s">
        <v>0</v>
      </c>
      <c r="B10" s="164" t="s">
        <v>99</v>
      </c>
      <c r="C10" s="161" t="s">
        <v>142</v>
      </c>
      <c r="D10" s="250">
        <v>0</v>
      </c>
      <c r="E10" s="250">
        <v>-119725932</v>
      </c>
      <c r="F10" s="250">
        <v>2992080</v>
      </c>
      <c r="G10" s="250">
        <v>0</v>
      </c>
      <c r="H10" s="162">
        <f t="shared" si="0"/>
        <v>2992080</v>
      </c>
      <c r="I10" s="250">
        <f>2646840+115080</f>
        <v>2761920</v>
      </c>
      <c r="J10" s="250">
        <v>0</v>
      </c>
      <c r="K10" s="162">
        <f t="shared" si="1"/>
        <v>2761920</v>
      </c>
      <c r="L10" s="162">
        <f t="shared" si="3"/>
        <v>5754000</v>
      </c>
      <c r="M10" s="321">
        <v>-102163008</v>
      </c>
      <c r="N10" s="210">
        <f>115080+2992080</f>
        <v>3107160</v>
      </c>
      <c r="O10" s="205">
        <v>0</v>
      </c>
      <c r="P10" s="210">
        <f>SUM(N10:O10)</f>
        <v>3107160</v>
      </c>
      <c r="Q10" s="250">
        <v>0</v>
      </c>
      <c r="R10" s="165">
        <f>+L10+E10</f>
        <v>-113971932</v>
      </c>
      <c r="S10" s="165"/>
      <c r="T10" s="195"/>
      <c r="U10" s="24"/>
      <c r="V10" s="24"/>
    </row>
    <row r="11" spans="1:22" s="25" customFormat="1" ht="47.25" x14ac:dyDescent="0.25">
      <c r="A11" s="196" t="s">
        <v>0</v>
      </c>
      <c r="B11" s="166" t="s">
        <v>122</v>
      </c>
      <c r="C11" s="166" t="s">
        <v>122</v>
      </c>
      <c r="D11" s="87">
        <v>0</v>
      </c>
      <c r="E11" s="87">
        <v>0</v>
      </c>
      <c r="F11" s="205">
        <v>154750000</v>
      </c>
      <c r="G11" s="205">
        <v>0</v>
      </c>
      <c r="H11" s="210">
        <f t="shared" si="0"/>
        <v>154750000</v>
      </c>
      <c r="I11" s="205">
        <v>0</v>
      </c>
      <c r="J11" s="205">
        <v>0</v>
      </c>
      <c r="K11" s="210">
        <f t="shared" si="1"/>
        <v>0</v>
      </c>
      <c r="L11" s="210">
        <f t="shared" si="3"/>
        <v>154750000</v>
      </c>
      <c r="M11" s="205"/>
      <c r="N11" s="205">
        <v>0</v>
      </c>
      <c r="O11" s="205">
        <v>0</v>
      </c>
      <c r="P11" s="210">
        <f t="shared" si="2"/>
        <v>0</v>
      </c>
      <c r="Q11" s="205">
        <f>+L11+E11+D11</f>
        <v>154750000</v>
      </c>
      <c r="R11" s="87">
        <v>0</v>
      </c>
      <c r="S11" s="305" t="s">
        <v>194</v>
      </c>
      <c r="T11" s="195"/>
      <c r="U11" s="24"/>
      <c r="V11" s="24"/>
    </row>
    <row r="12" spans="1:22" s="25" customFormat="1" ht="47.25" x14ac:dyDescent="0.25">
      <c r="A12" s="196" t="s">
        <v>0</v>
      </c>
      <c r="B12" s="166" t="s">
        <v>26</v>
      </c>
      <c r="C12" s="166" t="s">
        <v>122</v>
      </c>
      <c r="D12" s="87">
        <v>0</v>
      </c>
      <c r="E12" s="87">
        <v>0</v>
      </c>
      <c r="F12" s="87">
        <v>138700000</v>
      </c>
      <c r="G12" s="87">
        <v>0</v>
      </c>
      <c r="H12" s="210">
        <f t="shared" si="0"/>
        <v>138700000</v>
      </c>
      <c r="I12" s="205">
        <v>0</v>
      </c>
      <c r="J12" s="205">
        <v>0</v>
      </c>
      <c r="K12" s="210">
        <f t="shared" si="1"/>
        <v>0</v>
      </c>
      <c r="L12" s="210">
        <f t="shared" si="3"/>
        <v>138700000</v>
      </c>
      <c r="M12" s="87"/>
      <c r="N12" s="205">
        <v>0</v>
      </c>
      <c r="O12" s="205">
        <v>0</v>
      </c>
      <c r="P12" s="210">
        <f t="shared" si="2"/>
        <v>0</v>
      </c>
      <c r="Q12" s="87">
        <f>+L12+E12+D12</f>
        <v>138700000</v>
      </c>
      <c r="R12" s="87">
        <v>0</v>
      </c>
      <c r="S12" s="305" t="s">
        <v>195</v>
      </c>
      <c r="T12" s="197"/>
    </row>
    <row r="13" spans="1:22" s="25" customFormat="1" ht="15.75" x14ac:dyDescent="0.25">
      <c r="A13" s="198" t="s">
        <v>0</v>
      </c>
      <c r="B13" s="166" t="s">
        <v>122</v>
      </c>
      <c r="C13" s="230" t="s">
        <v>122</v>
      </c>
      <c r="D13" s="87">
        <v>0</v>
      </c>
      <c r="E13" s="87">
        <v>0</v>
      </c>
      <c r="F13" s="87">
        <v>0</v>
      </c>
      <c r="G13" s="87">
        <f>-100000-75000</f>
        <v>-175000</v>
      </c>
      <c r="H13" s="162">
        <f t="shared" si="0"/>
        <v>-175000</v>
      </c>
      <c r="I13" s="167">
        <v>0</v>
      </c>
      <c r="J13" s="167">
        <v>0</v>
      </c>
      <c r="K13" s="162">
        <f t="shared" si="1"/>
        <v>0</v>
      </c>
      <c r="L13" s="162">
        <f t="shared" si="3"/>
        <v>-175000</v>
      </c>
      <c r="M13" s="87"/>
      <c r="N13" s="167">
        <v>0</v>
      </c>
      <c r="O13" s="167">
        <v>0</v>
      </c>
      <c r="P13" s="162">
        <f t="shared" si="2"/>
        <v>0</v>
      </c>
      <c r="Q13" s="87">
        <v>0</v>
      </c>
      <c r="R13" s="165">
        <f>+L13+E13</f>
        <v>-175000</v>
      </c>
      <c r="S13" s="88"/>
      <c r="T13" s="197"/>
    </row>
    <row r="14" spans="1:22" s="25" customFormat="1" ht="16.5" thickBot="1" x14ac:dyDescent="0.3">
      <c r="A14" s="198" t="s">
        <v>0</v>
      </c>
      <c r="B14" s="168" t="s">
        <v>100</v>
      </c>
      <c r="C14" s="166" t="s">
        <v>147</v>
      </c>
      <c r="D14" s="169">
        <v>0</v>
      </c>
      <c r="E14" s="169">
        <v>0</v>
      </c>
      <c r="F14" s="169">
        <f>172801.92+275000</f>
        <v>447801.92000000004</v>
      </c>
      <c r="G14" s="169">
        <v>0</v>
      </c>
      <c r="H14" s="162">
        <f t="shared" si="0"/>
        <v>447801.92000000004</v>
      </c>
      <c r="I14" s="167">
        <v>0</v>
      </c>
      <c r="J14" s="167">
        <v>0</v>
      </c>
      <c r="K14" s="162">
        <f t="shared" si="1"/>
        <v>0</v>
      </c>
      <c r="L14" s="162">
        <f t="shared" si="3"/>
        <v>447801.92000000004</v>
      </c>
      <c r="M14" s="169"/>
      <c r="N14" s="167">
        <v>0</v>
      </c>
      <c r="O14" s="167">
        <v>0</v>
      </c>
      <c r="P14" s="162">
        <f t="shared" si="2"/>
        <v>0</v>
      </c>
      <c r="Q14" s="26">
        <f>+L14</f>
        <v>447801.92000000004</v>
      </c>
      <c r="R14" s="26">
        <v>0</v>
      </c>
      <c r="S14" s="27"/>
      <c r="T14" s="203"/>
    </row>
    <row r="15" spans="1:22" s="96" customFormat="1" ht="17.25" thickTop="1" thickBot="1" x14ac:dyDescent="0.3">
      <c r="A15" s="292" t="s">
        <v>24</v>
      </c>
      <c r="B15" s="172"/>
      <c r="C15" s="172"/>
      <c r="D15" s="98"/>
      <c r="E15" s="98"/>
      <c r="F15" s="98"/>
      <c r="G15" s="98"/>
      <c r="H15" s="98"/>
      <c r="I15" s="126"/>
      <c r="J15" s="126"/>
      <c r="K15" s="98"/>
      <c r="L15" s="98"/>
      <c r="M15" s="299"/>
      <c r="N15" s="126"/>
      <c r="O15" s="126"/>
      <c r="P15" s="98"/>
      <c r="Q15" s="98">
        <f>SUM(Q8:Q14)</f>
        <v>385817217.92000002</v>
      </c>
      <c r="R15" s="98">
        <f>SUM(R8:R14)</f>
        <v>-144604591.71000001</v>
      </c>
      <c r="S15" s="293">
        <f>+Q15+R15</f>
        <v>241212626.21000001</v>
      </c>
      <c r="T15" s="204"/>
      <c r="U15" s="93"/>
      <c r="V15" s="93"/>
    </row>
    <row r="16" spans="1:22" ht="15.75" customHeight="1" thickTop="1" thickBot="1" x14ac:dyDescent="0.25">
      <c r="A16" s="199"/>
      <c r="B16" s="186"/>
      <c r="C16" s="186"/>
      <c r="D16" s="265"/>
      <c r="E16" s="187"/>
      <c r="F16" s="187"/>
      <c r="G16" s="187"/>
      <c r="H16" s="265"/>
      <c r="I16" s="187"/>
      <c r="J16" s="187"/>
      <c r="K16" s="187"/>
      <c r="L16" s="187"/>
      <c r="M16" s="300"/>
      <c r="N16" s="265"/>
      <c r="O16" s="265"/>
      <c r="P16" s="265"/>
      <c r="Q16" s="187"/>
      <c r="R16" s="188"/>
      <c r="S16" s="188"/>
      <c r="T16" s="200"/>
      <c r="U16" s="28"/>
      <c r="V16" s="28"/>
    </row>
    <row r="17" spans="1:22" s="49" customFormat="1" ht="15.75" x14ac:dyDescent="0.25">
      <c r="A17" s="289" t="s">
        <v>2</v>
      </c>
      <c r="B17" s="290" t="s">
        <v>97</v>
      </c>
      <c r="C17" s="270" t="s">
        <v>142</v>
      </c>
      <c r="D17" s="263">
        <v>0</v>
      </c>
      <c r="E17" s="263">
        <v>0</v>
      </c>
      <c r="F17" s="263">
        <v>0</v>
      </c>
      <c r="G17" s="263">
        <v>0</v>
      </c>
      <c r="H17" s="263">
        <f>SUM(F17:G17)</f>
        <v>0</v>
      </c>
      <c r="I17" s="263">
        <v>0</v>
      </c>
      <c r="J17" s="263">
        <v>0</v>
      </c>
      <c r="K17" s="263">
        <f>SUM(I17:J17)</f>
        <v>0</v>
      </c>
      <c r="L17" s="253">
        <f t="shared" si="3"/>
        <v>0</v>
      </c>
      <c r="M17" s="263">
        <v>50460</v>
      </c>
      <c r="N17" s="263">
        <v>0</v>
      </c>
      <c r="O17" s="263">
        <v>0</v>
      </c>
      <c r="P17" s="263">
        <f>SUM(N17:O17)</f>
        <v>0</v>
      </c>
      <c r="Q17" s="263">
        <f>+L17+E17</f>
        <v>0</v>
      </c>
      <c r="R17" s="267">
        <v>0</v>
      </c>
      <c r="S17" s="267"/>
      <c r="T17" s="268"/>
      <c r="U17" s="30"/>
      <c r="V17" s="30"/>
    </row>
    <row r="18" spans="1:22" s="49" customFormat="1" ht="15.75" x14ac:dyDescent="0.25">
      <c r="A18" s="278" t="s">
        <v>2</v>
      </c>
      <c r="B18" s="269" t="s">
        <v>98</v>
      </c>
      <c r="C18" s="270" t="s">
        <v>142</v>
      </c>
      <c r="D18" s="263">
        <v>0</v>
      </c>
      <c r="E18" s="263">
        <v>0</v>
      </c>
      <c r="F18" s="263">
        <v>0</v>
      </c>
      <c r="G18" s="263">
        <v>0</v>
      </c>
      <c r="H18" s="263">
        <f>SUM(F18:G18)</f>
        <v>0</v>
      </c>
      <c r="I18" s="263">
        <v>0</v>
      </c>
      <c r="J18" s="263">
        <v>0</v>
      </c>
      <c r="K18" s="263">
        <f>SUM(I18:J18)</f>
        <v>0</v>
      </c>
      <c r="L18" s="253">
        <f t="shared" si="3"/>
        <v>0</v>
      </c>
      <c r="M18" s="263">
        <v>290238</v>
      </c>
      <c r="N18" s="263">
        <v>0</v>
      </c>
      <c r="O18" s="263">
        <v>0</v>
      </c>
      <c r="P18" s="263">
        <f>SUM(N18:O18)</f>
        <v>0</v>
      </c>
      <c r="Q18" s="263">
        <v>0</v>
      </c>
      <c r="R18" s="266">
        <f>+L18+E18</f>
        <v>0</v>
      </c>
      <c r="S18" s="266"/>
      <c r="T18" s="273"/>
      <c r="U18" s="30"/>
      <c r="V18" s="30"/>
    </row>
    <row r="19" spans="1:22" s="49" customFormat="1" ht="15.75" x14ac:dyDescent="0.25">
      <c r="A19" s="278" t="s">
        <v>2</v>
      </c>
      <c r="B19" s="269" t="s">
        <v>99</v>
      </c>
      <c r="C19" s="270" t="s">
        <v>142</v>
      </c>
      <c r="D19" s="263">
        <v>0</v>
      </c>
      <c r="E19" s="263">
        <v>0</v>
      </c>
      <c r="F19" s="263"/>
      <c r="G19" s="263"/>
      <c r="H19" s="263"/>
      <c r="I19" s="263">
        <v>0</v>
      </c>
      <c r="J19" s="263">
        <v>-101150</v>
      </c>
      <c r="K19" s="263">
        <f>SUM(I19:J19)</f>
        <v>-101150</v>
      </c>
      <c r="L19" s="253">
        <f t="shared" si="3"/>
        <v>-101150</v>
      </c>
      <c r="M19" s="263"/>
      <c r="N19" s="263">
        <v>0</v>
      </c>
      <c r="O19" s="263">
        <v>0</v>
      </c>
      <c r="P19" s="263">
        <f>SUM(N19:O19)</f>
        <v>0</v>
      </c>
      <c r="Q19" s="263">
        <v>0</v>
      </c>
      <c r="R19" s="266">
        <f>+L19</f>
        <v>-101150</v>
      </c>
      <c r="S19" s="266" t="s">
        <v>191</v>
      </c>
      <c r="T19" s="273"/>
      <c r="U19" s="30"/>
      <c r="V19" s="30"/>
    </row>
    <row r="20" spans="1:22" s="49" customFormat="1" ht="16.5" thickBot="1" x14ac:dyDescent="0.3">
      <c r="A20" s="278" t="s">
        <v>2</v>
      </c>
      <c r="B20" s="269" t="s">
        <v>173</v>
      </c>
      <c r="C20" s="270" t="s">
        <v>122</v>
      </c>
      <c r="D20" s="263">
        <v>0</v>
      </c>
      <c r="E20" s="263">
        <v>0</v>
      </c>
      <c r="F20" s="263">
        <f>160213</f>
        <v>160213</v>
      </c>
      <c r="G20" s="263">
        <v>0</v>
      </c>
      <c r="H20" s="263">
        <f>SUM(F20:G20)</f>
        <v>160213</v>
      </c>
      <c r="I20" s="263">
        <v>0</v>
      </c>
      <c r="J20" s="263">
        <v>0</v>
      </c>
      <c r="K20" s="263">
        <f>SUM(I20:J20)</f>
        <v>0</v>
      </c>
      <c r="L20" s="253">
        <f t="shared" si="3"/>
        <v>160213</v>
      </c>
      <c r="M20" s="263"/>
      <c r="N20" s="263">
        <v>0</v>
      </c>
      <c r="O20" s="263">
        <v>0</v>
      </c>
      <c r="P20" s="263">
        <f>SUM(N20:O20)</f>
        <v>0</v>
      </c>
      <c r="Q20" s="263">
        <f>+L20+E20</f>
        <v>160213</v>
      </c>
      <c r="R20" s="266">
        <v>0</v>
      </c>
      <c r="S20" s="291" t="s">
        <v>192</v>
      </c>
      <c r="T20" s="273"/>
      <c r="U20" s="30"/>
      <c r="V20" s="30"/>
    </row>
    <row r="21" spans="1:22" ht="17.25" thickTop="1" thickBot="1" x14ac:dyDescent="0.3">
      <c r="A21" s="178" t="s">
        <v>25</v>
      </c>
      <c r="B21" s="174"/>
      <c r="C21" s="174"/>
      <c r="D21" s="98"/>
      <c r="E21" s="159"/>
      <c r="F21" s="159"/>
      <c r="G21" s="159"/>
      <c r="H21" s="98"/>
      <c r="I21" s="159"/>
      <c r="J21" s="159"/>
      <c r="K21" s="159"/>
      <c r="L21" s="159"/>
      <c r="M21" s="299"/>
      <c r="N21" s="98"/>
      <c r="O21" s="98"/>
      <c r="P21" s="98"/>
      <c r="Q21" s="159"/>
      <c r="R21" s="90"/>
      <c r="S21" s="34">
        <f>IF(SUM(Q17:Q20)&gt;-SUM(R17:R20),SUM(Q17:Q20),0)</f>
        <v>160213</v>
      </c>
      <c r="T21" s="180"/>
      <c r="U21" s="28" t="s">
        <v>161</v>
      </c>
      <c r="V21" s="28"/>
    </row>
    <row r="22" spans="1:22" ht="15.75" thickTop="1" x14ac:dyDescent="0.2">
      <c r="A22" s="179"/>
      <c r="B22" s="174"/>
      <c r="C22" s="174"/>
      <c r="D22" s="98"/>
      <c r="E22" s="159"/>
      <c r="F22" s="159"/>
      <c r="G22" s="159"/>
      <c r="H22" s="98"/>
      <c r="I22" s="159"/>
      <c r="J22" s="159"/>
      <c r="K22" s="159"/>
      <c r="L22" s="159"/>
      <c r="M22" s="299"/>
      <c r="N22" s="98"/>
      <c r="O22" s="98"/>
      <c r="P22" s="98"/>
      <c r="Q22" s="159"/>
      <c r="R22" s="90"/>
      <c r="S22" s="90"/>
      <c r="T22" s="180"/>
      <c r="U22" s="28"/>
      <c r="V22" s="28"/>
    </row>
    <row r="23" spans="1:22" s="49" customFormat="1" ht="18.75" hidden="1" customHeight="1" x14ac:dyDescent="0.25">
      <c r="A23" s="279" t="s">
        <v>3</v>
      </c>
      <c r="B23" s="280" t="s">
        <v>108</v>
      </c>
      <c r="C23" s="270" t="s">
        <v>142</v>
      </c>
      <c r="D23" s="263">
        <v>0</v>
      </c>
      <c r="E23" s="263">
        <v>0</v>
      </c>
      <c r="F23" s="263">
        <v>0</v>
      </c>
      <c r="G23" s="263">
        <v>0</v>
      </c>
      <c r="H23" s="263">
        <f t="shared" ref="H23:H28" si="4">SUM(F23:G23)</f>
        <v>0</v>
      </c>
      <c r="I23" s="263">
        <v>0</v>
      </c>
      <c r="J23" s="263">
        <v>0</v>
      </c>
      <c r="K23" s="263">
        <f t="shared" ref="K23:K28" si="5">SUM(I23:J23)</f>
        <v>0</v>
      </c>
      <c r="L23" s="253">
        <f t="shared" ref="L23:L28" si="6">+K23+H23</f>
        <v>0</v>
      </c>
      <c r="M23" s="250">
        <v>0</v>
      </c>
      <c r="N23" s="307">
        <v>0</v>
      </c>
      <c r="O23" s="307">
        <v>0</v>
      </c>
      <c r="P23" s="276">
        <f t="shared" ref="P23:P28" si="7">SUM(N23:O23)</f>
        <v>0</v>
      </c>
      <c r="Q23" s="263">
        <f>+L23+E23</f>
        <v>0</v>
      </c>
      <c r="R23" s="266">
        <v>0</v>
      </c>
      <c r="S23" s="266"/>
      <c r="T23" s="273"/>
      <c r="U23" s="30"/>
      <c r="V23" s="30"/>
    </row>
    <row r="24" spans="1:22" s="49" customFormat="1" ht="15.75" x14ac:dyDescent="0.25">
      <c r="A24" s="278" t="s">
        <v>3</v>
      </c>
      <c r="B24" s="280" t="s">
        <v>175</v>
      </c>
      <c r="C24" s="270" t="s">
        <v>143</v>
      </c>
      <c r="D24" s="263">
        <v>0</v>
      </c>
      <c r="E24" s="263">
        <v>308100</v>
      </c>
      <c r="F24" s="263">
        <v>0</v>
      </c>
      <c r="G24" s="263">
        <v>0</v>
      </c>
      <c r="H24" s="263">
        <f t="shared" si="4"/>
        <v>0</v>
      </c>
      <c r="I24" s="263">
        <v>0</v>
      </c>
      <c r="J24" s="263">
        <v>-1765800</v>
      </c>
      <c r="K24" s="263">
        <f t="shared" si="5"/>
        <v>-1765800</v>
      </c>
      <c r="L24" s="253">
        <f t="shared" si="6"/>
        <v>-1765800</v>
      </c>
      <c r="M24" s="263"/>
      <c r="N24" s="307">
        <v>0</v>
      </c>
      <c r="O24" s="307">
        <v>0</v>
      </c>
      <c r="P24" s="276">
        <f t="shared" si="7"/>
        <v>0</v>
      </c>
      <c r="Q24" s="263">
        <v>0</v>
      </c>
      <c r="R24" s="266">
        <f>+L24+E24</f>
        <v>-1457700</v>
      </c>
      <c r="S24" s="266" t="s">
        <v>176</v>
      </c>
      <c r="T24" s="273"/>
      <c r="U24" s="30"/>
      <c r="V24" s="30"/>
    </row>
    <row r="25" spans="1:22" s="49" customFormat="1" ht="15.75" x14ac:dyDescent="0.25">
      <c r="A25" s="278" t="s">
        <v>3</v>
      </c>
      <c r="B25" s="280" t="s">
        <v>98</v>
      </c>
      <c r="C25" s="270" t="s">
        <v>142</v>
      </c>
      <c r="D25" s="263">
        <v>-4458334</v>
      </c>
      <c r="E25" s="253">
        <v>0</v>
      </c>
      <c r="F25" s="253">
        <v>0</v>
      </c>
      <c r="G25" s="253">
        <v>0</v>
      </c>
      <c r="H25" s="263">
        <f t="shared" si="4"/>
        <v>0</v>
      </c>
      <c r="I25" s="253">
        <v>0</v>
      </c>
      <c r="J25" s="253">
        <v>0</v>
      </c>
      <c r="K25" s="263">
        <f t="shared" si="5"/>
        <v>0</v>
      </c>
      <c r="L25" s="253">
        <f t="shared" si="6"/>
        <v>0</v>
      </c>
      <c r="M25" s="253">
        <v>0</v>
      </c>
      <c r="N25" s="307">
        <v>0</v>
      </c>
      <c r="O25" s="307">
        <v>0</v>
      </c>
      <c r="P25" s="276">
        <f t="shared" si="7"/>
        <v>0</v>
      </c>
      <c r="Q25" s="263">
        <f>+L25+E25</f>
        <v>0</v>
      </c>
      <c r="R25" s="266">
        <f>+D25</f>
        <v>-4458334</v>
      </c>
      <c r="S25" s="266"/>
      <c r="T25" s="273"/>
      <c r="U25" s="30"/>
      <c r="V25" s="30"/>
    </row>
    <row r="26" spans="1:22" s="49" customFormat="1" ht="15.75" x14ac:dyDescent="0.25">
      <c r="A26" s="278" t="s">
        <v>3</v>
      </c>
      <c r="B26" s="280" t="s">
        <v>98</v>
      </c>
      <c r="C26" s="270" t="s">
        <v>142</v>
      </c>
      <c r="D26" s="253">
        <v>0</v>
      </c>
      <c r="E26" s="263">
        <v>-1251961</v>
      </c>
      <c r="F26" s="30">
        <v>0</v>
      </c>
      <c r="G26" s="30">
        <v>0</v>
      </c>
      <c r="H26" s="263">
        <f t="shared" si="4"/>
        <v>0</v>
      </c>
      <c r="I26" s="263">
        <v>0</v>
      </c>
      <c r="J26" s="263">
        <v>0</v>
      </c>
      <c r="K26" s="263">
        <f t="shared" si="5"/>
        <v>0</v>
      </c>
      <c r="L26" s="253">
        <f t="shared" si="6"/>
        <v>0</v>
      </c>
      <c r="M26" s="263">
        <v>758150</v>
      </c>
      <c r="N26" s="263">
        <v>480776</v>
      </c>
      <c r="O26" s="263">
        <f>-480776/392250*249750</f>
        <v>-306115.50286806881</v>
      </c>
      <c r="P26" s="276">
        <f t="shared" si="7"/>
        <v>174660.49713193119</v>
      </c>
      <c r="Q26" s="263">
        <v>0</v>
      </c>
      <c r="R26" s="266">
        <f>+L26+E26</f>
        <v>-1251961</v>
      </c>
      <c r="S26" s="266"/>
      <c r="T26" s="273"/>
      <c r="U26" s="30"/>
      <c r="V26" s="30"/>
    </row>
    <row r="27" spans="1:22" s="49" customFormat="1" ht="15.75" x14ac:dyDescent="0.25">
      <c r="A27" s="278" t="s">
        <v>3</v>
      </c>
      <c r="B27" s="280" t="s">
        <v>26</v>
      </c>
      <c r="C27" s="270" t="s">
        <v>142</v>
      </c>
      <c r="D27" s="253">
        <v>0</v>
      </c>
      <c r="E27" s="263">
        <v>32696903</v>
      </c>
      <c r="F27" s="253">
        <v>1664691</v>
      </c>
      <c r="G27" s="253">
        <v>0</v>
      </c>
      <c r="H27" s="263">
        <f t="shared" si="4"/>
        <v>1664691</v>
      </c>
      <c r="I27" s="253">
        <v>0</v>
      </c>
      <c r="J27" s="253">
        <v>0</v>
      </c>
      <c r="K27" s="263">
        <f t="shared" si="5"/>
        <v>0</v>
      </c>
      <c r="L27" s="253">
        <f t="shared" si="6"/>
        <v>1664691</v>
      </c>
      <c r="M27" s="253">
        <v>0</v>
      </c>
      <c r="N27" s="307">
        <v>0</v>
      </c>
      <c r="O27" s="307">
        <v>0</v>
      </c>
      <c r="P27" s="276">
        <f t="shared" si="7"/>
        <v>0</v>
      </c>
      <c r="Q27" s="263">
        <f>+L27+E27</f>
        <v>34361594</v>
      </c>
      <c r="R27" s="266">
        <v>0</v>
      </c>
      <c r="S27" s="266"/>
      <c r="T27" s="273"/>
      <c r="U27" s="30"/>
      <c r="V27" s="30"/>
    </row>
    <row r="28" spans="1:22" s="49" customFormat="1" ht="63.75" thickBot="1" x14ac:dyDescent="0.3">
      <c r="A28" s="294" t="s">
        <v>3</v>
      </c>
      <c r="B28" s="318" t="s">
        <v>99</v>
      </c>
      <c r="C28" s="284" t="s">
        <v>142</v>
      </c>
      <c r="D28" s="151">
        <v>0</v>
      </c>
      <c r="E28" s="151">
        <v>65665724</v>
      </c>
      <c r="F28" s="151">
        <v>93439247</v>
      </c>
      <c r="G28" s="151">
        <v>-131865282.81999999</v>
      </c>
      <c r="H28" s="151">
        <f t="shared" si="4"/>
        <v>-38426035.819999993</v>
      </c>
      <c r="I28" s="151">
        <v>90926157</v>
      </c>
      <c r="J28" s="151">
        <v>-111450967</v>
      </c>
      <c r="K28" s="151">
        <f t="shared" si="5"/>
        <v>-20524810</v>
      </c>
      <c r="L28" s="276">
        <f t="shared" si="6"/>
        <v>-58950845.819999993</v>
      </c>
      <c r="M28" s="151">
        <v>221533072</v>
      </c>
      <c r="N28" s="307">
        <f>2666869+58456978</f>
        <v>61123847</v>
      </c>
      <c r="O28" s="276">
        <f>-3791004-58720592</f>
        <v>-62511596</v>
      </c>
      <c r="P28" s="276">
        <f t="shared" si="7"/>
        <v>-1387749</v>
      </c>
      <c r="Q28" s="151">
        <f>+E28+L28</f>
        <v>6714878.1800000072</v>
      </c>
      <c r="R28" s="277">
        <v>0</v>
      </c>
      <c r="S28" s="317" t="s">
        <v>183</v>
      </c>
      <c r="T28" s="273"/>
      <c r="U28" s="30"/>
      <c r="V28" s="30"/>
    </row>
    <row r="29" spans="1:22" ht="17.25" thickTop="1" thickBot="1" x14ac:dyDescent="0.3">
      <c r="A29" s="178" t="s">
        <v>126</v>
      </c>
      <c r="B29" s="175"/>
      <c r="C29" s="175"/>
      <c r="D29" s="98"/>
      <c r="E29" s="159"/>
      <c r="F29" s="159"/>
      <c r="G29" s="159"/>
      <c r="H29" s="98"/>
      <c r="I29" s="159"/>
      <c r="J29" s="159"/>
      <c r="K29" s="159"/>
      <c r="L29" s="159"/>
      <c r="M29" s="299"/>
      <c r="N29" s="98"/>
      <c r="O29" s="98"/>
      <c r="P29" s="98"/>
      <c r="Q29" s="159"/>
      <c r="R29" s="40"/>
      <c r="S29" s="34">
        <f>IF(SUM(Q24:Q28)&gt;-SUM(R24:R28),SUM(Q24:Q28),0)</f>
        <v>41076472.180000007</v>
      </c>
      <c r="T29" s="180"/>
      <c r="U29" s="28" t="s">
        <v>161</v>
      </c>
      <c r="V29" s="28"/>
    </row>
    <row r="30" spans="1:22" ht="16.5" thickTop="1" x14ac:dyDescent="0.25">
      <c r="A30" s="181"/>
      <c r="B30" s="175"/>
      <c r="C30" s="175"/>
      <c r="D30" s="98"/>
      <c r="E30" s="159"/>
      <c r="F30" s="159"/>
      <c r="G30" s="159"/>
      <c r="H30" s="98"/>
      <c r="I30" s="159"/>
      <c r="J30" s="159"/>
      <c r="K30" s="159"/>
      <c r="L30" s="159"/>
      <c r="M30" s="299"/>
      <c r="N30" s="98"/>
      <c r="O30" s="98"/>
      <c r="P30" s="98"/>
      <c r="Q30" s="159"/>
      <c r="R30" s="40"/>
      <c r="S30" s="40"/>
      <c r="T30" s="180"/>
      <c r="U30" s="28"/>
      <c r="V30" s="28"/>
    </row>
    <row r="31" spans="1:22" s="153" customFormat="1" ht="30" x14ac:dyDescent="0.2">
      <c r="A31" s="330" t="s">
        <v>125</v>
      </c>
      <c r="B31" s="274" t="s">
        <v>26</v>
      </c>
      <c r="C31" s="275" t="s">
        <v>122</v>
      </c>
      <c r="D31" s="276">
        <v>0</v>
      </c>
      <c r="E31" s="276">
        <v>0</v>
      </c>
      <c r="F31" s="276">
        <v>0</v>
      </c>
      <c r="G31" s="276">
        <v>0</v>
      </c>
      <c r="H31" s="151">
        <f>SUM(F31:G31)</f>
        <v>0</v>
      </c>
      <c r="I31" s="276">
        <v>0</v>
      </c>
      <c r="J31" s="276">
        <v>0</v>
      </c>
      <c r="K31" s="151">
        <f>SUM(I31:J31)</f>
        <v>0</v>
      </c>
      <c r="L31" s="276">
        <f>+K31+H31</f>
        <v>0</v>
      </c>
      <c r="M31" s="276"/>
      <c r="N31" s="276">
        <v>0</v>
      </c>
      <c r="O31" s="276">
        <v>0</v>
      </c>
      <c r="P31" s="151">
        <f>SUM(N31:O31)</f>
        <v>0</v>
      </c>
      <c r="Q31" s="151">
        <f>+L31+E31</f>
        <v>0</v>
      </c>
      <c r="R31" s="277">
        <v>0</v>
      </c>
      <c r="S31" s="271" t="s">
        <v>168</v>
      </c>
      <c r="T31" s="272"/>
      <c r="U31" s="154"/>
      <c r="V31" s="154"/>
    </row>
    <row r="32" spans="1:22" s="153" customFormat="1" ht="16.5" thickBot="1" x14ac:dyDescent="0.3">
      <c r="A32" s="331" t="s">
        <v>128</v>
      </c>
      <c r="B32" s="269" t="s">
        <v>98</v>
      </c>
      <c r="C32" s="270" t="s">
        <v>142</v>
      </c>
      <c r="D32" s="263">
        <v>0</v>
      </c>
      <c r="E32" s="263">
        <v>0</v>
      </c>
      <c r="F32" s="263">
        <v>997337</v>
      </c>
      <c r="G32" s="263">
        <v>-1500</v>
      </c>
      <c r="H32" s="263">
        <f>SUM(F32:G32)</f>
        <v>995837</v>
      </c>
      <c r="I32" s="263">
        <v>0</v>
      </c>
      <c r="J32" s="263">
        <v>0</v>
      </c>
      <c r="K32" s="263">
        <f>SUM(I32:J32)</f>
        <v>0</v>
      </c>
      <c r="L32" s="253">
        <f>+K32+H32</f>
        <v>995837</v>
      </c>
      <c r="M32" s="263">
        <v>997337</v>
      </c>
      <c r="N32" s="263">
        <v>0</v>
      </c>
      <c r="O32" s="263">
        <v>0</v>
      </c>
      <c r="P32" s="263">
        <f>SUM(N32:O32)</f>
        <v>0</v>
      </c>
      <c r="Q32" s="263">
        <f>+L32+E32</f>
        <v>995837</v>
      </c>
      <c r="R32" s="266">
        <v>0</v>
      </c>
      <c r="S32" s="271"/>
      <c r="T32" s="272"/>
      <c r="U32" s="154"/>
      <c r="V32" s="154"/>
    </row>
    <row r="33" spans="1:23" ht="17.25" thickTop="1" thickBot="1" x14ac:dyDescent="0.3">
      <c r="A33" s="332" t="s">
        <v>129</v>
      </c>
      <c r="B33" s="176"/>
      <c r="C33" s="176"/>
      <c r="D33" s="98"/>
      <c r="E33" s="159"/>
      <c r="F33" s="159"/>
      <c r="G33" s="159"/>
      <c r="H33" s="98"/>
      <c r="I33" s="159"/>
      <c r="J33" s="159"/>
      <c r="K33" s="159"/>
      <c r="L33" s="159"/>
      <c r="M33" s="299"/>
      <c r="N33" s="98"/>
      <c r="O33" s="98"/>
      <c r="P33" s="98"/>
      <c r="Q33" s="159"/>
      <c r="R33" s="159"/>
      <c r="S33" s="34">
        <f>+Q31+Q32</f>
        <v>995837</v>
      </c>
      <c r="T33" s="180"/>
      <c r="U33" s="28" t="s">
        <v>161</v>
      </c>
      <c r="V33" s="28"/>
      <c r="W33" s="28">
        <f>+Q35+Q36+Q38</f>
        <v>22181199.980000004</v>
      </c>
    </row>
    <row r="34" spans="1:23" ht="15.75" thickTop="1" x14ac:dyDescent="0.2">
      <c r="A34" s="182"/>
      <c r="B34" s="176"/>
      <c r="C34" s="176"/>
      <c r="D34" s="98"/>
      <c r="E34" s="159"/>
      <c r="F34" s="159"/>
      <c r="G34" s="159"/>
      <c r="H34" s="98"/>
      <c r="I34" s="159"/>
      <c r="J34" s="159"/>
      <c r="K34" s="159"/>
      <c r="L34" s="159"/>
      <c r="M34" s="299"/>
      <c r="N34" s="98"/>
      <c r="O34" s="98"/>
      <c r="P34" s="98"/>
      <c r="Q34" s="159"/>
      <c r="R34" s="90"/>
      <c r="S34" s="90"/>
      <c r="T34" s="180"/>
      <c r="U34" s="28"/>
      <c r="V34" s="28"/>
    </row>
    <row r="35" spans="1:23" s="49" customFormat="1" ht="78.75" x14ac:dyDescent="0.2">
      <c r="A35" s="282" t="s">
        <v>4</v>
      </c>
      <c r="B35" s="320" t="s">
        <v>97</v>
      </c>
      <c r="C35" s="284" t="s">
        <v>142</v>
      </c>
      <c r="D35" s="151">
        <v>4926766</v>
      </c>
      <c r="E35" s="276">
        <v>0</v>
      </c>
      <c r="F35" s="276">
        <v>0</v>
      </c>
      <c r="G35" s="276">
        <v>0</v>
      </c>
      <c r="H35" s="151">
        <f>SUM(F35:G35)</f>
        <v>0</v>
      </c>
      <c r="I35" s="276">
        <v>0</v>
      </c>
      <c r="J35" s="276">
        <v>0</v>
      </c>
      <c r="K35" s="151">
        <f>SUM(I35:J35)</f>
        <v>0</v>
      </c>
      <c r="L35" s="276">
        <f>+K35+H35</f>
        <v>0</v>
      </c>
      <c r="M35" s="276">
        <v>13062536</v>
      </c>
      <c r="N35" s="307">
        <v>0</v>
      </c>
      <c r="O35" s="307">
        <v>0</v>
      </c>
      <c r="P35" s="276">
        <f>SUM(N35:O35)</f>
        <v>0</v>
      </c>
      <c r="Q35" s="151">
        <f>+L35+D35</f>
        <v>4926766</v>
      </c>
      <c r="R35" s="277">
        <v>0</v>
      </c>
      <c r="S35" s="319" t="s">
        <v>185</v>
      </c>
      <c r="T35" s="273"/>
      <c r="U35" s="30" t="s">
        <v>162</v>
      </c>
      <c r="V35" s="30"/>
    </row>
    <row r="36" spans="1:23" s="49" customFormat="1" ht="15.75" x14ac:dyDescent="0.2">
      <c r="A36" s="282" t="s">
        <v>4</v>
      </c>
      <c r="B36" s="320" t="s">
        <v>97</v>
      </c>
      <c r="C36" s="284" t="s">
        <v>142</v>
      </c>
      <c r="D36" s="276">
        <v>0</v>
      </c>
      <c r="E36" s="151">
        <v>-34993799</v>
      </c>
      <c r="F36" s="151">
        <f>66136356+4690901.4</f>
        <v>70827257.400000006</v>
      </c>
      <c r="G36" s="151">
        <f>-34220252-4647765.42</f>
        <v>-38868017.420000002</v>
      </c>
      <c r="H36" s="151">
        <f>SUM(F36:G36)</f>
        <v>31959239.980000004</v>
      </c>
      <c r="I36" s="151">
        <v>46205153</v>
      </c>
      <c r="J36" s="151">
        <v>-25916160</v>
      </c>
      <c r="K36" s="151">
        <f>SUM(I36:J36)</f>
        <v>20288993</v>
      </c>
      <c r="L36" s="276">
        <f>+K36+H36</f>
        <v>52248232.980000004</v>
      </c>
      <c r="M36" s="151">
        <v>19833122</v>
      </c>
      <c r="N36" s="307">
        <v>41826750</v>
      </c>
      <c r="O36" s="307">
        <v>-27057381</v>
      </c>
      <c r="P36" s="276">
        <f>SUM(N36:O36)</f>
        <v>14769369</v>
      </c>
      <c r="Q36" s="151">
        <f>+L36+E36</f>
        <v>17254433.980000004</v>
      </c>
      <c r="R36" s="277">
        <v>0</v>
      </c>
      <c r="S36" s="319"/>
      <c r="T36" s="273"/>
      <c r="U36" s="30" t="s">
        <v>162</v>
      </c>
      <c r="V36" s="30"/>
    </row>
    <row r="37" spans="1:23" s="49" customFormat="1" ht="15.75" hidden="1" x14ac:dyDescent="0.2">
      <c r="A37" s="278" t="s">
        <v>4</v>
      </c>
      <c r="B37" s="280" t="s">
        <v>98</v>
      </c>
      <c r="C37" s="284" t="s">
        <v>142</v>
      </c>
      <c r="D37" s="276">
        <v>0</v>
      </c>
      <c r="E37" s="151">
        <v>0</v>
      </c>
      <c r="F37" s="151">
        <v>0</v>
      </c>
      <c r="G37" s="151">
        <v>0</v>
      </c>
      <c r="H37" s="151">
        <f>SUM(F37:G37)</f>
        <v>0</v>
      </c>
      <c r="I37" s="151">
        <v>0</v>
      </c>
      <c r="J37" s="151">
        <v>0</v>
      </c>
      <c r="K37" s="151">
        <f>SUM(I37:J37)</f>
        <v>0</v>
      </c>
      <c r="L37" s="276">
        <f>+K37+H37</f>
        <v>0</v>
      </c>
      <c r="M37" s="151"/>
      <c r="N37" s="307"/>
      <c r="O37" s="307"/>
      <c r="P37" s="276"/>
      <c r="Q37" s="151">
        <f>+L37+D37</f>
        <v>0</v>
      </c>
      <c r="R37" s="277">
        <v>0</v>
      </c>
      <c r="S37" s="319"/>
      <c r="T37" s="273"/>
      <c r="U37" s="30"/>
      <c r="V37" s="30"/>
    </row>
    <row r="38" spans="1:23" s="49" customFormat="1" ht="16.5" thickBot="1" x14ac:dyDescent="0.3">
      <c r="A38" s="278" t="s">
        <v>4</v>
      </c>
      <c r="B38" s="280" t="s">
        <v>98</v>
      </c>
      <c r="C38" s="270" t="s">
        <v>142</v>
      </c>
      <c r="D38" s="263">
        <v>0</v>
      </c>
      <c r="E38" s="263">
        <v>-105072</v>
      </c>
      <c r="F38" s="263">
        <v>3700751.22</v>
      </c>
      <c r="G38" s="263">
        <v>-6815229.6100000003</v>
      </c>
      <c r="H38" s="263">
        <f>SUM(F38:G38)</f>
        <v>-3114478.39</v>
      </c>
      <c r="I38" s="263">
        <v>1851640</v>
      </c>
      <c r="J38" s="263">
        <v>-3703280</v>
      </c>
      <c r="K38" s="263">
        <f>SUM(I38:J38)</f>
        <v>-1851640</v>
      </c>
      <c r="L38" s="253">
        <f>+K38+H38</f>
        <v>-4966118.3900000006</v>
      </c>
      <c r="M38" s="263">
        <v>-3205556</v>
      </c>
      <c r="N38" s="307">
        <v>1753980</v>
      </c>
      <c r="O38" s="307">
        <v>-3507960</v>
      </c>
      <c r="P38" s="276">
        <f>SUM(N38:O38)</f>
        <v>-1753980</v>
      </c>
      <c r="Q38" s="263">
        <v>0</v>
      </c>
      <c r="R38" s="266">
        <f>+L38+E38+D38</f>
        <v>-5071190.3900000006</v>
      </c>
      <c r="S38" s="266"/>
      <c r="T38" s="273"/>
      <c r="U38" s="30"/>
      <c r="V38" s="30"/>
    </row>
    <row r="39" spans="1:23" ht="17.25" thickTop="1" thickBot="1" x14ac:dyDescent="0.3">
      <c r="A39" s="179" t="s">
        <v>27</v>
      </c>
      <c r="B39" s="174"/>
      <c r="C39" s="174"/>
      <c r="D39" s="98"/>
      <c r="E39" s="159"/>
      <c r="F39" s="159"/>
      <c r="G39" s="159"/>
      <c r="H39" s="98"/>
      <c r="I39" s="159"/>
      <c r="J39" s="159"/>
      <c r="K39" s="159"/>
      <c r="L39" s="159"/>
      <c r="M39" s="299"/>
      <c r="N39" s="98"/>
      <c r="O39" s="98"/>
      <c r="P39" s="98"/>
      <c r="Q39" s="159"/>
      <c r="R39" s="90"/>
      <c r="S39" s="34">
        <f>IF(SUM(Q35:Q38)&gt;-SUM(R35:R38),SUM(Q35:Q38),0)</f>
        <v>22181199.980000004</v>
      </c>
      <c r="T39" s="180"/>
      <c r="U39" s="28"/>
      <c r="V39" s="28"/>
    </row>
    <row r="40" spans="1:23" ht="15.75" thickTop="1" x14ac:dyDescent="0.2">
      <c r="A40" s="179"/>
      <c r="B40" s="174"/>
      <c r="C40" s="174"/>
      <c r="D40" s="98"/>
      <c r="E40" s="159"/>
      <c r="F40" s="159"/>
      <c r="G40" s="159"/>
      <c r="H40" s="98"/>
      <c r="I40" s="159"/>
      <c r="J40" s="159"/>
      <c r="K40" s="159"/>
      <c r="L40" s="159"/>
      <c r="M40" s="299"/>
      <c r="N40" s="98"/>
      <c r="O40" s="98"/>
      <c r="P40" s="98"/>
      <c r="Q40" s="159"/>
      <c r="R40" s="90"/>
      <c r="S40" s="90"/>
      <c r="T40" s="180"/>
      <c r="U40" s="28"/>
      <c r="V40" s="28"/>
    </row>
    <row r="41" spans="1:23" s="49" customFormat="1" ht="15.75" x14ac:dyDescent="0.25">
      <c r="A41" s="278" t="s">
        <v>5</v>
      </c>
      <c r="B41" s="269" t="s">
        <v>97</v>
      </c>
      <c r="C41" s="270" t="s">
        <v>142</v>
      </c>
      <c r="D41" s="263">
        <v>0</v>
      </c>
      <c r="E41" s="263">
        <v>126909</v>
      </c>
      <c r="F41" s="263">
        <v>0</v>
      </c>
      <c r="G41" s="263">
        <v>-1694157.75</v>
      </c>
      <c r="H41" s="263">
        <f>SUM(F41:G41)</f>
        <v>-1694157.75</v>
      </c>
      <c r="I41" s="263">
        <v>0</v>
      </c>
      <c r="J41" s="263">
        <v>-913920</v>
      </c>
      <c r="K41" s="263">
        <f>SUM(I41:J41)</f>
        <v>-913920</v>
      </c>
      <c r="L41" s="253">
        <f>+K41+H41</f>
        <v>-2608077.75</v>
      </c>
      <c r="M41" s="263">
        <v>-2501719</v>
      </c>
      <c r="N41" s="307">
        <v>0</v>
      </c>
      <c r="O41" s="276">
        <v>-811115</v>
      </c>
      <c r="P41" s="276">
        <f>SUM(N41:O41)</f>
        <v>-811115</v>
      </c>
      <c r="Q41" s="263">
        <v>0</v>
      </c>
      <c r="R41" s="266">
        <f>+L41+E41</f>
        <v>-2481168.75</v>
      </c>
      <c r="S41" s="266"/>
      <c r="T41" s="273"/>
      <c r="U41" s="30"/>
      <c r="V41" s="30"/>
    </row>
    <row r="42" spans="1:23" s="49" customFormat="1" ht="15.75" x14ac:dyDescent="0.25">
      <c r="A42" s="278" t="s">
        <v>5</v>
      </c>
      <c r="B42" s="269" t="s">
        <v>98</v>
      </c>
      <c r="C42" s="270" t="s">
        <v>142</v>
      </c>
      <c r="D42" s="263">
        <v>51855462</v>
      </c>
      <c r="E42" s="253">
        <v>0</v>
      </c>
      <c r="F42" s="253">
        <v>0</v>
      </c>
      <c r="G42" s="253">
        <v>0</v>
      </c>
      <c r="H42" s="263">
        <f>SUM(F42:G42)</f>
        <v>0</v>
      </c>
      <c r="I42" s="253">
        <v>0</v>
      </c>
      <c r="J42" s="253">
        <v>0</v>
      </c>
      <c r="K42" s="263">
        <f>SUM(I42:J42)</f>
        <v>0</v>
      </c>
      <c r="L42" s="253">
        <f>+K42+H42</f>
        <v>0</v>
      </c>
      <c r="M42" s="253">
        <v>-22486468</v>
      </c>
      <c r="N42" s="307">
        <v>0</v>
      </c>
      <c r="O42" s="307">
        <v>0</v>
      </c>
      <c r="P42" s="276">
        <f>SUM(N42:O42)</f>
        <v>0</v>
      </c>
      <c r="Q42" s="253">
        <f>+L42+E42+D42</f>
        <v>51855462</v>
      </c>
      <c r="R42" s="266">
        <v>0</v>
      </c>
      <c r="S42" s="266"/>
      <c r="T42" s="273"/>
      <c r="U42" s="30"/>
      <c r="V42" s="30"/>
    </row>
    <row r="43" spans="1:23" s="49" customFormat="1" ht="15.75" x14ac:dyDescent="0.2">
      <c r="A43" s="282" t="s">
        <v>5</v>
      </c>
      <c r="B43" s="283" t="s">
        <v>98</v>
      </c>
      <c r="C43" s="284" t="s">
        <v>142</v>
      </c>
      <c r="D43" s="276">
        <v>0</v>
      </c>
      <c r="E43" s="151">
        <v>-14961055</v>
      </c>
      <c r="F43" s="151">
        <v>80398562.599999994</v>
      </c>
      <c r="G43" s="151">
        <f>-70538509.45-17066543</f>
        <v>-87605052.450000003</v>
      </c>
      <c r="H43" s="151">
        <f>SUM(F43:G43)</f>
        <v>-7206489.8500000089</v>
      </c>
      <c r="I43" s="151">
        <v>15267447</v>
      </c>
      <c r="J43" s="151">
        <v>-32138543</v>
      </c>
      <c r="K43" s="151">
        <f>SUM(I43:J43)</f>
        <v>-16871096</v>
      </c>
      <c r="L43" s="276">
        <f>+K43+H43</f>
        <v>-24077585.850000009</v>
      </c>
      <c r="M43" s="151">
        <v>-14187360</v>
      </c>
      <c r="N43" s="307">
        <v>23049168</v>
      </c>
      <c r="O43" s="307">
        <v>-37553339</v>
      </c>
      <c r="P43" s="276">
        <f>SUM(N43:O43)</f>
        <v>-14504171</v>
      </c>
      <c r="Q43" s="151">
        <v>0</v>
      </c>
      <c r="R43" s="277">
        <f>+L43+E43</f>
        <v>-39038640.850000009</v>
      </c>
      <c r="S43" s="319"/>
      <c r="T43" s="273"/>
      <c r="U43" s="30"/>
      <c r="V43" s="30"/>
    </row>
    <row r="44" spans="1:23" s="49" customFormat="1" ht="15.75" x14ac:dyDescent="0.25">
      <c r="A44" s="278" t="s">
        <v>5</v>
      </c>
      <c r="B44" s="269" t="s">
        <v>101</v>
      </c>
      <c r="C44" s="270" t="s">
        <v>142</v>
      </c>
      <c r="D44" s="263">
        <v>0</v>
      </c>
      <c r="E44" s="263">
        <v>-34961</v>
      </c>
      <c r="F44" s="263">
        <v>3784282</v>
      </c>
      <c r="G44" s="263">
        <v>-663850</v>
      </c>
      <c r="H44" s="263">
        <f>SUM(F44:G44)</f>
        <v>3120432</v>
      </c>
      <c r="I44" s="263">
        <v>3086822</v>
      </c>
      <c r="J44" s="263">
        <v>-129450</v>
      </c>
      <c r="K44" s="263">
        <f>SUM(I44:J44)</f>
        <v>2957372</v>
      </c>
      <c r="L44" s="253">
        <f>+K44+H44</f>
        <v>6077804</v>
      </c>
      <c r="M44" s="263">
        <v>1507632</v>
      </c>
      <c r="N44" s="307">
        <v>827435</v>
      </c>
      <c r="O44" s="307">
        <v>-105500</v>
      </c>
      <c r="P44" s="276">
        <f>SUM(N44:O44)</f>
        <v>721935</v>
      </c>
      <c r="Q44" s="263">
        <f>+L44+E44</f>
        <v>6042843</v>
      </c>
      <c r="R44" s="266">
        <v>0</v>
      </c>
      <c r="S44" s="266"/>
      <c r="T44" s="273"/>
      <c r="U44" s="30"/>
      <c r="V44" s="30"/>
    </row>
    <row r="45" spans="1:23" s="49" customFormat="1" ht="16.5" thickBot="1" x14ac:dyDescent="0.3">
      <c r="A45" s="285" t="s">
        <v>28</v>
      </c>
      <c r="B45" s="286" t="s">
        <v>21</v>
      </c>
      <c r="C45" s="281" t="s">
        <v>122</v>
      </c>
      <c r="D45" s="253">
        <v>0</v>
      </c>
      <c r="E45" s="253">
        <v>135802</v>
      </c>
      <c r="F45" s="253">
        <v>3060384</v>
      </c>
      <c r="G45" s="253">
        <f>-488037-316230</f>
        <v>-804267</v>
      </c>
      <c r="H45" s="263">
        <f>SUM(F45:G45)</f>
        <v>2256117</v>
      </c>
      <c r="I45" s="253">
        <v>0</v>
      </c>
      <c r="J45" s="253">
        <v>0</v>
      </c>
      <c r="K45" s="263">
        <f>SUM(I45:J45)</f>
        <v>0</v>
      </c>
      <c r="L45" s="253">
        <f>+K45+H45</f>
        <v>2256117</v>
      </c>
      <c r="M45" s="253"/>
      <c r="N45" s="307">
        <v>0</v>
      </c>
      <c r="O45" s="307">
        <v>0</v>
      </c>
      <c r="P45" s="276">
        <f>SUM(N45:O45)</f>
        <v>0</v>
      </c>
      <c r="Q45" s="253">
        <f>+L45+E45</f>
        <v>2391919</v>
      </c>
      <c r="R45" s="266">
        <v>0</v>
      </c>
      <c r="S45" s="287" t="s">
        <v>29</v>
      </c>
      <c r="T45" s="273"/>
      <c r="U45" s="30"/>
      <c r="V45" s="30"/>
    </row>
    <row r="46" spans="1:23" ht="17.25" thickTop="1" thickBot="1" x14ac:dyDescent="0.3">
      <c r="A46" s="184" t="s">
        <v>31</v>
      </c>
      <c r="B46" s="174"/>
      <c r="C46" s="174"/>
      <c r="D46" s="98"/>
      <c r="E46" s="159"/>
      <c r="F46" s="159"/>
      <c r="G46" s="98"/>
      <c r="H46" s="98"/>
      <c r="I46" s="159"/>
      <c r="J46" s="159"/>
      <c r="K46" s="159"/>
      <c r="L46" s="98"/>
      <c r="M46" s="299"/>
      <c r="N46" s="98"/>
      <c r="O46" s="98"/>
      <c r="P46" s="98"/>
      <c r="Q46" s="170"/>
      <c r="R46" s="171"/>
      <c r="S46" s="34">
        <f>IF(SUM(Q41:Q45)&gt;-SUM(R41:R45),SUM(Q41:Q45),0)</f>
        <v>60290224</v>
      </c>
      <c r="T46" s="180"/>
      <c r="U46" s="28" t="s">
        <v>161</v>
      </c>
      <c r="V46" s="28"/>
    </row>
    <row r="47" spans="1:23" ht="16.5" thickTop="1" x14ac:dyDescent="0.25">
      <c r="A47" s="178" t="s">
        <v>132</v>
      </c>
      <c r="B47" s="174"/>
      <c r="C47" s="174"/>
      <c r="D47" s="98"/>
      <c r="E47" s="159"/>
      <c r="F47" s="159"/>
      <c r="G47" s="98"/>
      <c r="H47" s="98"/>
      <c r="I47" s="159"/>
      <c r="J47" s="159"/>
      <c r="K47" s="159"/>
      <c r="L47" s="98"/>
      <c r="M47" s="299"/>
      <c r="N47" s="98"/>
      <c r="O47" s="98"/>
      <c r="P47" s="98"/>
      <c r="Q47" s="159">
        <f>SUM(Q17:Q45)</f>
        <v>124703946.16000001</v>
      </c>
      <c r="R47" s="159">
        <f>SUM(R17:R45)</f>
        <v>-53860144.99000001</v>
      </c>
      <c r="S47" s="90"/>
      <c r="T47" s="180"/>
      <c r="U47" s="28"/>
      <c r="V47" s="28"/>
    </row>
    <row r="48" spans="1:23" ht="15.75" x14ac:dyDescent="0.25">
      <c r="A48" s="178"/>
      <c r="B48" s="174"/>
      <c r="C48" s="174"/>
      <c r="D48" s="98"/>
      <c r="E48" s="159"/>
      <c r="F48" s="159"/>
      <c r="G48" s="98"/>
      <c r="H48" s="98"/>
      <c r="I48" s="159"/>
      <c r="J48" s="159"/>
      <c r="K48" s="159"/>
      <c r="L48" s="98"/>
      <c r="M48" s="299"/>
      <c r="N48" s="98"/>
      <c r="O48" s="98"/>
      <c r="P48" s="98"/>
      <c r="Q48" s="159"/>
      <c r="R48" s="159"/>
      <c r="S48" s="90"/>
      <c r="T48" s="180"/>
      <c r="U48" s="28"/>
      <c r="V48" s="28"/>
    </row>
    <row r="49" spans="1:23" s="364" customFormat="1" ht="15.75" x14ac:dyDescent="0.25">
      <c r="A49" s="358" t="s">
        <v>133</v>
      </c>
      <c r="B49" s="359"/>
      <c r="C49" s="359"/>
      <c r="D49" s="360"/>
      <c r="E49" s="360"/>
      <c r="F49" s="360"/>
      <c r="G49" s="360"/>
      <c r="H49" s="360"/>
      <c r="I49" s="360"/>
      <c r="J49" s="360"/>
      <c r="K49" s="360"/>
      <c r="L49" s="360"/>
      <c r="M49" s="360"/>
      <c r="N49" s="360"/>
      <c r="O49" s="360"/>
      <c r="P49" s="360"/>
      <c r="Q49" s="360"/>
      <c r="R49" s="361"/>
      <c r="S49" s="362">
        <f>+S46+S39+S33+S29+S21</f>
        <v>124703946.16000001</v>
      </c>
      <c r="T49" s="363"/>
      <c r="V49" s="365"/>
      <c r="W49" s="365"/>
    </row>
    <row r="50" spans="1:23" s="364" customFormat="1" ht="15.75" x14ac:dyDescent="0.25">
      <c r="A50" s="358" t="s">
        <v>188</v>
      </c>
      <c r="B50" s="359"/>
      <c r="C50" s="359"/>
      <c r="D50" s="360"/>
      <c r="E50" s="360"/>
      <c r="F50" s="360"/>
      <c r="G50" s="360"/>
      <c r="H50" s="360"/>
      <c r="I50" s="360"/>
      <c r="J50" s="360"/>
      <c r="K50" s="360"/>
      <c r="L50" s="360"/>
      <c r="M50" s="360"/>
      <c r="N50" s="360"/>
      <c r="O50" s="360"/>
      <c r="P50" s="360"/>
      <c r="Q50" s="360"/>
      <c r="R50" s="361"/>
      <c r="S50" s="366">
        <f>+SUM(R17:R28)+SUM(R31:R32)+R38</f>
        <v>-12340335.390000001</v>
      </c>
      <c r="T50" s="363"/>
      <c r="U50" s="365"/>
      <c r="V50" s="365"/>
      <c r="W50" s="365"/>
    </row>
    <row r="51" spans="1:23" s="364" customFormat="1" ht="16.5" thickBot="1" x14ac:dyDescent="0.3">
      <c r="A51" s="358" t="s">
        <v>187</v>
      </c>
      <c r="B51" s="359"/>
      <c r="C51" s="359"/>
      <c r="D51" s="360"/>
      <c r="E51" s="360"/>
      <c r="F51" s="360"/>
      <c r="G51" s="360"/>
      <c r="H51" s="360"/>
      <c r="I51" s="360"/>
      <c r="J51" s="360"/>
      <c r="K51" s="360"/>
      <c r="L51" s="360"/>
      <c r="M51" s="360"/>
      <c r="N51" s="360"/>
      <c r="O51" s="360"/>
      <c r="P51" s="360"/>
      <c r="Q51" s="360"/>
      <c r="R51" s="361"/>
      <c r="S51" s="367">
        <f>+S49+S50</f>
        <v>112363610.77000001</v>
      </c>
      <c r="T51" s="363"/>
      <c r="U51" s="365"/>
      <c r="V51" s="365"/>
      <c r="W51" s="365"/>
    </row>
    <row r="52" spans="1:23" ht="17.25" thickTop="1" thickBot="1" x14ac:dyDescent="0.3">
      <c r="A52" s="185"/>
      <c r="B52" s="186"/>
      <c r="C52" s="186"/>
      <c r="D52" s="265"/>
      <c r="E52" s="187"/>
      <c r="F52" s="187"/>
      <c r="G52" s="265"/>
      <c r="H52" s="265"/>
      <c r="I52" s="187"/>
      <c r="J52" s="187"/>
      <c r="K52" s="187"/>
      <c r="L52" s="265"/>
      <c r="M52" s="300"/>
      <c r="N52" s="265"/>
      <c r="O52" s="265"/>
      <c r="P52" s="265"/>
      <c r="Q52" s="187"/>
      <c r="R52" s="188"/>
      <c r="S52" s="201"/>
      <c r="T52" s="200"/>
      <c r="U52" s="28"/>
      <c r="V52" s="28"/>
    </row>
    <row r="53" spans="1:23" s="49" customFormat="1" ht="15.75" x14ac:dyDescent="0.25">
      <c r="A53" s="331" t="s">
        <v>6</v>
      </c>
      <c r="B53" s="269" t="s">
        <v>98</v>
      </c>
      <c r="C53" s="270" t="s">
        <v>142</v>
      </c>
      <c r="D53" s="263">
        <v>0</v>
      </c>
      <c r="E53" s="263">
        <v>75576964</v>
      </c>
      <c r="F53" s="263">
        <v>0</v>
      </c>
      <c r="G53" s="263">
        <v>-875864.27</v>
      </c>
      <c r="H53" s="263">
        <f>SUM(F53:G53)</f>
        <v>-875864.27</v>
      </c>
      <c r="I53" s="263">
        <v>0</v>
      </c>
      <c r="J53" s="263">
        <v>0</v>
      </c>
      <c r="K53" s="263">
        <f>SUM(I53:J53)</f>
        <v>0</v>
      </c>
      <c r="L53" s="253">
        <f>+K53+H53</f>
        <v>-875864.27</v>
      </c>
      <c r="M53" s="263">
        <v>-18574001</v>
      </c>
      <c r="N53" s="263">
        <v>0</v>
      </c>
      <c r="O53" s="263">
        <v>0</v>
      </c>
      <c r="P53" s="263">
        <f>SUM(N53:O53)</f>
        <v>0</v>
      </c>
      <c r="Q53" s="322">
        <f>+L53+E53</f>
        <v>74701099.730000004</v>
      </c>
      <c r="R53" s="323">
        <v>0</v>
      </c>
      <c r="S53" s="266"/>
      <c r="T53" s="273"/>
      <c r="U53" s="30"/>
      <c r="V53" s="30"/>
    </row>
    <row r="54" spans="1:23" ht="16.5" thickBot="1" x14ac:dyDescent="0.3">
      <c r="A54" s="178"/>
      <c r="B54" s="174"/>
      <c r="C54" s="174"/>
      <c r="D54" s="98"/>
      <c r="E54" s="159"/>
      <c r="F54" s="159"/>
      <c r="G54" s="159"/>
      <c r="H54" s="98"/>
      <c r="I54" s="159"/>
      <c r="J54" s="159"/>
      <c r="K54" s="159"/>
      <c r="L54" s="98"/>
      <c r="M54" s="299"/>
      <c r="N54" s="98"/>
      <c r="O54" s="98"/>
      <c r="P54" s="98"/>
      <c r="Q54" s="159">
        <f>SUM(Q53:Q53)</f>
        <v>74701099.730000004</v>
      </c>
      <c r="R54" s="90">
        <f>SUM(R53:R53)</f>
        <v>0</v>
      </c>
      <c r="S54" s="177"/>
      <c r="T54" s="180"/>
      <c r="U54" s="28"/>
      <c r="V54" s="28"/>
    </row>
    <row r="55" spans="1:23" ht="17.25" thickTop="1" thickBot="1" x14ac:dyDescent="0.3">
      <c r="A55" s="183"/>
      <c r="B55" s="177"/>
      <c r="C55" s="177"/>
      <c r="D55" s="173"/>
      <c r="E55" s="90"/>
      <c r="F55" s="90"/>
      <c r="G55" s="90"/>
      <c r="H55" s="173"/>
      <c r="I55" s="90"/>
      <c r="J55" s="90"/>
      <c r="K55" s="90"/>
      <c r="L55" s="173"/>
      <c r="M55" s="301"/>
      <c r="N55" s="173"/>
      <c r="O55" s="173"/>
      <c r="P55" s="173"/>
      <c r="Q55" s="177"/>
      <c r="R55" s="177"/>
      <c r="S55" s="160">
        <f>+Q54</f>
        <v>74701099.730000004</v>
      </c>
      <c r="T55" s="180"/>
      <c r="U55" s="28" t="s">
        <v>161</v>
      </c>
      <c r="V55" s="28"/>
    </row>
    <row r="56" spans="1:23" ht="17.25" thickTop="1" thickBot="1" x14ac:dyDescent="0.3">
      <c r="A56" s="183"/>
      <c r="B56" s="177"/>
      <c r="C56" s="177"/>
      <c r="D56" s="173"/>
      <c r="E56" s="90"/>
      <c r="F56" s="90"/>
      <c r="G56" s="90"/>
      <c r="H56" s="173"/>
      <c r="I56" s="90"/>
      <c r="J56" s="90"/>
      <c r="K56" s="90"/>
      <c r="L56" s="173"/>
      <c r="M56" s="301"/>
      <c r="N56" s="173"/>
      <c r="O56" s="173"/>
      <c r="P56" s="173"/>
      <c r="Q56" s="177"/>
      <c r="R56" s="177"/>
      <c r="S56" s="69"/>
      <c r="T56" s="180"/>
      <c r="U56" s="28"/>
      <c r="V56" s="28"/>
    </row>
    <row r="57" spans="1:23" s="25" customFormat="1" ht="18.75" customHeight="1" x14ac:dyDescent="0.25">
      <c r="A57" s="335" t="s">
        <v>169</v>
      </c>
      <c r="B57" s="336" t="s">
        <v>98</v>
      </c>
      <c r="C57" s="190" t="s">
        <v>142</v>
      </c>
      <c r="D57" s="326">
        <v>0</v>
      </c>
      <c r="E57" s="326">
        <v>0</v>
      </c>
      <c r="F57" s="326">
        <v>0</v>
      </c>
      <c r="G57" s="326">
        <v>0</v>
      </c>
      <c r="H57" s="191">
        <f>SUM(F57:G57)</f>
        <v>0</v>
      </c>
      <c r="I57" s="326">
        <v>0</v>
      </c>
      <c r="J57" s="326">
        <v>0</v>
      </c>
      <c r="K57" s="191">
        <f>SUM(I57:J57)</f>
        <v>0</v>
      </c>
      <c r="L57" s="191">
        <f>+K57+H57</f>
        <v>0</v>
      </c>
      <c r="M57" s="326"/>
      <c r="N57" s="326">
        <v>0</v>
      </c>
      <c r="O57" s="326">
        <v>0</v>
      </c>
      <c r="P57" s="191">
        <f>SUM(N57:O57)</f>
        <v>0</v>
      </c>
      <c r="Q57" s="326">
        <f>+L57</f>
        <v>0</v>
      </c>
      <c r="R57" s="337">
        <v>0</v>
      </c>
      <c r="S57" s="338"/>
      <c r="T57" s="202" t="s">
        <v>130</v>
      </c>
      <c r="U57" s="24"/>
      <c r="V57" s="24"/>
    </row>
    <row r="58" spans="1:23" s="25" customFormat="1" ht="16.5" thickBot="1" x14ac:dyDescent="0.3">
      <c r="A58" s="339"/>
      <c r="B58" s="340"/>
      <c r="C58" s="341" t="s">
        <v>142</v>
      </c>
      <c r="D58" s="342"/>
      <c r="E58" s="342"/>
      <c r="F58" s="342"/>
      <c r="G58" s="342"/>
      <c r="H58" s="342"/>
      <c r="I58" s="342"/>
      <c r="J58" s="342"/>
      <c r="K58" s="342"/>
      <c r="L58" s="343"/>
      <c r="M58" s="342"/>
      <c r="N58" s="342"/>
      <c r="O58" s="342"/>
      <c r="P58" s="342"/>
      <c r="Q58" s="165"/>
      <c r="R58" s="342"/>
      <c r="S58" s="340"/>
      <c r="T58" s="344"/>
      <c r="U58" s="24"/>
      <c r="V58" s="24"/>
    </row>
    <row r="59" spans="1:23" ht="16.5" thickBot="1" x14ac:dyDescent="0.3">
      <c r="A59" s="179"/>
      <c r="B59" s="177"/>
      <c r="C59" s="177"/>
      <c r="D59" s="173"/>
      <c r="E59" s="90"/>
      <c r="F59" s="90"/>
      <c r="G59" s="90"/>
      <c r="H59" s="90"/>
      <c r="I59" s="90"/>
      <c r="J59" s="90"/>
      <c r="K59" s="90"/>
      <c r="L59" s="252"/>
      <c r="M59" s="301"/>
      <c r="N59" s="90"/>
      <c r="O59" s="90"/>
      <c r="P59" s="90"/>
      <c r="Q59" s="264"/>
      <c r="R59" s="90"/>
      <c r="S59" s="306"/>
      <c r="T59" s="180"/>
      <c r="U59" s="28"/>
      <c r="V59" s="28"/>
    </row>
    <row r="60" spans="1:23" s="364" customFormat="1" x14ac:dyDescent="0.2">
      <c r="A60" s="368"/>
      <c r="B60" s="369"/>
      <c r="C60" s="369"/>
      <c r="D60" s="370"/>
      <c r="E60" s="370"/>
      <c r="F60" s="370"/>
      <c r="G60" s="370"/>
      <c r="H60" s="370"/>
      <c r="I60" s="370"/>
      <c r="J60" s="370"/>
      <c r="K60" s="370"/>
      <c r="L60" s="370"/>
      <c r="M60" s="370"/>
      <c r="N60" s="370"/>
      <c r="O60" s="370"/>
      <c r="P60" s="370"/>
      <c r="Q60" s="370"/>
      <c r="R60" s="370"/>
      <c r="S60" s="361"/>
      <c r="T60" s="371"/>
      <c r="U60" s="365"/>
      <c r="V60" s="365"/>
    </row>
    <row r="61" spans="1:23" s="364" customFormat="1" ht="15.75" x14ac:dyDescent="0.25">
      <c r="A61" s="372"/>
      <c r="B61" s="373"/>
      <c r="C61" s="373"/>
      <c r="D61" s="361"/>
      <c r="E61" s="361"/>
      <c r="F61" s="361"/>
      <c r="G61" s="361"/>
      <c r="H61" s="361"/>
      <c r="I61" s="361"/>
      <c r="J61" s="361"/>
      <c r="K61" s="361"/>
      <c r="L61" s="361"/>
      <c r="M61" s="361"/>
      <c r="N61" s="361"/>
      <c r="O61" s="361"/>
      <c r="P61" s="361"/>
      <c r="Q61" s="374">
        <f>+Q15+Q47+Q54</f>
        <v>585222263.81000006</v>
      </c>
      <c r="R61" s="374">
        <f>+R15+R47+R54</f>
        <v>-198464736.70000002</v>
      </c>
      <c r="S61" s="361"/>
      <c r="T61" s="363"/>
      <c r="V61" s="365"/>
    </row>
    <row r="62" spans="1:23" s="364" customFormat="1" ht="15.75" x14ac:dyDescent="0.25">
      <c r="A62" s="358" t="s">
        <v>30</v>
      </c>
      <c r="B62" s="373"/>
      <c r="C62" s="373"/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73"/>
      <c r="R62" s="373"/>
      <c r="S62" s="362">
        <f>+S15+S49+S55</f>
        <v>440617672.10000002</v>
      </c>
      <c r="T62" s="363"/>
      <c r="U62" s="365"/>
      <c r="V62" s="365"/>
    </row>
    <row r="63" spans="1:23" s="364" customFormat="1" ht="15.75" x14ac:dyDescent="0.25">
      <c r="A63" s="358" t="s">
        <v>188</v>
      </c>
      <c r="B63" s="373"/>
      <c r="C63" s="373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73"/>
      <c r="R63" s="373"/>
      <c r="S63" s="366">
        <f>+S50</f>
        <v>-12340335.390000001</v>
      </c>
      <c r="T63" s="363"/>
      <c r="U63" s="365"/>
      <c r="V63" s="365"/>
    </row>
    <row r="64" spans="1:23" s="364" customFormat="1" ht="16.5" thickBot="1" x14ac:dyDescent="0.3">
      <c r="A64" s="358" t="s">
        <v>190</v>
      </c>
      <c r="B64" s="373"/>
      <c r="C64" s="373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73"/>
      <c r="R64" s="373"/>
      <c r="S64" s="367">
        <f>+S62+S63</f>
        <v>428277336.71000004</v>
      </c>
      <c r="T64" s="363"/>
      <c r="U64" s="365"/>
      <c r="V64" s="365"/>
    </row>
    <row r="65" spans="1:22" s="364" customFormat="1" ht="16.5" thickTop="1" thickBot="1" x14ac:dyDescent="0.25">
      <c r="A65" s="375"/>
      <c r="B65" s="376"/>
      <c r="C65" s="376"/>
      <c r="D65" s="377"/>
      <c r="E65" s="377"/>
      <c r="F65" s="377"/>
      <c r="G65" s="377"/>
      <c r="H65" s="377"/>
      <c r="I65" s="377"/>
      <c r="J65" s="377"/>
      <c r="K65" s="377"/>
      <c r="L65" s="377"/>
      <c r="M65" s="377"/>
      <c r="N65" s="377"/>
      <c r="O65" s="377"/>
      <c r="P65" s="377"/>
      <c r="Q65" s="377"/>
      <c r="R65" s="377"/>
      <c r="S65" s="377"/>
      <c r="T65" s="378"/>
      <c r="U65" s="365"/>
      <c r="V65" s="365"/>
    </row>
    <row r="66" spans="1:22" ht="15.75" x14ac:dyDescent="0.25">
      <c r="A66" s="23" t="s">
        <v>131</v>
      </c>
      <c r="D66" s="93"/>
      <c r="E66" s="28"/>
      <c r="F66" s="28"/>
      <c r="G66" s="28"/>
      <c r="H66" s="28"/>
      <c r="I66" s="28"/>
      <c r="J66" s="28"/>
      <c r="K66" s="28"/>
      <c r="L66" s="40"/>
      <c r="M66" s="302"/>
      <c r="N66" s="28"/>
      <c r="O66" s="28"/>
      <c r="P66" s="28"/>
      <c r="Q66" s="28"/>
      <c r="R66" s="28"/>
      <c r="S66" s="28"/>
      <c r="T66" s="28"/>
      <c r="U66" s="28"/>
      <c r="V66" s="28"/>
    </row>
    <row r="67" spans="1:22" x14ac:dyDescent="0.2">
      <c r="A67" s="96" t="s">
        <v>189</v>
      </c>
      <c r="B67" s="96"/>
      <c r="C67" s="96"/>
      <c r="D67" s="93"/>
      <c r="E67" s="28"/>
      <c r="F67" s="28"/>
      <c r="G67" s="28"/>
      <c r="H67" s="28"/>
      <c r="I67" s="28"/>
      <c r="J67" s="28"/>
      <c r="K67" s="28"/>
      <c r="L67" s="28"/>
      <c r="M67" s="302"/>
      <c r="N67" s="28"/>
      <c r="O67" s="28"/>
      <c r="P67" s="28"/>
      <c r="Q67" s="28"/>
      <c r="R67" s="28"/>
      <c r="S67" s="28"/>
      <c r="T67" s="28"/>
      <c r="U67" s="28"/>
      <c r="V67" s="28"/>
    </row>
    <row r="68" spans="1:22" x14ac:dyDescent="0.2">
      <c r="A68" s="96" t="s">
        <v>181</v>
      </c>
      <c r="B68" s="96"/>
      <c r="C68" s="96"/>
      <c r="D68" s="93"/>
      <c r="E68" s="28"/>
      <c r="F68" s="28"/>
      <c r="G68" s="28"/>
      <c r="H68" s="28"/>
      <c r="I68" s="28"/>
      <c r="J68" s="28"/>
      <c r="K68" s="28"/>
      <c r="L68" s="28"/>
      <c r="M68" s="302"/>
      <c r="N68" s="28"/>
      <c r="O68" s="28"/>
      <c r="P68" s="28"/>
      <c r="Q68" s="28"/>
      <c r="R68" s="28"/>
      <c r="S68" s="28"/>
      <c r="T68" s="28"/>
      <c r="U68" s="28"/>
      <c r="V68" s="28"/>
    </row>
    <row r="69" spans="1:22" x14ac:dyDescent="0.2">
      <c r="A69" s="96"/>
      <c r="B69" s="96"/>
      <c r="C69" s="96"/>
      <c r="D69" s="93"/>
      <c r="E69" s="28"/>
      <c r="F69" s="28"/>
      <c r="G69" s="28"/>
      <c r="H69" s="28"/>
      <c r="I69" s="28"/>
      <c r="J69" s="28"/>
      <c r="K69" s="28"/>
      <c r="L69" s="28"/>
      <c r="M69" s="302"/>
      <c r="N69" s="28"/>
      <c r="O69" s="28"/>
      <c r="P69" s="28"/>
      <c r="Q69" s="28"/>
      <c r="R69" s="28"/>
      <c r="S69" s="28"/>
      <c r="T69" s="28"/>
      <c r="U69" s="28"/>
      <c r="V69" s="28"/>
    </row>
    <row r="70" spans="1:22" x14ac:dyDescent="0.2">
      <c r="A70" s="96"/>
      <c r="B70" s="96"/>
      <c r="C70" s="96"/>
      <c r="D70" s="93"/>
      <c r="E70" s="28"/>
      <c r="F70" s="28"/>
      <c r="G70" s="28"/>
      <c r="H70" s="28"/>
      <c r="I70" s="28"/>
      <c r="J70" s="28"/>
      <c r="K70" s="28"/>
      <c r="L70" s="28"/>
      <c r="M70" s="302"/>
      <c r="N70" s="28"/>
      <c r="O70" s="28"/>
      <c r="P70" s="28"/>
      <c r="Q70" s="28"/>
      <c r="R70" s="28"/>
      <c r="S70" s="28"/>
      <c r="T70" s="28"/>
      <c r="U70" s="28"/>
      <c r="V70" s="28"/>
    </row>
    <row r="71" spans="1:22" s="96" customFormat="1" ht="18" x14ac:dyDescent="0.25">
      <c r="A71" s="249"/>
      <c r="D71" s="93"/>
      <c r="E71" s="93"/>
      <c r="F71" s="93"/>
      <c r="G71" s="93"/>
      <c r="H71" s="93"/>
      <c r="I71" s="93"/>
      <c r="J71" s="93"/>
      <c r="K71" s="93"/>
      <c r="L71" s="93"/>
      <c r="M71" s="302"/>
      <c r="N71" s="93"/>
      <c r="O71" s="93"/>
      <c r="P71" s="93"/>
      <c r="Q71" s="93"/>
      <c r="R71" s="93"/>
      <c r="S71" s="93"/>
      <c r="T71" s="93"/>
      <c r="U71" s="93"/>
      <c r="V71" s="93"/>
    </row>
    <row r="72" spans="1:22" ht="15.75" x14ac:dyDescent="0.25">
      <c r="D72" s="93"/>
      <c r="E72" s="93"/>
      <c r="F72" s="28"/>
      <c r="G72" s="28"/>
      <c r="H72" s="28"/>
      <c r="I72" s="93"/>
      <c r="J72" s="93"/>
      <c r="K72" s="28"/>
      <c r="L72" s="11" t="s">
        <v>123</v>
      </c>
      <c r="M72" s="302"/>
      <c r="N72" s="28"/>
      <c r="O72" s="28"/>
      <c r="P72" s="28"/>
      <c r="Q72" s="134">
        <f>+Q61-Q31-Q12-Q11-Q45-Q14</f>
        <v>288932542.89000005</v>
      </c>
      <c r="R72" s="134">
        <f>+R61-R31-R12-R11-R45-R14</f>
        <v>-198464736.70000002</v>
      </c>
      <c r="S72" s="28"/>
      <c r="T72" s="28"/>
      <c r="U72" s="28"/>
      <c r="V72" s="28"/>
    </row>
    <row r="73" spans="1:22" x14ac:dyDescent="0.2">
      <c r="D73" s="93"/>
      <c r="E73" s="28"/>
      <c r="F73" s="28"/>
      <c r="G73" s="28"/>
      <c r="H73" s="28"/>
      <c r="I73" s="93"/>
      <c r="J73" s="93"/>
      <c r="K73" s="28"/>
      <c r="L73" s="28"/>
      <c r="M73" s="302"/>
      <c r="N73" s="28"/>
      <c r="O73" s="28"/>
      <c r="P73" s="28"/>
      <c r="Q73" s="134"/>
      <c r="R73" s="134"/>
      <c r="S73" s="28"/>
      <c r="T73" s="28"/>
      <c r="U73" s="28"/>
      <c r="V73" s="28"/>
    </row>
    <row r="74" spans="1:22" x14ac:dyDescent="0.2">
      <c r="D74" s="93"/>
      <c r="E74" s="28"/>
      <c r="F74" s="28"/>
      <c r="G74" s="28"/>
      <c r="H74" s="28"/>
      <c r="I74" s="93"/>
      <c r="J74" s="93"/>
      <c r="K74" s="28"/>
      <c r="L74" s="28"/>
      <c r="M74" s="302"/>
      <c r="N74" s="28"/>
      <c r="O74" s="28"/>
      <c r="P74" s="28"/>
      <c r="Q74" s="28"/>
      <c r="R74" s="28"/>
      <c r="S74" s="28"/>
      <c r="T74" s="28"/>
      <c r="U74" s="28"/>
      <c r="V74" s="28"/>
    </row>
    <row r="75" spans="1:22" x14ac:dyDescent="0.2">
      <c r="D75" s="93"/>
      <c r="E75" s="28"/>
      <c r="F75" s="28"/>
      <c r="G75" s="28"/>
      <c r="H75" s="28"/>
      <c r="I75" s="93"/>
      <c r="J75" s="93"/>
      <c r="K75" s="28"/>
      <c r="L75" s="28"/>
      <c r="M75" s="302"/>
      <c r="N75" s="28"/>
      <c r="O75" s="28"/>
      <c r="P75" s="28"/>
      <c r="Q75" s="28"/>
      <c r="R75" s="28"/>
      <c r="S75" s="28"/>
      <c r="T75" s="28"/>
      <c r="U75" s="28"/>
      <c r="V75" s="28"/>
    </row>
    <row r="76" spans="1:22" x14ac:dyDescent="0.2">
      <c r="D76" s="93"/>
      <c r="E76" s="28"/>
      <c r="F76" s="28"/>
      <c r="G76" s="28"/>
      <c r="H76" s="28"/>
      <c r="I76" s="93"/>
      <c r="J76" s="93"/>
      <c r="K76" s="28"/>
      <c r="L76" s="28"/>
      <c r="M76" s="302"/>
      <c r="N76" s="28"/>
      <c r="O76" s="28"/>
      <c r="P76" s="28"/>
      <c r="Q76" s="28"/>
      <c r="R76" s="28"/>
      <c r="S76" s="28"/>
      <c r="T76" s="28"/>
      <c r="U76" s="28"/>
      <c r="V76" s="28"/>
    </row>
    <row r="77" spans="1:22" x14ac:dyDescent="0.2">
      <c r="D77" s="93"/>
      <c r="E77" s="28"/>
      <c r="F77" s="28"/>
      <c r="G77" s="28"/>
      <c r="H77" s="28"/>
      <c r="I77" s="93"/>
      <c r="J77" s="93"/>
      <c r="K77" s="28"/>
      <c r="L77" s="28"/>
      <c r="M77" s="302"/>
      <c r="N77" s="28"/>
      <c r="O77" s="28"/>
      <c r="P77" s="28"/>
      <c r="Q77" s="28"/>
      <c r="R77" s="28"/>
      <c r="S77" s="28"/>
      <c r="T77" s="28"/>
      <c r="U77" s="28"/>
      <c r="V77" s="28"/>
    </row>
    <row r="78" spans="1:22" x14ac:dyDescent="0.2">
      <c r="D78" s="93"/>
      <c r="E78" s="28"/>
      <c r="F78" s="90"/>
      <c r="G78" s="28"/>
      <c r="H78" s="28"/>
      <c r="I78" s="93"/>
      <c r="J78" s="93"/>
      <c r="K78" s="28"/>
      <c r="L78" s="28"/>
      <c r="M78" s="302"/>
      <c r="N78" s="28"/>
      <c r="O78" s="28"/>
      <c r="P78" s="28"/>
      <c r="Q78" s="28"/>
      <c r="R78" s="28"/>
      <c r="S78" s="28"/>
      <c r="T78" s="28"/>
      <c r="U78" s="28"/>
      <c r="V78" s="28"/>
    </row>
    <row r="79" spans="1:22" x14ac:dyDescent="0.2">
      <c r="D79" s="93"/>
      <c r="E79" s="28"/>
      <c r="F79" s="28"/>
      <c r="G79" s="28"/>
      <c r="H79" s="28"/>
      <c r="I79" s="93"/>
      <c r="J79" s="93"/>
      <c r="K79" s="28"/>
      <c r="L79" s="28"/>
      <c r="M79" s="302"/>
      <c r="N79" s="28"/>
      <c r="O79" s="28"/>
      <c r="P79" s="28"/>
      <c r="Q79" s="28"/>
      <c r="R79" s="28"/>
      <c r="S79" s="28"/>
      <c r="T79" s="28"/>
      <c r="U79" s="28"/>
      <c r="V79" s="28"/>
    </row>
    <row r="80" spans="1:22" x14ac:dyDescent="0.2">
      <c r="D80" s="93"/>
      <c r="E80" s="28"/>
      <c r="F80" s="28"/>
      <c r="G80" s="28"/>
      <c r="H80" s="28"/>
      <c r="I80" s="93"/>
      <c r="J80" s="93"/>
      <c r="K80" s="28"/>
      <c r="L80" s="28"/>
      <c r="M80" s="302"/>
      <c r="N80" s="28"/>
      <c r="O80" s="28"/>
      <c r="P80" s="28"/>
      <c r="Q80" s="28"/>
      <c r="R80" s="28"/>
      <c r="S80" s="28"/>
      <c r="T80" s="28"/>
      <c r="U80" s="28"/>
      <c r="V80" s="28"/>
    </row>
    <row r="81" spans="4:22" x14ac:dyDescent="0.2">
      <c r="D81" s="93"/>
      <c r="E81" s="28"/>
      <c r="F81" s="28"/>
      <c r="G81" s="28"/>
      <c r="H81" s="28"/>
      <c r="I81" s="93"/>
      <c r="J81" s="93"/>
      <c r="K81" s="28"/>
      <c r="L81" s="28"/>
      <c r="M81" s="302"/>
      <c r="N81" s="28"/>
      <c r="O81" s="28"/>
      <c r="P81" s="28"/>
      <c r="Q81" s="28"/>
      <c r="R81" s="28"/>
      <c r="S81" s="28"/>
      <c r="T81" s="28"/>
      <c r="U81" s="28"/>
      <c r="V81" s="28"/>
    </row>
    <row r="82" spans="4:22" x14ac:dyDescent="0.2">
      <c r="D82" s="93"/>
      <c r="E82" s="28"/>
      <c r="F82" s="28"/>
      <c r="G82" s="28"/>
      <c r="H82" s="28"/>
      <c r="I82" s="93"/>
      <c r="J82" s="93"/>
      <c r="K82" s="28"/>
      <c r="L82" s="28"/>
      <c r="M82" s="302"/>
      <c r="N82" s="28"/>
      <c r="O82" s="28"/>
      <c r="P82" s="28"/>
      <c r="Q82" s="28"/>
      <c r="R82" s="28"/>
      <c r="S82" s="28"/>
      <c r="T82" s="28"/>
      <c r="U82" s="28"/>
      <c r="V82" s="28"/>
    </row>
    <row r="83" spans="4:22" x14ac:dyDescent="0.2">
      <c r="D83" s="93"/>
      <c r="E83" s="28"/>
      <c r="F83" s="28"/>
      <c r="G83" s="28"/>
      <c r="H83" s="28"/>
      <c r="I83" s="93"/>
      <c r="J83" s="93"/>
      <c r="K83" s="28"/>
      <c r="L83" s="28"/>
      <c r="M83" s="302"/>
      <c r="N83" s="28"/>
      <c r="O83" s="28"/>
      <c r="P83" s="28"/>
      <c r="Q83" s="28"/>
      <c r="R83" s="28"/>
      <c r="S83" s="28"/>
      <c r="T83" s="28"/>
      <c r="U83" s="28"/>
      <c r="V83" s="28"/>
    </row>
    <row r="84" spans="4:22" x14ac:dyDescent="0.2">
      <c r="D84" s="93"/>
      <c r="E84" s="28"/>
      <c r="F84" s="28"/>
      <c r="G84" s="28"/>
      <c r="H84" s="28"/>
      <c r="I84" s="93"/>
      <c r="J84" s="93"/>
      <c r="K84" s="28"/>
      <c r="L84" s="28"/>
      <c r="M84" s="302"/>
      <c r="N84" s="28"/>
      <c r="O84" s="28"/>
      <c r="P84" s="28"/>
      <c r="Q84" s="28"/>
      <c r="R84" s="28"/>
      <c r="S84" s="28"/>
      <c r="T84" s="28"/>
      <c r="U84" s="28"/>
      <c r="V84" s="28"/>
    </row>
    <row r="85" spans="4:22" x14ac:dyDescent="0.2">
      <c r="D85" s="93"/>
      <c r="E85" s="28"/>
      <c r="F85" s="28"/>
      <c r="G85" s="28"/>
      <c r="H85" s="28"/>
      <c r="I85" s="93"/>
      <c r="J85" s="93"/>
      <c r="K85" s="28"/>
      <c r="L85" s="28"/>
      <c r="M85" s="302"/>
      <c r="N85" s="28"/>
      <c r="O85" s="28"/>
      <c r="P85" s="28"/>
      <c r="Q85" s="28"/>
      <c r="R85" s="28"/>
      <c r="S85" s="28"/>
      <c r="T85" s="28"/>
      <c r="U85" s="28"/>
      <c r="V85" s="28"/>
    </row>
    <row r="86" spans="4:22" x14ac:dyDescent="0.2">
      <c r="D86" s="93"/>
      <c r="E86" s="28"/>
      <c r="F86" s="28"/>
      <c r="G86" s="28"/>
      <c r="H86" s="28"/>
      <c r="I86" s="93"/>
      <c r="J86" s="93"/>
      <c r="K86" s="28"/>
      <c r="L86" s="28"/>
      <c r="M86" s="302"/>
      <c r="N86" s="28"/>
      <c r="O86" s="28"/>
      <c r="P86" s="28"/>
      <c r="Q86" s="28"/>
      <c r="R86" s="28"/>
      <c r="S86" s="28"/>
      <c r="T86" s="28"/>
      <c r="U86" s="28"/>
      <c r="V86" s="28"/>
    </row>
    <row r="87" spans="4:22" x14ac:dyDescent="0.2">
      <c r="D87" s="93"/>
      <c r="E87" s="28"/>
      <c r="F87" s="28"/>
      <c r="G87" s="28"/>
      <c r="H87" s="28"/>
      <c r="I87" s="93"/>
      <c r="J87" s="93"/>
      <c r="K87" s="28"/>
      <c r="L87" s="28"/>
      <c r="M87" s="302"/>
      <c r="N87" s="28"/>
      <c r="O87" s="28"/>
      <c r="P87" s="28"/>
      <c r="Q87" s="28"/>
      <c r="R87" s="28"/>
      <c r="S87" s="28"/>
      <c r="T87" s="28"/>
      <c r="U87" s="28"/>
      <c r="V87" s="28"/>
    </row>
    <row r="88" spans="4:22" x14ac:dyDescent="0.2">
      <c r="D88" s="93"/>
      <c r="E88" s="28"/>
      <c r="F88" s="28"/>
      <c r="G88" s="28"/>
      <c r="H88" s="28"/>
      <c r="I88" s="93"/>
      <c r="J88" s="93"/>
      <c r="K88" s="28"/>
      <c r="L88" s="28"/>
      <c r="M88" s="302"/>
      <c r="N88" s="28"/>
      <c r="O88" s="28"/>
      <c r="P88" s="28"/>
      <c r="Q88" s="28"/>
      <c r="R88" s="28"/>
      <c r="S88" s="28"/>
      <c r="T88" s="28"/>
      <c r="U88" s="28"/>
      <c r="V88" s="28"/>
    </row>
    <row r="89" spans="4:22" x14ac:dyDescent="0.2">
      <c r="D89" s="93"/>
      <c r="E89" s="28"/>
      <c r="F89" s="28"/>
      <c r="G89" s="28"/>
      <c r="H89" s="28"/>
      <c r="I89" s="93"/>
      <c r="J89" s="93"/>
      <c r="K89" s="28"/>
      <c r="L89" s="28"/>
      <c r="M89" s="302"/>
      <c r="N89" s="28"/>
      <c r="O89" s="28"/>
      <c r="P89" s="28"/>
      <c r="Q89" s="28"/>
      <c r="R89" s="28"/>
      <c r="S89" s="28"/>
      <c r="T89" s="28"/>
      <c r="U89" s="28"/>
      <c r="V89" s="28"/>
    </row>
    <row r="90" spans="4:22" x14ac:dyDescent="0.2">
      <c r="D90" s="93"/>
      <c r="E90" s="28"/>
      <c r="F90" s="28"/>
      <c r="G90" s="28"/>
      <c r="H90" s="28"/>
      <c r="I90" s="93"/>
      <c r="J90" s="93"/>
      <c r="K90" s="28"/>
      <c r="L90" s="28"/>
      <c r="M90" s="302"/>
      <c r="N90" s="28"/>
      <c r="O90" s="28"/>
      <c r="P90" s="28"/>
      <c r="Q90" s="28"/>
      <c r="R90" s="28"/>
      <c r="S90" s="28"/>
      <c r="T90" s="28"/>
      <c r="U90" s="28"/>
      <c r="V90" s="28"/>
    </row>
    <row r="91" spans="4:22" x14ac:dyDescent="0.2">
      <c r="I91" s="93"/>
      <c r="J91" s="93"/>
    </row>
    <row r="92" spans="4:22" x14ac:dyDescent="0.2">
      <c r="I92" s="93"/>
      <c r="J92" s="93"/>
    </row>
    <row r="93" spans="4:22" x14ac:dyDescent="0.2">
      <c r="I93" s="93"/>
      <c r="J93" s="93"/>
    </row>
    <row r="94" spans="4:22" x14ac:dyDescent="0.2">
      <c r="I94" s="93"/>
      <c r="J94" s="93"/>
    </row>
    <row r="95" spans="4:22" x14ac:dyDescent="0.2">
      <c r="I95" s="93"/>
      <c r="J95" s="93"/>
    </row>
    <row r="96" spans="4:22" x14ac:dyDescent="0.2">
      <c r="I96" s="93"/>
      <c r="J96" s="93"/>
    </row>
    <row r="97" spans="9:10" x14ac:dyDescent="0.2">
      <c r="I97" s="93"/>
      <c r="J97" s="93"/>
    </row>
    <row r="98" spans="9:10" x14ac:dyDescent="0.2">
      <c r="I98" s="93"/>
      <c r="J98" s="93"/>
    </row>
    <row r="99" spans="9:10" x14ac:dyDescent="0.2">
      <c r="I99" s="93"/>
      <c r="J99" s="93"/>
    </row>
    <row r="100" spans="9:10" x14ac:dyDescent="0.2">
      <c r="I100" s="93"/>
      <c r="J100" s="93"/>
    </row>
    <row r="101" spans="9:10" x14ac:dyDescent="0.2">
      <c r="I101" s="93"/>
      <c r="J101" s="93"/>
    </row>
    <row r="102" spans="9:10" x14ac:dyDescent="0.2">
      <c r="I102" s="93"/>
      <c r="J102" s="93"/>
    </row>
    <row r="103" spans="9:10" x14ac:dyDescent="0.2">
      <c r="I103" s="93"/>
      <c r="J103" s="93"/>
    </row>
    <row r="104" spans="9:10" x14ac:dyDescent="0.2">
      <c r="I104" s="93"/>
      <c r="J104" s="93"/>
    </row>
    <row r="105" spans="9:10" x14ac:dyDescent="0.2">
      <c r="I105" s="93"/>
      <c r="J105" s="93"/>
    </row>
    <row r="106" spans="9:10" x14ac:dyDescent="0.2">
      <c r="I106" s="93"/>
      <c r="J106" s="93"/>
    </row>
    <row r="107" spans="9:10" x14ac:dyDescent="0.2">
      <c r="I107" s="93"/>
      <c r="J107" s="93"/>
    </row>
    <row r="108" spans="9:10" x14ac:dyDescent="0.2">
      <c r="I108" s="93"/>
      <c r="J108" s="93"/>
    </row>
    <row r="109" spans="9:10" x14ac:dyDescent="0.2">
      <c r="I109" s="93"/>
      <c r="J109" s="93"/>
    </row>
    <row r="110" spans="9:10" x14ac:dyDescent="0.2">
      <c r="I110" s="93"/>
      <c r="J110" s="93"/>
    </row>
    <row r="111" spans="9:10" x14ac:dyDescent="0.2">
      <c r="I111" s="93"/>
      <c r="J111" s="93"/>
    </row>
    <row r="112" spans="9:10" x14ac:dyDescent="0.2">
      <c r="I112" s="93"/>
      <c r="J112" s="93"/>
    </row>
    <row r="113" spans="9:10" x14ac:dyDescent="0.2">
      <c r="I113" s="93"/>
      <c r="J113" s="93"/>
    </row>
    <row r="114" spans="9:10" x14ac:dyDescent="0.2">
      <c r="I114" s="93"/>
      <c r="J114" s="93"/>
    </row>
    <row r="115" spans="9:10" x14ac:dyDescent="0.2">
      <c r="I115" s="93"/>
      <c r="J115" s="93"/>
    </row>
    <row r="116" spans="9:10" x14ac:dyDescent="0.2">
      <c r="I116" s="93"/>
      <c r="J116" s="93"/>
    </row>
    <row r="117" spans="9:10" x14ac:dyDescent="0.2">
      <c r="I117" s="93"/>
      <c r="J117" s="93"/>
    </row>
    <row r="118" spans="9:10" x14ac:dyDescent="0.2">
      <c r="I118" s="93"/>
      <c r="J118" s="93"/>
    </row>
    <row r="119" spans="9:10" x14ac:dyDescent="0.2">
      <c r="I119" s="93"/>
      <c r="J119" s="93"/>
    </row>
    <row r="120" spans="9:10" x14ac:dyDescent="0.2">
      <c r="I120" s="93"/>
      <c r="J120" s="93"/>
    </row>
    <row r="121" spans="9:10" x14ac:dyDescent="0.2">
      <c r="I121" s="93"/>
      <c r="J121" s="93"/>
    </row>
    <row r="122" spans="9:10" x14ac:dyDescent="0.2">
      <c r="I122" s="93"/>
      <c r="J122" s="93"/>
    </row>
    <row r="123" spans="9:10" x14ac:dyDescent="0.2">
      <c r="I123" s="93"/>
      <c r="J123" s="93"/>
    </row>
    <row r="124" spans="9:10" x14ac:dyDescent="0.2">
      <c r="I124" s="93"/>
      <c r="J124" s="93"/>
    </row>
    <row r="125" spans="9:10" x14ac:dyDescent="0.2">
      <c r="I125" s="93"/>
      <c r="J125" s="93"/>
    </row>
    <row r="126" spans="9:10" x14ac:dyDescent="0.2">
      <c r="I126" s="93"/>
      <c r="J126" s="93"/>
    </row>
    <row r="127" spans="9:10" x14ac:dyDescent="0.2">
      <c r="I127" s="93"/>
      <c r="J127" s="93"/>
    </row>
    <row r="128" spans="9:10" x14ac:dyDescent="0.2">
      <c r="I128" s="28"/>
      <c r="J128" s="28"/>
    </row>
    <row r="130" spans="9:10" x14ac:dyDescent="0.2">
      <c r="I130" s="28"/>
      <c r="J130" s="28"/>
    </row>
  </sheetData>
  <mergeCells count="3">
    <mergeCell ref="F4:H4"/>
    <mergeCell ref="I4:K4"/>
    <mergeCell ref="N4:P4"/>
  </mergeCells>
  <phoneticPr fontId="0" type="noConversion"/>
  <pageMargins left="0.27" right="0.25" top="0.62" bottom="0.53" header="0.27" footer="0.5"/>
  <pageSetup scale="42" orientation="landscape" r:id="rId1"/>
  <headerFooter alignWithMargins="0">
    <oddHeader>&amp;C&amp;"Arial,Bold"&amp;16HIGHLY CONFIDENTIAL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zoomScale="75" workbookViewId="0">
      <pane xSplit="3" ySplit="6" topLeftCell="D16" activePane="bottomRight" state="frozen"/>
      <selection pane="topRight" activeCell="D1" sqref="D1"/>
      <selection pane="bottomLeft" activeCell="A7" sqref="A7"/>
      <selection pane="bottomRight" activeCell="A37" sqref="A37"/>
    </sheetView>
  </sheetViews>
  <sheetFormatPr defaultRowHeight="12.75" x14ac:dyDescent="0.2"/>
  <cols>
    <col min="1" max="1" width="40.85546875" customWidth="1"/>
    <col min="2" max="2" width="23" customWidth="1"/>
    <col min="3" max="3" width="16.28515625" hidden="1" customWidth="1"/>
    <col min="4" max="4" width="19" customWidth="1"/>
    <col min="5" max="5" width="19.140625" customWidth="1"/>
    <col min="6" max="6" width="16.28515625" hidden="1" customWidth="1"/>
    <col min="7" max="7" width="19.28515625" hidden="1" customWidth="1"/>
    <col min="8" max="9" width="16.28515625" hidden="1" customWidth="1"/>
    <col min="10" max="10" width="19" hidden="1" customWidth="1"/>
    <col min="11" max="11" width="16.28515625" hidden="1" customWidth="1"/>
    <col min="12" max="12" width="23.5703125" customWidth="1"/>
    <col min="13" max="13" width="16.28515625" style="303" hidden="1" customWidth="1"/>
    <col min="14" max="14" width="17.28515625" hidden="1" customWidth="1"/>
    <col min="15" max="16" width="16.28515625" hidden="1" customWidth="1"/>
    <col min="17" max="17" width="16.28515625" customWidth="1"/>
    <col min="18" max="18" width="18.7109375" bestFit="1" customWidth="1"/>
    <col min="19" max="19" width="50.140625" customWidth="1"/>
    <col min="20" max="20" width="6" customWidth="1"/>
    <col min="21" max="21" width="22.140625" customWidth="1"/>
    <col min="22" max="22" width="25.5703125" customWidth="1"/>
    <col min="23" max="23" width="15.140625" bestFit="1" customWidth="1"/>
  </cols>
  <sheetData>
    <row r="1" spans="1:22" ht="20.25" x14ac:dyDescent="0.3">
      <c r="A1" s="18" t="s">
        <v>83</v>
      </c>
    </row>
    <row r="2" spans="1:22" ht="18" x14ac:dyDescent="0.25">
      <c r="A2" s="17" t="s">
        <v>174</v>
      </c>
      <c r="B2" s="16">
        <f>+'PG&amp;E Corp. '!B2</f>
        <v>36950</v>
      </c>
      <c r="C2" s="16"/>
    </row>
    <row r="3" spans="1:22" s="1" customFormat="1" ht="15.75" x14ac:dyDescent="0.25">
      <c r="F3" s="406" t="s">
        <v>165</v>
      </c>
      <c r="G3" s="406"/>
      <c r="H3" s="406"/>
      <c r="I3" s="406" t="s">
        <v>166</v>
      </c>
      <c r="J3" s="406"/>
      <c r="K3" s="406"/>
      <c r="M3" s="304"/>
      <c r="N3" s="406" t="s">
        <v>179</v>
      </c>
      <c r="O3" s="406"/>
      <c r="P3" s="406"/>
      <c r="T3" s="2"/>
      <c r="U3" s="3"/>
    </row>
    <row r="4" spans="1:22" s="20" customFormat="1" ht="15.75" x14ac:dyDescent="0.25">
      <c r="A4" s="19"/>
      <c r="B4" s="19"/>
      <c r="C4" s="19"/>
      <c r="D4" s="19" t="s">
        <v>7</v>
      </c>
      <c r="E4" s="19" t="s">
        <v>8</v>
      </c>
      <c r="F4" s="19" t="s">
        <v>9</v>
      </c>
      <c r="G4" s="19" t="s">
        <v>10</v>
      </c>
      <c r="H4" s="19" t="s">
        <v>170</v>
      </c>
      <c r="I4" s="19" t="s">
        <v>9</v>
      </c>
      <c r="J4" s="19" t="s">
        <v>10</v>
      </c>
      <c r="K4" s="19" t="s">
        <v>170</v>
      </c>
      <c r="L4" s="20" t="s">
        <v>167</v>
      </c>
      <c r="M4" s="297" t="s">
        <v>22</v>
      </c>
      <c r="N4" s="19" t="s">
        <v>9</v>
      </c>
      <c r="O4" s="19" t="s">
        <v>10</v>
      </c>
      <c r="P4" s="19" t="s">
        <v>180</v>
      </c>
      <c r="Q4" s="19" t="s">
        <v>11</v>
      </c>
      <c r="R4" s="19" t="s">
        <v>12</v>
      </c>
      <c r="T4" s="19"/>
      <c r="U4" s="37"/>
    </row>
    <row r="5" spans="1:22" s="20" customFormat="1" ht="15.75" x14ac:dyDescent="0.25">
      <c r="A5" s="21" t="s">
        <v>13</v>
      </c>
      <c r="B5" s="21" t="s">
        <v>14</v>
      </c>
      <c r="C5" s="21" t="s">
        <v>146</v>
      </c>
      <c r="D5" s="19" t="s">
        <v>15</v>
      </c>
      <c r="E5" s="19" t="s">
        <v>15</v>
      </c>
      <c r="F5" s="19" t="s">
        <v>16</v>
      </c>
      <c r="G5" s="19" t="s">
        <v>17</v>
      </c>
      <c r="H5" s="19" t="s">
        <v>18</v>
      </c>
      <c r="I5" s="19" t="s">
        <v>16</v>
      </c>
      <c r="J5" s="19" t="s">
        <v>17</v>
      </c>
      <c r="K5" s="19" t="s">
        <v>18</v>
      </c>
      <c r="L5" s="19" t="s">
        <v>18</v>
      </c>
      <c r="M5" s="297" t="s">
        <v>23</v>
      </c>
      <c r="N5" s="19" t="s">
        <v>16</v>
      </c>
      <c r="O5" s="19" t="s">
        <v>17</v>
      </c>
      <c r="P5" s="19" t="s">
        <v>18</v>
      </c>
      <c r="Q5" s="19" t="s">
        <v>19</v>
      </c>
      <c r="R5" s="19" t="s">
        <v>20</v>
      </c>
      <c r="T5" s="19"/>
      <c r="U5" s="37"/>
    </row>
    <row r="6" spans="1:22" s="23" customFormat="1" ht="15.75" thickBo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98"/>
      <c r="N6" s="22"/>
      <c r="O6" s="22"/>
      <c r="P6" s="22"/>
      <c r="Q6" s="22"/>
    </row>
    <row r="7" spans="1:22" s="42" customFormat="1" ht="43.5" customHeight="1" x14ac:dyDescent="0.2">
      <c r="A7" s="348" t="s">
        <v>35</v>
      </c>
      <c r="B7" s="349" t="s">
        <v>99</v>
      </c>
      <c r="C7" s="350" t="s">
        <v>142</v>
      </c>
      <c r="D7" s="351">
        <v>0</v>
      </c>
      <c r="E7" s="351">
        <v>-55839248</v>
      </c>
      <c r="F7" s="351">
        <v>17328000</v>
      </c>
      <c r="G7" s="351">
        <v>0</v>
      </c>
      <c r="H7" s="351">
        <f>+SUM(F7:G7)</f>
        <v>17328000</v>
      </c>
      <c r="I7" s="351">
        <f>1104000+48000</f>
        <v>1152000</v>
      </c>
      <c r="J7" s="351">
        <v>0</v>
      </c>
      <c r="K7" s="351">
        <f>+SUM(I7:J7)</f>
        <v>1152000</v>
      </c>
      <c r="L7" s="351">
        <f>+K7+H7</f>
        <v>18480000</v>
      </c>
      <c r="M7" s="351">
        <v>-43530494</v>
      </c>
      <c r="N7" s="351">
        <f>48000+1248000</f>
        <v>1296000</v>
      </c>
      <c r="O7" s="351">
        <v>0</v>
      </c>
      <c r="P7" s="351">
        <f>+SUM(N7:O7)</f>
        <v>1296000</v>
      </c>
      <c r="Q7" s="351">
        <v>0</v>
      </c>
      <c r="R7" s="352">
        <f>+L7+E7</f>
        <v>-37359248</v>
      </c>
      <c r="S7" s="353" t="s">
        <v>36</v>
      </c>
      <c r="T7" s="354"/>
      <c r="U7" s="41"/>
    </row>
    <row r="8" spans="1:22" s="42" customFormat="1" ht="112.5" customHeight="1" x14ac:dyDescent="0.2">
      <c r="A8" s="196" t="s">
        <v>35</v>
      </c>
      <c r="B8" s="166" t="s">
        <v>85</v>
      </c>
      <c r="C8" s="166" t="s">
        <v>145</v>
      </c>
      <c r="D8" s="87">
        <v>0</v>
      </c>
      <c r="E8" s="87">
        <v>0</v>
      </c>
      <c r="F8" s="87">
        <v>58000000</v>
      </c>
      <c r="G8" s="87">
        <v>0</v>
      </c>
      <c r="H8" s="210">
        <f>+SUM(F8:G8)</f>
        <v>58000000</v>
      </c>
      <c r="I8" s="205">
        <v>0</v>
      </c>
      <c r="J8" s="205">
        <v>0</v>
      </c>
      <c r="K8" s="210">
        <f>+SUM(I8:J8)</f>
        <v>0</v>
      </c>
      <c r="L8" s="87">
        <f>+K8+H8</f>
        <v>58000000</v>
      </c>
      <c r="M8" s="205"/>
      <c r="N8" s="205">
        <v>0</v>
      </c>
      <c r="O8" s="205">
        <v>0</v>
      </c>
      <c r="P8" s="210">
        <f>+SUM(N8:O8)</f>
        <v>0</v>
      </c>
      <c r="Q8" s="87">
        <f>+L8+E8</f>
        <v>58000000</v>
      </c>
      <c r="R8" s="89">
        <v>0</v>
      </c>
      <c r="S8" s="355" t="s">
        <v>38</v>
      </c>
      <c r="T8" s="206"/>
      <c r="U8" s="41"/>
    </row>
    <row r="9" spans="1:22" s="42" customFormat="1" ht="15.75" x14ac:dyDescent="0.25">
      <c r="A9" s="196" t="s">
        <v>35</v>
      </c>
      <c r="B9" s="166" t="s">
        <v>122</v>
      </c>
      <c r="C9" s="166" t="s">
        <v>122</v>
      </c>
      <c r="D9" s="87">
        <v>0</v>
      </c>
      <c r="E9" s="405">
        <v>129274000</v>
      </c>
      <c r="F9" s="87">
        <v>53000000</v>
      </c>
      <c r="G9" s="87">
        <v>0</v>
      </c>
      <c r="H9" s="210">
        <f>+SUM(F9:G9)</f>
        <v>53000000</v>
      </c>
      <c r="I9" s="205">
        <v>0</v>
      </c>
      <c r="J9" s="205">
        <v>0</v>
      </c>
      <c r="K9" s="210">
        <f>+SUM(I9:J9)</f>
        <v>0</v>
      </c>
      <c r="L9" s="87">
        <f>+K9+H9</f>
        <v>53000000</v>
      </c>
      <c r="M9" s="205"/>
      <c r="N9" s="205">
        <v>0</v>
      </c>
      <c r="O9" s="205">
        <v>0</v>
      </c>
      <c r="P9" s="210">
        <f>+SUM(N9:O9)</f>
        <v>0</v>
      </c>
      <c r="Q9" s="87">
        <f>+L9+E9+D9</f>
        <v>182274000</v>
      </c>
      <c r="R9" s="89">
        <v>0</v>
      </c>
      <c r="S9" s="305" t="s">
        <v>177</v>
      </c>
      <c r="T9" s="206"/>
      <c r="U9" s="41"/>
    </row>
    <row r="10" spans="1:22" s="42" customFormat="1" ht="15.75" x14ac:dyDescent="0.25">
      <c r="A10" s="196" t="s">
        <v>35</v>
      </c>
      <c r="B10" s="166" t="s">
        <v>26</v>
      </c>
      <c r="C10" s="166" t="s">
        <v>122</v>
      </c>
      <c r="D10" s="87">
        <v>0</v>
      </c>
      <c r="E10" s="87">
        <v>223941000</v>
      </c>
      <c r="F10" s="87">
        <v>40800000</v>
      </c>
      <c r="G10" s="87">
        <v>0</v>
      </c>
      <c r="H10" s="210">
        <f>+SUM(F10:G10)</f>
        <v>40800000</v>
      </c>
      <c r="I10" s="205">
        <v>0</v>
      </c>
      <c r="J10" s="205">
        <v>0</v>
      </c>
      <c r="K10" s="210">
        <f>+SUM(I10:J10)</f>
        <v>0</v>
      </c>
      <c r="L10" s="87">
        <f>+K10+H10</f>
        <v>40800000</v>
      </c>
      <c r="M10" s="205"/>
      <c r="N10" s="205">
        <v>0</v>
      </c>
      <c r="O10" s="205">
        <v>0</v>
      </c>
      <c r="P10" s="210">
        <f>+SUM(N10:O10)</f>
        <v>0</v>
      </c>
      <c r="Q10" s="87">
        <f>+L10+E10+D10</f>
        <v>264741000</v>
      </c>
      <c r="R10" s="89">
        <v>0</v>
      </c>
      <c r="S10" s="305" t="s">
        <v>178</v>
      </c>
      <c r="T10" s="206"/>
      <c r="U10" s="41"/>
    </row>
    <row r="11" spans="1:22" s="42" customFormat="1" ht="63" customHeight="1" thickBot="1" x14ac:dyDescent="0.25">
      <c r="A11" s="198" t="s">
        <v>35</v>
      </c>
      <c r="B11" s="168" t="s">
        <v>102</v>
      </c>
      <c r="C11" s="166" t="s">
        <v>147</v>
      </c>
      <c r="D11" s="169">
        <v>0</v>
      </c>
      <c r="E11" s="169">
        <v>30152467</v>
      </c>
      <c r="F11" s="169">
        <f>4240934.11+(213807.42*31)</f>
        <v>10868964.130000001</v>
      </c>
      <c r="G11" s="87">
        <v>0</v>
      </c>
      <c r="H11" s="210">
        <f>+SUM(F11:G11)</f>
        <v>10868964.130000001</v>
      </c>
      <c r="I11" s="205">
        <v>0</v>
      </c>
      <c r="J11" s="205">
        <v>0</v>
      </c>
      <c r="K11" s="210">
        <f>+SUM(I11:J11)</f>
        <v>0</v>
      </c>
      <c r="L11" s="169">
        <f>+K11+H11</f>
        <v>10868964.130000001</v>
      </c>
      <c r="M11" s="210"/>
      <c r="N11" s="205">
        <v>0</v>
      </c>
      <c r="O11" s="205">
        <v>0</v>
      </c>
      <c r="P11" s="210">
        <f>+SUM(N11:O11)</f>
        <v>0</v>
      </c>
      <c r="Q11" s="26">
        <f>+L11+E11</f>
        <v>41021431.130000003</v>
      </c>
      <c r="R11" s="26">
        <v>0</v>
      </c>
      <c r="S11" s="356" t="s">
        <v>159</v>
      </c>
      <c r="T11" s="206"/>
      <c r="U11" s="41"/>
    </row>
    <row r="12" spans="1:22" s="42" customFormat="1" ht="18.75" customHeight="1" thickTop="1" thickBot="1" x14ac:dyDescent="0.3">
      <c r="A12" s="207" t="s">
        <v>37</v>
      </c>
      <c r="B12" s="208"/>
      <c r="C12" s="208"/>
      <c r="D12" s="209"/>
      <c r="E12" s="209"/>
      <c r="F12" s="209"/>
      <c r="G12" s="209"/>
      <c r="H12" s="209"/>
      <c r="I12" s="210"/>
      <c r="J12" s="210"/>
      <c r="K12" s="209"/>
      <c r="L12" s="209"/>
      <c r="M12" s="210"/>
      <c r="N12" s="210"/>
      <c r="O12" s="210"/>
      <c r="P12" s="209"/>
      <c r="Q12" s="211">
        <f>SUM(Q7:Q11)</f>
        <v>546036431.13</v>
      </c>
      <c r="R12" s="211">
        <f>SUM(R7:R11)</f>
        <v>-37359248</v>
      </c>
      <c r="S12" s="43">
        <f>+R12+Q12</f>
        <v>508677183.13</v>
      </c>
      <c r="T12" s="206"/>
      <c r="U12" s="41"/>
    </row>
    <row r="13" spans="1:22" s="47" customFormat="1" ht="13.5" customHeight="1" thickTop="1" thickBot="1" x14ac:dyDescent="0.3">
      <c r="A13" s="185"/>
      <c r="B13" s="212"/>
      <c r="C13" s="212"/>
      <c r="D13" s="213"/>
      <c r="E13" s="213"/>
      <c r="F13" s="213"/>
      <c r="G13" s="213"/>
      <c r="H13" s="213"/>
      <c r="I13" s="214"/>
      <c r="J13" s="214"/>
      <c r="K13" s="213"/>
      <c r="L13" s="308"/>
      <c r="M13" s="309"/>
      <c r="N13" s="309"/>
      <c r="O13" s="309"/>
      <c r="P13" s="308"/>
      <c r="Q13" s="310"/>
      <c r="R13" s="215"/>
      <c r="S13" s="216"/>
      <c r="T13" s="217"/>
      <c r="U13" s="46"/>
    </row>
    <row r="14" spans="1:22" s="47" customFormat="1" ht="13.5" customHeight="1" x14ac:dyDescent="0.25">
      <c r="A14" s="218"/>
      <c r="B14" s="219"/>
      <c r="C14" s="219"/>
      <c r="D14" s="220"/>
      <c r="E14" s="220"/>
      <c r="F14" s="220"/>
      <c r="G14" s="220"/>
      <c r="H14" s="220"/>
      <c r="I14" s="221"/>
      <c r="J14" s="221"/>
      <c r="K14" s="220"/>
      <c r="L14" s="311"/>
      <c r="M14" s="312"/>
      <c r="N14" s="312"/>
      <c r="O14" s="312"/>
      <c r="P14" s="311"/>
      <c r="Q14" s="313"/>
      <c r="R14" s="222"/>
      <c r="S14" s="223"/>
      <c r="T14" s="224"/>
      <c r="U14" s="46"/>
    </row>
    <row r="15" spans="1:22" s="47" customFormat="1" ht="13.5" customHeight="1" x14ac:dyDescent="0.25">
      <c r="A15" s="184"/>
      <c r="B15" s="177"/>
      <c r="C15" s="177"/>
      <c r="D15" s="225"/>
      <c r="E15" s="225"/>
      <c r="F15" s="225"/>
      <c r="G15" s="225"/>
      <c r="H15" s="225"/>
      <c r="I15" s="33"/>
      <c r="J15" s="33"/>
      <c r="K15" s="225"/>
      <c r="L15" s="314"/>
      <c r="M15" s="315"/>
      <c r="N15" s="315"/>
      <c r="O15" s="315"/>
      <c r="P15" s="314"/>
      <c r="Q15" s="316"/>
      <c r="R15" s="226"/>
      <c r="S15" s="45"/>
      <c r="T15" s="227"/>
      <c r="U15" s="46"/>
    </row>
    <row r="16" spans="1:22" s="25" customFormat="1" ht="15.75" x14ac:dyDescent="0.25">
      <c r="A16" s="194" t="s">
        <v>32</v>
      </c>
      <c r="B16" s="164" t="s">
        <v>103</v>
      </c>
      <c r="C16" s="161" t="s">
        <v>148</v>
      </c>
      <c r="D16" s="250">
        <v>0</v>
      </c>
      <c r="E16" s="250">
        <v>0</v>
      </c>
      <c r="F16" s="250">
        <v>56393</v>
      </c>
      <c r="G16" s="250">
        <v>0</v>
      </c>
      <c r="H16" s="250">
        <f>+SUM(F16:G16)</f>
        <v>56393</v>
      </c>
      <c r="I16" s="250">
        <v>0</v>
      </c>
      <c r="J16" s="250">
        <v>0</v>
      </c>
      <c r="K16" s="250">
        <f>+SUM(I16:J16)</f>
        <v>0</v>
      </c>
      <c r="L16" s="250">
        <f>+K16+H16</f>
        <v>56393</v>
      </c>
      <c r="M16" s="250">
        <v>0</v>
      </c>
      <c r="N16" s="250">
        <v>0</v>
      </c>
      <c r="O16" s="250">
        <v>0</v>
      </c>
      <c r="P16" s="250">
        <f>+SUM(N16:O16)</f>
        <v>0</v>
      </c>
      <c r="Q16" s="250">
        <f>+L16+D16</f>
        <v>56393</v>
      </c>
      <c r="R16" s="165">
        <v>0</v>
      </c>
      <c r="S16" s="165" t="s">
        <v>157</v>
      </c>
      <c r="T16" s="195"/>
      <c r="U16" s="24"/>
      <c r="V16" s="24"/>
    </row>
    <row r="17" spans="1:23" s="25" customFormat="1" ht="48" customHeight="1" x14ac:dyDescent="0.2">
      <c r="A17" s="333" t="s">
        <v>32</v>
      </c>
      <c r="B17" s="334" t="s">
        <v>104</v>
      </c>
      <c r="C17" s="327" t="s">
        <v>148</v>
      </c>
      <c r="D17" s="328">
        <v>0</v>
      </c>
      <c r="E17" s="328">
        <v>-14465567</v>
      </c>
      <c r="F17" s="328">
        <v>0</v>
      </c>
      <c r="G17" s="328">
        <v>0</v>
      </c>
      <c r="H17" s="328">
        <f>+SUM(F17:G17)</f>
        <v>0</v>
      </c>
      <c r="I17" s="328">
        <v>0</v>
      </c>
      <c r="J17" s="328">
        <v>0</v>
      </c>
      <c r="K17" s="328">
        <f>+SUM(I17:J17)</f>
        <v>0</v>
      </c>
      <c r="L17" s="328">
        <f>+H17</f>
        <v>0</v>
      </c>
      <c r="M17" s="328">
        <v>-4444817</v>
      </c>
      <c r="N17" s="328">
        <v>0</v>
      </c>
      <c r="O17" s="328">
        <v>0</v>
      </c>
      <c r="P17" s="328">
        <f>+SUM(N17:O17)</f>
        <v>0</v>
      </c>
      <c r="Q17" s="328">
        <v>0</v>
      </c>
      <c r="R17" s="169">
        <f>+L17+E17</f>
        <v>-14465567</v>
      </c>
      <c r="S17" s="345" t="s">
        <v>184</v>
      </c>
      <c r="T17" s="195" t="s">
        <v>130</v>
      </c>
      <c r="U17" s="24"/>
      <c r="V17" s="24"/>
    </row>
    <row r="18" spans="1:23" s="25" customFormat="1" ht="15.75" x14ac:dyDescent="0.25">
      <c r="A18" s="194" t="s">
        <v>33</v>
      </c>
      <c r="B18" s="164" t="s">
        <v>98</v>
      </c>
      <c r="C18" s="161" t="s">
        <v>142</v>
      </c>
      <c r="D18" s="250">
        <v>0</v>
      </c>
      <c r="E18" s="250">
        <v>0</v>
      </c>
      <c r="F18" s="250">
        <v>4333025</v>
      </c>
      <c r="G18" s="250">
        <v>-294750</v>
      </c>
      <c r="H18" s="250">
        <f>+SUM(F18:G18)</f>
        <v>4038275</v>
      </c>
      <c r="I18" s="250">
        <v>0</v>
      </c>
      <c r="J18" s="250">
        <v>0</v>
      </c>
      <c r="K18" s="250">
        <f>+SUM(I18:J18)</f>
        <v>0</v>
      </c>
      <c r="L18" s="250">
        <f>+K18+H18</f>
        <v>4038275</v>
      </c>
      <c r="M18" s="250">
        <v>11891006</v>
      </c>
      <c r="N18" s="250">
        <v>0</v>
      </c>
      <c r="O18" s="250">
        <v>0</v>
      </c>
      <c r="P18" s="250">
        <f>+SUM(N18:O18)</f>
        <v>0</v>
      </c>
      <c r="Q18" s="250">
        <f>+L18+E18</f>
        <v>4038275</v>
      </c>
      <c r="R18" s="165">
        <v>0</v>
      </c>
      <c r="S18" s="165"/>
      <c r="T18" s="195"/>
      <c r="U18" s="24"/>
      <c r="V18" s="24"/>
    </row>
    <row r="19" spans="1:23" s="25" customFormat="1" ht="15.75" x14ac:dyDescent="0.25">
      <c r="A19" s="194" t="s">
        <v>158</v>
      </c>
      <c r="B19" s="164" t="s">
        <v>103</v>
      </c>
      <c r="C19" s="161" t="s">
        <v>148</v>
      </c>
      <c r="D19" s="250">
        <v>-271226</v>
      </c>
      <c r="E19" s="250">
        <v>0</v>
      </c>
      <c r="F19" s="250">
        <v>0</v>
      </c>
      <c r="G19" s="250">
        <v>-224622</v>
      </c>
      <c r="H19" s="250">
        <f>+SUM(F19:G19)</f>
        <v>-224622</v>
      </c>
      <c r="I19" s="250">
        <v>0</v>
      </c>
      <c r="J19" s="250">
        <v>0</v>
      </c>
      <c r="K19" s="250">
        <f>+SUM(I19:J19)</f>
        <v>0</v>
      </c>
      <c r="L19" s="250">
        <f>+K19+H19</f>
        <v>-224622</v>
      </c>
      <c r="M19" s="250">
        <f>+L19+E19</f>
        <v>-224622</v>
      </c>
      <c r="N19" s="250">
        <v>0</v>
      </c>
      <c r="O19" s="250">
        <v>0</v>
      </c>
      <c r="P19" s="250">
        <f>+SUM(N19:O19)</f>
        <v>0</v>
      </c>
      <c r="Q19" s="250">
        <v>0</v>
      </c>
      <c r="R19" s="165">
        <f>+D19+L19</f>
        <v>-495848</v>
      </c>
      <c r="S19" s="165" t="s">
        <v>156</v>
      </c>
      <c r="T19" s="195"/>
      <c r="U19" s="24"/>
      <c r="V19" s="24"/>
    </row>
    <row r="20" spans="1:23" s="23" customFormat="1" ht="15" x14ac:dyDescent="0.2">
      <c r="A20" s="179"/>
      <c r="B20" s="174"/>
      <c r="C20" s="174"/>
      <c r="D20" s="159"/>
      <c r="E20" s="159"/>
      <c r="F20" s="159"/>
      <c r="G20" s="159"/>
      <c r="H20" s="159"/>
      <c r="I20" s="159"/>
      <c r="J20" s="159"/>
      <c r="K20" s="159"/>
      <c r="L20" s="159"/>
      <c r="M20" s="299"/>
      <c r="N20" s="98"/>
      <c r="O20" s="98"/>
      <c r="P20" s="98"/>
      <c r="Q20" s="159"/>
      <c r="R20" s="90"/>
      <c r="S20" s="90"/>
      <c r="T20" s="180"/>
      <c r="U20" s="28"/>
      <c r="V20" s="28"/>
    </row>
    <row r="21" spans="1:23" s="23" customFormat="1" ht="15" x14ac:dyDescent="0.2">
      <c r="A21" s="179"/>
      <c r="B21" s="174"/>
      <c r="C21" s="174"/>
      <c r="D21" s="159"/>
      <c r="E21" s="159"/>
      <c r="F21" s="159"/>
      <c r="G21" s="159"/>
      <c r="H21" s="159"/>
      <c r="I21" s="159"/>
      <c r="J21" s="159"/>
      <c r="K21" s="159"/>
      <c r="L21" s="159"/>
      <c r="M21" s="299"/>
      <c r="N21" s="98"/>
      <c r="O21" s="98"/>
      <c r="P21" s="98"/>
      <c r="Q21" s="159"/>
      <c r="R21" s="90"/>
      <c r="S21" s="90"/>
      <c r="T21" s="180"/>
      <c r="U21" s="28"/>
      <c r="V21" s="28"/>
    </row>
    <row r="22" spans="1:23" s="25" customFormat="1" ht="78.75" x14ac:dyDescent="0.25">
      <c r="A22" s="329" t="s">
        <v>105</v>
      </c>
      <c r="B22" s="327" t="s">
        <v>98</v>
      </c>
      <c r="C22" s="327" t="s">
        <v>142</v>
      </c>
      <c r="D22" s="328">
        <v>17632309</v>
      </c>
      <c r="E22" s="328">
        <v>0</v>
      </c>
      <c r="F22" s="328">
        <v>0</v>
      </c>
      <c r="G22" s="328">
        <v>0</v>
      </c>
      <c r="H22" s="328">
        <f>+SUM(F22:G22)</f>
        <v>0</v>
      </c>
      <c r="I22" s="328">
        <v>0</v>
      </c>
      <c r="J22" s="328">
        <v>0</v>
      </c>
      <c r="K22" s="328">
        <f>+SUM(I22:J22)</f>
        <v>0</v>
      </c>
      <c r="L22" s="328">
        <f>+K22+H22</f>
        <v>0</v>
      </c>
      <c r="M22" s="328">
        <v>0</v>
      </c>
      <c r="N22" s="328">
        <v>0</v>
      </c>
      <c r="O22" s="328">
        <v>0</v>
      </c>
      <c r="P22" s="328">
        <f>+SUM(N22:O22)</f>
        <v>0</v>
      </c>
      <c r="Q22" s="328">
        <f>+L22+E22+D22</f>
        <v>17632309</v>
      </c>
      <c r="R22" s="87">
        <v>0</v>
      </c>
      <c r="S22" s="346" t="s">
        <v>39</v>
      </c>
      <c r="T22" s="203"/>
    </row>
    <row r="23" spans="1:23" s="25" customFormat="1" ht="30" x14ac:dyDescent="0.2">
      <c r="A23" s="333" t="s">
        <v>106</v>
      </c>
      <c r="B23" s="334" t="s">
        <v>99</v>
      </c>
      <c r="C23" s="327" t="s">
        <v>142</v>
      </c>
      <c r="D23" s="328">
        <v>0</v>
      </c>
      <c r="E23" s="328">
        <v>-3384220</v>
      </c>
      <c r="F23" s="357">
        <v>128869210.03</v>
      </c>
      <c r="G23" s="328">
        <v>-116923920</v>
      </c>
      <c r="H23" s="328">
        <f>+SUM(F23:G23)</f>
        <v>11945290.030000001</v>
      </c>
      <c r="I23" s="328">
        <f>49377940+2394460</f>
        <v>51772400</v>
      </c>
      <c r="J23" s="328">
        <f>-45627880-2172520</f>
        <v>-47800400</v>
      </c>
      <c r="K23" s="328">
        <f>+SUM(I23:J23)</f>
        <v>3972000</v>
      </c>
      <c r="L23" s="328">
        <f>+K23+H23</f>
        <v>15917290.030000001</v>
      </c>
      <c r="M23" s="328">
        <v>-11111175</v>
      </c>
      <c r="N23" s="328">
        <f>227180+6031680</f>
        <v>6258860</v>
      </c>
      <c r="O23" s="328">
        <f>-480760-11743960</f>
        <v>-12224720</v>
      </c>
      <c r="P23" s="328">
        <f>+SUM(N23:O23)</f>
        <v>-5965860</v>
      </c>
      <c r="Q23" s="328">
        <f>+L23+E23</f>
        <v>12533070.030000001</v>
      </c>
      <c r="R23" s="169">
        <v>0</v>
      </c>
      <c r="S23" s="347" t="s">
        <v>40</v>
      </c>
      <c r="T23" s="203"/>
    </row>
    <row r="24" spans="1:23" s="23" customFormat="1" ht="15.75" x14ac:dyDescent="0.25">
      <c r="A24" s="229"/>
      <c r="B24" s="174"/>
      <c r="C24" s="174"/>
      <c r="D24" s="159"/>
      <c r="E24" s="159"/>
      <c r="F24" s="159"/>
      <c r="G24" s="159"/>
      <c r="H24" s="159"/>
      <c r="I24" s="159"/>
      <c r="J24" s="159"/>
      <c r="K24" s="159"/>
      <c r="L24" s="159"/>
      <c r="M24" s="299"/>
      <c r="N24" s="98"/>
      <c r="O24" s="98"/>
      <c r="P24" s="98"/>
      <c r="S24" s="393"/>
      <c r="T24" s="228"/>
    </row>
    <row r="25" spans="1:23" s="23" customFormat="1" ht="16.5" thickBot="1" x14ac:dyDescent="0.3">
      <c r="A25" s="178" t="s">
        <v>134</v>
      </c>
      <c r="B25" s="174"/>
      <c r="C25" s="174"/>
      <c r="D25" s="159"/>
      <c r="E25" s="159"/>
      <c r="F25" s="159"/>
      <c r="G25" s="159"/>
      <c r="H25" s="159"/>
      <c r="I25" s="159"/>
      <c r="J25" s="159"/>
      <c r="K25" s="159"/>
      <c r="L25" s="159"/>
      <c r="M25" s="299"/>
      <c r="N25" s="98"/>
      <c r="O25" s="98"/>
      <c r="P25" s="98"/>
      <c r="Q25" s="51">
        <f>SUM(Q16:Q23)</f>
        <v>34260047.030000001</v>
      </c>
      <c r="R25" s="51">
        <f>SUM(R16:R23)</f>
        <v>-14961415</v>
      </c>
      <c r="S25" s="53"/>
      <c r="T25" s="228"/>
    </row>
    <row r="26" spans="1:23" s="23" customFormat="1" ht="16.5" thickTop="1" x14ac:dyDescent="0.25">
      <c r="A26" s="229" t="s">
        <v>135</v>
      </c>
      <c r="B26" s="174"/>
      <c r="C26" s="174"/>
      <c r="D26" s="159"/>
      <c r="E26" s="159"/>
      <c r="F26" s="159"/>
      <c r="G26" s="159"/>
      <c r="H26" s="159"/>
      <c r="I26" s="159"/>
      <c r="J26" s="159"/>
      <c r="K26" s="159"/>
      <c r="L26" s="159"/>
      <c r="M26" s="299"/>
      <c r="N26" s="98"/>
      <c r="O26" s="98"/>
      <c r="P26" s="98"/>
      <c r="Q26" s="52"/>
      <c r="R26" s="52"/>
      <c r="S26" s="69">
        <f>+Q25</f>
        <v>34260047.030000001</v>
      </c>
      <c r="T26" s="228"/>
      <c r="U26" s="28">
        <f>+SUM(R16:R23)</f>
        <v>-14961415</v>
      </c>
      <c r="V26" s="23" t="s">
        <v>136</v>
      </c>
      <c r="W26" s="28">
        <f>+S26+U26</f>
        <v>19298632.030000001</v>
      </c>
    </row>
    <row r="27" spans="1:23" s="23" customFormat="1" ht="15.75" x14ac:dyDescent="0.25">
      <c r="A27" s="394" t="s">
        <v>188</v>
      </c>
      <c r="B27" s="174"/>
      <c r="C27" s="174"/>
      <c r="D27" s="159"/>
      <c r="E27" s="159"/>
      <c r="F27" s="159"/>
      <c r="G27" s="159"/>
      <c r="H27" s="159"/>
      <c r="I27" s="159"/>
      <c r="J27" s="159"/>
      <c r="K27" s="159"/>
      <c r="L27" s="159"/>
      <c r="M27" s="299"/>
      <c r="N27" s="98"/>
      <c r="O27" s="98"/>
      <c r="P27" s="98"/>
      <c r="Q27" s="52"/>
      <c r="R27" s="52"/>
      <c r="S27" s="395">
        <f>+R25</f>
        <v>-14961415</v>
      </c>
      <c r="T27" s="228"/>
    </row>
    <row r="28" spans="1:23" s="23" customFormat="1" ht="16.5" thickBot="1" x14ac:dyDescent="0.3">
      <c r="A28" s="394" t="s">
        <v>187</v>
      </c>
      <c r="B28" s="174"/>
      <c r="C28" s="174"/>
      <c r="D28" s="159"/>
      <c r="E28" s="159"/>
      <c r="F28" s="159"/>
      <c r="G28" s="159"/>
      <c r="H28" s="159"/>
      <c r="I28" s="159"/>
      <c r="J28" s="159"/>
      <c r="K28" s="159"/>
      <c r="L28" s="159"/>
      <c r="M28" s="299"/>
      <c r="N28" s="98"/>
      <c r="O28" s="98"/>
      <c r="P28" s="98"/>
      <c r="Q28" s="52"/>
      <c r="R28" s="52"/>
      <c r="S28" s="69">
        <f>SUM(S26:S27)</f>
        <v>19298632.030000001</v>
      </c>
      <c r="T28" s="228"/>
    </row>
    <row r="29" spans="1:23" s="385" customFormat="1" ht="16.5" thickBot="1" x14ac:dyDescent="0.3">
      <c r="A29" s="379"/>
      <c r="B29" s="380"/>
      <c r="C29" s="380"/>
      <c r="D29" s="381"/>
      <c r="E29" s="381"/>
      <c r="F29" s="381"/>
      <c r="G29" s="381"/>
      <c r="H29" s="381"/>
      <c r="I29" s="381"/>
      <c r="J29" s="381"/>
      <c r="K29" s="381"/>
      <c r="L29" s="381"/>
      <c r="M29" s="381"/>
      <c r="N29" s="381"/>
      <c r="O29" s="381"/>
      <c r="P29" s="381"/>
      <c r="Q29" s="382"/>
      <c r="R29" s="382"/>
      <c r="S29" s="383"/>
      <c r="T29" s="384"/>
    </row>
    <row r="30" spans="1:23" s="385" customFormat="1" ht="16.5" thickTop="1" x14ac:dyDescent="0.25">
      <c r="A30" s="386" t="s">
        <v>41</v>
      </c>
      <c r="B30" s="387"/>
      <c r="C30" s="387"/>
      <c r="D30" s="388"/>
      <c r="E30" s="388"/>
      <c r="F30" s="388"/>
      <c r="G30" s="388"/>
      <c r="H30" s="388"/>
      <c r="I30" s="388"/>
      <c r="J30" s="388"/>
      <c r="K30" s="388"/>
      <c r="L30" s="388"/>
      <c r="M30" s="388"/>
      <c r="N30" s="388"/>
      <c r="O30" s="388"/>
      <c r="P30" s="388"/>
      <c r="Q30" s="398">
        <f>+Q25+Q12</f>
        <v>580296478.15999997</v>
      </c>
      <c r="R30" s="398">
        <f>+R25+R12</f>
        <v>-52320663</v>
      </c>
      <c r="S30" s="396"/>
      <c r="T30" s="389"/>
    </row>
    <row r="31" spans="1:23" s="396" customFormat="1" ht="15.75" x14ac:dyDescent="0.25">
      <c r="A31" s="402"/>
      <c r="S31" s="397">
        <f>+S12+S26</f>
        <v>542937230.15999997</v>
      </c>
      <c r="T31" s="389"/>
      <c r="U31" s="399">
        <f>+Q30+R30</f>
        <v>527975815.15999997</v>
      </c>
      <c r="V31" s="396" t="s">
        <v>136</v>
      </c>
    </row>
    <row r="32" spans="1:23" s="385" customFormat="1" ht="15.75" x14ac:dyDescent="0.25">
      <c r="A32" s="403" t="s">
        <v>188</v>
      </c>
      <c r="B32" s="396"/>
      <c r="C32" s="396"/>
      <c r="D32" s="396"/>
      <c r="E32" s="396"/>
      <c r="F32" s="396"/>
      <c r="G32" s="396"/>
      <c r="H32" s="396"/>
      <c r="I32" s="396"/>
      <c r="J32" s="396"/>
      <c r="K32" s="396"/>
      <c r="L32" s="396"/>
      <c r="M32" s="396"/>
      <c r="N32" s="396"/>
      <c r="O32" s="396"/>
      <c r="P32" s="396"/>
      <c r="Q32" s="396"/>
      <c r="R32" s="396"/>
      <c r="S32" s="400">
        <f>+S27</f>
        <v>-14961415</v>
      </c>
      <c r="T32" s="389"/>
      <c r="U32" s="392"/>
    </row>
    <row r="33" spans="1:21" s="385" customFormat="1" ht="16.5" thickBot="1" x14ac:dyDescent="0.3">
      <c r="A33" s="404" t="s">
        <v>190</v>
      </c>
      <c r="B33" s="390"/>
      <c r="C33" s="390"/>
      <c r="D33" s="390"/>
      <c r="E33" s="390"/>
      <c r="F33" s="390"/>
      <c r="G33" s="390"/>
      <c r="H33" s="390"/>
      <c r="I33" s="390"/>
      <c r="J33" s="390"/>
      <c r="K33" s="390"/>
      <c r="L33" s="390"/>
      <c r="M33" s="390"/>
      <c r="N33" s="390"/>
      <c r="O33" s="390"/>
      <c r="P33" s="390"/>
      <c r="Q33" s="390"/>
      <c r="R33" s="390"/>
      <c r="S33" s="401">
        <f>SUM(S31:S32)</f>
        <v>527975815.15999997</v>
      </c>
      <c r="T33" s="391"/>
      <c r="U33" s="392"/>
    </row>
    <row r="34" spans="1:21" s="23" customFormat="1" ht="15" x14ac:dyDescent="0.2">
      <c r="A34" s="23" t="s">
        <v>131</v>
      </c>
      <c r="M34" s="295"/>
    </row>
    <row r="35" spans="1:21" s="23" customFormat="1" ht="15" x14ac:dyDescent="0.2">
      <c r="A35" s="23" t="s">
        <v>182</v>
      </c>
      <c r="M35" s="295"/>
    </row>
    <row r="36" spans="1:21" s="23" customFormat="1" ht="15" x14ac:dyDescent="0.2">
      <c r="M36" s="295"/>
    </row>
    <row r="37" spans="1:21" s="23" customFormat="1" ht="15" x14ac:dyDescent="0.2">
      <c r="M37" s="295"/>
    </row>
    <row r="38" spans="1:21" s="23" customFormat="1" ht="15" x14ac:dyDescent="0.2">
      <c r="M38" s="295"/>
    </row>
    <row r="39" spans="1:21" s="23" customFormat="1" ht="15" x14ac:dyDescent="0.2">
      <c r="M39" s="295"/>
      <c r="Q39" s="135"/>
      <c r="R39" s="135"/>
    </row>
    <row r="40" spans="1:21" s="23" customFormat="1" ht="15.75" x14ac:dyDescent="0.25">
      <c r="L40" s="36" t="s">
        <v>124</v>
      </c>
      <c r="M40" s="295"/>
      <c r="Q40" s="134">
        <f>+Q25+Q12-Q11-Q10-Q9-Q8</f>
        <v>34260047.029999971</v>
      </c>
      <c r="R40" s="134">
        <f>+R25+R12-R11-R10-R9-R8</f>
        <v>-52320663</v>
      </c>
    </row>
    <row r="41" spans="1:21" s="23" customFormat="1" ht="15" x14ac:dyDescent="0.2">
      <c r="M41" s="295"/>
      <c r="Q41" s="135"/>
      <c r="R41" s="135"/>
    </row>
    <row r="42" spans="1:21" s="23" customFormat="1" ht="15" x14ac:dyDescent="0.2">
      <c r="M42" s="295"/>
    </row>
    <row r="43" spans="1:21" s="23" customFormat="1" ht="15" x14ac:dyDescent="0.2">
      <c r="M43" s="295"/>
    </row>
    <row r="44" spans="1:21" s="23" customFormat="1" ht="15" x14ac:dyDescent="0.2">
      <c r="M44" s="295"/>
    </row>
    <row r="45" spans="1:21" s="23" customFormat="1" ht="15" x14ac:dyDescent="0.2">
      <c r="M45" s="295"/>
    </row>
    <row r="46" spans="1:21" s="23" customFormat="1" ht="15" x14ac:dyDescent="0.2">
      <c r="M46" s="295"/>
    </row>
    <row r="47" spans="1:21" s="23" customFormat="1" ht="15" x14ac:dyDescent="0.2">
      <c r="M47" s="295"/>
    </row>
    <row r="48" spans="1:21" s="23" customFormat="1" ht="15" x14ac:dyDescent="0.2">
      <c r="M48" s="295"/>
    </row>
    <row r="49" spans="13:13" s="23" customFormat="1" ht="15" x14ac:dyDescent="0.2">
      <c r="M49" s="295"/>
    </row>
    <row r="50" spans="13:13" s="23" customFormat="1" ht="15" x14ac:dyDescent="0.2">
      <c r="M50" s="295"/>
    </row>
    <row r="51" spans="13:13" s="23" customFormat="1" ht="15" x14ac:dyDescent="0.2">
      <c r="M51" s="295"/>
    </row>
    <row r="52" spans="13:13" s="23" customFormat="1" ht="15" x14ac:dyDescent="0.2">
      <c r="M52" s="295"/>
    </row>
    <row r="53" spans="13:13" s="23" customFormat="1" ht="15" x14ac:dyDescent="0.2">
      <c r="M53" s="295"/>
    </row>
    <row r="54" spans="13:13" s="23" customFormat="1" ht="15" x14ac:dyDescent="0.2">
      <c r="M54" s="295"/>
    </row>
    <row r="55" spans="13:13" s="23" customFormat="1" ht="15" x14ac:dyDescent="0.2">
      <c r="M55" s="295"/>
    </row>
    <row r="56" spans="13:13" s="23" customFormat="1" ht="15" x14ac:dyDescent="0.2">
      <c r="M56" s="295"/>
    </row>
    <row r="57" spans="13:13" s="23" customFormat="1" ht="15" x14ac:dyDescent="0.2">
      <c r="M57" s="295"/>
    </row>
    <row r="58" spans="13:13" s="23" customFormat="1" ht="15" x14ac:dyDescent="0.2">
      <c r="M58" s="295"/>
    </row>
    <row r="59" spans="13:13" s="23" customFormat="1" ht="15" x14ac:dyDescent="0.2">
      <c r="M59" s="295"/>
    </row>
    <row r="60" spans="13:13" s="23" customFormat="1" ht="15" x14ac:dyDescent="0.2">
      <c r="M60" s="295"/>
    </row>
    <row r="61" spans="13:13" s="23" customFormat="1" ht="15" x14ac:dyDescent="0.2">
      <c r="M61" s="295"/>
    </row>
    <row r="62" spans="13:13" s="23" customFormat="1" ht="15" x14ac:dyDescent="0.2">
      <c r="M62" s="295"/>
    </row>
    <row r="63" spans="13:13" s="23" customFormat="1" ht="15" x14ac:dyDescent="0.2">
      <c r="M63" s="295"/>
    </row>
    <row r="64" spans="13:13" s="23" customFormat="1" ht="15" x14ac:dyDescent="0.2">
      <c r="M64" s="295"/>
    </row>
    <row r="65" spans="13:13" s="23" customFormat="1" ht="15" x14ac:dyDescent="0.2">
      <c r="M65" s="295"/>
    </row>
    <row r="66" spans="13:13" s="23" customFormat="1" ht="15" x14ac:dyDescent="0.2">
      <c r="M66" s="295"/>
    </row>
    <row r="67" spans="13:13" s="23" customFormat="1" ht="15" x14ac:dyDescent="0.2">
      <c r="M67" s="295"/>
    </row>
    <row r="68" spans="13:13" s="23" customFormat="1" ht="15" x14ac:dyDescent="0.2">
      <c r="M68" s="295"/>
    </row>
    <row r="69" spans="13:13" s="23" customFormat="1" ht="15" x14ac:dyDescent="0.2">
      <c r="M69" s="295"/>
    </row>
    <row r="70" spans="13:13" s="23" customFormat="1" ht="15" x14ac:dyDescent="0.2">
      <c r="M70" s="295"/>
    </row>
    <row r="71" spans="13:13" s="23" customFormat="1" ht="15" x14ac:dyDescent="0.2">
      <c r="M71" s="295"/>
    </row>
    <row r="72" spans="13:13" s="23" customFormat="1" ht="15" x14ac:dyDescent="0.2">
      <c r="M72" s="295"/>
    </row>
    <row r="73" spans="13:13" s="23" customFormat="1" ht="15" x14ac:dyDescent="0.2">
      <c r="M73" s="295"/>
    </row>
    <row r="74" spans="13:13" s="23" customFormat="1" ht="15" x14ac:dyDescent="0.2">
      <c r="M74" s="295"/>
    </row>
    <row r="75" spans="13:13" s="23" customFormat="1" ht="15" x14ac:dyDescent="0.2">
      <c r="M75" s="295"/>
    </row>
    <row r="76" spans="13:13" s="23" customFormat="1" ht="15" x14ac:dyDescent="0.2">
      <c r="M76" s="295"/>
    </row>
    <row r="77" spans="13:13" s="23" customFormat="1" ht="15" x14ac:dyDescent="0.2">
      <c r="M77" s="295"/>
    </row>
    <row r="78" spans="13:13" s="23" customFormat="1" ht="15" x14ac:dyDescent="0.2">
      <c r="M78" s="295"/>
    </row>
    <row r="79" spans="13:13" s="23" customFormat="1" ht="15" x14ac:dyDescent="0.2">
      <c r="M79" s="295"/>
    </row>
    <row r="80" spans="13:13" s="23" customFormat="1" ht="15" x14ac:dyDescent="0.2">
      <c r="M80" s="295"/>
    </row>
    <row r="81" spans="13:13" s="23" customFormat="1" ht="15" x14ac:dyDescent="0.2">
      <c r="M81" s="295"/>
    </row>
    <row r="82" spans="13:13" s="23" customFormat="1" ht="15" x14ac:dyDescent="0.2">
      <c r="M82" s="295"/>
    </row>
    <row r="83" spans="13:13" s="23" customFormat="1" ht="15" x14ac:dyDescent="0.2">
      <c r="M83" s="295"/>
    </row>
    <row r="84" spans="13:13" s="23" customFormat="1" ht="15" x14ac:dyDescent="0.2">
      <c r="M84" s="295"/>
    </row>
    <row r="85" spans="13:13" s="23" customFormat="1" ht="15" x14ac:dyDescent="0.2">
      <c r="M85" s="295"/>
    </row>
    <row r="86" spans="13:13" s="23" customFormat="1" ht="15" x14ac:dyDescent="0.2">
      <c r="M86" s="295"/>
    </row>
    <row r="87" spans="13:13" s="23" customFormat="1" ht="15" x14ac:dyDescent="0.2">
      <c r="M87" s="295"/>
    </row>
    <row r="88" spans="13:13" s="23" customFormat="1" ht="15" x14ac:dyDescent="0.2">
      <c r="M88" s="295"/>
    </row>
    <row r="89" spans="13:13" s="23" customFormat="1" ht="15" x14ac:dyDescent="0.2">
      <c r="M89" s="295"/>
    </row>
    <row r="90" spans="13:13" s="23" customFormat="1" ht="15" x14ac:dyDescent="0.2">
      <c r="M90" s="295"/>
    </row>
    <row r="91" spans="13:13" s="23" customFormat="1" ht="15" x14ac:dyDescent="0.2">
      <c r="M91" s="295"/>
    </row>
    <row r="92" spans="13:13" s="23" customFormat="1" ht="15" x14ac:dyDescent="0.2">
      <c r="M92" s="295"/>
    </row>
    <row r="93" spans="13:13" s="23" customFormat="1" ht="15" x14ac:dyDescent="0.2">
      <c r="M93" s="295"/>
    </row>
    <row r="94" spans="13:13" s="23" customFormat="1" ht="15" x14ac:dyDescent="0.2">
      <c r="M94" s="295"/>
    </row>
    <row r="95" spans="13:13" s="23" customFormat="1" ht="15" x14ac:dyDescent="0.2">
      <c r="M95" s="295"/>
    </row>
  </sheetData>
  <mergeCells count="3">
    <mergeCell ref="F3:H3"/>
    <mergeCell ref="I3:K3"/>
    <mergeCell ref="N3:P3"/>
  </mergeCells>
  <phoneticPr fontId="0" type="noConversion"/>
  <pageMargins left="0.27" right="0.25" top="0.62" bottom="0.53" header="0.27" footer="0.5"/>
  <pageSetup scale="62" orientation="landscape" r:id="rId1"/>
  <headerFooter alignWithMargins="0">
    <oddHeader>&amp;C&amp;"Arial,Bold"&amp;16HIGHLY CONFIDENTIAL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5"/>
  <sheetViews>
    <sheetView topLeftCell="F9" zoomScale="75" workbookViewId="0">
      <selection activeCell="A35" sqref="A35"/>
    </sheetView>
  </sheetViews>
  <sheetFormatPr defaultRowHeight="12.75" x14ac:dyDescent="0.2"/>
  <cols>
    <col min="1" max="1" width="45" customWidth="1"/>
    <col min="2" max="2" width="31" customWidth="1"/>
    <col min="3" max="3" width="18" hidden="1" customWidth="1"/>
    <col min="4" max="4" width="40.7109375" customWidth="1"/>
    <col min="5" max="5" width="17.7109375" bestFit="1" customWidth="1"/>
    <col min="6" max="7" width="18.28515625" bestFit="1" customWidth="1"/>
    <col min="8" max="8" width="6.85546875" customWidth="1"/>
    <col min="9" max="9" width="20.42578125" hidden="1" customWidth="1"/>
    <col min="10" max="10" width="26" bestFit="1" customWidth="1"/>
    <col min="11" max="11" width="17.140625" bestFit="1" customWidth="1"/>
    <col min="12" max="12" width="29.42578125" customWidth="1"/>
    <col min="13" max="13" width="17" customWidth="1"/>
  </cols>
  <sheetData>
    <row r="1" spans="1:13" ht="20.25" x14ac:dyDescent="0.3">
      <c r="A1" s="18" t="s">
        <v>83</v>
      </c>
    </row>
    <row r="2" spans="1:13" ht="18" x14ac:dyDescent="0.25">
      <c r="A2" s="17" t="s">
        <v>174</v>
      </c>
      <c r="B2" s="16">
        <f>+'PG&amp;E Corp. '!B2</f>
        <v>36950</v>
      </c>
      <c r="C2" s="16"/>
    </row>
    <row r="3" spans="1:13" s="23" customFormat="1" ht="15" x14ac:dyDescent="0.2">
      <c r="A3" s="22"/>
      <c r="B3" s="22"/>
      <c r="C3" s="22"/>
      <c r="D3" s="22"/>
      <c r="E3" s="22"/>
      <c r="F3" s="22"/>
      <c r="G3" s="22"/>
      <c r="H3" s="22"/>
      <c r="I3" s="22"/>
      <c r="J3" s="22"/>
    </row>
    <row r="4" spans="1:13" s="23" customFormat="1" ht="15.75" x14ac:dyDescent="0.25">
      <c r="A4" s="28"/>
      <c r="B4" s="28"/>
      <c r="C4" s="28"/>
      <c r="D4" s="19"/>
      <c r="E4" s="19"/>
      <c r="F4" s="19" t="s">
        <v>42</v>
      </c>
      <c r="G4" s="19" t="s">
        <v>43</v>
      </c>
      <c r="J4" s="19" t="s">
        <v>11</v>
      </c>
      <c r="K4" s="19" t="s">
        <v>62</v>
      </c>
      <c r="L4" s="35"/>
      <c r="M4" s="54" t="s">
        <v>64</v>
      </c>
    </row>
    <row r="5" spans="1:13" s="23" customFormat="1" ht="15.75" x14ac:dyDescent="0.25">
      <c r="A5" s="31" t="s">
        <v>13</v>
      </c>
      <c r="B5" s="31" t="s">
        <v>14</v>
      </c>
      <c r="C5" s="31" t="s">
        <v>146</v>
      </c>
      <c r="D5" s="55" t="s">
        <v>44</v>
      </c>
      <c r="E5" s="19"/>
      <c r="F5" s="19" t="s">
        <v>45</v>
      </c>
      <c r="G5" s="19" t="s">
        <v>46</v>
      </c>
      <c r="J5" s="19" t="s">
        <v>19</v>
      </c>
      <c r="K5" s="19" t="s">
        <v>20</v>
      </c>
      <c r="L5" s="56"/>
      <c r="M5" s="57" t="s">
        <v>65</v>
      </c>
    </row>
    <row r="6" spans="1:13" s="23" customFormat="1" ht="15.75" x14ac:dyDescent="0.25">
      <c r="A6" s="31"/>
      <c r="B6" s="31"/>
      <c r="C6" s="31"/>
      <c r="D6" s="55"/>
      <c r="E6" s="19"/>
      <c r="F6" s="19"/>
      <c r="G6" s="19"/>
      <c r="J6" s="19"/>
      <c r="K6" s="19"/>
      <c r="L6" s="56"/>
      <c r="M6" s="57"/>
    </row>
    <row r="7" spans="1:13" s="49" customFormat="1" ht="15.75" x14ac:dyDescent="0.25">
      <c r="A7" s="30" t="s">
        <v>47</v>
      </c>
      <c r="B7" s="29" t="s">
        <v>1</v>
      </c>
      <c r="C7" s="145" t="s">
        <v>142</v>
      </c>
      <c r="D7" s="254" t="s">
        <v>48</v>
      </c>
      <c r="E7" s="255"/>
      <c r="F7" s="256">
        <v>54631221</v>
      </c>
      <c r="G7" s="257"/>
      <c r="J7" s="30">
        <f>+F7</f>
        <v>54631221</v>
      </c>
      <c r="K7" s="255"/>
      <c r="L7" s="258"/>
      <c r="M7" s="259">
        <v>36924</v>
      </c>
    </row>
    <row r="8" spans="1:13" s="23" customFormat="1" ht="15.75" x14ac:dyDescent="0.25">
      <c r="A8" s="28" t="s">
        <v>47</v>
      </c>
      <c r="B8" s="22" t="s">
        <v>1</v>
      </c>
      <c r="C8" s="31" t="s">
        <v>142</v>
      </c>
      <c r="D8" s="58" t="s">
        <v>49</v>
      </c>
      <c r="E8" s="48"/>
      <c r="F8" s="59"/>
      <c r="G8" s="60">
        <f>-42747380+28936761-599752+21</f>
        <v>-14410350</v>
      </c>
      <c r="J8" s="28"/>
      <c r="K8" s="59">
        <f>+G8</f>
        <v>-14410350</v>
      </c>
      <c r="L8" s="35"/>
      <c r="M8" s="62">
        <v>36955</v>
      </c>
    </row>
    <row r="9" spans="1:13" s="23" customFormat="1" ht="15.75" x14ac:dyDescent="0.25">
      <c r="A9" s="28" t="s">
        <v>47</v>
      </c>
      <c r="B9" s="22" t="s">
        <v>1</v>
      </c>
      <c r="C9" s="31" t="s">
        <v>142</v>
      </c>
      <c r="D9" s="63" t="s">
        <v>50</v>
      </c>
      <c r="E9" s="48"/>
      <c r="F9" s="59"/>
      <c r="G9" s="60">
        <v>-9331240</v>
      </c>
      <c r="J9" s="28"/>
      <c r="K9" s="59">
        <f>+G9</f>
        <v>-9331240</v>
      </c>
      <c r="L9" s="50"/>
      <c r="M9" s="62">
        <v>36984</v>
      </c>
    </row>
    <row r="10" spans="1:13" s="23" customFormat="1" ht="15.75" x14ac:dyDescent="0.25">
      <c r="A10" s="28" t="s">
        <v>47</v>
      </c>
      <c r="B10" s="22" t="s">
        <v>51</v>
      </c>
      <c r="C10" s="31" t="s">
        <v>145</v>
      </c>
      <c r="D10" s="63" t="s">
        <v>48</v>
      </c>
      <c r="E10" s="48"/>
      <c r="F10" s="60">
        <v>7700000</v>
      </c>
      <c r="G10" s="59"/>
      <c r="J10" s="28">
        <f>+F10</f>
        <v>7700000</v>
      </c>
      <c r="K10" s="48"/>
      <c r="L10" s="50"/>
      <c r="M10" s="61">
        <v>36924</v>
      </c>
    </row>
    <row r="11" spans="1:13" s="23" customFormat="1" ht="15.75" x14ac:dyDescent="0.25">
      <c r="A11" s="28" t="s">
        <v>47</v>
      </c>
      <c r="B11" s="22" t="s">
        <v>51</v>
      </c>
      <c r="C11" s="31" t="s">
        <v>145</v>
      </c>
      <c r="D11" s="63" t="s">
        <v>49</v>
      </c>
      <c r="E11" s="48"/>
      <c r="F11" s="60">
        <v>45000000</v>
      </c>
      <c r="G11" s="59"/>
      <c r="J11" s="28">
        <f>+F11</f>
        <v>45000000</v>
      </c>
      <c r="K11" s="48"/>
      <c r="L11" s="50"/>
      <c r="M11" s="62">
        <v>36955</v>
      </c>
    </row>
    <row r="12" spans="1:13" s="23" customFormat="1" ht="15.75" x14ac:dyDescent="0.25">
      <c r="A12" s="28" t="s">
        <v>47</v>
      </c>
      <c r="B12" s="22" t="s">
        <v>51</v>
      </c>
      <c r="C12" s="31" t="s">
        <v>145</v>
      </c>
      <c r="D12" s="63" t="s">
        <v>50</v>
      </c>
      <c r="E12" s="48"/>
      <c r="F12" s="60">
        <v>500000</v>
      </c>
      <c r="G12" s="59"/>
      <c r="J12" s="28">
        <f>+F12</f>
        <v>500000</v>
      </c>
      <c r="K12" s="48"/>
      <c r="L12" s="50"/>
      <c r="M12" s="62">
        <v>36984</v>
      </c>
    </row>
    <row r="13" spans="1:13" s="23" customFormat="1" ht="15.75" thickBot="1" x14ac:dyDescent="0.25">
      <c r="E13" s="64"/>
      <c r="F13" s="65"/>
      <c r="G13" s="66"/>
      <c r="J13" s="67"/>
      <c r="K13" s="68"/>
      <c r="L13" s="35"/>
    </row>
    <row r="14" spans="1:13" s="23" customFormat="1" ht="16.5" thickTop="1" x14ac:dyDescent="0.25">
      <c r="A14" s="11" t="s">
        <v>52</v>
      </c>
      <c r="E14" s="48"/>
      <c r="F14" s="28">
        <f>SUM(F7:F12)</f>
        <v>107831221</v>
      </c>
      <c r="G14" s="28">
        <f>SUM(G7:G12)</f>
        <v>-23741590</v>
      </c>
      <c r="J14" s="11">
        <f>SUM(J7:J12)</f>
        <v>107831221</v>
      </c>
      <c r="K14" s="11">
        <f>SUM(K7:K12)</f>
        <v>-23741590</v>
      </c>
      <c r="L14" s="69"/>
    </row>
    <row r="15" spans="1:13" s="23" customFormat="1" ht="15" x14ac:dyDescent="0.2">
      <c r="E15" s="70"/>
      <c r="F15" s="48"/>
      <c r="G15" s="48"/>
      <c r="K15" s="48"/>
      <c r="L15" s="35"/>
    </row>
    <row r="16" spans="1:13" s="23" customFormat="1" ht="15.75" x14ac:dyDescent="0.25">
      <c r="E16" s="70"/>
      <c r="F16" s="48"/>
      <c r="G16" s="48"/>
      <c r="L16" s="35"/>
      <c r="M16" s="20"/>
    </row>
    <row r="17" spans="1:14" s="23" customFormat="1" ht="15.75" x14ac:dyDescent="0.25">
      <c r="E17" s="70"/>
      <c r="F17" s="44"/>
      <c r="G17" s="44"/>
      <c r="L17" s="37" t="s">
        <v>66</v>
      </c>
      <c r="M17" s="20" t="s">
        <v>67</v>
      </c>
    </row>
    <row r="18" spans="1:14" s="23" customFormat="1" ht="15.75" x14ac:dyDescent="0.25">
      <c r="D18" s="19"/>
      <c r="E18" s="19" t="s">
        <v>8</v>
      </c>
      <c r="F18" s="71" t="s">
        <v>42</v>
      </c>
      <c r="G18" s="71" t="s">
        <v>43</v>
      </c>
      <c r="J18" s="19" t="s">
        <v>11</v>
      </c>
      <c r="K18" s="19" t="s">
        <v>63</v>
      </c>
      <c r="L18" s="37" t="s">
        <v>68</v>
      </c>
      <c r="M18" s="20" t="s">
        <v>69</v>
      </c>
    </row>
    <row r="19" spans="1:14" s="23" customFormat="1" ht="15.75" x14ac:dyDescent="0.25">
      <c r="A19" s="31" t="s">
        <v>13</v>
      </c>
      <c r="B19" s="31" t="s">
        <v>14</v>
      </c>
      <c r="C19" s="31"/>
      <c r="D19" s="72" t="s">
        <v>44</v>
      </c>
      <c r="E19" s="19" t="s">
        <v>15</v>
      </c>
      <c r="F19" s="19" t="s">
        <v>45</v>
      </c>
      <c r="G19" s="19" t="s">
        <v>46</v>
      </c>
      <c r="J19" s="19" t="s">
        <v>19</v>
      </c>
      <c r="K19" s="19" t="s">
        <v>20</v>
      </c>
      <c r="L19" s="73" t="s">
        <v>70</v>
      </c>
      <c r="M19" s="74" t="s">
        <v>70</v>
      </c>
    </row>
    <row r="20" spans="1:14" s="23" customFormat="1" ht="15.75" x14ac:dyDescent="0.25">
      <c r="A20" s="23" t="s">
        <v>53</v>
      </c>
      <c r="B20" s="22" t="s">
        <v>1</v>
      </c>
      <c r="C20" s="31" t="s">
        <v>142</v>
      </c>
      <c r="D20" s="70" t="s">
        <v>54</v>
      </c>
      <c r="E20" s="28"/>
      <c r="F20" s="60"/>
      <c r="G20" s="60">
        <f>-1967079+35761</f>
        <v>-1931318</v>
      </c>
      <c r="J20" s="28"/>
      <c r="K20" s="28">
        <f>+G20</f>
        <v>-1931318</v>
      </c>
      <c r="L20" s="55">
        <v>36923</v>
      </c>
      <c r="M20" s="75">
        <v>36927</v>
      </c>
    </row>
    <row r="21" spans="1:14" s="23" customFormat="1" ht="15.75" x14ac:dyDescent="0.25">
      <c r="A21" s="23" t="s">
        <v>53</v>
      </c>
      <c r="B21" s="22" t="s">
        <v>1</v>
      </c>
      <c r="C21" s="31" t="s">
        <v>142</v>
      </c>
      <c r="D21" s="76" t="s">
        <v>55</v>
      </c>
      <c r="E21" s="28"/>
      <c r="F21" s="60"/>
      <c r="G21" s="60">
        <f>-874535+19401</f>
        <v>-855134</v>
      </c>
      <c r="J21" s="28"/>
      <c r="K21" s="28">
        <f>+G21</f>
        <v>-855134</v>
      </c>
      <c r="L21" s="55">
        <v>36952</v>
      </c>
      <c r="M21" s="75">
        <v>36956</v>
      </c>
    </row>
    <row r="22" spans="1:14" s="23" customFormat="1" ht="15.75" x14ac:dyDescent="0.25">
      <c r="A22" s="23" t="s">
        <v>53</v>
      </c>
      <c r="B22" s="22" t="s">
        <v>1</v>
      </c>
      <c r="C22" s="31" t="s">
        <v>142</v>
      </c>
      <c r="D22" s="76" t="s">
        <v>56</v>
      </c>
      <c r="E22" s="28"/>
      <c r="F22" s="60">
        <f>27467988-14941737</f>
        <v>12526251</v>
      </c>
      <c r="G22" s="60"/>
      <c r="J22" s="28">
        <f>+F22</f>
        <v>12526251</v>
      </c>
      <c r="K22" s="28"/>
      <c r="L22" s="77">
        <v>36907</v>
      </c>
      <c r="M22" s="62">
        <v>36909</v>
      </c>
      <c r="N22" s="23" t="s">
        <v>172</v>
      </c>
    </row>
    <row r="23" spans="1:14" s="23" customFormat="1" ht="15.75" x14ac:dyDescent="0.25">
      <c r="A23" s="23" t="s">
        <v>53</v>
      </c>
      <c r="B23" s="22" t="s">
        <v>1</v>
      </c>
      <c r="C23" s="31" t="s">
        <v>142</v>
      </c>
      <c r="D23" s="76" t="s">
        <v>57</v>
      </c>
      <c r="E23" s="28"/>
      <c r="F23" s="60"/>
      <c r="G23" s="60">
        <f>-32647600</f>
        <v>-32647600</v>
      </c>
      <c r="J23" s="28"/>
      <c r="K23" s="28">
        <f>G23</f>
        <v>-32647600</v>
      </c>
      <c r="L23" s="55">
        <v>36907</v>
      </c>
      <c r="M23" s="75">
        <v>36909</v>
      </c>
      <c r="N23" s="23" t="s">
        <v>171</v>
      </c>
    </row>
    <row r="24" spans="1:14" s="23" customFormat="1" ht="15.75" x14ac:dyDescent="0.25">
      <c r="A24" s="23" t="s">
        <v>53</v>
      </c>
      <c r="B24" s="22" t="s">
        <v>1</v>
      </c>
      <c r="C24" s="31" t="s">
        <v>142</v>
      </c>
      <c r="D24" s="76" t="s">
        <v>58</v>
      </c>
      <c r="E24" s="28"/>
      <c r="F24" s="60"/>
      <c r="G24" s="60">
        <f>-26739+1573</f>
        <v>-25166</v>
      </c>
      <c r="J24" s="28"/>
      <c r="K24" s="28">
        <f>+G24</f>
        <v>-25166</v>
      </c>
      <c r="L24" s="55">
        <v>36983</v>
      </c>
      <c r="M24" s="75">
        <v>36985</v>
      </c>
    </row>
    <row r="25" spans="1:14" s="23" customFormat="1" ht="15.75" x14ac:dyDescent="0.25">
      <c r="A25" s="23" t="s">
        <v>53</v>
      </c>
      <c r="B25" s="22" t="s">
        <v>1</v>
      </c>
      <c r="C25" s="31" t="s">
        <v>142</v>
      </c>
      <c r="D25" s="76" t="s">
        <v>59</v>
      </c>
      <c r="E25" s="28"/>
      <c r="F25" s="60"/>
      <c r="G25" s="60">
        <f>-29231764+13902201</f>
        <v>-15329563</v>
      </c>
      <c r="J25" s="28"/>
      <c r="K25" s="28">
        <f>+G25</f>
        <v>-15329563</v>
      </c>
      <c r="L25" s="55">
        <v>36937</v>
      </c>
      <c r="M25" s="75">
        <v>36942</v>
      </c>
    </row>
    <row r="26" spans="1:14" s="49" customFormat="1" ht="30.75" x14ac:dyDescent="0.25">
      <c r="A26" s="49" t="s">
        <v>53</v>
      </c>
      <c r="B26" s="29" t="s">
        <v>1</v>
      </c>
      <c r="C26" s="145" t="s">
        <v>142</v>
      </c>
      <c r="D26" s="260" t="s">
        <v>60</v>
      </c>
      <c r="E26" s="30">
        <v>-58031340</v>
      </c>
      <c r="F26" s="257"/>
      <c r="G26" s="256"/>
      <c r="J26" s="30"/>
      <c r="K26" s="30">
        <f>+E26</f>
        <v>-58031340</v>
      </c>
      <c r="L26" s="261" t="s">
        <v>71</v>
      </c>
      <c r="M26" s="262"/>
    </row>
    <row r="27" spans="1:14" s="23" customFormat="1" ht="21" customHeight="1" x14ac:dyDescent="0.25">
      <c r="A27" s="23" t="s">
        <v>53</v>
      </c>
      <c r="B27" s="22" t="s">
        <v>51</v>
      </c>
      <c r="C27" s="31" t="s">
        <v>145</v>
      </c>
      <c r="D27" s="78" t="s">
        <v>49</v>
      </c>
      <c r="E27" s="50"/>
      <c r="F27" s="60">
        <v>2800000</v>
      </c>
      <c r="G27" s="60"/>
      <c r="J27" s="28">
        <f>+F27</f>
        <v>2800000</v>
      </c>
      <c r="K27" s="28"/>
      <c r="L27" s="77">
        <v>36907</v>
      </c>
      <c r="M27" s="62">
        <v>36909</v>
      </c>
    </row>
    <row r="28" spans="1:14" s="23" customFormat="1" ht="15.75" thickBot="1" x14ac:dyDescent="0.25">
      <c r="E28" s="79"/>
      <c r="F28" s="65"/>
      <c r="G28" s="66"/>
      <c r="J28" s="39"/>
      <c r="K28" s="39"/>
      <c r="L28" s="80"/>
    </row>
    <row r="29" spans="1:14" s="23" customFormat="1" ht="16.5" thickTop="1" x14ac:dyDescent="0.25">
      <c r="A29" s="36" t="s">
        <v>61</v>
      </c>
      <c r="E29" s="81">
        <f>E26</f>
        <v>-58031340</v>
      </c>
      <c r="F29" s="11">
        <f>SUM(F20:F27)</f>
        <v>15326251</v>
      </c>
      <c r="G29" s="11">
        <f>SUM(G20:G27)</f>
        <v>-50788781</v>
      </c>
      <c r="J29" s="11">
        <f>SUM(J20:J27)</f>
        <v>15326251</v>
      </c>
      <c r="K29" s="11">
        <f>SUM(K20:K27)</f>
        <v>-108820121</v>
      </c>
      <c r="L29" s="82"/>
    </row>
    <row r="30" spans="1:14" s="23" customFormat="1" ht="15" x14ac:dyDescent="0.2">
      <c r="E30" s="58"/>
      <c r="F30" s="60"/>
      <c r="J30" s="75"/>
      <c r="L30" s="80"/>
    </row>
    <row r="31" spans="1:14" s="23" customFormat="1" ht="15.75" x14ac:dyDescent="0.25">
      <c r="E31" s="83"/>
      <c r="F31" s="84"/>
      <c r="L31" s="85"/>
    </row>
    <row r="32" spans="1:14" s="23" customFormat="1" ht="15" x14ac:dyDescent="0.2">
      <c r="L32" s="85"/>
    </row>
    <row r="33" spans="4:12" s="23" customFormat="1" ht="15" x14ac:dyDescent="0.2"/>
    <row r="34" spans="4:12" s="23" customFormat="1" ht="15.75" hidden="1" x14ac:dyDescent="0.25">
      <c r="G34" s="6" t="s">
        <v>72</v>
      </c>
      <c r="J34" s="12" t="s">
        <v>80</v>
      </c>
      <c r="L34" s="14" t="s">
        <v>81</v>
      </c>
    </row>
    <row r="35" spans="4:12" s="23" customFormat="1" ht="15.75" hidden="1" x14ac:dyDescent="0.25">
      <c r="D35" s="7" t="s">
        <v>73</v>
      </c>
      <c r="G35" s="8">
        <f>+L35-J35</f>
        <v>241212626.21000001</v>
      </c>
      <c r="J35" s="8">
        <v>0</v>
      </c>
      <c r="L35" s="8">
        <f>+'PG&amp;E Corp. '!S15</f>
        <v>241212626.21000001</v>
      </c>
    </row>
    <row r="36" spans="4:12" s="23" customFormat="1" ht="15.75" hidden="1" x14ac:dyDescent="0.25">
      <c r="D36" s="7" t="s">
        <v>74</v>
      </c>
      <c r="G36" s="8">
        <f>+L36-J36</f>
        <v>83627473.980000004</v>
      </c>
      <c r="J36" s="8">
        <v>0</v>
      </c>
      <c r="L36" s="8">
        <f>+'PG&amp;E Corp. '!S21+'PG&amp;E Corp. '!S33+'PG&amp;E Corp. '!S39+'PG&amp;E Corp. '!S46</f>
        <v>83627473.980000004</v>
      </c>
    </row>
    <row r="37" spans="4:12" s="23" customFormat="1" ht="15.75" hidden="1" x14ac:dyDescent="0.25">
      <c r="D37" s="7" t="s">
        <v>75</v>
      </c>
      <c r="G37" s="8">
        <f>+L37-J37</f>
        <v>74701099.730000004</v>
      </c>
      <c r="J37" s="8">
        <v>0</v>
      </c>
      <c r="L37" s="8">
        <f>+'PG&amp;E Corp. '!Q54</f>
        <v>74701099.730000004</v>
      </c>
    </row>
    <row r="38" spans="4:12" s="23" customFormat="1" ht="15.75" hidden="1" x14ac:dyDescent="0.25">
      <c r="D38" s="7" t="s">
        <v>76</v>
      </c>
      <c r="G38" s="8">
        <f>+L38-J38</f>
        <v>450677183.13</v>
      </c>
      <c r="J38" s="8">
        <f>+'Edison Int''l '!Q8</f>
        <v>58000000</v>
      </c>
      <c r="L38" s="8">
        <f>+'Edison Int''l '!S12</f>
        <v>508677183.13</v>
      </c>
    </row>
    <row r="39" spans="4:12" s="23" customFormat="1" ht="15.75" hidden="1" x14ac:dyDescent="0.25">
      <c r="D39" s="7" t="s">
        <v>77</v>
      </c>
      <c r="G39" s="8">
        <f>+L39-J39</f>
        <v>34260047.030000001</v>
      </c>
      <c r="J39" s="8">
        <v>0</v>
      </c>
      <c r="L39" s="15">
        <f>+'Edison Int''l '!Q25</f>
        <v>34260047.030000001</v>
      </c>
    </row>
    <row r="40" spans="4:12" s="23" customFormat="1" ht="17.25" hidden="1" thickTop="1" thickBot="1" x14ac:dyDescent="0.3">
      <c r="D40" s="7" t="s">
        <v>78</v>
      </c>
      <c r="G40" s="9">
        <f>SUM(G35:G39)</f>
        <v>884478430.07999992</v>
      </c>
      <c r="J40" s="9">
        <f>SUM(J35:J39)</f>
        <v>58000000</v>
      </c>
      <c r="L40" s="9">
        <f>SUM(L35:L39)</f>
        <v>942478430.07999992</v>
      </c>
    </row>
    <row r="41" spans="4:12" s="23" customFormat="1" ht="15.75" hidden="1" x14ac:dyDescent="0.25">
      <c r="D41" s="7"/>
      <c r="G41" s="8"/>
      <c r="J41" s="8"/>
      <c r="L41" s="8"/>
    </row>
    <row r="42" spans="4:12" s="23" customFormat="1" ht="15.75" hidden="1" x14ac:dyDescent="0.25">
      <c r="D42" s="7" t="s">
        <v>64</v>
      </c>
      <c r="G42" s="8">
        <f>+L42-J42</f>
        <v>54631221</v>
      </c>
      <c r="J42" s="8">
        <f>SUM(J10:J12)</f>
        <v>53200000</v>
      </c>
      <c r="L42" s="8">
        <f>+J14</f>
        <v>107831221</v>
      </c>
    </row>
    <row r="43" spans="4:12" s="23" customFormat="1" ht="15.75" hidden="1" x14ac:dyDescent="0.25">
      <c r="D43" s="7" t="s">
        <v>79</v>
      </c>
      <c r="G43" s="8">
        <f>+L43-J43</f>
        <v>12526251</v>
      </c>
      <c r="J43" s="8">
        <f>+J27</f>
        <v>2800000</v>
      </c>
      <c r="L43" s="8">
        <f>+J29</f>
        <v>15326251</v>
      </c>
    </row>
    <row r="44" spans="4:12" s="23" customFormat="1" ht="17.25" hidden="1" thickTop="1" thickBot="1" x14ac:dyDescent="0.3">
      <c r="D44" s="7" t="s">
        <v>78</v>
      </c>
      <c r="G44" s="9">
        <f>+G42+G43</f>
        <v>67157472</v>
      </c>
      <c r="J44" s="9">
        <f>+J42+J43</f>
        <v>56000000</v>
      </c>
      <c r="L44" s="9">
        <f>+L42+L43</f>
        <v>123157472</v>
      </c>
    </row>
    <row r="45" spans="4:12" s="23" customFormat="1" ht="15.75" hidden="1" x14ac:dyDescent="0.25">
      <c r="G45" s="10"/>
      <c r="J45" s="10"/>
      <c r="L45" s="10"/>
    </row>
    <row r="46" spans="4:12" s="23" customFormat="1" ht="15.75" hidden="1" x14ac:dyDescent="0.25">
      <c r="G46" s="11"/>
      <c r="J46" s="13"/>
      <c r="L46" s="86"/>
    </row>
    <row r="47" spans="4:12" s="23" customFormat="1" ht="15" x14ac:dyDescent="0.2"/>
    <row r="48" spans="4:12" s="23" customFormat="1" ht="15" x14ac:dyDescent="0.2"/>
    <row r="49" s="23" customFormat="1" ht="15" x14ac:dyDescent="0.2"/>
    <row r="50" s="23" customFormat="1" ht="15" x14ac:dyDescent="0.2"/>
    <row r="51" s="23" customFormat="1" ht="15" x14ac:dyDescent="0.2"/>
    <row r="52" s="23" customFormat="1" ht="15" x14ac:dyDescent="0.2"/>
    <row r="53" s="23" customFormat="1" ht="15" x14ac:dyDescent="0.2"/>
    <row r="54" s="23" customFormat="1" ht="15" x14ac:dyDescent="0.2"/>
    <row r="55" s="23" customFormat="1" ht="15" x14ac:dyDescent="0.2"/>
    <row r="56" s="23" customFormat="1" ht="15" x14ac:dyDescent="0.2"/>
    <row r="57" s="23" customFormat="1" ht="15" x14ac:dyDescent="0.2"/>
    <row r="58" s="23" customFormat="1" ht="15" x14ac:dyDescent="0.2"/>
    <row r="59" s="23" customFormat="1" ht="15" x14ac:dyDescent="0.2"/>
    <row r="60" s="23" customFormat="1" ht="15" x14ac:dyDescent="0.2"/>
    <row r="61" s="23" customFormat="1" ht="15" x14ac:dyDescent="0.2"/>
    <row r="62" s="23" customFormat="1" ht="15" x14ac:dyDescent="0.2"/>
    <row r="63" s="23" customFormat="1" ht="15" x14ac:dyDescent="0.2"/>
    <row r="64" s="23" customFormat="1" ht="15" x14ac:dyDescent="0.2"/>
    <row r="65" s="23" customFormat="1" ht="15" x14ac:dyDescent="0.2"/>
    <row r="66" s="23" customFormat="1" ht="15" x14ac:dyDescent="0.2"/>
    <row r="67" s="23" customFormat="1" ht="15" x14ac:dyDescent="0.2"/>
    <row r="68" s="23" customFormat="1" ht="15" x14ac:dyDescent="0.2"/>
    <row r="69" s="23" customFormat="1" ht="15" x14ac:dyDescent="0.2"/>
    <row r="70" s="23" customFormat="1" ht="15" x14ac:dyDescent="0.2"/>
    <row r="71" s="23" customFormat="1" ht="15" x14ac:dyDescent="0.2"/>
    <row r="72" s="23" customFormat="1" ht="15" x14ac:dyDescent="0.2"/>
    <row r="73" s="23" customFormat="1" ht="15" x14ac:dyDescent="0.2"/>
    <row r="74" s="23" customFormat="1" ht="15" x14ac:dyDescent="0.2"/>
    <row r="75" s="23" customFormat="1" ht="15" x14ac:dyDescent="0.2"/>
    <row r="76" s="23" customFormat="1" ht="15" x14ac:dyDescent="0.2"/>
    <row r="77" s="23" customFormat="1" ht="15" x14ac:dyDescent="0.2"/>
    <row r="78" s="23" customFormat="1" ht="15" x14ac:dyDescent="0.2"/>
    <row r="79" s="23" customFormat="1" ht="15" x14ac:dyDescent="0.2"/>
    <row r="80" s="23" customFormat="1" ht="15" x14ac:dyDescent="0.2"/>
    <row r="81" s="23" customFormat="1" ht="15" x14ac:dyDescent="0.2"/>
    <row r="82" s="23" customFormat="1" ht="15" x14ac:dyDescent="0.2"/>
    <row r="83" s="23" customFormat="1" ht="15" x14ac:dyDescent="0.2"/>
    <row r="84" s="23" customFormat="1" ht="15" x14ac:dyDescent="0.2"/>
    <row r="85" s="23" customFormat="1" ht="15" x14ac:dyDescent="0.2"/>
  </sheetData>
  <phoneticPr fontId="0" type="noConversion"/>
  <pageMargins left="0.27" right="0.25" top="0.62" bottom="0.53" header="0.27" footer="0.5"/>
  <pageSetup scale="51" orientation="landscape" r:id="rId1"/>
  <headerFooter alignWithMargins="0">
    <oddHeader>&amp;C&amp;"Arial,Bold"&amp;16HIGHLY CONFIDENTIAL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topLeftCell="A2" workbookViewId="0">
      <selection activeCell="A22" sqref="A22"/>
    </sheetView>
  </sheetViews>
  <sheetFormatPr defaultRowHeight="12.75" x14ac:dyDescent="0.2"/>
  <cols>
    <col min="1" max="1" width="15.7109375" bestFit="1" customWidth="1"/>
    <col min="2" max="2" width="14.85546875" bestFit="1" customWidth="1"/>
    <col min="3" max="3" width="3.7109375" customWidth="1"/>
    <col min="4" max="4" width="17" customWidth="1"/>
    <col min="5" max="5" width="16.42578125" customWidth="1"/>
    <col min="6" max="6" width="16.28515625" customWidth="1"/>
    <col min="7" max="7" width="17.5703125" customWidth="1"/>
    <col min="8" max="8" width="19.7109375" customWidth="1"/>
    <col min="9" max="9" width="6" customWidth="1"/>
    <col min="10" max="10" width="16.28515625" customWidth="1"/>
    <col min="11" max="11" width="20.85546875" customWidth="1"/>
  </cols>
  <sheetData>
    <row r="1" spans="1:14" ht="30" x14ac:dyDescent="0.4">
      <c r="A1" s="408" t="s">
        <v>153</v>
      </c>
      <c r="B1" s="408"/>
      <c r="C1" s="408"/>
      <c r="D1" s="408"/>
      <c r="E1" s="408"/>
      <c r="F1" s="408"/>
      <c r="G1" s="408"/>
      <c r="H1" s="408"/>
      <c r="I1" s="408"/>
    </row>
    <row r="2" spans="1:14" ht="23.25" x14ac:dyDescent="0.35">
      <c r="A2" s="407" t="s">
        <v>193</v>
      </c>
      <c r="B2" s="407"/>
      <c r="C2" s="407"/>
      <c r="D2" s="407"/>
      <c r="E2" s="407"/>
      <c r="F2" s="407"/>
      <c r="G2" s="407"/>
      <c r="H2" s="407"/>
      <c r="I2" s="407"/>
    </row>
    <row r="5" spans="1:14" s="20" customFormat="1" ht="15.75" x14ac:dyDescent="0.25">
      <c r="A5" s="21" t="s">
        <v>13</v>
      </c>
      <c r="B5" s="232" t="s">
        <v>142</v>
      </c>
      <c r="C5" s="232"/>
      <c r="D5" s="232" t="s">
        <v>122</v>
      </c>
      <c r="E5" s="232" t="s">
        <v>143</v>
      </c>
      <c r="F5" s="232" t="s">
        <v>144</v>
      </c>
      <c r="G5" s="232" t="s">
        <v>145</v>
      </c>
      <c r="H5" s="19" t="s">
        <v>149</v>
      </c>
      <c r="I5" s="19"/>
      <c r="J5" s="19"/>
      <c r="K5" s="19"/>
      <c r="M5" s="19"/>
      <c r="N5" s="37"/>
    </row>
    <row r="6" spans="1:14" ht="13.5" thickBot="1" x14ac:dyDescent="0.25">
      <c r="J6" s="231"/>
      <c r="K6" s="231"/>
    </row>
    <row r="7" spans="1:14" ht="15.75" x14ac:dyDescent="0.25">
      <c r="A7" s="237" t="s">
        <v>137</v>
      </c>
      <c r="B7" s="238">
        <f>+'PG&amp;E Corp. '!Q8+'PG&amp;E Corp. '!Q9++'PG&amp;E Corp. '!R9+'PG&amp;E Corp. '!Q10+'PG&amp;E Corp. '!R10</f>
        <v>-52510175.710000001</v>
      </c>
      <c r="C7" s="238"/>
      <c r="D7" s="238">
        <f>+'PG&amp;E Corp. '!Q11+'PG&amp;E Corp. '!Q12+'PG&amp;E Corp. '!Q13+'PG&amp;E Corp. '!R13</f>
        <v>293275000</v>
      </c>
      <c r="E7" s="238"/>
      <c r="F7" s="238">
        <f>+'PG&amp;E Corp. '!Q14</f>
        <v>447801.92000000004</v>
      </c>
      <c r="G7" s="239"/>
      <c r="H7" s="238">
        <f t="shared" ref="H7:H12" si="0">SUM(B7:G7)</f>
        <v>241212626.20999998</v>
      </c>
      <c r="I7" s="240"/>
      <c r="J7" s="231">
        <f>+H7+H8</f>
        <v>440617672.10000002</v>
      </c>
      <c r="K7" s="324"/>
    </row>
    <row r="8" spans="1:14" x14ac:dyDescent="0.2">
      <c r="A8" s="241" t="s">
        <v>138</v>
      </c>
      <c r="B8" s="242">
        <f>+'PG&amp;E Corp. '!S21-'PG&amp;E Corp. '!Q20+'PG&amp;E Corp. '!S29-'PG&amp;E Corp. '!Q27+'PG&amp;E Corp. '!S33-'PG&amp;E Corp. '!Q31+'PG&amp;E Corp. '!S39+'PG&amp;E Corp. '!S46-'PG&amp;E Corp. '!Q45+'PG&amp;E Corp. '!S55</f>
        <v>162491319.89000002</v>
      </c>
      <c r="C8" s="242" t="s">
        <v>130</v>
      </c>
      <c r="D8" s="242">
        <f>+'PG&amp;E Corp. '!Q20+'PG&amp;E Corp. '!Q27+'PG&amp;E Corp. '!Q31+'PG&amp;E Corp. '!Q45</f>
        <v>36913726</v>
      </c>
      <c r="E8" s="242">
        <v>0</v>
      </c>
      <c r="F8" s="243"/>
      <c r="G8" s="243"/>
      <c r="H8" s="242">
        <f t="shared" si="0"/>
        <v>199405045.89000002</v>
      </c>
      <c r="I8" s="244"/>
      <c r="J8" s="231"/>
      <c r="K8" s="325"/>
    </row>
    <row r="9" spans="1:14" x14ac:dyDescent="0.2">
      <c r="A9" s="241" t="s">
        <v>139</v>
      </c>
      <c r="B9" s="242">
        <f>+'Edison Int''l '!R7</f>
        <v>-37359248</v>
      </c>
      <c r="C9" s="242"/>
      <c r="D9" s="242">
        <f>+'Edison Int''l '!Q9+'Edison Int''l '!Q10</f>
        <v>447015000</v>
      </c>
      <c r="E9" s="243"/>
      <c r="F9" s="242">
        <f>+'Edison Int''l '!Q11</f>
        <v>41021431.130000003</v>
      </c>
      <c r="G9" s="242">
        <f>+'Edison Int''l '!Q8</f>
        <v>58000000</v>
      </c>
      <c r="H9" s="242">
        <f t="shared" si="0"/>
        <v>508677183.13</v>
      </c>
      <c r="I9" s="244"/>
      <c r="J9" s="231"/>
    </row>
    <row r="10" spans="1:14" x14ac:dyDescent="0.2">
      <c r="A10" s="241" t="s">
        <v>140</v>
      </c>
      <c r="B10" s="242">
        <f>+'Edison Int''l '!S26-'Edison Int''l '!Q19-'Edison Int''l '!Q17-'Edison Int''l '!Q16</f>
        <v>34203654.030000001</v>
      </c>
      <c r="C10" s="242"/>
      <c r="D10" s="243"/>
      <c r="E10" s="242">
        <f>+'Edison Int''l '!S26-'Edison Int''l '!Q23-'Edison Int''l '!Q22-'Edison Int''l '!Q18</f>
        <v>56393</v>
      </c>
      <c r="F10" s="243"/>
      <c r="G10" s="243"/>
      <c r="H10" s="242">
        <f t="shared" si="0"/>
        <v>34260047.030000001</v>
      </c>
      <c r="I10" s="244"/>
    </row>
    <row r="11" spans="1:14" x14ac:dyDescent="0.2">
      <c r="A11" s="241" t="s">
        <v>64</v>
      </c>
      <c r="B11" s="242">
        <f>+'Px - ISO '!J7+'Px - ISO '!J8+'Px - ISO '!J9</f>
        <v>54631221</v>
      </c>
      <c r="C11" s="242"/>
      <c r="D11" s="243"/>
      <c r="E11" s="243"/>
      <c r="F11" s="243"/>
      <c r="G11" s="242">
        <f>+'Px - ISO '!J10+'Px - ISO '!J11+'Px - ISO '!J12</f>
        <v>53200000</v>
      </c>
      <c r="H11" s="242">
        <f t="shared" si="0"/>
        <v>107831221</v>
      </c>
      <c r="I11" s="244"/>
      <c r="J11" s="231"/>
    </row>
    <row r="12" spans="1:14" x14ac:dyDescent="0.2">
      <c r="A12" s="241" t="s">
        <v>141</v>
      </c>
      <c r="B12" s="233">
        <f>+'Px - ISO '!J20+'Px - ISO '!J21+'Px - ISO '!J22+'Px - ISO '!J23+'Px - ISO '!J24+'Px - ISO '!J25+'Px - ISO '!J26</f>
        <v>12526251</v>
      </c>
      <c r="C12" s="233"/>
      <c r="D12" s="235"/>
      <c r="E12" s="235"/>
      <c r="F12" s="235"/>
      <c r="G12" s="233">
        <f>+'Px - ISO '!J27</f>
        <v>2800000</v>
      </c>
      <c r="H12" s="233">
        <f t="shared" si="0"/>
        <v>15326251</v>
      </c>
      <c r="I12" s="244"/>
    </row>
    <row r="13" spans="1:14" x14ac:dyDescent="0.2">
      <c r="A13" s="241" t="s">
        <v>150</v>
      </c>
      <c r="B13" s="242">
        <f>SUM(B7:B12)</f>
        <v>173983022.21000001</v>
      </c>
      <c r="C13" s="242"/>
      <c r="D13" s="242">
        <f>SUM(D7:D12)</f>
        <v>777203726</v>
      </c>
      <c r="E13" s="242">
        <f>SUM(E7:E12)</f>
        <v>56393</v>
      </c>
      <c r="F13" s="242">
        <f>SUM(F7:F12)</f>
        <v>41469233.050000004</v>
      </c>
      <c r="G13" s="242">
        <f>SUM(G7:G12)</f>
        <v>114000000</v>
      </c>
      <c r="H13" s="242"/>
      <c r="I13" s="244"/>
    </row>
    <row r="14" spans="1:14" ht="13.5" thickBot="1" x14ac:dyDescent="0.25">
      <c r="A14" s="241"/>
      <c r="B14" s="242"/>
      <c r="C14" s="242"/>
      <c r="D14" s="242"/>
      <c r="E14" s="242"/>
      <c r="F14" s="242"/>
      <c r="G14" s="242"/>
      <c r="H14" s="236"/>
      <c r="I14" s="244"/>
    </row>
    <row r="15" spans="1:14" ht="14.25" thickTop="1" thickBot="1" x14ac:dyDescent="0.25">
      <c r="A15" s="241" t="s">
        <v>151</v>
      </c>
      <c r="B15" s="243"/>
      <c r="C15" s="243"/>
      <c r="D15" s="243"/>
      <c r="E15" s="243"/>
      <c r="F15" s="243"/>
      <c r="G15" s="243"/>
      <c r="H15" s="234">
        <f>SUM(H7:H12)</f>
        <v>1106712374.26</v>
      </c>
      <c r="I15" s="244" t="s">
        <v>155</v>
      </c>
      <c r="J15" s="231">
        <f>+'PG&amp;E Corp. '!S64+'Edison Int''l '!U31+'Px - ISO '!J14+'Px - ISO '!J29</f>
        <v>1079410623.8699999</v>
      </c>
    </row>
    <row r="16" spans="1:14" ht="14.25" thickTop="1" thickBot="1" x14ac:dyDescent="0.25">
      <c r="A16" s="245"/>
      <c r="B16" s="246"/>
      <c r="C16" s="246"/>
      <c r="D16" s="246"/>
      <c r="E16" s="246"/>
      <c r="F16" s="246"/>
      <c r="G16" s="246"/>
      <c r="H16" s="246"/>
      <c r="I16" s="247"/>
    </row>
    <row r="17" spans="1:10" x14ac:dyDescent="0.2">
      <c r="A17" t="s">
        <v>152</v>
      </c>
      <c r="H17" s="231"/>
    </row>
    <row r="18" spans="1:10" x14ac:dyDescent="0.2">
      <c r="A18" t="s">
        <v>186</v>
      </c>
      <c r="H18" s="231"/>
    </row>
    <row r="19" spans="1:10" x14ac:dyDescent="0.2">
      <c r="A19" t="s">
        <v>163</v>
      </c>
      <c r="H19" s="231"/>
    </row>
    <row r="20" spans="1:10" x14ac:dyDescent="0.2">
      <c r="A20" t="s">
        <v>164</v>
      </c>
      <c r="H20" s="231"/>
    </row>
    <row r="21" spans="1:10" x14ac:dyDescent="0.2">
      <c r="A21" t="s">
        <v>196</v>
      </c>
      <c r="H21" s="231"/>
    </row>
    <row r="23" spans="1:10" x14ac:dyDescent="0.2">
      <c r="H23" s="231"/>
    </row>
    <row r="25" spans="1:10" x14ac:dyDescent="0.2">
      <c r="B25" s="231"/>
      <c r="H25" s="231"/>
    </row>
    <row r="30" spans="1:10" x14ac:dyDescent="0.2">
      <c r="G30" t="s">
        <v>160</v>
      </c>
      <c r="H30" s="251">
        <f>+'PG&amp;E Corp. '!S62+'Edison Int''l '!S31+'Px - ISO '!J14+'Px - ISO '!J29</f>
        <v>1106712374.26</v>
      </c>
    </row>
    <row r="32" spans="1:10" x14ac:dyDescent="0.2">
      <c r="H32" s="231">
        <f>+H15-H30</f>
        <v>0</v>
      </c>
      <c r="J32" s="231"/>
    </row>
  </sheetData>
  <mergeCells count="2">
    <mergeCell ref="A2:I2"/>
    <mergeCell ref="A1:I1"/>
  </mergeCells>
  <phoneticPr fontId="0" type="noConversion"/>
  <pageMargins left="0.27" right="0.25" top="0.62" bottom="0.53" header="0.27" footer="0.5"/>
  <pageSetup orientation="landscape" r:id="rId1"/>
  <headerFooter alignWithMargins="0">
    <oddHeader>&amp;C&amp;"Arial,Bold"&amp;16HIGHLY CONFIDENTIAL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6"/>
  <sheetViews>
    <sheetView topLeftCell="A50" zoomScale="75" workbookViewId="0">
      <selection activeCell="C74" sqref="C74"/>
    </sheetView>
  </sheetViews>
  <sheetFormatPr defaultRowHeight="12.75" x14ac:dyDescent="0.2"/>
  <cols>
    <col min="1" max="1" width="55.5703125" customWidth="1"/>
    <col min="2" max="2" width="21.28515625" customWidth="1"/>
    <col min="3" max="3" width="28.5703125" customWidth="1"/>
    <col min="4" max="4" width="19.5703125" customWidth="1"/>
    <col min="5" max="5" width="20.5703125" customWidth="1"/>
    <col min="6" max="6" width="19.85546875" customWidth="1"/>
    <col min="7" max="7" width="19.28515625" customWidth="1"/>
    <col min="8" max="8" width="20.42578125" hidden="1" customWidth="1"/>
    <col min="9" max="9" width="18.7109375" customWidth="1"/>
    <col min="10" max="10" width="22.7109375" customWidth="1"/>
    <col min="11" max="11" width="17" customWidth="1"/>
  </cols>
  <sheetData>
    <row r="1" spans="1:75" ht="20.25" x14ac:dyDescent="0.3">
      <c r="A1" s="18" t="s">
        <v>83</v>
      </c>
    </row>
    <row r="2" spans="1:75" ht="18" x14ac:dyDescent="0.25">
      <c r="A2" s="17" t="s">
        <v>82</v>
      </c>
      <c r="B2" s="16">
        <f>+'PG&amp;E Corp. '!B2</f>
        <v>36950</v>
      </c>
    </row>
    <row r="3" spans="1:75" s="1" customFormat="1" x14ac:dyDescent="0.2">
      <c r="K3" s="2"/>
      <c r="L3" s="3"/>
    </row>
    <row r="4" spans="1:75" s="4" customFormat="1" ht="15" customHeight="1" x14ac:dyDescent="0.25">
      <c r="A4" s="19"/>
      <c r="B4" s="19"/>
      <c r="C4" s="19" t="s">
        <v>7</v>
      </c>
      <c r="D4" s="19" t="s">
        <v>8</v>
      </c>
      <c r="E4" s="19" t="s">
        <v>9</v>
      </c>
      <c r="F4" s="19" t="s">
        <v>10</v>
      </c>
      <c r="G4" s="19"/>
      <c r="H4" s="19" t="s">
        <v>22</v>
      </c>
      <c r="I4" s="19" t="s">
        <v>11</v>
      </c>
      <c r="J4" s="19" t="s">
        <v>12</v>
      </c>
      <c r="K4" s="19"/>
      <c r="L4" s="3"/>
    </row>
    <row r="5" spans="1:75" s="4" customFormat="1" ht="15" customHeight="1" x14ac:dyDescent="0.25">
      <c r="A5" s="21" t="s">
        <v>13</v>
      </c>
      <c r="B5" s="21" t="s">
        <v>14</v>
      </c>
      <c r="C5" s="19" t="s">
        <v>15</v>
      </c>
      <c r="D5" s="19" t="s">
        <v>15</v>
      </c>
      <c r="E5" s="19" t="s">
        <v>16</v>
      </c>
      <c r="F5" s="19" t="s">
        <v>17</v>
      </c>
      <c r="G5" s="19" t="s">
        <v>18</v>
      </c>
      <c r="H5" s="19" t="s">
        <v>23</v>
      </c>
      <c r="I5" s="19" t="s">
        <v>19</v>
      </c>
      <c r="J5" s="19" t="s">
        <v>20</v>
      </c>
      <c r="K5" s="19"/>
      <c r="L5" s="3"/>
    </row>
    <row r="6" spans="1:75" s="5" customFormat="1" ht="18.75" customHeight="1" x14ac:dyDescent="0.2">
      <c r="A6" s="91" t="s">
        <v>125</v>
      </c>
      <c r="B6" s="91" t="s">
        <v>26</v>
      </c>
      <c r="C6" s="32">
        <f>+'PG&amp;E Corp. '!D31</f>
        <v>0</v>
      </c>
      <c r="D6" s="32">
        <f>+'PG&amp;E Corp. '!E31</f>
        <v>0</v>
      </c>
      <c r="E6" s="32">
        <f>+'PG&amp;E Corp. '!F31</f>
        <v>0</v>
      </c>
      <c r="F6" s="32">
        <f>+'PG&amp;E Corp. '!G31</f>
        <v>0</v>
      </c>
      <c r="G6" s="32">
        <f>+'PG&amp;E Corp. '!L31</f>
        <v>0</v>
      </c>
      <c r="H6" s="32">
        <f>+'PG&amp;E Corp. '!M31</f>
        <v>0</v>
      </c>
      <c r="I6" s="32">
        <f>+'PG&amp;E Corp. '!Q31</f>
        <v>0</v>
      </c>
      <c r="J6" s="32">
        <f>+'PG&amp;E Corp. '!R31</f>
        <v>0</v>
      </c>
      <c r="K6" s="93"/>
      <c r="L6" s="93"/>
      <c r="M6" s="94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</row>
    <row r="7" spans="1:75" s="140" customFormat="1" ht="21.75" customHeight="1" x14ac:dyDescent="0.2">
      <c r="A7" s="136" t="s">
        <v>0</v>
      </c>
      <c r="B7" s="136" t="s">
        <v>21</v>
      </c>
      <c r="C7" s="137">
        <f>+'PG&amp;E Corp. '!D11+'PG&amp;E Corp. '!D12</f>
        <v>0</v>
      </c>
      <c r="D7" s="137">
        <f>+'PG&amp;E Corp. '!E11+'PG&amp;E Corp. '!E12</f>
        <v>0</v>
      </c>
      <c r="E7" s="137">
        <f>+'PG&amp;E Corp. '!F11+'PG&amp;E Corp. '!F12</f>
        <v>293450000</v>
      </c>
      <c r="F7" s="137">
        <f>+'PG&amp;E Corp. '!G11+'PG&amp;E Corp. '!G12</f>
        <v>0</v>
      </c>
      <c r="G7" s="137">
        <f>+'PG&amp;E Corp. '!L11+'PG&amp;E Corp. '!L12</f>
        <v>293450000</v>
      </c>
      <c r="H7" s="137">
        <f>+'PG&amp;E Corp. '!M11+'PG&amp;E Corp. '!M12</f>
        <v>0</v>
      </c>
      <c r="I7" s="137">
        <f>+'PG&amp;E Corp. '!Q11+'PG&amp;E Corp. '!Q12</f>
        <v>293450000</v>
      </c>
      <c r="J7" s="137">
        <f>+'PG&amp;E Corp. '!R11+'PG&amp;E Corp. '!R12</f>
        <v>0</v>
      </c>
      <c r="K7" s="138"/>
      <c r="L7" s="138"/>
      <c r="M7" s="139"/>
    </row>
    <row r="8" spans="1:75" s="95" customFormat="1" ht="15" customHeight="1" x14ac:dyDescent="0.2">
      <c r="A8" s="96" t="s">
        <v>28</v>
      </c>
      <c r="B8" s="96" t="s">
        <v>21</v>
      </c>
      <c r="C8" s="97">
        <f>+'PG&amp;E Corp. '!D45</f>
        <v>0</v>
      </c>
      <c r="D8" s="97">
        <f>+'PG&amp;E Corp. '!E45</f>
        <v>135802</v>
      </c>
      <c r="E8" s="97">
        <f>+'PG&amp;E Corp. '!F45</f>
        <v>3060384</v>
      </c>
      <c r="F8" s="97">
        <f>+'PG&amp;E Corp. '!G45</f>
        <v>-804267</v>
      </c>
      <c r="G8" s="97">
        <f>+'PG&amp;E Corp. '!L45</f>
        <v>2256117</v>
      </c>
      <c r="H8" s="97">
        <f>+'PG&amp;E Corp. '!M45</f>
        <v>0</v>
      </c>
      <c r="I8" s="98">
        <f>+'PG&amp;E Corp. '!Q45</f>
        <v>2391919</v>
      </c>
      <c r="J8" s="98">
        <f>+'PG&amp;E Corp. '!R45</f>
        <v>0</v>
      </c>
      <c r="K8" s="93"/>
      <c r="L8" s="93"/>
      <c r="M8" s="94"/>
    </row>
    <row r="9" spans="1:75" s="140" customFormat="1" ht="15" customHeight="1" x14ac:dyDescent="0.2">
      <c r="A9" s="141" t="s">
        <v>127</v>
      </c>
      <c r="B9" s="136" t="s">
        <v>21</v>
      </c>
      <c r="C9" s="142">
        <f>+'Edison Int''l '!D9+'Edison Int''l '!D10</f>
        <v>0</v>
      </c>
      <c r="D9" s="142">
        <f>+'Edison Int''l '!E9+'Edison Int''l '!E10</f>
        <v>353215000</v>
      </c>
      <c r="E9" s="142">
        <f>+'Edison Int''l '!F9+'Edison Int''l '!F10</f>
        <v>93800000</v>
      </c>
      <c r="F9" s="142">
        <f>+'Edison Int''l '!G9+'Edison Int''l '!G10</f>
        <v>0</v>
      </c>
      <c r="G9" s="142">
        <f>+'Edison Int''l '!L9+'Edison Int''l '!L10</f>
        <v>93800000</v>
      </c>
      <c r="H9" s="142">
        <f>+'Edison Int''l '!M9+'Edison Int''l '!M10</f>
        <v>0</v>
      </c>
      <c r="I9" s="143">
        <f>+'Edison Int''l '!Q9+'Edison Int''l '!Q10</f>
        <v>447015000</v>
      </c>
      <c r="J9" s="143">
        <f>+'Edison Int''l '!R9+'Edison Int''l '!R10</f>
        <v>0</v>
      </c>
      <c r="K9" s="138"/>
      <c r="L9" s="138"/>
      <c r="M9" s="139"/>
    </row>
    <row r="10" spans="1:75" s="95" customFormat="1" ht="15" customHeight="1" x14ac:dyDescent="0.25">
      <c r="A10" s="125" t="s">
        <v>86</v>
      </c>
      <c r="B10" s="125"/>
      <c r="C10" s="100"/>
      <c r="D10" s="100"/>
      <c r="E10" s="126"/>
      <c r="F10" s="126"/>
      <c r="G10" s="126"/>
      <c r="H10" s="100"/>
      <c r="I10" s="100">
        <f>SUM(I6:I9)</f>
        <v>742856919</v>
      </c>
      <c r="J10" s="100">
        <f>SUM(J6:J9)</f>
        <v>0</v>
      </c>
      <c r="K10" s="93"/>
      <c r="L10" s="93"/>
      <c r="M10" s="94"/>
    </row>
    <row r="11" spans="1:75" s="95" customFormat="1" ht="15" customHeight="1" x14ac:dyDescent="0.25">
      <c r="A11" s="125"/>
      <c r="B11" s="96"/>
      <c r="C11" s="97"/>
      <c r="D11" s="97"/>
      <c r="E11" s="98"/>
      <c r="F11" s="98"/>
      <c r="G11" s="98"/>
      <c r="H11" s="97"/>
      <c r="I11" s="97"/>
      <c r="J11" s="97"/>
      <c r="K11" s="93"/>
      <c r="L11" s="93"/>
      <c r="M11" s="94"/>
    </row>
    <row r="12" spans="1:75" s="95" customFormat="1" ht="15" customHeight="1" x14ac:dyDescent="0.2">
      <c r="A12" s="96"/>
      <c r="B12" s="96"/>
      <c r="C12" s="97"/>
      <c r="D12" s="97"/>
      <c r="E12" s="98"/>
      <c r="F12" s="98"/>
      <c r="G12" s="98"/>
      <c r="H12" s="97"/>
      <c r="I12" s="97"/>
      <c r="J12" s="93"/>
      <c r="K12" s="93"/>
      <c r="L12" s="93"/>
      <c r="M12" s="94"/>
    </row>
    <row r="13" spans="1:75" s="147" customFormat="1" ht="15" customHeight="1" x14ac:dyDescent="0.25">
      <c r="A13" s="145" t="s">
        <v>0</v>
      </c>
      <c r="B13" s="145" t="s">
        <v>107</v>
      </c>
      <c r="C13" s="146">
        <f>+'PG&amp;E Corp. '!D8</f>
        <v>0</v>
      </c>
      <c r="D13" s="146">
        <f>+'PG&amp;E Corp. '!E8</f>
        <v>-847772</v>
      </c>
      <c r="E13" s="146">
        <f>+'PG&amp;E Corp. '!F8</f>
        <v>34325029</v>
      </c>
      <c r="F13" s="146">
        <f>+'PG&amp;E Corp. '!G8</f>
        <v>-576402</v>
      </c>
      <c r="G13" s="146">
        <f>+'PG&amp;E Corp. '!L8</f>
        <v>67481588</v>
      </c>
      <c r="H13" s="146">
        <f>+'PG&amp;E Corp. '!M8</f>
        <v>70169385</v>
      </c>
      <c r="I13" s="146">
        <f>+'PG&amp;E Corp. '!Q8</f>
        <v>66633816</v>
      </c>
      <c r="J13" s="146">
        <f>+'PG&amp;E Corp. '!R8</f>
        <v>0</v>
      </c>
      <c r="K13" s="49"/>
      <c r="L13" s="49"/>
    </row>
    <row r="14" spans="1:75" s="95" customFormat="1" ht="15" customHeight="1" x14ac:dyDescent="0.2">
      <c r="A14" s="102" t="s">
        <v>2</v>
      </c>
      <c r="B14" s="102" t="s">
        <v>97</v>
      </c>
      <c r="C14" s="97">
        <f>+'PG&amp;E Corp. '!D17</f>
        <v>0</v>
      </c>
      <c r="D14" s="97">
        <f>+'PG&amp;E Corp. '!E17</f>
        <v>0</v>
      </c>
      <c r="E14" s="97">
        <f>+'PG&amp;E Corp. '!F17</f>
        <v>0</v>
      </c>
      <c r="F14" s="97">
        <f>+'PG&amp;E Corp. '!G17</f>
        <v>0</v>
      </c>
      <c r="G14" s="97">
        <f>+'PG&amp;E Corp. '!L17</f>
        <v>0</v>
      </c>
      <c r="H14" s="97">
        <f>+'PG&amp;E Corp. '!M17</f>
        <v>50460</v>
      </c>
      <c r="I14" s="97">
        <f>+'PG&amp;E Corp. '!Q17</f>
        <v>0</v>
      </c>
      <c r="J14" s="97">
        <f>+'PG&amp;E Corp. '!R17</f>
        <v>0</v>
      </c>
      <c r="K14" s="96"/>
      <c r="L14" s="96"/>
    </row>
    <row r="15" spans="1:75" s="95" customFormat="1" ht="15" customHeight="1" x14ac:dyDescent="0.2">
      <c r="A15" s="102" t="s">
        <v>4</v>
      </c>
      <c r="B15" s="102" t="s">
        <v>97</v>
      </c>
      <c r="C15" s="97">
        <f>+'PG&amp;E Corp. '!D35</f>
        <v>4926766</v>
      </c>
      <c r="D15" s="97">
        <f>+'PG&amp;E Corp. '!E35</f>
        <v>0</v>
      </c>
      <c r="E15" s="97">
        <f>+'PG&amp;E Corp. '!F35</f>
        <v>0</v>
      </c>
      <c r="F15" s="97">
        <f>+'PG&amp;E Corp. '!G35</f>
        <v>0</v>
      </c>
      <c r="G15" s="97">
        <f>+'PG&amp;E Corp. '!L35</f>
        <v>0</v>
      </c>
      <c r="H15" s="97">
        <f>+'PG&amp;E Corp. '!M35</f>
        <v>13062536</v>
      </c>
      <c r="I15" s="97">
        <f>+'PG&amp;E Corp. '!Q35</f>
        <v>4926766</v>
      </c>
      <c r="J15" s="97">
        <f>+'PG&amp;E Corp. '!R35</f>
        <v>0</v>
      </c>
      <c r="K15" s="93"/>
      <c r="L15" s="93"/>
      <c r="M15" s="94"/>
    </row>
    <row r="16" spans="1:75" s="95" customFormat="1" ht="15" customHeight="1" x14ac:dyDescent="0.2">
      <c r="A16" s="102" t="s">
        <v>4</v>
      </c>
      <c r="B16" s="102" t="s">
        <v>97</v>
      </c>
      <c r="C16" s="97">
        <f>+'PG&amp;E Corp. '!D36</f>
        <v>0</v>
      </c>
      <c r="D16" s="97">
        <f>+'PG&amp;E Corp. '!E36</f>
        <v>-34993799</v>
      </c>
      <c r="E16" s="97">
        <f>+'PG&amp;E Corp. '!F36</f>
        <v>70827257.400000006</v>
      </c>
      <c r="F16" s="97">
        <f>+'PG&amp;E Corp. '!G36</f>
        <v>-38868017.420000002</v>
      </c>
      <c r="G16" s="97">
        <f>+'PG&amp;E Corp. '!L36</f>
        <v>52248232.980000004</v>
      </c>
      <c r="H16" s="97">
        <f>+'PG&amp;E Corp. '!M36</f>
        <v>19833122</v>
      </c>
      <c r="I16" s="97">
        <f>+'PG&amp;E Corp. '!Q36</f>
        <v>17254433.980000004</v>
      </c>
      <c r="J16" s="97">
        <f>+'PG&amp;E Corp. '!R36</f>
        <v>0</v>
      </c>
      <c r="K16" s="93"/>
      <c r="L16" s="93"/>
      <c r="M16" s="94"/>
    </row>
    <row r="17" spans="1:13" s="95" customFormat="1" ht="16.5" customHeight="1" x14ac:dyDescent="0.2">
      <c r="A17" s="102" t="s">
        <v>5</v>
      </c>
      <c r="B17" s="102" t="s">
        <v>97</v>
      </c>
      <c r="C17" s="97">
        <f>+'PG&amp;E Corp. '!D41</f>
        <v>0</v>
      </c>
      <c r="D17" s="97">
        <f>+'PG&amp;E Corp. '!E41</f>
        <v>126909</v>
      </c>
      <c r="E17" s="97">
        <f>+'PG&amp;E Corp. '!F41</f>
        <v>0</v>
      </c>
      <c r="F17" s="97">
        <f>+'PG&amp;E Corp. '!G41</f>
        <v>-1694157.75</v>
      </c>
      <c r="G17" s="97">
        <f>+'PG&amp;E Corp. '!L41</f>
        <v>-2608077.75</v>
      </c>
      <c r="H17" s="97">
        <f>+'PG&amp;E Corp. '!M41</f>
        <v>-2501719</v>
      </c>
      <c r="I17" s="97">
        <f>+'PG&amp;E Corp. '!Q41</f>
        <v>0</v>
      </c>
      <c r="J17" s="97">
        <f>+'PG&amp;E Corp. '!R41</f>
        <v>-2481168.75</v>
      </c>
      <c r="K17" s="93"/>
      <c r="L17" s="93"/>
      <c r="M17" s="94"/>
    </row>
    <row r="18" spans="1:13" s="95" customFormat="1" ht="15" customHeight="1" x14ac:dyDescent="0.25">
      <c r="A18" s="99" t="s">
        <v>6</v>
      </c>
      <c r="B18" s="99" t="s">
        <v>107</v>
      </c>
      <c r="C18" s="100" t="e">
        <f>+'PG&amp;E Corp. '!#REF!</f>
        <v>#REF!</v>
      </c>
      <c r="D18" s="100" t="e">
        <f>+'PG&amp;E Corp. '!#REF!</f>
        <v>#REF!</v>
      </c>
      <c r="E18" s="100" t="e">
        <f>+'PG&amp;E Corp. '!#REF!</f>
        <v>#REF!</v>
      </c>
      <c r="F18" s="100" t="e">
        <f>+'PG&amp;E Corp. '!#REF!</f>
        <v>#REF!</v>
      </c>
      <c r="G18" s="100" t="e">
        <f>+'PG&amp;E Corp. '!#REF!</f>
        <v>#REF!</v>
      </c>
      <c r="H18" s="100" t="e">
        <f>+'PG&amp;E Corp. '!#REF!</f>
        <v>#REF!</v>
      </c>
      <c r="I18" s="127" t="e">
        <f>+'PG&amp;E Corp. '!#REF!</f>
        <v>#REF!</v>
      </c>
      <c r="J18" s="127" t="e">
        <f>+'PG&amp;E Corp. '!#REF!</f>
        <v>#REF!</v>
      </c>
      <c r="K18" s="93"/>
      <c r="L18" s="93"/>
      <c r="M18" s="94"/>
    </row>
    <row r="19" spans="1:13" s="95" customFormat="1" ht="15" customHeight="1" x14ac:dyDescent="0.25">
      <c r="A19" s="125" t="s">
        <v>87</v>
      </c>
      <c r="B19" s="99"/>
      <c r="C19" s="100"/>
      <c r="D19" s="100"/>
      <c r="E19" s="100"/>
      <c r="F19" s="100"/>
      <c r="G19" s="100"/>
      <c r="H19" s="100"/>
      <c r="I19" s="100" t="e">
        <f>SUM(I13:I18)</f>
        <v>#REF!</v>
      </c>
      <c r="J19" s="100" t="e">
        <f>SUM(J13:J18)</f>
        <v>#REF!</v>
      </c>
      <c r="K19" s="93"/>
      <c r="L19" s="93"/>
      <c r="M19" s="94"/>
    </row>
    <row r="20" spans="1:13" s="95" customFormat="1" ht="15" customHeight="1" x14ac:dyDescent="0.25">
      <c r="A20" s="125"/>
      <c r="B20" s="99"/>
      <c r="C20" s="100"/>
      <c r="D20" s="100"/>
      <c r="E20" s="100"/>
      <c r="F20" s="100"/>
      <c r="G20" s="100"/>
      <c r="H20" s="100"/>
      <c r="I20" s="100"/>
      <c r="J20" s="100"/>
      <c r="K20" s="93"/>
      <c r="L20" s="93"/>
      <c r="M20" s="94"/>
    </row>
    <row r="21" spans="1:13" s="95" customFormat="1" ht="15" customHeight="1" x14ac:dyDescent="0.25">
      <c r="A21" s="99"/>
      <c r="B21" s="99"/>
      <c r="C21" s="100"/>
      <c r="D21" s="100"/>
      <c r="E21" s="100"/>
      <c r="F21" s="100"/>
      <c r="G21" s="100"/>
      <c r="H21" s="100"/>
      <c r="I21" s="100"/>
      <c r="J21" s="101"/>
      <c r="K21" s="93"/>
      <c r="L21" s="93"/>
      <c r="M21" s="94"/>
    </row>
    <row r="22" spans="1:13" s="95" customFormat="1" ht="15" customHeight="1" x14ac:dyDescent="0.2">
      <c r="A22" s="102" t="s">
        <v>32</v>
      </c>
      <c r="B22" s="102" t="s">
        <v>111</v>
      </c>
      <c r="C22" s="97">
        <f>+'Edison Int''l '!D16</f>
        <v>0</v>
      </c>
      <c r="D22" s="97">
        <f>+'Edison Int''l '!E16</f>
        <v>0</v>
      </c>
      <c r="E22" s="97">
        <f>+'Edison Int''l '!F16</f>
        <v>56393</v>
      </c>
      <c r="F22" s="97">
        <f>+'Edison Int''l '!G16</f>
        <v>0</v>
      </c>
      <c r="G22" s="97">
        <f>+'Edison Int''l '!L16</f>
        <v>56393</v>
      </c>
      <c r="H22" s="97">
        <f>+'Edison Int''l '!M16</f>
        <v>0</v>
      </c>
      <c r="I22" s="97">
        <f>+'Edison Int''l '!Q16</f>
        <v>56393</v>
      </c>
      <c r="J22" s="97">
        <f>+'Edison Int''l '!R16</f>
        <v>0</v>
      </c>
      <c r="K22" s="93"/>
      <c r="L22" s="93"/>
      <c r="M22" s="94"/>
    </row>
    <row r="23" spans="1:13" s="95" customFormat="1" ht="15" customHeight="1" x14ac:dyDescent="0.2">
      <c r="A23" s="102" t="s">
        <v>32</v>
      </c>
      <c r="B23" s="102" t="s">
        <v>112</v>
      </c>
      <c r="C23" s="97">
        <f>+'Edison Int''l '!D17</f>
        <v>0</v>
      </c>
      <c r="D23" s="97">
        <f>+'Edison Int''l '!E17</f>
        <v>-14465567</v>
      </c>
      <c r="E23" s="97">
        <f>+'Edison Int''l '!F17</f>
        <v>0</v>
      </c>
      <c r="F23" s="97">
        <f>+'Edison Int''l '!G17</f>
        <v>0</v>
      </c>
      <c r="G23" s="97">
        <f>+'Edison Int''l '!L17</f>
        <v>0</v>
      </c>
      <c r="H23" s="97">
        <f>+'Edison Int''l '!M17</f>
        <v>-4444817</v>
      </c>
      <c r="I23" s="103">
        <f>+'Edison Int''l '!Q17</f>
        <v>0</v>
      </c>
      <c r="J23" s="103">
        <f>+'Edison Int''l '!R17</f>
        <v>-14465567</v>
      </c>
      <c r="K23" s="93"/>
      <c r="L23" s="93"/>
      <c r="M23" s="94"/>
    </row>
    <row r="24" spans="1:13" s="129" customFormat="1" ht="15" customHeight="1" x14ac:dyDescent="0.25">
      <c r="A24" s="125" t="s">
        <v>88</v>
      </c>
      <c r="B24" s="99"/>
      <c r="C24" s="100"/>
      <c r="D24" s="100"/>
      <c r="E24" s="100"/>
      <c r="F24" s="100"/>
      <c r="G24" s="100"/>
      <c r="H24" s="100"/>
      <c r="I24" s="100">
        <f>SUM(I22:I23)</f>
        <v>56393</v>
      </c>
      <c r="J24" s="100">
        <f>SUM(J22:J23)</f>
        <v>-14465567</v>
      </c>
      <c r="K24" s="101"/>
      <c r="L24" s="101"/>
      <c r="M24" s="128"/>
    </row>
    <row r="25" spans="1:13" s="129" customFormat="1" ht="15" customHeight="1" x14ac:dyDescent="0.25">
      <c r="A25" s="125"/>
      <c r="B25" s="99"/>
      <c r="C25" s="100"/>
      <c r="D25" s="100"/>
      <c r="E25" s="100"/>
      <c r="F25" s="100"/>
      <c r="G25" s="100"/>
      <c r="H25" s="100"/>
      <c r="I25" s="100"/>
      <c r="J25" s="100"/>
      <c r="K25" s="101"/>
      <c r="L25" s="101"/>
      <c r="M25" s="128"/>
    </row>
    <row r="26" spans="1:13" s="95" customFormat="1" ht="15" customHeight="1" x14ac:dyDescent="0.2">
      <c r="A26" s="102"/>
      <c r="B26" s="102"/>
      <c r="C26" s="97"/>
      <c r="D26" s="97"/>
      <c r="E26" s="97"/>
      <c r="F26" s="97"/>
      <c r="G26" s="97"/>
      <c r="H26" s="97"/>
      <c r="I26" s="97"/>
      <c r="J26" s="93"/>
      <c r="K26" s="93"/>
      <c r="L26" s="93"/>
      <c r="M26" s="94"/>
    </row>
    <row r="27" spans="1:13" s="106" customFormat="1" ht="15" customHeight="1" x14ac:dyDescent="0.2">
      <c r="A27" s="102" t="s">
        <v>32</v>
      </c>
      <c r="B27" s="102" t="s">
        <v>108</v>
      </c>
      <c r="C27" s="97" t="e">
        <f>+'Edison Int''l '!#REF!</f>
        <v>#REF!</v>
      </c>
      <c r="D27" s="97" t="e">
        <f>+'Edison Int''l '!#REF!</f>
        <v>#REF!</v>
      </c>
      <c r="E27" s="97" t="e">
        <f>+'Edison Int''l '!#REF!</f>
        <v>#REF!</v>
      </c>
      <c r="F27" s="97" t="e">
        <f>+'Edison Int''l '!#REF!</f>
        <v>#REF!</v>
      </c>
      <c r="G27" s="97" t="e">
        <f>+'Edison Int''l '!#REF!</f>
        <v>#REF!</v>
      </c>
      <c r="H27" s="97" t="e">
        <f>+'Edison Int''l '!#REF!</f>
        <v>#REF!</v>
      </c>
      <c r="I27" s="97" t="e">
        <f>+'Edison Int''l '!#REF!</f>
        <v>#REF!</v>
      </c>
      <c r="J27" s="97" t="e">
        <f>+'Edison Int''l '!#REF!</f>
        <v>#REF!</v>
      </c>
      <c r="K27" s="104"/>
      <c r="L27" s="104"/>
      <c r="M27" s="105"/>
    </row>
    <row r="28" spans="1:13" s="95" customFormat="1" ht="15" customHeight="1" x14ac:dyDescent="0.2">
      <c r="A28" s="102" t="s">
        <v>3</v>
      </c>
      <c r="B28" s="102" t="s">
        <v>108</v>
      </c>
      <c r="C28" s="97">
        <f>+'PG&amp;E Corp. '!D23</f>
        <v>0</v>
      </c>
      <c r="D28" s="97">
        <f>+'PG&amp;E Corp. '!E23</f>
        <v>0</v>
      </c>
      <c r="E28" s="97">
        <f>+'PG&amp;E Corp. '!F23</f>
        <v>0</v>
      </c>
      <c r="F28" s="97">
        <f>+'PG&amp;E Corp. '!G23</f>
        <v>0</v>
      </c>
      <c r="G28" s="97">
        <f>+'PG&amp;E Corp. '!L23</f>
        <v>0</v>
      </c>
      <c r="H28" s="97">
        <f>+'PG&amp;E Corp. '!M23</f>
        <v>0</v>
      </c>
      <c r="I28" s="103">
        <f>+'PG&amp;E Corp. '!Q23</f>
        <v>0</v>
      </c>
      <c r="J28" s="103">
        <f>+'PG&amp;E Corp. '!R23</f>
        <v>0</v>
      </c>
      <c r="K28" s="93"/>
      <c r="L28" s="93"/>
      <c r="M28" s="94"/>
    </row>
    <row r="29" spans="1:13" s="95" customFormat="1" ht="15" customHeight="1" x14ac:dyDescent="0.25">
      <c r="A29" s="125" t="s">
        <v>89</v>
      </c>
      <c r="B29" s="99"/>
      <c r="C29" s="100"/>
      <c r="D29" s="100"/>
      <c r="E29" s="100"/>
      <c r="F29" s="100"/>
      <c r="G29" s="100"/>
      <c r="H29" s="100"/>
      <c r="I29" s="100" t="e">
        <f>SUM(I27:I28)</f>
        <v>#REF!</v>
      </c>
      <c r="J29" s="100" t="e">
        <f>SUM(J27:J28)</f>
        <v>#REF!</v>
      </c>
      <c r="K29" s="93"/>
      <c r="L29" s="93"/>
      <c r="M29" s="94"/>
    </row>
    <row r="30" spans="1:13" s="95" customFormat="1" ht="15" customHeight="1" x14ac:dyDescent="0.25">
      <c r="A30" s="125"/>
      <c r="B30" s="102"/>
      <c r="C30" s="97"/>
      <c r="D30" s="97"/>
      <c r="E30" s="97"/>
      <c r="F30" s="97"/>
      <c r="G30" s="97"/>
      <c r="H30" s="97"/>
      <c r="I30" s="97"/>
      <c r="J30" s="97"/>
      <c r="K30" s="93"/>
      <c r="L30" s="93"/>
      <c r="M30" s="94"/>
    </row>
    <row r="31" spans="1:13" s="95" customFormat="1" ht="15" customHeight="1" x14ac:dyDescent="0.2">
      <c r="A31" s="102"/>
      <c r="B31" s="102"/>
      <c r="C31" s="97"/>
      <c r="D31" s="97"/>
      <c r="E31" s="97"/>
      <c r="F31" s="97"/>
      <c r="G31" s="97"/>
      <c r="H31" s="97"/>
      <c r="I31" s="97"/>
      <c r="J31" s="93"/>
      <c r="K31" s="93"/>
      <c r="L31" s="93"/>
      <c r="M31" s="94"/>
    </row>
    <row r="32" spans="1:13" s="95" customFormat="1" ht="15" customHeight="1" x14ac:dyDescent="0.2">
      <c r="A32" s="102" t="s">
        <v>32</v>
      </c>
      <c r="B32" s="102" t="s">
        <v>109</v>
      </c>
      <c r="C32" s="97" t="e">
        <f>+'Edison Int''l '!#REF!</f>
        <v>#REF!</v>
      </c>
      <c r="D32" s="97" t="e">
        <f>+'Edison Int''l '!#REF!</f>
        <v>#REF!</v>
      </c>
      <c r="E32" s="97" t="e">
        <f>+'Edison Int''l '!#REF!</f>
        <v>#REF!</v>
      </c>
      <c r="F32" s="97" t="e">
        <f>+'Edison Int''l '!#REF!</f>
        <v>#REF!</v>
      </c>
      <c r="G32" s="97" t="e">
        <f>+'Edison Int''l '!#REF!</f>
        <v>#REF!</v>
      </c>
      <c r="H32" s="97" t="e">
        <f>+'Edison Int''l '!#REF!</f>
        <v>#REF!</v>
      </c>
      <c r="I32" s="97" t="e">
        <f>+'Edison Int''l '!#REF!</f>
        <v>#REF!</v>
      </c>
      <c r="J32" s="97" t="e">
        <f>+'Edison Int''l '!#REF!</f>
        <v>#REF!</v>
      </c>
      <c r="K32" s="93"/>
      <c r="L32" s="93"/>
      <c r="M32" s="94"/>
    </row>
    <row r="33" spans="1:13" s="95" customFormat="1" ht="15" customHeight="1" x14ac:dyDescent="0.2">
      <c r="A33" s="102" t="s">
        <v>32</v>
      </c>
      <c r="B33" s="102" t="s">
        <v>109</v>
      </c>
      <c r="C33" s="97" t="e">
        <f>+'Edison Int''l '!#REF!</f>
        <v>#REF!</v>
      </c>
      <c r="D33" s="97" t="e">
        <f>+'Edison Int''l '!#REF!</f>
        <v>#REF!</v>
      </c>
      <c r="E33" s="97" t="e">
        <f>+'Edison Int''l '!#REF!</f>
        <v>#REF!</v>
      </c>
      <c r="F33" s="97" t="e">
        <f>+'Edison Int''l '!#REF!</f>
        <v>#REF!</v>
      </c>
      <c r="G33" s="97" t="e">
        <f>+'Edison Int''l '!#REF!</f>
        <v>#REF!</v>
      </c>
      <c r="H33" s="97" t="e">
        <f>+'Edison Int''l '!#REF!</f>
        <v>#REF!</v>
      </c>
      <c r="I33" s="103" t="e">
        <f>+'Edison Int''l '!#REF!</f>
        <v>#REF!</v>
      </c>
      <c r="J33" s="103" t="e">
        <f>+'Edison Int''l '!#REF!</f>
        <v>#REF!</v>
      </c>
      <c r="K33" s="93"/>
      <c r="L33" s="93"/>
      <c r="M33" s="94"/>
    </row>
    <row r="34" spans="1:13" s="95" customFormat="1" ht="15" customHeight="1" x14ac:dyDescent="0.25">
      <c r="A34" s="125" t="s">
        <v>90</v>
      </c>
      <c r="B34" s="99"/>
      <c r="C34" s="100"/>
      <c r="D34" s="100"/>
      <c r="E34" s="100"/>
      <c r="F34" s="100"/>
      <c r="G34" s="100"/>
      <c r="H34" s="100"/>
      <c r="I34" s="100" t="e">
        <f>SUM(I32:I33)</f>
        <v>#REF!</v>
      </c>
      <c r="J34" s="100" t="e">
        <f>SUM(J32:J33)</f>
        <v>#REF!</v>
      </c>
      <c r="K34" s="93"/>
      <c r="L34" s="93"/>
      <c r="M34" s="94"/>
    </row>
    <row r="35" spans="1:13" s="95" customFormat="1" ht="15" customHeight="1" x14ac:dyDescent="0.25">
      <c r="A35" s="125"/>
      <c r="B35" s="99"/>
      <c r="C35" s="100"/>
      <c r="D35" s="100"/>
      <c r="E35" s="100"/>
      <c r="F35" s="100"/>
      <c r="G35" s="100"/>
      <c r="H35" s="100"/>
      <c r="I35" s="100"/>
      <c r="J35" s="100"/>
      <c r="K35" s="93"/>
      <c r="L35" s="93"/>
      <c r="M35" s="94"/>
    </row>
    <row r="36" spans="1:13" s="95" customFormat="1" ht="15" customHeight="1" x14ac:dyDescent="0.2">
      <c r="A36" s="102"/>
      <c r="B36" s="102"/>
      <c r="C36" s="97"/>
      <c r="D36" s="97"/>
      <c r="E36" s="97"/>
      <c r="F36" s="97"/>
      <c r="G36" s="97"/>
      <c r="H36" s="97"/>
      <c r="I36" s="97"/>
      <c r="J36" s="93"/>
      <c r="K36" s="93"/>
      <c r="L36" s="93"/>
      <c r="M36" s="94"/>
    </row>
    <row r="37" spans="1:13" s="95" customFormat="1" ht="15" customHeight="1" x14ac:dyDescent="0.2">
      <c r="A37" s="102" t="s">
        <v>33</v>
      </c>
      <c r="B37" s="102" t="s">
        <v>98</v>
      </c>
      <c r="C37" s="97">
        <f>+'Edison Int''l '!D18</f>
        <v>0</v>
      </c>
      <c r="D37" s="97">
        <f>+'Edison Int''l '!E18</f>
        <v>0</v>
      </c>
      <c r="E37" s="97">
        <f>+'Edison Int''l '!F18</f>
        <v>4333025</v>
      </c>
      <c r="F37" s="97">
        <f>+'Edison Int''l '!G18</f>
        <v>-294750</v>
      </c>
      <c r="G37" s="97">
        <f>+'Edison Int''l '!L18</f>
        <v>4038275</v>
      </c>
      <c r="H37" s="97">
        <f>+'Edison Int''l '!M18</f>
        <v>11891006</v>
      </c>
      <c r="I37" s="97">
        <f>+'Edison Int''l '!Q18</f>
        <v>4038275</v>
      </c>
      <c r="J37" s="97">
        <f>+'Edison Int''l '!R18</f>
        <v>0</v>
      </c>
      <c r="K37" s="93"/>
      <c r="L37" s="93"/>
      <c r="M37" s="94"/>
    </row>
    <row r="38" spans="1:13" s="95" customFormat="1" ht="21" customHeight="1" x14ac:dyDescent="0.2">
      <c r="A38" s="107" t="s">
        <v>34</v>
      </c>
      <c r="B38" s="107" t="s">
        <v>98</v>
      </c>
      <c r="C38" s="108">
        <f>+'Edison Int''l '!D22</f>
        <v>17632309</v>
      </c>
      <c r="D38" s="108">
        <f>+'Edison Int''l '!E22</f>
        <v>0</v>
      </c>
      <c r="E38" s="108">
        <f>+'Edison Int''l '!F22</f>
        <v>0</v>
      </c>
      <c r="F38" s="108">
        <f>+'Edison Int''l '!G22</f>
        <v>0</v>
      </c>
      <c r="G38" s="108">
        <f>+'Edison Int''l '!L22</f>
        <v>0</v>
      </c>
      <c r="H38" s="108">
        <f>+'Edison Int''l '!M22</f>
        <v>0</v>
      </c>
      <c r="I38" s="108">
        <f>+'Edison Int''l '!Q22</f>
        <v>17632309</v>
      </c>
      <c r="J38" s="108">
        <f>+'Edison Int''l '!R22</f>
        <v>0</v>
      </c>
      <c r="K38" s="93"/>
      <c r="L38" s="93"/>
      <c r="M38" s="94"/>
    </row>
    <row r="39" spans="1:13" s="147" customFormat="1" ht="21" customHeight="1" x14ac:dyDescent="0.25">
      <c r="A39" s="145" t="s">
        <v>0</v>
      </c>
      <c r="B39" s="148" t="s">
        <v>98</v>
      </c>
      <c r="C39" s="146">
        <f>+'PG&amp;E Corp. '!D9</f>
        <v>25285600</v>
      </c>
      <c r="D39" s="146">
        <f>+'PG&amp;E Corp. '!E9</f>
        <v>-63474323</v>
      </c>
      <c r="E39" s="146">
        <f>+'PG&amp;E Corp. '!F9</f>
        <v>15054607.41</v>
      </c>
      <c r="F39" s="146">
        <f>+'PG&amp;E Corp. '!G9</f>
        <v>-874714.12</v>
      </c>
      <c r="G39" s="146">
        <f>+'PG&amp;E Corp. '!L9</f>
        <v>33016663.289999999</v>
      </c>
      <c r="H39" s="146">
        <f>+'PG&amp;E Corp. '!M9</f>
        <v>-21241850</v>
      </c>
      <c r="I39" s="146">
        <f>+'PG&amp;E Corp. '!Q9</f>
        <v>25285600</v>
      </c>
      <c r="J39" s="146">
        <f>+'PG&amp;E Corp. '!R9</f>
        <v>-30457659.710000001</v>
      </c>
      <c r="K39" s="30"/>
      <c r="L39" s="30"/>
      <c r="M39" s="149"/>
    </row>
    <row r="40" spans="1:13" s="95" customFormat="1" ht="15" customHeight="1" x14ac:dyDescent="0.2">
      <c r="A40" s="102" t="s">
        <v>2</v>
      </c>
      <c r="B40" s="102" t="s">
        <v>98</v>
      </c>
      <c r="C40" s="97">
        <f>+'PG&amp;E Corp. '!D18</f>
        <v>0</v>
      </c>
      <c r="D40" s="97">
        <f>+'PG&amp;E Corp. '!E18</f>
        <v>0</v>
      </c>
      <c r="E40" s="97">
        <f>+'PG&amp;E Corp. '!F18</f>
        <v>0</v>
      </c>
      <c r="F40" s="97">
        <f>+'PG&amp;E Corp. '!G18</f>
        <v>0</v>
      </c>
      <c r="G40" s="97">
        <f>+'PG&amp;E Corp. '!L18</f>
        <v>0</v>
      </c>
      <c r="H40" s="97">
        <f>+'PG&amp;E Corp. '!M18</f>
        <v>290238</v>
      </c>
      <c r="I40" s="97">
        <f>+'PG&amp;E Corp. '!Q18</f>
        <v>0</v>
      </c>
      <c r="J40" s="97">
        <f>+'PG&amp;E Corp. '!R18</f>
        <v>0</v>
      </c>
      <c r="K40" s="93"/>
      <c r="L40" s="93"/>
      <c r="M40" s="94"/>
    </row>
    <row r="41" spans="1:13" s="95" customFormat="1" ht="15" customHeight="1" x14ac:dyDescent="0.2">
      <c r="A41" s="102" t="s">
        <v>3</v>
      </c>
      <c r="B41" s="102" t="s">
        <v>98</v>
      </c>
      <c r="C41" s="97">
        <f>+'PG&amp;E Corp. '!D25</f>
        <v>-4458334</v>
      </c>
      <c r="D41" s="97">
        <f>+'PG&amp;E Corp. '!E25</f>
        <v>0</v>
      </c>
      <c r="E41" s="97">
        <f>+'PG&amp;E Corp. '!F25</f>
        <v>0</v>
      </c>
      <c r="F41" s="97">
        <f>+'PG&amp;E Corp. '!G25</f>
        <v>0</v>
      </c>
      <c r="G41" s="97">
        <f>+'PG&amp;E Corp. '!L25</f>
        <v>0</v>
      </c>
      <c r="H41" s="97">
        <f>+'PG&amp;E Corp. '!M25</f>
        <v>0</v>
      </c>
      <c r="I41" s="97">
        <f>+'PG&amp;E Corp. '!Q25</f>
        <v>0</v>
      </c>
      <c r="J41" s="97">
        <f>+'PG&amp;E Corp. '!R25</f>
        <v>-4458334</v>
      </c>
      <c r="K41" s="93"/>
      <c r="L41" s="93"/>
      <c r="M41" s="94"/>
    </row>
    <row r="42" spans="1:13" s="95" customFormat="1" ht="15" customHeight="1" x14ac:dyDescent="0.2">
      <c r="A42" s="102" t="s">
        <v>3</v>
      </c>
      <c r="B42" s="102" t="s">
        <v>98</v>
      </c>
      <c r="C42" s="97">
        <f>+'PG&amp;E Corp. '!D26</f>
        <v>0</v>
      </c>
      <c r="D42" s="97">
        <f>+'PG&amp;E Corp. '!E26</f>
        <v>-1251961</v>
      </c>
      <c r="E42" s="97">
        <f>+'PG&amp;E Corp. '!F26</f>
        <v>0</v>
      </c>
      <c r="F42" s="97">
        <f>+'PG&amp;E Corp. '!G26</f>
        <v>0</v>
      </c>
      <c r="G42" s="97">
        <f>+'PG&amp;E Corp. '!L26</f>
        <v>0</v>
      </c>
      <c r="H42" s="97">
        <f>+'PG&amp;E Corp. '!M26</f>
        <v>758150</v>
      </c>
      <c r="I42" s="97">
        <f>+'PG&amp;E Corp. '!Q26</f>
        <v>0</v>
      </c>
      <c r="J42" s="97">
        <f>+'PG&amp;E Corp. '!R26</f>
        <v>-1251961</v>
      </c>
      <c r="K42" s="93"/>
      <c r="L42" s="93"/>
      <c r="M42" s="94"/>
    </row>
    <row r="43" spans="1:13" s="95" customFormat="1" ht="15" customHeight="1" x14ac:dyDescent="0.2">
      <c r="A43" s="102" t="s">
        <v>4</v>
      </c>
      <c r="B43" s="102" t="s">
        <v>98</v>
      </c>
      <c r="C43" s="97">
        <f>+'PG&amp;E Corp. '!D38</f>
        <v>0</v>
      </c>
      <c r="D43" s="97">
        <f>+'PG&amp;E Corp. '!E38</f>
        <v>-105072</v>
      </c>
      <c r="E43" s="97">
        <f>+'PG&amp;E Corp. '!F38</f>
        <v>3700751.22</v>
      </c>
      <c r="F43" s="97">
        <f>+'PG&amp;E Corp. '!G38</f>
        <v>-6815229.6100000003</v>
      </c>
      <c r="G43" s="97">
        <f>+'PG&amp;E Corp. '!L38</f>
        <v>-4966118.3900000006</v>
      </c>
      <c r="H43" s="97">
        <f>+'PG&amp;E Corp. '!M38</f>
        <v>-3205556</v>
      </c>
      <c r="I43" s="97">
        <f>+'PG&amp;E Corp. '!Q38</f>
        <v>0</v>
      </c>
      <c r="J43" s="97">
        <f>+'PG&amp;E Corp. '!R38</f>
        <v>-5071190.3900000006</v>
      </c>
      <c r="K43" s="93"/>
      <c r="L43" s="93"/>
      <c r="M43" s="94"/>
    </row>
    <row r="44" spans="1:13" s="95" customFormat="1" ht="15" customHeight="1" x14ac:dyDescent="0.2">
      <c r="A44" s="102" t="s">
        <v>5</v>
      </c>
      <c r="B44" s="102" t="s">
        <v>98</v>
      </c>
      <c r="C44" s="97">
        <f>+'PG&amp;E Corp. '!D42</f>
        <v>51855462</v>
      </c>
      <c r="D44" s="97">
        <f>+'PG&amp;E Corp. '!E42</f>
        <v>0</v>
      </c>
      <c r="E44" s="97">
        <f>+'PG&amp;E Corp. '!F42</f>
        <v>0</v>
      </c>
      <c r="F44" s="97">
        <f>+'PG&amp;E Corp. '!G42</f>
        <v>0</v>
      </c>
      <c r="G44" s="97">
        <f>+'PG&amp;E Corp. '!L42</f>
        <v>0</v>
      </c>
      <c r="H44" s="97">
        <f>+'PG&amp;E Corp. '!M42</f>
        <v>-22486468</v>
      </c>
      <c r="I44" s="97">
        <f>+'PG&amp;E Corp. '!Q42</f>
        <v>51855462</v>
      </c>
      <c r="J44" s="97">
        <f>+'PG&amp;E Corp. '!R42</f>
        <v>0</v>
      </c>
      <c r="K44" s="93"/>
      <c r="L44" s="93"/>
      <c r="M44" s="94"/>
    </row>
    <row r="45" spans="1:13" s="95" customFormat="1" ht="15" customHeight="1" x14ac:dyDescent="0.2">
      <c r="A45" s="102" t="s">
        <v>5</v>
      </c>
      <c r="B45" s="102" t="s">
        <v>98</v>
      </c>
      <c r="C45" s="97">
        <f>+'PG&amp;E Corp. '!D43</f>
        <v>0</v>
      </c>
      <c r="D45" s="97">
        <f>+'PG&amp;E Corp. '!E43</f>
        <v>-14961055</v>
      </c>
      <c r="E45" s="97">
        <f>+'PG&amp;E Corp. '!F43</f>
        <v>80398562.599999994</v>
      </c>
      <c r="F45" s="97">
        <f>+'PG&amp;E Corp. '!G43</f>
        <v>-87605052.450000003</v>
      </c>
      <c r="G45" s="97">
        <f>+'PG&amp;E Corp. '!L43</f>
        <v>-24077585.850000009</v>
      </c>
      <c r="H45" s="97">
        <f>+'PG&amp;E Corp. '!M43</f>
        <v>-14187360</v>
      </c>
      <c r="I45" s="97">
        <f>+'PG&amp;E Corp. '!Q43</f>
        <v>0</v>
      </c>
      <c r="J45" s="97">
        <f>+'PG&amp;E Corp. '!R43</f>
        <v>-39038640.850000009</v>
      </c>
      <c r="K45" s="93"/>
      <c r="L45" s="93"/>
      <c r="M45" s="94"/>
    </row>
    <row r="46" spans="1:13" s="95" customFormat="1" ht="17.25" customHeight="1" x14ac:dyDescent="0.25">
      <c r="A46" s="99" t="s">
        <v>6</v>
      </c>
      <c r="B46" s="102" t="s">
        <v>98</v>
      </c>
      <c r="C46" s="97">
        <f>+'PG&amp;E Corp. '!D53</f>
        <v>0</v>
      </c>
      <c r="D46" s="97">
        <f>+'PG&amp;E Corp. '!E53</f>
        <v>75576964</v>
      </c>
      <c r="E46" s="97">
        <f>+'PG&amp;E Corp. '!F53</f>
        <v>0</v>
      </c>
      <c r="F46" s="97">
        <f>+'PG&amp;E Corp. '!G53</f>
        <v>-875864.27</v>
      </c>
      <c r="G46" s="97">
        <f>+'PG&amp;E Corp. '!L53</f>
        <v>-875864.27</v>
      </c>
      <c r="H46" s="97">
        <f>+'PG&amp;E Corp. '!M53</f>
        <v>-18574001</v>
      </c>
      <c r="I46" s="98">
        <f>+'PG&amp;E Corp. '!Q53</f>
        <v>74701099.730000004</v>
      </c>
      <c r="J46" s="98">
        <f>+'PG&amp;E Corp. '!R53</f>
        <v>0</v>
      </c>
      <c r="K46" s="93"/>
      <c r="L46" s="93"/>
      <c r="M46" s="94"/>
    </row>
    <row r="47" spans="1:13" s="95" customFormat="1" ht="17.25" customHeight="1" x14ac:dyDescent="0.25">
      <c r="A47" s="38" t="s">
        <v>128</v>
      </c>
      <c r="B47" s="102" t="s">
        <v>98</v>
      </c>
      <c r="C47" s="97">
        <f>+'PG&amp;E Corp. '!D32</f>
        <v>0</v>
      </c>
      <c r="D47" s="97">
        <f>+'PG&amp;E Corp. '!E32</f>
        <v>0</v>
      </c>
      <c r="E47" s="97">
        <f>+'PG&amp;E Corp. '!F32</f>
        <v>997337</v>
      </c>
      <c r="F47" s="97">
        <f>+'PG&amp;E Corp. '!G32</f>
        <v>-1500</v>
      </c>
      <c r="G47" s="97">
        <f>+'PG&amp;E Corp. '!L32</f>
        <v>995837</v>
      </c>
      <c r="H47" s="97">
        <f>+'PG&amp;E Corp. '!M32</f>
        <v>997337</v>
      </c>
      <c r="I47" s="103">
        <f>+'PG&amp;E Corp. '!Q32</f>
        <v>995837</v>
      </c>
      <c r="J47" s="103">
        <f>+'PG&amp;E Corp. '!R32</f>
        <v>0</v>
      </c>
      <c r="K47" s="93"/>
      <c r="L47" s="93"/>
      <c r="M47" s="94"/>
    </row>
    <row r="48" spans="1:13" s="95" customFormat="1" ht="15" customHeight="1" x14ac:dyDescent="0.25">
      <c r="A48" s="125" t="s">
        <v>91</v>
      </c>
      <c r="B48" s="99"/>
      <c r="C48" s="100"/>
      <c r="D48" s="100"/>
      <c r="E48" s="100"/>
      <c r="F48" s="100"/>
      <c r="G48" s="100"/>
      <c r="H48" s="100"/>
      <c r="I48" s="100">
        <f>SUM(I37:I47)</f>
        <v>174508582.73000002</v>
      </c>
      <c r="J48" s="100">
        <f>SUM(J37:J47)</f>
        <v>-80277785.950000018</v>
      </c>
      <c r="K48" s="93"/>
      <c r="L48" s="93"/>
      <c r="M48" s="94"/>
    </row>
    <row r="49" spans="1:13" s="95" customFormat="1" ht="15" customHeight="1" x14ac:dyDescent="0.25">
      <c r="A49" s="125"/>
      <c r="B49" s="99"/>
      <c r="C49" s="100"/>
      <c r="D49" s="100"/>
      <c r="E49" s="100"/>
      <c r="F49" s="100"/>
      <c r="G49" s="100"/>
      <c r="H49" s="100"/>
      <c r="I49" s="100"/>
      <c r="J49" s="100"/>
      <c r="K49" s="93"/>
      <c r="L49" s="93"/>
      <c r="M49" s="94"/>
    </row>
    <row r="50" spans="1:13" s="95" customFormat="1" ht="15" customHeight="1" x14ac:dyDescent="0.25">
      <c r="A50" s="102"/>
      <c r="B50" s="102"/>
      <c r="C50" s="97"/>
      <c r="D50" s="97"/>
      <c r="E50" s="97"/>
      <c r="F50" s="97"/>
      <c r="G50" s="97"/>
      <c r="H50" s="97"/>
      <c r="I50" s="97"/>
      <c r="J50" s="109"/>
      <c r="K50" s="93"/>
      <c r="L50" s="93"/>
      <c r="M50" s="94"/>
    </row>
    <row r="51" spans="1:13" s="95" customFormat="1" ht="15" customHeight="1" x14ac:dyDescent="0.2">
      <c r="A51" s="93" t="s">
        <v>47</v>
      </c>
      <c r="B51" s="102" t="s">
        <v>99</v>
      </c>
      <c r="C51" s="110" t="s">
        <v>113</v>
      </c>
      <c r="D51" s="111"/>
      <c r="E51" s="112">
        <f>77653215-27346350-659005</f>
        <v>49647860</v>
      </c>
      <c r="F51" s="113"/>
      <c r="G51" s="96"/>
      <c r="H51" s="96"/>
      <c r="I51" s="93">
        <f>+E51</f>
        <v>49647860</v>
      </c>
      <c r="J51" s="111"/>
      <c r="K51" s="93"/>
      <c r="L51" s="93"/>
      <c r="M51" s="94"/>
    </row>
    <row r="52" spans="1:13" s="95" customFormat="1" ht="15" customHeight="1" x14ac:dyDescent="0.2">
      <c r="A52" s="93" t="s">
        <v>47</v>
      </c>
      <c r="B52" s="102" t="s">
        <v>99</v>
      </c>
      <c r="C52" s="110" t="s">
        <v>114</v>
      </c>
      <c r="D52" s="111"/>
      <c r="E52" s="112"/>
      <c r="F52" s="113">
        <f>-42747380+28936761-599752+21</f>
        <v>-14410350</v>
      </c>
      <c r="G52" s="96"/>
      <c r="H52" s="96"/>
      <c r="I52" s="93"/>
      <c r="J52" s="112">
        <f>+F52</f>
        <v>-14410350</v>
      </c>
      <c r="K52" s="93"/>
      <c r="L52" s="93"/>
      <c r="M52" s="94"/>
    </row>
    <row r="53" spans="1:13" s="95" customFormat="1" ht="15" customHeight="1" x14ac:dyDescent="0.2">
      <c r="A53" s="93" t="s">
        <v>47</v>
      </c>
      <c r="B53" s="102" t="s">
        <v>99</v>
      </c>
      <c r="C53" s="114" t="s">
        <v>115</v>
      </c>
      <c r="D53" s="111"/>
      <c r="E53" s="112"/>
      <c r="F53" s="113">
        <f>-7816951+1884397-137662</f>
        <v>-6070216</v>
      </c>
      <c r="G53" s="96"/>
      <c r="H53" s="96"/>
      <c r="I53" s="93"/>
      <c r="J53" s="112">
        <f>+F53</f>
        <v>-6070216</v>
      </c>
      <c r="K53" s="93"/>
      <c r="L53" s="93"/>
      <c r="M53" s="94"/>
    </row>
    <row r="54" spans="1:13" s="95" customFormat="1" ht="15" customHeight="1" x14ac:dyDescent="0.2">
      <c r="A54" s="96" t="s">
        <v>53</v>
      </c>
      <c r="B54" s="102" t="s">
        <v>99</v>
      </c>
      <c r="C54" s="115" t="s">
        <v>116</v>
      </c>
      <c r="D54" s="93"/>
      <c r="E54" s="113"/>
      <c r="F54" s="113">
        <f>-1967079+35761</f>
        <v>-1931318</v>
      </c>
      <c r="G54" s="96"/>
      <c r="H54" s="96"/>
      <c r="I54" s="93"/>
      <c r="J54" s="93">
        <f>+F54</f>
        <v>-1931318</v>
      </c>
      <c r="K54" s="93"/>
      <c r="L54" s="93"/>
      <c r="M54" s="94"/>
    </row>
    <row r="55" spans="1:13" s="95" customFormat="1" ht="15" customHeight="1" x14ac:dyDescent="0.2">
      <c r="A55" s="96" t="s">
        <v>53</v>
      </c>
      <c r="B55" s="102" t="s">
        <v>99</v>
      </c>
      <c r="C55" s="116" t="s">
        <v>117</v>
      </c>
      <c r="D55" s="93"/>
      <c r="E55" s="113"/>
      <c r="F55" s="113">
        <f>-874535+19401</f>
        <v>-855134</v>
      </c>
      <c r="G55" s="96"/>
      <c r="H55" s="96"/>
      <c r="I55" s="93"/>
      <c r="J55" s="93">
        <f>+F55</f>
        <v>-855134</v>
      </c>
      <c r="K55" s="93"/>
      <c r="L55" s="93"/>
      <c r="M55" s="94"/>
    </row>
    <row r="56" spans="1:13" s="95" customFormat="1" ht="15" customHeight="1" x14ac:dyDescent="0.2">
      <c r="A56" s="96" t="s">
        <v>53</v>
      </c>
      <c r="B56" s="102" t="s">
        <v>99</v>
      </c>
      <c r="C56" s="116" t="s">
        <v>118</v>
      </c>
      <c r="D56" s="93"/>
      <c r="E56" s="113">
        <f>27467988-14941737</f>
        <v>12526251</v>
      </c>
      <c r="F56" s="113"/>
      <c r="G56" s="96"/>
      <c r="H56" s="96"/>
      <c r="I56" s="93">
        <f>+E56</f>
        <v>12526251</v>
      </c>
      <c r="J56" s="93"/>
      <c r="K56" s="93"/>
      <c r="L56" s="93"/>
      <c r="M56" s="94"/>
    </row>
    <row r="57" spans="1:13" s="95" customFormat="1" ht="15" customHeight="1" x14ac:dyDescent="0.2">
      <c r="A57" s="96" t="s">
        <v>53</v>
      </c>
      <c r="B57" s="102" t="s">
        <v>99</v>
      </c>
      <c r="C57" s="116" t="s">
        <v>119</v>
      </c>
      <c r="D57" s="93"/>
      <c r="E57" s="113"/>
      <c r="F57" s="113">
        <f>-32647600</f>
        <v>-32647600</v>
      </c>
      <c r="G57" s="96"/>
      <c r="H57" s="96"/>
      <c r="I57" s="93"/>
      <c r="J57" s="93">
        <f>F57</f>
        <v>-32647600</v>
      </c>
      <c r="K57" s="93"/>
      <c r="L57" s="93"/>
      <c r="M57" s="94"/>
    </row>
    <row r="58" spans="1:13" s="95" customFormat="1" ht="15" customHeight="1" x14ac:dyDescent="0.2">
      <c r="A58" s="96" t="s">
        <v>53</v>
      </c>
      <c r="B58" s="102" t="s">
        <v>99</v>
      </c>
      <c r="C58" s="116" t="s">
        <v>120</v>
      </c>
      <c r="D58" s="93"/>
      <c r="E58" s="113"/>
      <c r="F58" s="113">
        <f>-26739+1573</f>
        <v>-25166</v>
      </c>
      <c r="G58" s="96"/>
      <c r="H58" s="96"/>
      <c r="I58" s="93"/>
      <c r="J58" s="93">
        <f>+F58</f>
        <v>-25166</v>
      </c>
      <c r="K58" s="93"/>
      <c r="L58" s="93"/>
      <c r="M58" s="94"/>
    </row>
    <row r="59" spans="1:13" s="95" customFormat="1" ht="15" customHeight="1" x14ac:dyDescent="0.2">
      <c r="A59" s="96" t="s">
        <v>53</v>
      </c>
      <c r="B59" s="102" t="s">
        <v>99</v>
      </c>
      <c r="C59" s="116" t="s">
        <v>121</v>
      </c>
      <c r="D59" s="93"/>
      <c r="E59" s="113"/>
      <c r="F59" s="113">
        <f>-29231764+13902201</f>
        <v>-15329563</v>
      </c>
      <c r="G59" s="96"/>
      <c r="H59" s="96"/>
      <c r="I59" s="93"/>
      <c r="J59" s="93">
        <f>+F59</f>
        <v>-15329563</v>
      </c>
      <c r="K59" s="93"/>
      <c r="L59" s="93"/>
      <c r="M59" s="94"/>
    </row>
    <row r="60" spans="1:13" s="95" customFormat="1" ht="15" customHeight="1" x14ac:dyDescent="0.2">
      <c r="A60" s="96" t="s">
        <v>53</v>
      </c>
      <c r="B60" s="102" t="s">
        <v>99</v>
      </c>
      <c r="C60" s="117" t="s">
        <v>60</v>
      </c>
      <c r="D60" s="93">
        <v>-48000000</v>
      </c>
      <c r="E60" s="113"/>
      <c r="F60" s="112"/>
      <c r="G60" s="96"/>
      <c r="H60" s="96"/>
      <c r="I60" s="93"/>
      <c r="J60" s="93">
        <f>+D60</f>
        <v>-48000000</v>
      </c>
      <c r="K60" s="93"/>
      <c r="L60" s="93"/>
      <c r="M60" s="94"/>
    </row>
    <row r="61" spans="1:13" s="95" customFormat="1" ht="15" customHeight="1" x14ac:dyDescent="0.2">
      <c r="A61" s="118" t="s">
        <v>34</v>
      </c>
      <c r="B61" s="102" t="s">
        <v>99</v>
      </c>
      <c r="C61" s="119">
        <f>+'Edison Int''l '!D23</f>
        <v>0</v>
      </c>
      <c r="D61" s="119">
        <f>+'Edison Int''l '!E23</f>
        <v>-3384220</v>
      </c>
      <c r="E61" s="119">
        <f>+'Edison Int''l '!F23</f>
        <v>128869210.03</v>
      </c>
      <c r="F61" s="119">
        <f>+'Edison Int''l '!G23</f>
        <v>-116923920</v>
      </c>
      <c r="G61" s="119">
        <f>+'Edison Int''l '!L23</f>
        <v>15917290.030000001</v>
      </c>
      <c r="H61" s="119">
        <f>+'Edison Int''l '!M23</f>
        <v>-11111175</v>
      </c>
      <c r="I61" s="119">
        <f>+'Edison Int''l '!Q23</f>
        <v>12533070.030000001</v>
      </c>
      <c r="J61" s="119">
        <f>+'Edison Int''l '!R23</f>
        <v>0</v>
      </c>
      <c r="K61" s="93"/>
      <c r="L61" s="93"/>
      <c r="M61" s="94"/>
    </row>
    <row r="62" spans="1:13" s="95" customFormat="1" ht="15" customHeight="1" x14ac:dyDescent="0.2">
      <c r="A62" s="102" t="s">
        <v>0</v>
      </c>
      <c r="B62" s="102" t="s">
        <v>99</v>
      </c>
      <c r="C62" s="97">
        <f>+'PG&amp;E Corp. '!D10</f>
        <v>0</v>
      </c>
      <c r="D62" s="97">
        <f>+'PG&amp;E Corp. '!E10</f>
        <v>-119725932</v>
      </c>
      <c r="E62" s="97">
        <f>+'PG&amp;E Corp. '!F10</f>
        <v>2992080</v>
      </c>
      <c r="F62" s="97">
        <f>+'PG&amp;E Corp. '!G10</f>
        <v>0</v>
      </c>
      <c r="G62" s="97">
        <f>+'PG&amp;E Corp. '!L10</f>
        <v>5754000</v>
      </c>
      <c r="H62" s="97">
        <f>+'PG&amp;E Corp. '!M10</f>
        <v>-102163008</v>
      </c>
      <c r="I62" s="97">
        <f>+'PG&amp;E Corp. '!Q10</f>
        <v>0</v>
      </c>
      <c r="J62" s="97">
        <f>+'PG&amp;E Corp. '!R10</f>
        <v>-113971932</v>
      </c>
      <c r="K62" s="93"/>
      <c r="L62" s="93"/>
      <c r="M62" s="94"/>
    </row>
    <row r="63" spans="1:13" s="95" customFormat="1" ht="15" customHeight="1" x14ac:dyDescent="0.25">
      <c r="A63" s="99" t="s">
        <v>3</v>
      </c>
      <c r="B63" s="99" t="s">
        <v>99</v>
      </c>
      <c r="C63" s="100">
        <f>+'PG&amp;E Corp. '!D28</f>
        <v>0</v>
      </c>
      <c r="D63" s="100">
        <f>+'PG&amp;E Corp. '!E28</f>
        <v>65665724</v>
      </c>
      <c r="E63" s="100">
        <f>+'PG&amp;E Corp. '!F28</f>
        <v>93439247</v>
      </c>
      <c r="F63" s="100">
        <f>+'PG&amp;E Corp. '!G28</f>
        <v>-131865282.81999999</v>
      </c>
      <c r="G63" s="100">
        <f>+'PG&amp;E Corp. '!L28</f>
        <v>-58950845.819999993</v>
      </c>
      <c r="H63" s="100">
        <f>+'PG&amp;E Corp. '!M28</f>
        <v>221533072</v>
      </c>
      <c r="I63" s="100">
        <f>+'PG&amp;E Corp. '!Q28</f>
        <v>6714878.1800000072</v>
      </c>
      <c r="J63" s="100">
        <f>+'PG&amp;E Corp. '!R28</f>
        <v>0</v>
      </c>
      <c r="K63" s="93"/>
      <c r="L63" s="93"/>
      <c r="M63" s="94"/>
    </row>
    <row r="64" spans="1:13" s="147" customFormat="1" ht="15" customHeight="1" x14ac:dyDescent="0.2">
      <c r="A64" s="150" t="s">
        <v>35</v>
      </c>
      <c r="B64" s="29" t="s">
        <v>99</v>
      </c>
      <c r="C64" s="151">
        <f>+'Edison Int''l '!D7</f>
        <v>0</v>
      </c>
      <c r="D64" s="151">
        <f>+'Edison Int''l '!E7</f>
        <v>-55839248</v>
      </c>
      <c r="E64" s="151">
        <f>+'Edison Int''l '!F7</f>
        <v>17328000</v>
      </c>
      <c r="F64" s="151">
        <f>+'Edison Int''l '!G7</f>
        <v>0</v>
      </c>
      <c r="G64" s="151">
        <f>+'Edison Int''l '!L7</f>
        <v>18480000</v>
      </c>
      <c r="H64" s="151">
        <f>+'Edison Int''l '!M7</f>
        <v>-43530494</v>
      </c>
      <c r="I64" s="152">
        <f>+'Edison Int''l '!Q7</f>
        <v>0</v>
      </c>
      <c r="J64" s="152">
        <f>+'Edison Int''l '!R7</f>
        <v>-37359248</v>
      </c>
      <c r="K64" s="30"/>
      <c r="L64" s="30"/>
      <c r="M64" s="149"/>
    </row>
    <row r="65" spans="1:13" s="95" customFormat="1" ht="15" customHeight="1" x14ac:dyDescent="0.25">
      <c r="A65" s="125" t="s">
        <v>92</v>
      </c>
      <c r="B65" s="118"/>
      <c r="C65" s="119"/>
      <c r="D65" s="119"/>
      <c r="E65" s="119"/>
      <c r="F65" s="119"/>
      <c r="G65" s="119"/>
      <c r="H65" s="119"/>
      <c r="I65" s="108">
        <f>SUM(I51:I64)</f>
        <v>81422059.210000008</v>
      </c>
      <c r="J65" s="108">
        <f>SUM(J51:J64)</f>
        <v>-270600527</v>
      </c>
      <c r="K65" s="93"/>
      <c r="L65" s="93"/>
      <c r="M65" s="94"/>
    </row>
    <row r="66" spans="1:13" s="95" customFormat="1" ht="15" customHeight="1" x14ac:dyDescent="0.25">
      <c r="A66" s="125"/>
      <c r="B66" s="118"/>
      <c r="C66" s="119"/>
      <c r="D66" s="119"/>
      <c r="E66" s="119"/>
      <c r="F66" s="119"/>
      <c r="G66" s="119"/>
      <c r="H66" s="119"/>
      <c r="I66" s="108"/>
      <c r="J66" s="108"/>
      <c r="K66" s="93"/>
      <c r="L66" s="93"/>
      <c r="M66" s="94"/>
    </row>
    <row r="67" spans="1:13" s="95" customFormat="1" ht="15" customHeight="1" x14ac:dyDescent="0.2">
      <c r="A67" s="118"/>
      <c r="B67" s="118"/>
      <c r="C67" s="119"/>
      <c r="D67" s="119"/>
      <c r="E67" s="119"/>
      <c r="F67" s="119"/>
      <c r="G67" s="119"/>
      <c r="H67" s="119"/>
      <c r="I67" s="119"/>
      <c r="J67" s="121"/>
      <c r="K67" s="93"/>
      <c r="L67" s="93"/>
      <c r="M67" s="94"/>
    </row>
    <row r="68" spans="1:13" s="147" customFormat="1" ht="15" customHeight="1" x14ac:dyDescent="0.2">
      <c r="A68" s="153" t="s">
        <v>0</v>
      </c>
      <c r="B68" s="153" t="s">
        <v>100</v>
      </c>
      <c r="C68" s="154">
        <f>+'PG&amp;E Corp. '!D14</f>
        <v>0</v>
      </c>
      <c r="D68" s="154">
        <f>+'PG&amp;E Corp. '!E14</f>
        <v>0</v>
      </c>
      <c r="E68" s="154">
        <f>+'PG&amp;E Corp. '!F14</f>
        <v>447801.92000000004</v>
      </c>
      <c r="F68" s="154">
        <f>+'PG&amp;E Corp. '!G14</f>
        <v>0</v>
      </c>
      <c r="G68" s="154">
        <f>+'PG&amp;E Corp. '!L14</f>
        <v>447801.92000000004</v>
      </c>
      <c r="H68" s="154">
        <f>+'PG&amp;E Corp. '!M14</f>
        <v>0</v>
      </c>
      <c r="I68" s="154">
        <f>+'PG&amp;E Corp. '!Q14</f>
        <v>447801.92000000004</v>
      </c>
      <c r="J68" s="154">
        <f>+'PG&amp;E Corp. '!R14</f>
        <v>0</v>
      </c>
      <c r="K68" s="30"/>
      <c r="L68" s="30"/>
      <c r="M68" s="149"/>
    </row>
    <row r="69" spans="1:13" s="147" customFormat="1" ht="15" customHeight="1" x14ac:dyDescent="0.2">
      <c r="A69" s="153" t="s">
        <v>35</v>
      </c>
      <c r="B69" s="153" t="s">
        <v>100</v>
      </c>
      <c r="C69" s="154">
        <f>+'Edison Int''l '!D11</f>
        <v>0</v>
      </c>
      <c r="D69" s="154">
        <f>+'Edison Int''l '!E11</f>
        <v>30152467</v>
      </c>
      <c r="E69" s="154">
        <f>+'Edison Int''l '!F11</f>
        <v>10868964.130000001</v>
      </c>
      <c r="F69" s="154">
        <f>+'Edison Int''l '!G11</f>
        <v>0</v>
      </c>
      <c r="G69" s="154">
        <f>+'Edison Int''l '!L11</f>
        <v>10868964.130000001</v>
      </c>
      <c r="H69" s="154">
        <f>+'Edison Int''l '!M11</f>
        <v>0</v>
      </c>
      <c r="I69" s="155">
        <f>+'Edison Int''l '!Q11</f>
        <v>41021431.130000003</v>
      </c>
      <c r="J69" s="155">
        <f>+'Edison Int''l '!R11</f>
        <v>0</v>
      </c>
      <c r="K69" s="30"/>
      <c r="L69" s="30"/>
      <c r="M69" s="149"/>
    </row>
    <row r="70" spans="1:13" s="95" customFormat="1" ht="15" customHeight="1" x14ac:dyDescent="0.25">
      <c r="A70" s="125" t="s">
        <v>93</v>
      </c>
      <c r="B70" s="122"/>
      <c r="C70" s="104"/>
      <c r="D70" s="104"/>
      <c r="E70" s="104"/>
      <c r="F70" s="104"/>
      <c r="G70" s="104"/>
      <c r="H70" s="119"/>
      <c r="I70" s="92">
        <f>+SUM(I68:I69)</f>
        <v>41469233.050000004</v>
      </c>
      <c r="J70" s="92">
        <f>+SUM(J68:J69)</f>
        <v>0</v>
      </c>
      <c r="K70" s="93"/>
      <c r="L70" s="93"/>
      <c r="M70" s="94"/>
    </row>
    <row r="71" spans="1:13" s="95" customFormat="1" ht="15" customHeight="1" x14ac:dyDescent="0.25">
      <c r="A71" s="125"/>
      <c r="B71" s="122"/>
      <c r="C71" s="104"/>
      <c r="D71" s="104"/>
      <c r="E71" s="104"/>
      <c r="F71" s="104"/>
      <c r="G71" s="104"/>
      <c r="H71" s="119"/>
      <c r="I71" s="92"/>
      <c r="J71" s="92"/>
      <c r="K71" s="93"/>
      <c r="L71" s="93"/>
      <c r="M71" s="94"/>
    </row>
    <row r="72" spans="1:13" s="95" customFormat="1" ht="15" customHeight="1" x14ac:dyDescent="0.2">
      <c r="A72" s="122"/>
      <c r="B72" s="122"/>
      <c r="C72" s="104"/>
      <c r="D72" s="104"/>
      <c r="E72" s="104"/>
      <c r="F72" s="104"/>
      <c r="G72" s="104"/>
      <c r="H72" s="119"/>
      <c r="I72" s="104"/>
      <c r="J72" s="120"/>
      <c r="K72" s="93"/>
      <c r="L72" s="93"/>
      <c r="M72" s="94"/>
    </row>
    <row r="73" spans="1:13" s="95" customFormat="1" ht="15" customHeight="1" x14ac:dyDescent="0.2">
      <c r="A73" s="102" t="s">
        <v>5</v>
      </c>
      <c r="B73" s="102" t="s">
        <v>101</v>
      </c>
      <c r="C73" s="97">
        <f>+'PG&amp;E Corp. '!D44</f>
        <v>0</v>
      </c>
      <c r="D73" s="97">
        <f>+'PG&amp;E Corp. '!E44</f>
        <v>-34961</v>
      </c>
      <c r="E73" s="97">
        <f>+'PG&amp;E Corp. '!F44</f>
        <v>3784282</v>
      </c>
      <c r="F73" s="97">
        <f>+'PG&amp;E Corp. '!G44</f>
        <v>-663850</v>
      </c>
      <c r="G73" s="97">
        <f>+'PG&amp;E Corp. '!L44</f>
        <v>6077804</v>
      </c>
      <c r="H73" s="97">
        <f>+'PG&amp;E Corp. '!M44</f>
        <v>1507632</v>
      </c>
      <c r="I73" s="103">
        <f>+'PG&amp;E Corp. '!Q44</f>
        <v>6042843</v>
      </c>
      <c r="J73" s="103">
        <f>+'PG&amp;E Corp. '!R44</f>
        <v>0</v>
      </c>
      <c r="K73" s="93"/>
      <c r="L73" s="93"/>
      <c r="M73" s="94"/>
    </row>
    <row r="74" spans="1:13" s="95" customFormat="1" ht="15" customHeight="1" x14ac:dyDescent="0.25">
      <c r="A74" s="125" t="s">
        <v>94</v>
      </c>
      <c r="B74" s="102"/>
      <c r="C74" s="97"/>
      <c r="D74" s="97"/>
      <c r="E74" s="97"/>
      <c r="F74" s="97"/>
      <c r="G74" s="97"/>
      <c r="H74" s="97"/>
      <c r="I74" s="100">
        <f>SUM(I73)</f>
        <v>6042843</v>
      </c>
      <c r="J74" s="100">
        <f>SUM(J73)</f>
        <v>0</v>
      </c>
      <c r="K74" s="93"/>
      <c r="L74" s="93"/>
      <c r="M74" s="94"/>
    </row>
    <row r="75" spans="1:13" s="95" customFormat="1" ht="15" customHeight="1" x14ac:dyDescent="0.25">
      <c r="A75" s="125"/>
      <c r="B75" s="102"/>
      <c r="C75" s="97"/>
      <c r="D75" s="97"/>
      <c r="E75" s="97"/>
      <c r="F75" s="97"/>
      <c r="G75" s="97"/>
      <c r="H75" s="97"/>
      <c r="I75" s="100"/>
      <c r="J75" s="100"/>
      <c r="K75" s="93"/>
      <c r="L75" s="93"/>
      <c r="M75" s="94"/>
    </row>
    <row r="76" spans="1:13" s="95" customFormat="1" ht="15" customHeight="1" x14ac:dyDescent="0.2">
      <c r="A76" s="102"/>
      <c r="B76" s="102"/>
      <c r="C76" s="97"/>
      <c r="D76" s="97"/>
      <c r="E76" s="97"/>
      <c r="F76" s="97"/>
      <c r="G76" s="97"/>
      <c r="H76" s="97"/>
      <c r="I76" s="97"/>
      <c r="J76" s="93"/>
      <c r="K76" s="93"/>
      <c r="L76" s="93"/>
      <c r="M76" s="94"/>
    </row>
    <row r="77" spans="1:13" s="95" customFormat="1" ht="15" customHeight="1" x14ac:dyDescent="0.2">
      <c r="A77" s="93" t="s">
        <v>47</v>
      </c>
      <c r="B77" s="102" t="s">
        <v>110</v>
      </c>
      <c r="C77" s="114" t="s">
        <v>48</v>
      </c>
      <c r="D77" s="111"/>
      <c r="E77" s="113">
        <v>7700000</v>
      </c>
      <c r="F77" s="112"/>
      <c r="G77" s="96"/>
      <c r="H77" s="96"/>
      <c r="I77" s="93">
        <f>+E77</f>
        <v>7700000</v>
      </c>
      <c r="J77" s="111"/>
      <c r="K77" s="96"/>
      <c r="L77" s="96"/>
    </row>
    <row r="78" spans="1:13" s="95" customFormat="1" ht="15" customHeight="1" x14ac:dyDescent="0.2">
      <c r="A78" s="93" t="s">
        <v>47</v>
      </c>
      <c r="B78" s="102" t="s">
        <v>110</v>
      </c>
      <c r="C78" s="114" t="s">
        <v>49</v>
      </c>
      <c r="D78" s="111"/>
      <c r="E78" s="113">
        <v>45000000</v>
      </c>
      <c r="F78" s="112"/>
      <c r="G78" s="96"/>
      <c r="H78" s="96"/>
      <c r="I78" s="93">
        <f>+E78</f>
        <v>45000000</v>
      </c>
      <c r="J78" s="111"/>
      <c r="K78" s="96"/>
      <c r="L78" s="96"/>
    </row>
    <row r="79" spans="1:13" s="95" customFormat="1" ht="15" customHeight="1" x14ac:dyDescent="0.2">
      <c r="A79" s="93" t="s">
        <v>47</v>
      </c>
      <c r="B79" s="102" t="s">
        <v>110</v>
      </c>
      <c r="C79" s="114" t="s">
        <v>50</v>
      </c>
      <c r="D79" s="111"/>
      <c r="E79" s="113">
        <v>500000</v>
      </c>
      <c r="F79" s="112"/>
      <c r="G79" s="96"/>
      <c r="H79" s="96"/>
      <c r="I79" s="93">
        <f>+E79</f>
        <v>500000</v>
      </c>
      <c r="J79" s="111"/>
      <c r="K79" s="96"/>
      <c r="L79" s="96"/>
    </row>
    <row r="80" spans="1:13" s="95" customFormat="1" ht="15" customHeight="1" x14ac:dyDescent="0.2">
      <c r="A80" s="96" t="s">
        <v>53</v>
      </c>
      <c r="B80" s="102" t="s">
        <v>110</v>
      </c>
      <c r="C80" s="123" t="s">
        <v>49</v>
      </c>
      <c r="D80" s="124"/>
      <c r="E80" s="113">
        <v>2800000</v>
      </c>
      <c r="F80" s="113"/>
      <c r="G80" s="96"/>
      <c r="H80" s="96"/>
      <c r="I80" s="93">
        <f>+E80</f>
        <v>2800000</v>
      </c>
      <c r="J80" s="93"/>
      <c r="K80" s="96"/>
      <c r="L80" s="96"/>
    </row>
    <row r="81" spans="1:12" s="147" customFormat="1" ht="15" customHeight="1" x14ac:dyDescent="0.25">
      <c r="A81" s="156" t="s">
        <v>35</v>
      </c>
      <c r="B81" s="145" t="s">
        <v>110</v>
      </c>
      <c r="C81" s="157">
        <f>+'Edison Int''l '!D8</f>
        <v>0</v>
      </c>
      <c r="D81" s="157">
        <f>+'Edison Int''l '!E8</f>
        <v>0</v>
      </c>
      <c r="E81" s="157">
        <f>+'Edison Int''l '!F8</f>
        <v>58000000</v>
      </c>
      <c r="F81" s="157">
        <f>+'Edison Int''l '!G8</f>
        <v>0</v>
      </c>
      <c r="G81" s="157">
        <f>+'Edison Int''l '!L8</f>
        <v>58000000</v>
      </c>
      <c r="H81" s="157">
        <f>+'Edison Int''l '!M8</f>
        <v>0</v>
      </c>
      <c r="I81" s="158">
        <f>+'Edison Int''l '!Q8</f>
        <v>58000000</v>
      </c>
      <c r="J81" s="158">
        <f>+'Edison Int''l '!R8</f>
        <v>0</v>
      </c>
      <c r="K81" s="49"/>
      <c r="L81" s="49"/>
    </row>
    <row r="82" spans="1:12" s="95" customFormat="1" ht="15" customHeight="1" x14ac:dyDescent="0.25">
      <c r="A82" s="125" t="s">
        <v>95</v>
      </c>
      <c r="B82" s="96"/>
      <c r="C82" s="96"/>
      <c r="D82" s="96"/>
      <c r="E82" s="133"/>
      <c r="F82" s="133"/>
      <c r="G82" s="133"/>
      <c r="H82" s="133"/>
      <c r="I82" s="144">
        <f>SUM(I77:I81)</f>
        <v>114000000</v>
      </c>
      <c r="J82" s="144">
        <f>SUM(J77:J81)</f>
        <v>0</v>
      </c>
      <c r="K82" s="96"/>
      <c r="L82" s="96"/>
    </row>
    <row r="83" spans="1:12" s="95" customFormat="1" ht="15" customHeight="1" thickBot="1" x14ac:dyDescent="0.3">
      <c r="A83" s="125"/>
      <c r="B83" s="96"/>
      <c r="C83" s="96"/>
      <c r="D83" s="96"/>
      <c r="E83" s="133"/>
      <c r="F83" s="133"/>
      <c r="G83" s="133"/>
      <c r="H83" s="133"/>
      <c r="I83" s="130"/>
      <c r="J83" s="130"/>
      <c r="K83" s="96"/>
      <c r="L83" s="96"/>
    </row>
    <row r="84" spans="1:12" s="96" customFormat="1" ht="15" customHeight="1" thickTop="1" thickBot="1" x14ac:dyDescent="0.3">
      <c r="A84" s="125" t="s">
        <v>96</v>
      </c>
      <c r="E84" s="93"/>
      <c r="F84" s="93"/>
      <c r="G84" s="93"/>
      <c r="I84" s="130" t="e">
        <f>+I82+I74+I70+I65+I48+I34+I29+I24+I19+I10</f>
        <v>#REF!</v>
      </c>
      <c r="J84" s="130" t="e">
        <f>+J82+J74+J70+J65+J48+J34+J29+J24+J19+J10</f>
        <v>#REF!</v>
      </c>
    </row>
    <row r="85" spans="1:12" s="95" customFormat="1" ht="15" customHeight="1" thickTop="1" thickBot="1" x14ac:dyDescent="0.25">
      <c r="A85" s="96"/>
      <c r="B85" s="96"/>
      <c r="C85" s="96"/>
      <c r="D85" s="96"/>
      <c r="E85" s="96"/>
      <c r="F85" s="96"/>
      <c r="G85" s="96"/>
      <c r="H85" s="96"/>
      <c r="I85" s="96"/>
      <c r="J85" s="248"/>
      <c r="K85" s="96"/>
      <c r="L85" s="96"/>
    </row>
    <row r="86" spans="1:12" s="95" customFormat="1" ht="15" customHeight="1" thickTop="1" thickBot="1" x14ac:dyDescent="0.3">
      <c r="A86" s="125" t="s">
        <v>154</v>
      </c>
      <c r="B86" s="96"/>
      <c r="C86" s="96"/>
      <c r="D86" s="96"/>
      <c r="E86" s="96"/>
      <c r="F86" s="96"/>
      <c r="G86" s="96"/>
      <c r="H86" s="96"/>
      <c r="J86" s="130" t="e">
        <f>+J28+J41+J64+J62+I84</f>
        <v>#REF!</v>
      </c>
      <c r="K86" s="96"/>
      <c r="L86" s="96"/>
    </row>
    <row r="87" spans="1:12" s="95" customFormat="1" ht="15" customHeight="1" thickTop="1" x14ac:dyDescent="0.2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</row>
    <row r="88" spans="1:12" s="95" customFormat="1" ht="15" customHeight="1" x14ac:dyDescent="0.2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</row>
    <row r="89" spans="1:12" s="95" customFormat="1" ht="15" customHeight="1" x14ac:dyDescent="0.2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</row>
    <row r="90" spans="1:12" s="95" customFormat="1" ht="15" x14ac:dyDescent="0.2">
      <c r="A90" s="96"/>
      <c r="B90" s="96"/>
      <c r="C90" s="96"/>
      <c r="D90" s="96"/>
      <c r="E90" s="96"/>
      <c r="F90" s="96"/>
      <c r="G90" s="96" t="s">
        <v>84</v>
      </c>
      <c r="H90" s="96"/>
      <c r="I90" s="93">
        <f>+'PG&amp;E Corp. '!Q61+'Edison Int''l '!Q30+'Px - ISO '!J29+'Px - ISO '!J14</f>
        <v>1288676213.97</v>
      </c>
      <c r="J90" s="93">
        <f>+'PG&amp;E Corp. '!R61+'Edison Int''l '!R30+'Px - ISO '!K29+'Px - ISO '!K14</f>
        <v>-383347110.70000005</v>
      </c>
      <c r="K90" s="96"/>
      <c r="L90" s="96"/>
    </row>
    <row r="91" spans="1:12" s="95" customFormat="1" ht="15" x14ac:dyDescent="0.2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</row>
    <row r="92" spans="1:12" s="95" customFormat="1" ht="15" x14ac:dyDescent="0.2">
      <c r="A92" s="96"/>
      <c r="B92" s="96"/>
      <c r="C92" s="96"/>
      <c r="D92" s="96"/>
      <c r="E92" s="96"/>
      <c r="F92" s="96"/>
      <c r="G92" s="96" t="s">
        <v>84</v>
      </c>
      <c r="H92" s="96"/>
      <c r="I92" s="93">
        <f>+'PG&amp;E Corp. '!Q61+'Edison Int''l '!Q30+'Px - ISO '!J14+'Px - ISO '!J29</f>
        <v>1288676213.97</v>
      </c>
      <c r="J92" s="93">
        <f>+'PG&amp;E Corp. '!R61+'Edison Int''l '!R30+'Px - ISO '!K14+'Px - ISO '!K29</f>
        <v>-383347110.70000005</v>
      </c>
      <c r="K92" s="96"/>
      <c r="L92" s="96"/>
    </row>
    <row r="93" spans="1:12" s="95" customFormat="1" ht="15" x14ac:dyDescent="0.2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</row>
    <row r="94" spans="1:12" s="95" customFormat="1" ht="15" x14ac:dyDescent="0.2">
      <c r="A94" s="96"/>
      <c r="B94" s="96"/>
      <c r="C94" s="96"/>
      <c r="D94" s="96"/>
      <c r="E94" s="96"/>
      <c r="F94" s="96"/>
      <c r="G94" s="96"/>
      <c r="H94" s="96"/>
      <c r="J94" s="96"/>
      <c r="K94" s="96"/>
      <c r="L94" s="96"/>
    </row>
    <row r="95" spans="1:12" s="95" customFormat="1" ht="15" x14ac:dyDescent="0.2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</row>
    <row r="96" spans="1:12" s="95" customFormat="1" ht="15" x14ac:dyDescent="0.2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</row>
    <row r="97" spans="1:12" s="95" customFormat="1" ht="15" x14ac:dyDescent="0.2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</row>
    <row r="98" spans="1:12" s="95" customFormat="1" x14ac:dyDescent="0.2"/>
    <row r="99" spans="1:12" s="95" customFormat="1" x14ac:dyDescent="0.2"/>
    <row r="100" spans="1:12" s="95" customFormat="1" x14ac:dyDescent="0.2"/>
    <row r="101" spans="1:12" s="95" customFormat="1" x14ac:dyDescent="0.2"/>
    <row r="102" spans="1:12" s="95" customFormat="1" x14ac:dyDescent="0.2"/>
    <row r="103" spans="1:12" s="95" customFormat="1" x14ac:dyDescent="0.2"/>
    <row r="104" spans="1:12" s="95" customFormat="1" x14ac:dyDescent="0.2"/>
    <row r="105" spans="1:12" s="95" customFormat="1" x14ac:dyDescent="0.2"/>
    <row r="106" spans="1:12" s="95" customFormat="1" x14ac:dyDescent="0.2"/>
    <row r="107" spans="1:12" s="95" customFormat="1" x14ac:dyDescent="0.2"/>
    <row r="108" spans="1:12" s="95" customFormat="1" x14ac:dyDescent="0.2"/>
    <row r="109" spans="1:12" s="95" customFormat="1" x14ac:dyDescent="0.2"/>
    <row r="110" spans="1:12" s="95" customFormat="1" x14ac:dyDescent="0.2"/>
    <row r="111" spans="1:12" s="95" customFormat="1" x14ac:dyDescent="0.2"/>
    <row r="112" spans="1:12" s="95" customFormat="1" x14ac:dyDescent="0.2"/>
    <row r="113" s="95" customFormat="1" x14ac:dyDescent="0.2"/>
    <row r="114" s="95" customFormat="1" x14ac:dyDescent="0.2"/>
    <row r="115" s="95" customFormat="1" x14ac:dyDescent="0.2"/>
    <row r="116" s="95" customFormat="1" x14ac:dyDescent="0.2"/>
    <row r="117" s="95" customFormat="1" x14ac:dyDescent="0.2"/>
    <row r="118" s="95" customFormat="1" x14ac:dyDescent="0.2"/>
    <row r="119" s="95" customFormat="1" x14ac:dyDescent="0.2"/>
    <row r="120" s="95" customFormat="1" x14ac:dyDescent="0.2"/>
    <row r="121" s="95" customFormat="1" x14ac:dyDescent="0.2"/>
    <row r="122" s="95" customFormat="1" x14ac:dyDescent="0.2"/>
    <row r="123" s="95" customFormat="1" x14ac:dyDescent="0.2"/>
    <row r="124" s="95" customFormat="1" x14ac:dyDescent="0.2"/>
    <row r="125" s="95" customFormat="1" x14ac:dyDescent="0.2"/>
    <row r="126" s="95" customFormat="1" x14ac:dyDescent="0.2"/>
    <row r="127" s="95" customFormat="1" x14ac:dyDescent="0.2"/>
    <row r="128" s="95" customFormat="1" x14ac:dyDescent="0.2"/>
    <row r="129" s="95" customFormat="1" x14ac:dyDescent="0.2"/>
    <row r="130" s="95" customFormat="1" x14ac:dyDescent="0.2"/>
    <row r="131" s="95" customFormat="1" x14ac:dyDescent="0.2"/>
    <row r="132" s="95" customFormat="1" x14ac:dyDescent="0.2"/>
    <row r="133" s="95" customFormat="1" x14ac:dyDescent="0.2"/>
    <row r="134" s="95" customFormat="1" x14ac:dyDescent="0.2"/>
    <row r="135" s="95" customFormat="1" x14ac:dyDescent="0.2"/>
    <row r="136" s="95" customFormat="1" x14ac:dyDescent="0.2"/>
    <row r="137" s="95" customFormat="1" x14ac:dyDescent="0.2"/>
    <row r="138" s="95" customFormat="1" x14ac:dyDescent="0.2"/>
    <row r="139" s="95" customFormat="1" x14ac:dyDescent="0.2"/>
    <row r="140" s="95" customFormat="1" x14ac:dyDescent="0.2"/>
    <row r="141" s="95" customFormat="1" x14ac:dyDescent="0.2"/>
    <row r="142" s="95" customFormat="1" x14ac:dyDescent="0.2"/>
    <row r="143" s="95" customFormat="1" x14ac:dyDescent="0.2"/>
    <row r="144" s="95" customFormat="1" x14ac:dyDescent="0.2"/>
    <row r="145" s="95" customFormat="1" x14ac:dyDescent="0.2"/>
    <row r="146" s="95" customFormat="1" x14ac:dyDescent="0.2"/>
    <row r="147" s="95" customFormat="1" x14ac:dyDescent="0.2"/>
    <row r="148" s="95" customFormat="1" x14ac:dyDescent="0.2"/>
    <row r="149" s="95" customFormat="1" x14ac:dyDescent="0.2"/>
    <row r="150" s="95" customFormat="1" x14ac:dyDescent="0.2"/>
    <row r="151" s="95" customFormat="1" x14ac:dyDescent="0.2"/>
    <row r="152" s="95" customFormat="1" x14ac:dyDescent="0.2"/>
    <row r="153" s="95" customFormat="1" x14ac:dyDescent="0.2"/>
    <row r="154" s="95" customFormat="1" x14ac:dyDescent="0.2"/>
    <row r="155" s="95" customFormat="1" x14ac:dyDescent="0.2"/>
    <row r="156" s="95" customFormat="1" x14ac:dyDescent="0.2"/>
    <row r="157" s="95" customFormat="1" x14ac:dyDescent="0.2"/>
    <row r="158" s="95" customFormat="1" x14ac:dyDescent="0.2"/>
    <row r="159" s="95" customFormat="1" x14ac:dyDescent="0.2"/>
    <row r="160" s="95" customFormat="1" x14ac:dyDescent="0.2"/>
    <row r="161" s="95" customFormat="1" x14ac:dyDescent="0.2"/>
    <row r="162" s="95" customFormat="1" x14ac:dyDescent="0.2"/>
    <row r="163" s="95" customFormat="1" x14ac:dyDescent="0.2"/>
    <row r="164" s="95" customFormat="1" x14ac:dyDescent="0.2"/>
    <row r="165" s="95" customFormat="1" x14ac:dyDescent="0.2"/>
    <row r="166" s="95" customFormat="1" x14ac:dyDescent="0.2"/>
    <row r="167" s="95" customFormat="1" x14ac:dyDescent="0.2"/>
    <row r="168" s="95" customFormat="1" x14ac:dyDescent="0.2"/>
    <row r="169" s="95" customFormat="1" x14ac:dyDescent="0.2"/>
    <row r="170" s="95" customFormat="1" x14ac:dyDescent="0.2"/>
    <row r="171" s="95" customFormat="1" x14ac:dyDescent="0.2"/>
    <row r="172" s="95" customFormat="1" x14ac:dyDescent="0.2"/>
    <row r="173" s="95" customFormat="1" x14ac:dyDescent="0.2"/>
    <row r="174" s="95" customFormat="1" x14ac:dyDescent="0.2"/>
    <row r="175" s="95" customFormat="1" x14ac:dyDescent="0.2"/>
    <row r="176" s="95" customFormat="1" x14ac:dyDescent="0.2"/>
    <row r="177" s="95" customFormat="1" x14ac:dyDescent="0.2"/>
    <row r="178" s="95" customFormat="1" x14ac:dyDescent="0.2"/>
    <row r="179" s="95" customFormat="1" x14ac:dyDescent="0.2"/>
    <row r="180" s="95" customFormat="1" x14ac:dyDescent="0.2"/>
    <row r="181" s="95" customFormat="1" x14ac:dyDescent="0.2"/>
    <row r="182" s="95" customFormat="1" x14ac:dyDescent="0.2"/>
    <row r="183" s="95" customFormat="1" x14ac:dyDescent="0.2"/>
    <row r="184" s="95" customFormat="1" x14ac:dyDescent="0.2"/>
    <row r="185" s="95" customFormat="1" x14ac:dyDescent="0.2"/>
    <row r="186" s="95" customFormat="1" x14ac:dyDescent="0.2"/>
    <row r="187" s="95" customFormat="1" x14ac:dyDescent="0.2"/>
    <row r="188" s="95" customFormat="1" x14ac:dyDescent="0.2"/>
    <row r="189" s="95" customFormat="1" x14ac:dyDescent="0.2"/>
    <row r="190" s="95" customFormat="1" x14ac:dyDescent="0.2"/>
    <row r="191" s="95" customFormat="1" x14ac:dyDescent="0.2"/>
    <row r="192" s="95" customFormat="1" x14ac:dyDescent="0.2"/>
    <row r="193" s="95" customFormat="1" x14ac:dyDescent="0.2"/>
    <row r="194" s="95" customFormat="1" x14ac:dyDescent="0.2"/>
    <row r="195" s="95" customFormat="1" x14ac:dyDescent="0.2"/>
    <row r="196" s="95" customFormat="1" x14ac:dyDescent="0.2"/>
    <row r="197" s="95" customFormat="1" x14ac:dyDescent="0.2"/>
    <row r="198" s="95" customFormat="1" x14ac:dyDescent="0.2"/>
    <row r="199" s="95" customFormat="1" x14ac:dyDescent="0.2"/>
    <row r="200" s="95" customFormat="1" x14ac:dyDescent="0.2"/>
    <row r="201" s="95" customFormat="1" x14ac:dyDescent="0.2"/>
    <row r="202" s="95" customFormat="1" x14ac:dyDescent="0.2"/>
    <row r="203" s="95" customFormat="1" x14ac:dyDescent="0.2"/>
    <row r="204" s="95" customFormat="1" x14ac:dyDescent="0.2"/>
    <row r="205" s="95" customFormat="1" x14ac:dyDescent="0.2"/>
    <row r="206" s="95" customFormat="1" x14ac:dyDescent="0.2"/>
    <row r="207" s="95" customFormat="1" x14ac:dyDescent="0.2"/>
    <row r="208" s="95" customFormat="1" x14ac:dyDescent="0.2"/>
    <row r="209" s="95" customFormat="1" x14ac:dyDescent="0.2"/>
    <row r="210" s="95" customFormat="1" x14ac:dyDescent="0.2"/>
    <row r="211" s="95" customFormat="1" x14ac:dyDescent="0.2"/>
    <row r="212" s="95" customFormat="1" x14ac:dyDescent="0.2"/>
    <row r="213" s="95" customFormat="1" x14ac:dyDescent="0.2"/>
    <row r="214" s="95" customFormat="1" x14ac:dyDescent="0.2"/>
    <row r="215" s="95" customFormat="1" x14ac:dyDescent="0.2"/>
    <row r="216" s="95" customFormat="1" x14ac:dyDescent="0.2"/>
    <row r="217" s="95" customFormat="1" x14ac:dyDescent="0.2"/>
    <row r="218" s="95" customFormat="1" x14ac:dyDescent="0.2"/>
    <row r="219" s="95" customFormat="1" x14ac:dyDescent="0.2"/>
    <row r="220" s="95" customFormat="1" x14ac:dyDescent="0.2"/>
    <row r="221" s="95" customFormat="1" x14ac:dyDescent="0.2"/>
    <row r="222" s="95" customFormat="1" x14ac:dyDescent="0.2"/>
    <row r="223" s="95" customFormat="1" x14ac:dyDescent="0.2"/>
    <row r="224" s="95" customFormat="1" x14ac:dyDescent="0.2"/>
    <row r="225" s="95" customFormat="1" x14ac:dyDescent="0.2"/>
    <row r="226" s="95" customFormat="1" x14ac:dyDescent="0.2"/>
    <row r="227" s="95" customFormat="1" x14ac:dyDescent="0.2"/>
    <row r="228" s="95" customFormat="1" x14ac:dyDescent="0.2"/>
    <row r="229" s="95" customFormat="1" x14ac:dyDescent="0.2"/>
    <row r="230" s="95" customFormat="1" x14ac:dyDescent="0.2"/>
    <row r="231" s="95" customFormat="1" x14ac:dyDescent="0.2"/>
    <row r="232" s="95" customFormat="1" x14ac:dyDescent="0.2"/>
    <row r="233" s="95" customFormat="1" x14ac:dyDescent="0.2"/>
    <row r="234" s="95" customFormat="1" x14ac:dyDescent="0.2"/>
    <row r="235" s="95" customFormat="1" x14ac:dyDescent="0.2"/>
    <row r="236" s="95" customFormat="1" x14ac:dyDescent="0.2"/>
    <row r="237" s="95" customFormat="1" x14ac:dyDescent="0.2"/>
    <row r="238" s="95" customFormat="1" x14ac:dyDescent="0.2"/>
    <row r="239" s="95" customFormat="1" x14ac:dyDescent="0.2"/>
    <row r="240" s="95" customFormat="1" x14ac:dyDescent="0.2"/>
    <row r="241" s="95" customFormat="1" x14ac:dyDescent="0.2"/>
    <row r="242" s="95" customFormat="1" x14ac:dyDescent="0.2"/>
    <row r="243" s="95" customFormat="1" x14ac:dyDescent="0.2"/>
    <row r="244" s="95" customFormat="1" x14ac:dyDescent="0.2"/>
    <row r="245" s="95" customFormat="1" x14ac:dyDescent="0.2"/>
    <row r="246" s="95" customFormat="1" x14ac:dyDescent="0.2"/>
    <row r="247" s="95" customFormat="1" x14ac:dyDescent="0.2"/>
    <row r="248" s="95" customFormat="1" x14ac:dyDescent="0.2"/>
    <row r="249" s="95" customFormat="1" x14ac:dyDescent="0.2"/>
    <row r="250" s="95" customFormat="1" x14ac:dyDescent="0.2"/>
    <row r="251" s="95" customFormat="1" x14ac:dyDescent="0.2"/>
    <row r="252" s="95" customFormat="1" x14ac:dyDescent="0.2"/>
    <row r="253" s="95" customFormat="1" x14ac:dyDescent="0.2"/>
    <row r="254" s="95" customFormat="1" x14ac:dyDescent="0.2"/>
    <row r="255" s="95" customFormat="1" x14ac:dyDescent="0.2"/>
    <row r="256" s="95" customFormat="1" x14ac:dyDescent="0.2"/>
    <row r="257" s="95" customFormat="1" x14ac:dyDescent="0.2"/>
    <row r="258" s="95" customFormat="1" x14ac:dyDescent="0.2"/>
    <row r="259" s="95" customFormat="1" x14ac:dyDescent="0.2"/>
    <row r="260" s="95" customFormat="1" x14ac:dyDescent="0.2"/>
    <row r="261" s="95" customFormat="1" x14ac:dyDescent="0.2"/>
    <row r="262" s="95" customFormat="1" x14ac:dyDescent="0.2"/>
    <row r="263" s="95" customFormat="1" x14ac:dyDescent="0.2"/>
    <row r="264" s="95" customFormat="1" x14ac:dyDescent="0.2"/>
    <row r="265" s="95" customFormat="1" x14ac:dyDescent="0.2"/>
    <row r="266" s="95" customFormat="1" x14ac:dyDescent="0.2"/>
    <row r="267" s="95" customFormat="1" x14ac:dyDescent="0.2"/>
    <row r="268" s="95" customFormat="1" x14ac:dyDescent="0.2"/>
    <row r="269" s="95" customFormat="1" x14ac:dyDescent="0.2"/>
    <row r="270" s="95" customFormat="1" x14ac:dyDescent="0.2"/>
    <row r="271" s="95" customFormat="1" x14ac:dyDescent="0.2"/>
    <row r="272" s="95" customFormat="1" x14ac:dyDescent="0.2"/>
    <row r="273" s="95" customFormat="1" x14ac:dyDescent="0.2"/>
    <row r="274" s="95" customFormat="1" x14ac:dyDescent="0.2"/>
    <row r="275" s="95" customFormat="1" x14ac:dyDescent="0.2"/>
    <row r="276" s="95" customFormat="1" x14ac:dyDescent="0.2"/>
    <row r="277" s="95" customFormat="1" x14ac:dyDescent="0.2"/>
    <row r="278" s="95" customFormat="1" x14ac:dyDescent="0.2"/>
    <row r="279" s="95" customFormat="1" x14ac:dyDescent="0.2"/>
    <row r="280" s="95" customFormat="1" x14ac:dyDescent="0.2"/>
    <row r="281" s="95" customFormat="1" x14ac:dyDescent="0.2"/>
    <row r="282" s="95" customFormat="1" x14ac:dyDescent="0.2"/>
    <row r="283" s="95" customFormat="1" x14ac:dyDescent="0.2"/>
    <row r="284" s="95" customFormat="1" x14ac:dyDescent="0.2"/>
    <row r="285" s="95" customFormat="1" x14ac:dyDescent="0.2"/>
    <row r="286" s="95" customFormat="1" x14ac:dyDescent="0.2"/>
    <row r="287" s="95" customFormat="1" x14ac:dyDescent="0.2"/>
    <row r="288" s="95" customFormat="1" x14ac:dyDescent="0.2"/>
    <row r="289" s="95" customFormat="1" x14ac:dyDescent="0.2"/>
    <row r="290" s="95" customFormat="1" x14ac:dyDescent="0.2"/>
    <row r="291" s="95" customFormat="1" x14ac:dyDescent="0.2"/>
    <row r="292" s="95" customFormat="1" x14ac:dyDescent="0.2"/>
    <row r="293" s="95" customFormat="1" x14ac:dyDescent="0.2"/>
    <row r="294" s="95" customFormat="1" x14ac:dyDescent="0.2"/>
    <row r="295" s="95" customFormat="1" x14ac:dyDescent="0.2"/>
    <row r="296" s="95" customFormat="1" x14ac:dyDescent="0.2"/>
    <row r="297" s="95" customFormat="1" x14ac:dyDescent="0.2"/>
    <row r="298" s="95" customFormat="1" x14ac:dyDescent="0.2"/>
    <row r="299" s="95" customFormat="1" x14ac:dyDescent="0.2"/>
    <row r="300" s="95" customFormat="1" x14ac:dyDescent="0.2"/>
    <row r="301" s="95" customFormat="1" x14ac:dyDescent="0.2"/>
    <row r="302" s="95" customFormat="1" x14ac:dyDescent="0.2"/>
    <row r="303" s="95" customFormat="1" x14ac:dyDescent="0.2"/>
    <row r="304" s="95" customFormat="1" x14ac:dyDescent="0.2"/>
    <row r="305" s="95" customFormat="1" x14ac:dyDescent="0.2"/>
    <row r="306" s="95" customFormat="1" x14ac:dyDescent="0.2"/>
    <row r="307" s="95" customFormat="1" x14ac:dyDescent="0.2"/>
    <row r="308" s="95" customFormat="1" x14ac:dyDescent="0.2"/>
    <row r="309" s="95" customFormat="1" x14ac:dyDescent="0.2"/>
    <row r="310" s="95" customFormat="1" x14ac:dyDescent="0.2"/>
    <row r="311" s="95" customFormat="1" x14ac:dyDescent="0.2"/>
    <row r="312" s="95" customFormat="1" x14ac:dyDescent="0.2"/>
    <row r="313" s="95" customFormat="1" x14ac:dyDescent="0.2"/>
    <row r="314" s="95" customFormat="1" x14ac:dyDescent="0.2"/>
    <row r="315" s="95" customFormat="1" x14ac:dyDescent="0.2"/>
    <row r="316" s="95" customFormat="1" x14ac:dyDescent="0.2"/>
    <row r="317" s="95" customFormat="1" x14ac:dyDescent="0.2"/>
    <row r="318" s="95" customFormat="1" x14ac:dyDescent="0.2"/>
    <row r="319" s="95" customFormat="1" x14ac:dyDescent="0.2"/>
    <row r="320" s="95" customFormat="1" x14ac:dyDescent="0.2"/>
    <row r="321" s="95" customFormat="1" x14ac:dyDescent="0.2"/>
    <row r="322" s="95" customFormat="1" x14ac:dyDescent="0.2"/>
    <row r="323" s="95" customFormat="1" x14ac:dyDescent="0.2"/>
    <row r="324" s="95" customFormat="1" x14ac:dyDescent="0.2"/>
    <row r="325" s="95" customFormat="1" x14ac:dyDescent="0.2"/>
    <row r="326" s="95" customFormat="1" x14ac:dyDescent="0.2"/>
    <row r="327" s="95" customFormat="1" x14ac:dyDescent="0.2"/>
    <row r="328" s="95" customFormat="1" x14ac:dyDescent="0.2"/>
    <row r="329" s="95" customFormat="1" x14ac:dyDescent="0.2"/>
    <row r="330" s="95" customFormat="1" x14ac:dyDescent="0.2"/>
    <row r="331" s="95" customFormat="1" x14ac:dyDescent="0.2"/>
    <row r="332" s="95" customFormat="1" x14ac:dyDescent="0.2"/>
    <row r="333" s="95" customFormat="1" x14ac:dyDescent="0.2"/>
    <row r="334" s="95" customFormat="1" x14ac:dyDescent="0.2"/>
    <row r="335" s="95" customFormat="1" x14ac:dyDescent="0.2"/>
    <row r="336" s="95" customFormat="1" x14ac:dyDescent="0.2"/>
    <row r="337" s="95" customFormat="1" x14ac:dyDescent="0.2"/>
    <row r="338" s="95" customFormat="1" x14ac:dyDescent="0.2"/>
    <row r="339" s="95" customFormat="1" x14ac:dyDescent="0.2"/>
    <row r="340" s="95" customFormat="1" x14ac:dyDescent="0.2"/>
    <row r="341" s="95" customFormat="1" x14ac:dyDescent="0.2"/>
    <row r="342" s="95" customFormat="1" x14ac:dyDescent="0.2"/>
    <row r="343" s="95" customFormat="1" x14ac:dyDescent="0.2"/>
    <row r="344" s="95" customFormat="1" x14ac:dyDescent="0.2"/>
    <row r="345" s="95" customFormat="1" x14ac:dyDescent="0.2"/>
    <row r="346" s="95" customFormat="1" x14ac:dyDescent="0.2"/>
    <row r="347" s="95" customFormat="1" x14ac:dyDescent="0.2"/>
    <row r="348" s="95" customFormat="1" x14ac:dyDescent="0.2"/>
    <row r="349" s="95" customFormat="1" x14ac:dyDescent="0.2"/>
    <row r="350" s="95" customFormat="1" x14ac:dyDescent="0.2"/>
    <row r="351" s="95" customFormat="1" x14ac:dyDescent="0.2"/>
    <row r="352" s="95" customFormat="1" x14ac:dyDescent="0.2"/>
    <row r="353" s="95" customFormat="1" x14ac:dyDescent="0.2"/>
    <row r="354" s="95" customFormat="1" x14ac:dyDescent="0.2"/>
    <row r="355" s="95" customFormat="1" x14ac:dyDescent="0.2"/>
    <row r="356" s="95" customFormat="1" x14ac:dyDescent="0.2"/>
    <row r="357" s="95" customFormat="1" x14ac:dyDescent="0.2"/>
    <row r="358" s="95" customFormat="1" x14ac:dyDescent="0.2"/>
    <row r="359" s="95" customFormat="1" x14ac:dyDescent="0.2"/>
    <row r="360" s="95" customFormat="1" x14ac:dyDescent="0.2"/>
    <row r="361" s="95" customFormat="1" x14ac:dyDescent="0.2"/>
    <row r="362" s="95" customFormat="1" x14ac:dyDescent="0.2"/>
    <row r="363" s="95" customFormat="1" x14ac:dyDescent="0.2"/>
    <row r="364" s="95" customFormat="1" x14ac:dyDescent="0.2"/>
    <row r="365" s="95" customFormat="1" x14ac:dyDescent="0.2"/>
    <row r="366" s="95" customFormat="1" x14ac:dyDescent="0.2"/>
    <row r="367" s="95" customFormat="1" x14ac:dyDescent="0.2"/>
    <row r="368" s="95" customFormat="1" x14ac:dyDescent="0.2"/>
    <row r="369" s="95" customFormat="1" x14ac:dyDescent="0.2"/>
    <row r="370" s="95" customFormat="1" x14ac:dyDescent="0.2"/>
    <row r="371" s="95" customFormat="1" x14ac:dyDescent="0.2"/>
    <row r="372" s="95" customFormat="1" x14ac:dyDescent="0.2"/>
    <row r="373" s="95" customFormat="1" x14ac:dyDescent="0.2"/>
    <row r="374" s="95" customFormat="1" x14ac:dyDescent="0.2"/>
    <row r="375" s="95" customFormat="1" x14ac:dyDescent="0.2"/>
    <row r="376" s="95" customFormat="1" x14ac:dyDescent="0.2"/>
    <row r="377" s="95" customFormat="1" x14ac:dyDescent="0.2"/>
    <row r="378" s="95" customFormat="1" x14ac:dyDescent="0.2"/>
    <row r="379" s="95" customFormat="1" x14ac:dyDescent="0.2"/>
    <row r="380" s="95" customFormat="1" x14ac:dyDescent="0.2"/>
    <row r="381" s="95" customFormat="1" x14ac:dyDescent="0.2"/>
    <row r="382" s="95" customFormat="1" x14ac:dyDescent="0.2"/>
    <row r="383" s="95" customFormat="1" x14ac:dyDescent="0.2"/>
    <row r="384" s="95" customFormat="1" x14ac:dyDescent="0.2"/>
    <row r="385" s="95" customFormat="1" x14ac:dyDescent="0.2"/>
    <row r="386" s="95" customFormat="1" x14ac:dyDescent="0.2"/>
    <row r="387" s="95" customFormat="1" x14ac:dyDescent="0.2"/>
    <row r="388" s="95" customFormat="1" x14ac:dyDescent="0.2"/>
    <row r="389" s="95" customFormat="1" x14ac:dyDescent="0.2"/>
    <row r="390" s="95" customFormat="1" x14ac:dyDescent="0.2"/>
    <row r="391" s="95" customFormat="1" x14ac:dyDescent="0.2"/>
    <row r="392" s="95" customFormat="1" x14ac:dyDescent="0.2"/>
    <row r="393" s="95" customFormat="1" x14ac:dyDescent="0.2"/>
    <row r="394" s="95" customFormat="1" x14ac:dyDescent="0.2"/>
    <row r="395" s="95" customFormat="1" x14ac:dyDescent="0.2"/>
    <row r="396" s="95" customFormat="1" x14ac:dyDescent="0.2"/>
    <row r="397" s="95" customFormat="1" x14ac:dyDescent="0.2"/>
    <row r="398" s="95" customFormat="1" x14ac:dyDescent="0.2"/>
    <row r="399" s="95" customFormat="1" x14ac:dyDescent="0.2"/>
    <row r="400" s="95" customFormat="1" x14ac:dyDescent="0.2"/>
    <row r="401" s="95" customFormat="1" x14ac:dyDescent="0.2"/>
    <row r="402" s="95" customFormat="1" x14ac:dyDescent="0.2"/>
    <row r="403" s="95" customFormat="1" x14ac:dyDescent="0.2"/>
    <row r="404" s="95" customFormat="1" x14ac:dyDescent="0.2"/>
    <row r="405" s="95" customFormat="1" x14ac:dyDescent="0.2"/>
    <row r="406" s="95" customFormat="1" x14ac:dyDescent="0.2"/>
    <row r="407" s="95" customFormat="1" x14ac:dyDescent="0.2"/>
    <row r="408" s="95" customFormat="1" x14ac:dyDescent="0.2"/>
    <row r="409" s="95" customFormat="1" x14ac:dyDescent="0.2"/>
    <row r="410" s="95" customFormat="1" x14ac:dyDescent="0.2"/>
    <row r="411" s="95" customFormat="1" x14ac:dyDescent="0.2"/>
    <row r="412" s="95" customFormat="1" x14ac:dyDescent="0.2"/>
    <row r="413" s="95" customFormat="1" x14ac:dyDescent="0.2"/>
    <row r="414" s="95" customFormat="1" x14ac:dyDescent="0.2"/>
    <row r="415" s="95" customFormat="1" x14ac:dyDescent="0.2"/>
    <row r="416" s="95" customFormat="1" x14ac:dyDescent="0.2"/>
  </sheetData>
  <phoneticPr fontId="0" type="noConversion"/>
  <pageMargins left="0.75" right="0.75" top="1" bottom="1" header="0.5" footer="0.5"/>
  <pageSetup scale="50" fitToHeight="2" orientation="landscape" r:id="rId1"/>
  <headerFooter alignWithMargins="0">
    <oddHeader>&amp;C&amp;"Arial,Bold"&amp;16HIGHLY CONFIDENTIAL</oddHeader>
  </headerFooter>
  <rowBreaks count="1" manualBreakCount="1">
    <brk id="49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PG&amp;E Corp. </vt:lpstr>
      <vt:lpstr>Edison Int'l </vt:lpstr>
      <vt:lpstr>Px - ISO </vt:lpstr>
      <vt:lpstr>By Enron Entity</vt:lpstr>
      <vt:lpstr>Summary</vt:lpstr>
      <vt:lpstr>'By Enron Entity'!Print_Area</vt:lpstr>
      <vt:lpstr>'Edison Int''l '!Print_Area</vt:lpstr>
      <vt:lpstr>'PG&amp;E Corp. '!Print_Area</vt:lpstr>
      <vt:lpstr>'Px - ISO '!Print_Area</vt:lpstr>
      <vt:lpstr>Summary!Print_Area</vt:lpstr>
      <vt:lpstr>Summary!Print_Titles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wconwell</dc:creator>
  <cp:lastModifiedBy>Jan Havlíček</cp:lastModifiedBy>
  <cp:lastPrinted>2001-03-01T22:47:35Z</cp:lastPrinted>
  <dcterms:created xsi:type="dcterms:W3CDTF">2001-01-17T17:48:43Z</dcterms:created>
  <dcterms:modified xsi:type="dcterms:W3CDTF">2023-09-18T07:46:38Z</dcterms:modified>
</cp:coreProperties>
</file>