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2.xml" ContentType="application/vnd.openxmlformats-officedocument.drawing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drawings/drawing3.xml" ContentType="application/vnd.openxmlformats-officedocument.drawing+xml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drawings/drawing4.xml" ContentType="application/vnd.openxmlformats-officedocument.drawing+xml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drawings/drawing5.xml" ContentType="application/vnd.openxmlformats-officedocument.drawing+xml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drawings/drawing6.xml" ContentType="application/vnd.openxmlformats-officedocument.drawing+xml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drawings/drawing7.xml" ContentType="application/vnd.openxmlformats-officedocument.drawing+xml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drawings/drawing8.xml" ContentType="application/vnd.openxmlformats-officedocument.drawing+xml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drawings/drawing9.xml" ContentType="application/vnd.openxmlformats-officedocument.drawing+xml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drawings/drawing10.xml" ContentType="application/vnd.openxmlformats-officedocument.drawing+xml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drawings/drawing11.xml" ContentType="application/vnd.openxmlformats-officedocument.drawing+xml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drawings/drawing12.xml" ContentType="application/vnd.openxmlformats-officedocument.drawing+xml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drawings/drawing13.xml" ContentType="application/vnd.openxmlformats-officedocument.drawing+xml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drawings/drawing14.xml" ContentType="application/vnd.openxmlformats-officedocument.drawing+xml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drawings/drawing15.xml" ContentType="application/vnd.openxmlformats-officedocument.drawing+xml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embeddings/oleObject60.bin" ContentType="application/vnd.openxmlformats-officedocument.oleObject"/>
  <Override PartName="/xl/drawings/drawing16.xml" ContentType="application/vnd.openxmlformats-officedocument.drawing+xml"/>
  <Override PartName="/xl/embeddings/oleObject61.bin" ContentType="application/vnd.openxmlformats-officedocument.oleObject"/>
  <Override PartName="/xl/embeddings/oleObject62.bin" ContentType="application/vnd.openxmlformats-officedocument.oleObject"/>
  <Override PartName="/xl/embeddings/oleObject63.bin" ContentType="application/vnd.openxmlformats-officedocument.oleObject"/>
  <Override PartName="/xl/embeddings/oleObject64.bin" ContentType="application/vnd.openxmlformats-officedocument.oleObject"/>
  <Override PartName="/xl/drawings/drawing17.xml" ContentType="application/vnd.openxmlformats-officedocument.drawing+xml"/>
  <Override PartName="/xl/embeddings/oleObject65.bin" ContentType="application/vnd.openxmlformats-officedocument.oleObject"/>
  <Override PartName="/xl/embeddings/oleObject66.bin" ContentType="application/vnd.openxmlformats-officedocument.oleObject"/>
  <Override PartName="/xl/embeddings/oleObject67.bin" ContentType="application/vnd.openxmlformats-officedocument.oleObject"/>
  <Override PartName="/xl/embeddings/oleObject68.bin" ContentType="application/vnd.openxmlformats-officedocument.oleObject"/>
  <Override PartName="/xl/drawings/drawing18.xml" ContentType="application/vnd.openxmlformats-officedocument.drawing+xml"/>
  <Override PartName="/xl/embeddings/oleObject69.bin" ContentType="application/vnd.openxmlformats-officedocument.oleObject"/>
  <Override PartName="/xl/embeddings/oleObject70.bin" ContentType="application/vnd.openxmlformats-officedocument.oleObject"/>
  <Override PartName="/xl/embeddings/oleObject71.bin" ContentType="application/vnd.openxmlformats-officedocument.oleObject"/>
  <Override PartName="/xl/embeddings/oleObject72.bin" ContentType="application/vnd.openxmlformats-officedocument.oleObject"/>
  <Override PartName="/xl/drawings/drawing19.xml" ContentType="application/vnd.openxmlformats-officedocument.drawing+xml"/>
  <Override PartName="/xl/embeddings/oleObject73.bin" ContentType="application/vnd.openxmlformats-officedocument.oleObject"/>
  <Override PartName="/xl/embeddings/oleObject74.bin" ContentType="application/vnd.openxmlformats-officedocument.oleObject"/>
  <Override PartName="/xl/embeddings/oleObject75.bin" ContentType="application/vnd.openxmlformats-officedocument.oleObject"/>
  <Override PartName="/xl/embeddings/oleObject76.bin" ContentType="application/vnd.openxmlformats-officedocument.oleObject"/>
  <Override PartName="/xl/drawings/drawing20.xml" ContentType="application/vnd.openxmlformats-officedocument.drawing+xml"/>
  <Override PartName="/xl/embeddings/oleObject77.bin" ContentType="application/vnd.openxmlformats-officedocument.oleObject"/>
  <Override PartName="/xl/embeddings/oleObject78.bin" ContentType="application/vnd.openxmlformats-officedocument.oleObject"/>
  <Override PartName="/xl/embeddings/oleObject79.bin" ContentType="application/vnd.openxmlformats-officedocument.oleObject"/>
  <Override PartName="/xl/embeddings/oleObject80.bin" ContentType="application/vnd.openxmlformats-officedocument.oleObject"/>
  <Override PartName="/xl/drawings/drawing21.xml" ContentType="application/vnd.openxmlformats-officedocument.drawing+xml"/>
  <Override PartName="/xl/embeddings/oleObject81.bin" ContentType="application/vnd.openxmlformats-officedocument.oleObject"/>
  <Override PartName="/xl/embeddings/oleObject82.bin" ContentType="application/vnd.openxmlformats-officedocument.oleObject"/>
  <Override PartName="/xl/embeddings/oleObject83.bin" ContentType="application/vnd.openxmlformats-officedocument.oleObject"/>
  <Override PartName="/xl/embeddings/oleObject84.bin" ContentType="application/vnd.openxmlformats-officedocument.oleObject"/>
  <Override PartName="/xl/drawings/drawing22.xml" ContentType="application/vnd.openxmlformats-officedocument.drawing+xml"/>
  <Override PartName="/xl/embeddings/oleObject85.bin" ContentType="application/vnd.openxmlformats-officedocument.oleObject"/>
  <Override PartName="/xl/embeddings/oleObject86.bin" ContentType="application/vnd.openxmlformats-officedocument.oleObject"/>
  <Override PartName="/xl/drawings/drawing23.xml" ContentType="application/vnd.openxmlformats-officedocument.drawing+xml"/>
  <Override PartName="/xl/embeddings/oleObject87.bin" ContentType="application/vnd.openxmlformats-officedocument.oleObject"/>
  <Override PartName="/xl/embeddings/oleObject88.bin" ContentType="application/vnd.openxmlformats-officedocument.oleObject"/>
  <Override PartName="/xl/drawings/drawing24.xml" ContentType="application/vnd.openxmlformats-officedocument.drawing+xml"/>
  <Override PartName="/xl/embeddings/oleObject89.bin" ContentType="application/vnd.openxmlformats-officedocument.oleObject"/>
  <Override PartName="/xl/embeddings/oleObject90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B3A5F57-A869-48A0-A038-3C1F54E0BBB2}" xr6:coauthVersionLast="47" xr6:coauthVersionMax="47" xr10:uidLastSave="{00000000-0000-0000-0000-000000000000}"/>
  <bookViews>
    <workbookView xWindow="-120" yWindow="-120" windowWidth="23280" windowHeight="12480"/>
  </bookViews>
  <sheets>
    <sheet name="1001" sheetId="26" r:id="rId1"/>
    <sheet name="0901" sheetId="25" r:id="rId2"/>
    <sheet name="0801" sheetId="24" r:id="rId3"/>
    <sheet name="0701" sheetId="23" r:id="rId4"/>
    <sheet name="0601" sheetId="22" r:id="rId5"/>
    <sheet name="0501" sheetId="21" r:id="rId6"/>
    <sheet name="0401" sheetId="20" r:id="rId7"/>
    <sheet name="0301" sheetId="19" r:id="rId8"/>
    <sheet name="0201" sheetId="18" r:id="rId9"/>
    <sheet name="0101" sheetId="17" r:id="rId10"/>
    <sheet name="1200" sheetId="16" r:id="rId11"/>
    <sheet name="1100" sheetId="15" r:id="rId12"/>
    <sheet name="1000" sheetId="14" r:id="rId13"/>
    <sheet name="0900" sheetId="13" r:id="rId14"/>
    <sheet name="0800" sheetId="12" r:id="rId15"/>
    <sheet name="0700" sheetId="11" r:id="rId16"/>
    <sheet name="0600" sheetId="10" r:id="rId17"/>
    <sheet name="0500" sheetId="9" r:id="rId18"/>
    <sheet name="0400" sheetId="8" r:id="rId19"/>
    <sheet name="0300" sheetId="7" r:id="rId20"/>
    <sheet name="0200" sheetId="6" r:id="rId21"/>
    <sheet name="0100" sheetId="5" r:id="rId22"/>
    <sheet name="1299" sheetId="4" r:id="rId23"/>
    <sheet name="1199" sheetId="1" r:id="rId24"/>
    <sheet name="Sheet2" sheetId="2" r:id="rId25"/>
    <sheet name="Sheet3" sheetId="3" r:id="rId26"/>
  </sheets>
  <definedNames>
    <definedName name="_xlnm.Print_Area" localSheetId="21">'0100'!$A$3:$O$42</definedName>
    <definedName name="_xlnm.Print_Area" localSheetId="9">'0101'!$A$1:$O$42</definedName>
    <definedName name="_xlnm.Print_Area" localSheetId="20">'0200'!$A$3:$O$42</definedName>
    <definedName name="_xlnm.Print_Area" localSheetId="8">'0201'!$A$3:$O$42</definedName>
    <definedName name="_xlnm.Print_Area" localSheetId="19">'0300'!$A$3:$O$42</definedName>
    <definedName name="_xlnm.Print_Area" localSheetId="7">'0301'!$A$4:$O$42</definedName>
    <definedName name="_xlnm.Print_Area" localSheetId="18">'0400'!$A$2:$O$42</definedName>
    <definedName name="_xlnm.Print_Area" localSheetId="6">'0401'!$A$2:$O$42</definedName>
    <definedName name="_xlnm.Print_Area" localSheetId="17">'0500'!$A$3:$O$42</definedName>
    <definedName name="_xlnm.Print_Area" localSheetId="5">'0501'!$A$1:$O$42</definedName>
    <definedName name="_xlnm.Print_Area" localSheetId="16">'0600'!$A$1:$O$42</definedName>
    <definedName name="_xlnm.Print_Area" localSheetId="4">'0601'!$A$1:$O$42</definedName>
    <definedName name="_xlnm.Print_Area" localSheetId="15">'0700'!$A$3:$O$42</definedName>
    <definedName name="_xlnm.Print_Area" localSheetId="3">'0701'!$A$3:$O$42</definedName>
    <definedName name="_xlnm.Print_Area" localSheetId="14">'0800'!$A$3:$O$42</definedName>
    <definedName name="_xlnm.Print_Area" localSheetId="2">'0801'!$A$1:$O$42</definedName>
    <definedName name="_xlnm.Print_Area" localSheetId="13">'0900'!$A$1:$O$42</definedName>
    <definedName name="_xlnm.Print_Area" localSheetId="1">'0901'!$A$1:$O$38</definedName>
    <definedName name="_xlnm.Print_Area" localSheetId="12">'1000'!$A$3:$O$42</definedName>
    <definedName name="_xlnm.Print_Area" localSheetId="0">'1001'!$A$1:$O$38</definedName>
    <definedName name="_xlnm.Print_Area" localSheetId="11">'1100'!$A$3:$O$42</definedName>
    <definedName name="_xlnm.Print_Area" localSheetId="23">'1199'!$A$3:$O$42</definedName>
    <definedName name="_xlnm.Print_Area" localSheetId="10">'1200'!$A$1:$O$42</definedName>
    <definedName name="_xlnm.Print_Area" localSheetId="22">'1299'!$A$3:$O$42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5" l="1"/>
  <c r="N14" i="5"/>
  <c r="D15" i="5"/>
  <c r="F15" i="5"/>
  <c r="L15" i="5"/>
  <c r="L19" i="5"/>
  <c r="N19" i="5"/>
  <c r="D20" i="5"/>
  <c r="F20" i="5"/>
  <c r="H20" i="5"/>
  <c r="J20" i="5"/>
  <c r="L20" i="5"/>
  <c r="N23" i="5"/>
  <c r="D24" i="5"/>
  <c r="F24" i="5"/>
  <c r="H24" i="5"/>
  <c r="J24" i="5"/>
  <c r="L24" i="5"/>
  <c r="L27" i="5"/>
  <c r="N27" i="5"/>
  <c r="D28" i="5"/>
  <c r="F28" i="5"/>
  <c r="H28" i="5"/>
  <c r="J28" i="5"/>
  <c r="L28" i="5"/>
  <c r="N31" i="5"/>
  <c r="D32" i="5"/>
  <c r="F32" i="5"/>
  <c r="H32" i="5"/>
  <c r="J32" i="5"/>
  <c r="L32" i="5"/>
  <c r="N35" i="5"/>
  <c r="D36" i="5"/>
  <c r="F36" i="5"/>
  <c r="H36" i="5"/>
  <c r="J36" i="5"/>
  <c r="L36" i="5"/>
  <c r="D39" i="5"/>
  <c r="F39" i="5"/>
  <c r="H39" i="5"/>
  <c r="J39" i="5"/>
  <c r="L39" i="5"/>
  <c r="N39" i="5"/>
  <c r="D40" i="5"/>
  <c r="F40" i="5"/>
  <c r="H40" i="5"/>
  <c r="J40" i="5"/>
  <c r="L40" i="5"/>
  <c r="L14" i="17"/>
  <c r="N14" i="17"/>
  <c r="D15" i="17"/>
  <c r="F15" i="17"/>
  <c r="L15" i="17"/>
  <c r="L19" i="17"/>
  <c r="N19" i="17"/>
  <c r="D20" i="17"/>
  <c r="F20" i="17"/>
  <c r="H20" i="17"/>
  <c r="J20" i="17"/>
  <c r="L20" i="17"/>
  <c r="N23" i="17"/>
  <c r="D24" i="17"/>
  <c r="F24" i="17"/>
  <c r="H24" i="17"/>
  <c r="J24" i="17"/>
  <c r="L24" i="17"/>
  <c r="L27" i="17"/>
  <c r="N27" i="17"/>
  <c r="D28" i="17"/>
  <c r="F28" i="17"/>
  <c r="H28" i="17"/>
  <c r="J28" i="17"/>
  <c r="L28" i="17"/>
  <c r="L31" i="17"/>
  <c r="N31" i="17"/>
  <c r="D32" i="17"/>
  <c r="F32" i="17"/>
  <c r="H32" i="17"/>
  <c r="J32" i="17"/>
  <c r="L32" i="17"/>
  <c r="L35" i="17"/>
  <c r="N35" i="17"/>
  <c r="D36" i="17"/>
  <c r="F36" i="17"/>
  <c r="H36" i="17"/>
  <c r="J36" i="17"/>
  <c r="L36" i="17"/>
  <c r="O36" i="17"/>
  <c r="D39" i="17"/>
  <c r="F39" i="17"/>
  <c r="H39" i="17"/>
  <c r="J39" i="17"/>
  <c r="L39" i="17"/>
  <c r="N39" i="17"/>
  <c r="D40" i="17"/>
  <c r="F40" i="17"/>
  <c r="H40" i="17"/>
  <c r="J40" i="17"/>
  <c r="L40" i="17"/>
  <c r="L14" i="6"/>
  <c r="N14" i="6"/>
  <c r="D15" i="6"/>
  <c r="F15" i="6"/>
  <c r="L15" i="6"/>
  <c r="N19" i="6"/>
  <c r="D20" i="6"/>
  <c r="F20" i="6"/>
  <c r="H20" i="6"/>
  <c r="J20" i="6"/>
  <c r="L20" i="6"/>
  <c r="N23" i="6"/>
  <c r="D24" i="6"/>
  <c r="F24" i="6"/>
  <c r="H24" i="6"/>
  <c r="J24" i="6"/>
  <c r="L24" i="6"/>
  <c r="L27" i="6"/>
  <c r="N27" i="6"/>
  <c r="D28" i="6"/>
  <c r="F28" i="6"/>
  <c r="H28" i="6"/>
  <c r="J28" i="6"/>
  <c r="L28" i="6"/>
  <c r="N31" i="6"/>
  <c r="D32" i="6"/>
  <c r="F32" i="6"/>
  <c r="H32" i="6"/>
  <c r="J32" i="6"/>
  <c r="L32" i="6"/>
  <c r="N35" i="6"/>
  <c r="D36" i="6"/>
  <c r="F36" i="6"/>
  <c r="H36" i="6"/>
  <c r="J36" i="6"/>
  <c r="L36" i="6"/>
  <c r="D39" i="6"/>
  <c r="F39" i="6"/>
  <c r="H39" i="6"/>
  <c r="J39" i="6"/>
  <c r="L39" i="6"/>
  <c r="N39" i="6"/>
  <c r="D40" i="6"/>
  <c r="F40" i="6"/>
  <c r="H40" i="6"/>
  <c r="J40" i="6"/>
  <c r="L40" i="6"/>
  <c r="L14" i="18"/>
  <c r="N14" i="18"/>
  <c r="D15" i="18"/>
  <c r="F15" i="18"/>
  <c r="L15" i="18"/>
  <c r="L19" i="18"/>
  <c r="N19" i="18"/>
  <c r="D20" i="18"/>
  <c r="F20" i="18"/>
  <c r="H20" i="18"/>
  <c r="J20" i="18"/>
  <c r="L20" i="18"/>
  <c r="N23" i="18"/>
  <c r="D24" i="18"/>
  <c r="F24" i="18"/>
  <c r="H24" i="18"/>
  <c r="J24" i="18"/>
  <c r="L24" i="18"/>
  <c r="L27" i="18"/>
  <c r="N27" i="18"/>
  <c r="D28" i="18"/>
  <c r="F28" i="18"/>
  <c r="H28" i="18"/>
  <c r="J28" i="18"/>
  <c r="L28" i="18"/>
  <c r="L31" i="18"/>
  <c r="N31" i="18"/>
  <c r="D32" i="18"/>
  <c r="F32" i="18"/>
  <c r="H32" i="18"/>
  <c r="J32" i="18"/>
  <c r="L32" i="18"/>
  <c r="L35" i="18"/>
  <c r="N35" i="18"/>
  <c r="D36" i="18"/>
  <c r="F36" i="18"/>
  <c r="H36" i="18"/>
  <c r="J36" i="18"/>
  <c r="L36" i="18"/>
  <c r="O36" i="18"/>
  <c r="D39" i="18"/>
  <c r="F39" i="18"/>
  <c r="H39" i="18"/>
  <c r="J39" i="18"/>
  <c r="L39" i="18"/>
  <c r="N39" i="18"/>
  <c r="D40" i="18"/>
  <c r="F40" i="18"/>
  <c r="H40" i="18"/>
  <c r="J40" i="18"/>
  <c r="L40" i="18"/>
  <c r="N14" i="7"/>
  <c r="D15" i="7"/>
  <c r="F15" i="7"/>
  <c r="L15" i="7"/>
  <c r="N19" i="7"/>
  <c r="D20" i="7"/>
  <c r="F20" i="7"/>
  <c r="H20" i="7"/>
  <c r="J20" i="7"/>
  <c r="L20" i="7"/>
  <c r="N23" i="7"/>
  <c r="D24" i="7"/>
  <c r="F24" i="7"/>
  <c r="H24" i="7"/>
  <c r="J24" i="7"/>
  <c r="L24" i="7"/>
  <c r="L27" i="7"/>
  <c r="N27" i="7"/>
  <c r="D28" i="7"/>
  <c r="F28" i="7"/>
  <c r="H28" i="7"/>
  <c r="J28" i="7"/>
  <c r="L28" i="7"/>
  <c r="N31" i="7"/>
  <c r="D32" i="7"/>
  <c r="F32" i="7"/>
  <c r="H32" i="7"/>
  <c r="J32" i="7"/>
  <c r="L32" i="7"/>
  <c r="N35" i="7"/>
  <c r="D36" i="7"/>
  <c r="F36" i="7"/>
  <c r="H36" i="7"/>
  <c r="J36" i="7"/>
  <c r="L36" i="7"/>
  <c r="D39" i="7"/>
  <c r="F39" i="7"/>
  <c r="H39" i="7"/>
  <c r="J39" i="7"/>
  <c r="L39" i="7"/>
  <c r="N39" i="7"/>
  <c r="D40" i="7"/>
  <c r="F40" i="7"/>
  <c r="H40" i="7"/>
  <c r="J40" i="7"/>
  <c r="L40" i="7"/>
  <c r="L14" i="19"/>
  <c r="N14" i="19"/>
  <c r="D15" i="19"/>
  <c r="F15" i="19"/>
  <c r="L15" i="19"/>
  <c r="L19" i="19"/>
  <c r="N19" i="19"/>
  <c r="D20" i="19"/>
  <c r="F20" i="19"/>
  <c r="H20" i="19"/>
  <c r="J20" i="19"/>
  <c r="L20" i="19"/>
  <c r="O20" i="19"/>
  <c r="N23" i="19"/>
  <c r="D24" i="19"/>
  <c r="F24" i="19"/>
  <c r="H24" i="19"/>
  <c r="J24" i="19"/>
  <c r="L24" i="19"/>
  <c r="N27" i="19"/>
  <c r="D28" i="19"/>
  <c r="F28" i="19"/>
  <c r="H28" i="19"/>
  <c r="J28" i="19"/>
  <c r="L28" i="19"/>
  <c r="O28" i="19"/>
  <c r="N31" i="19"/>
  <c r="D32" i="19"/>
  <c r="F32" i="19"/>
  <c r="H32" i="19"/>
  <c r="J32" i="19"/>
  <c r="L32" i="19"/>
  <c r="O32" i="19"/>
  <c r="L35" i="19"/>
  <c r="N35" i="19"/>
  <c r="D36" i="19"/>
  <c r="F36" i="19"/>
  <c r="H36" i="19"/>
  <c r="J36" i="19"/>
  <c r="L36" i="19"/>
  <c r="O36" i="19"/>
  <c r="D39" i="19"/>
  <c r="F39" i="19"/>
  <c r="H39" i="19"/>
  <c r="J39" i="19"/>
  <c r="L39" i="19"/>
  <c r="N39" i="19"/>
  <c r="O39" i="19"/>
  <c r="D40" i="19"/>
  <c r="F40" i="19"/>
  <c r="H40" i="19"/>
  <c r="J40" i="19"/>
  <c r="L40" i="19"/>
  <c r="N14" i="8"/>
  <c r="D15" i="8"/>
  <c r="F15" i="8"/>
  <c r="L15" i="8"/>
  <c r="F19" i="8"/>
  <c r="N19" i="8"/>
  <c r="D20" i="8"/>
  <c r="F20" i="8"/>
  <c r="H20" i="8"/>
  <c r="J20" i="8"/>
  <c r="L20" i="8"/>
  <c r="N23" i="8"/>
  <c r="D24" i="8"/>
  <c r="F24" i="8"/>
  <c r="H24" i="8"/>
  <c r="J24" i="8"/>
  <c r="L24" i="8"/>
  <c r="L27" i="8"/>
  <c r="N27" i="8"/>
  <c r="D28" i="8"/>
  <c r="F28" i="8"/>
  <c r="H28" i="8"/>
  <c r="J28" i="8"/>
  <c r="L28" i="8"/>
  <c r="N31" i="8"/>
  <c r="D32" i="8"/>
  <c r="F32" i="8"/>
  <c r="H32" i="8"/>
  <c r="J32" i="8"/>
  <c r="L32" i="8"/>
  <c r="N35" i="8"/>
  <c r="D36" i="8"/>
  <c r="F36" i="8"/>
  <c r="H36" i="8"/>
  <c r="J36" i="8"/>
  <c r="L36" i="8"/>
  <c r="D39" i="8"/>
  <c r="F39" i="8"/>
  <c r="H39" i="8"/>
  <c r="J39" i="8"/>
  <c r="L39" i="8"/>
  <c r="N39" i="8"/>
  <c r="D40" i="8"/>
  <c r="F40" i="8"/>
  <c r="H40" i="8"/>
  <c r="J40" i="8"/>
  <c r="L40" i="8"/>
  <c r="L14" i="20"/>
  <c r="N14" i="20"/>
  <c r="D15" i="20"/>
  <c r="F15" i="20"/>
  <c r="L15" i="20"/>
  <c r="L19" i="20"/>
  <c r="N19" i="20"/>
  <c r="D20" i="20"/>
  <c r="F20" i="20"/>
  <c r="H20" i="20"/>
  <c r="J20" i="20"/>
  <c r="L20" i="20"/>
  <c r="N23" i="20"/>
  <c r="D24" i="20"/>
  <c r="F24" i="20"/>
  <c r="H24" i="20"/>
  <c r="J24" i="20"/>
  <c r="L24" i="20"/>
  <c r="L27" i="20"/>
  <c r="N27" i="20"/>
  <c r="D28" i="20"/>
  <c r="F28" i="20"/>
  <c r="H28" i="20"/>
  <c r="J28" i="20"/>
  <c r="L28" i="20"/>
  <c r="O28" i="20"/>
  <c r="N31" i="20"/>
  <c r="D32" i="20"/>
  <c r="F32" i="20"/>
  <c r="H32" i="20"/>
  <c r="J32" i="20"/>
  <c r="L32" i="20"/>
  <c r="O32" i="20"/>
  <c r="L35" i="20"/>
  <c r="N35" i="20"/>
  <c r="D36" i="20"/>
  <c r="F36" i="20"/>
  <c r="H36" i="20"/>
  <c r="J36" i="20"/>
  <c r="L36" i="20"/>
  <c r="D39" i="20"/>
  <c r="F39" i="20"/>
  <c r="H39" i="20"/>
  <c r="J39" i="20"/>
  <c r="L39" i="20"/>
  <c r="N39" i="20"/>
  <c r="O39" i="20"/>
  <c r="D40" i="20"/>
  <c r="F40" i="20"/>
  <c r="H40" i="20"/>
  <c r="J40" i="20"/>
  <c r="L40" i="20"/>
  <c r="N14" i="9"/>
  <c r="D15" i="9"/>
  <c r="F15" i="9"/>
  <c r="L15" i="9"/>
  <c r="N19" i="9"/>
  <c r="D20" i="9"/>
  <c r="F20" i="9"/>
  <c r="H20" i="9"/>
  <c r="J20" i="9"/>
  <c r="L20" i="9"/>
  <c r="N23" i="9"/>
  <c r="D24" i="9"/>
  <c r="F24" i="9"/>
  <c r="H24" i="9"/>
  <c r="J24" i="9"/>
  <c r="L24" i="9"/>
  <c r="N27" i="9"/>
  <c r="D28" i="9"/>
  <c r="F28" i="9"/>
  <c r="H28" i="9"/>
  <c r="J28" i="9"/>
  <c r="L28" i="9"/>
  <c r="N31" i="9"/>
  <c r="D32" i="9"/>
  <c r="F32" i="9"/>
  <c r="H32" i="9"/>
  <c r="J32" i="9"/>
  <c r="L32" i="9"/>
  <c r="N35" i="9"/>
  <c r="D36" i="9"/>
  <c r="F36" i="9"/>
  <c r="H36" i="9"/>
  <c r="J36" i="9"/>
  <c r="L36" i="9"/>
  <c r="D39" i="9"/>
  <c r="F39" i="9"/>
  <c r="H39" i="9"/>
  <c r="J39" i="9"/>
  <c r="L39" i="9"/>
  <c r="N39" i="9"/>
  <c r="D40" i="9"/>
  <c r="F40" i="9"/>
  <c r="H40" i="9"/>
  <c r="J40" i="9"/>
  <c r="L40" i="9"/>
  <c r="L14" i="21"/>
  <c r="N14" i="21"/>
  <c r="D15" i="21"/>
  <c r="F15" i="21"/>
  <c r="L15" i="21"/>
  <c r="L19" i="21"/>
  <c r="N19" i="21"/>
  <c r="D20" i="21"/>
  <c r="F20" i="21"/>
  <c r="H20" i="21"/>
  <c r="J20" i="21"/>
  <c r="L20" i="21"/>
  <c r="N23" i="21"/>
  <c r="D24" i="21"/>
  <c r="F24" i="21"/>
  <c r="H24" i="21"/>
  <c r="J24" i="21"/>
  <c r="L24" i="21"/>
  <c r="L27" i="21"/>
  <c r="N27" i="21"/>
  <c r="D28" i="21"/>
  <c r="F28" i="21"/>
  <c r="H28" i="21"/>
  <c r="J28" i="21"/>
  <c r="L28" i="21"/>
  <c r="N31" i="21"/>
  <c r="D32" i="21"/>
  <c r="F32" i="21"/>
  <c r="H32" i="21"/>
  <c r="J32" i="21"/>
  <c r="L32" i="21"/>
  <c r="N35" i="21"/>
  <c r="D36" i="21"/>
  <c r="F36" i="21"/>
  <c r="H36" i="21"/>
  <c r="J36" i="21"/>
  <c r="L36" i="21"/>
  <c r="O36" i="21"/>
  <c r="D39" i="21"/>
  <c r="F39" i="21"/>
  <c r="H39" i="21"/>
  <c r="J39" i="21"/>
  <c r="L39" i="21"/>
  <c r="N39" i="21"/>
  <c r="O39" i="21"/>
  <c r="D40" i="21"/>
  <c r="F40" i="21"/>
  <c r="H40" i="21"/>
  <c r="J40" i="21"/>
  <c r="L40" i="21"/>
  <c r="N14" i="10"/>
  <c r="D15" i="10"/>
  <c r="F15" i="10"/>
  <c r="L15" i="10"/>
  <c r="N19" i="10"/>
  <c r="D20" i="10"/>
  <c r="F20" i="10"/>
  <c r="H20" i="10"/>
  <c r="J20" i="10"/>
  <c r="L20" i="10"/>
  <c r="O20" i="10"/>
  <c r="N23" i="10"/>
  <c r="D24" i="10"/>
  <c r="F24" i="10"/>
  <c r="H24" i="10"/>
  <c r="J24" i="10"/>
  <c r="L24" i="10"/>
  <c r="N27" i="10"/>
  <c r="D28" i="10"/>
  <c r="F28" i="10"/>
  <c r="H28" i="10"/>
  <c r="J28" i="10"/>
  <c r="L28" i="10"/>
  <c r="N31" i="10"/>
  <c r="D32" i="10"/>
  <c r="F32" i="10"/>
  <c r="H32" i="10"/>
  <c r="J32" i="10"/>
  <c r="L32" i="10"/>
  <c r="O32" i="10"/>
  <c r="N35" i="10"/>
  <c r="D36" i="10"/>
  <c r="F36" i="10"/>
  <c r="H36" i="10"/>
  <c r="J36" i="10"/>
  <c r="L36" i="10"/>
  <c r="D39" i="10"/>
  <c r="F39" i="10"/>
  <c r="H39" i="10"/>
  <c r="J39" i="10"/>
  <c r="L39" i="10"/>
  <c r="N39" i="10"/>
  <c r="D40" i="10"/>
  <c r="F40" i="10"/>
  <c r="H40" i="10"/>
  <c r="J40" i="10"/>
  <c r="L40" i="10"/>
  <c r="L14" i="22"/>
  <c r="N14" i="22"/>
  <c r="D15" i="22"/>
  <c r="F15" i="22"/>
  <c r="L15" i="22"/>
  <c r="N19" i="22"/>
  <c r="D20" i="22"/>
  <c r="F20" i="22"/>
  <c r="H20" i="22"/>
  <c r="J20" i="22"/>
  <c r="L20" i="22"/>
  <c r="O20" i="22"/>
  <c r="N23" i="22"/>
  <c r="D24" i="22"/>
  <c r="F24" i="22"/>
  <c r="H24" i="22"/>
  <c r="J24" i="22"/>
  <c r="L24" i="22"/>
  <c r="L27" i="22"/>
  <c r="N27" i="22"/>
  <c r="D28" i="22"/>
  <c r="F28" i="22"/>
  <c r="H28" i="22"/>
  <c r="J28" i="22"/>
  <c r="L28" i="22"/>
  <c r="N31" i="22"/>
  <c r="D32" i="22"/>
  <c r="F32" i="22"/>
  <c r="H32" i="22"/>
  <c r="J32" i="22"/>
  <c r="L32" i="22"/>
  <c r="L35" i="22"/>
  <c r="N35" i="22"/>
  <c r="D36" i="22"/>
  <c r="F36" i="22"/>
  <c r="H36" i="22"/>
  <c r="J36" i="22"/>
  <c r="L36" i="22"/>
  <c r="O36" i="22"/>
  <c r="D39" i="22"/>
  <c r="F39" i="22"/>
  <c r="H39" i="22"/>
  <c r="J39" i="22"/>
  <c r="L39" i="22"/>
  <c r="N39" i="22"/>
  <c r="O39" i="22"/>
  <c r="D40" i="22"/>
  <c r="F40" i="22"/>
  <c r="H40" i="22"/>
  <c r="J40" i="22"/>
  <c r="L40" i="22"/>
  <c r="L14" i="11"/>
  <c r="N14" i="11"/>
  <c r="D15" i="11"/>
  <c r="F15" i="11"/>
  <c r="L15" i="11"/>
  <c r="N19" i="11"/>
  <c r="D20" i="11"/>
  <c r="F20" i="11"/>
  <c r="H20" i="11"/>
  <c r="J20" i="11"/>
  <c r="L20" i="11"/>
  <c r="N23" i="11"/>
  <c r="D24" i="11"/>
  <c r="F24" i="11"/>
  <c r="H24" i="11"/>
  <c r="J24" i="11"/>
  <c r="L24" i="11"/>
  <c r="D27" i="11"/>
  <c r="N27" i="11"/>
  <c r="D28" i="11"/>
  <c r="F28" i="11"/>
  <c r="H28" i="11"/>
  <c r="J28" i="11"/>
  <c r="L28" i="11"/>
  <c r="N31" i="11"/>
  <c r="D32" i="11"/>
  <c r="F32" i="11"/>
  <c r="H32" i="11"/>
  <c r="J32" i="11"/>
  <c r="L32" i="11"/>
  <c r="L35" i="11"/>
  <c r="N35" i="11"/>
  <c r="D36" i="11"/>
  <c r="F36" i="11"/>
  <c r="H36" i="11"/>
  <c r="J36" i="11"/>
  <c r="L36" i="11"/>
  <c r="D39" i="11"/>
  <c r="F39" i="11"/>
  <c r="H39" i="11"/>
  <c r="J39" i="11"/>
  <c r="L39" i="11"/>
  <c r="N39" i="11"/>
  <c r="D40" i="11"/>
  <c r="F40" i="11"/>
  <c r="H40" i="11"/>
  <c r="J40" i="11"/>
  <c r="L40" i="11"/>
  <c r="L14" i="23"/>
  <c r="N14" i="23"/>
  <c r="D15" i="23"/>
  <c r="F15" i="23"/>
  <c r="L15" i="23"/>
  <c r="N19" i="23"/>
  <c r="D20" i="23"/>
  <c r="F20" i="23"/>
  <c r="H20" i="23"/>
  <c r="J20" i="23"/>
  <c r="L20" i="23"/>
  <c r="O20" i="23"/>
  <c r="N23" i="23"/>
  <c r="N27" i="23"/>
  <c r="D28" i="23"/>
  <c r="F28" i="23"/>
  <c r="H28" i="23"/>
  <c r="J28" i="23"/>
  <c r="L28" i="23"/>
  <c r="N31" i="23"/>
  <c r="D32" i="23"/>
  <c r="F32" i="23"/>
  <c r="H32" i="23"/>
  <c r="J32" i="23"/>
  <c r="L32" i="23"/>
  <c r="N35" i="23"/>
  <c r="D36" i="23"/>
  <c r="F36" i="23"/>
  <c r="H36" i="23"/>
  <c r="J36" i="23"/>
  <c r="L36" i="23"/>
  <c r="D39" i="23"/>
  <c r="F39" i="23"/>
  <c r="H39" i="23"/>
  <c r="J39" i="23"/>
  <c r="L39" i="23"/>
  <c r="N39" i="23"/>
  <c r="O39" i="23"/>
  <c r="D40" i="23"/>
  <c r="F40" i="23"/>
  <c r="H40" i="23"/>
  <c r="J40" i="23"/>
  <c r="L40" i="23"/>
  <c r="D14" i="12"/>
  <c r="F14" i="12"/>
  <c r="L14" i="12"/>
  <c r="N14" i="12"/>
  <c r="D15" i="12"/>
  <c r="F15" i="12"/>
  <c r="L15" i="12"/>
  <c r="O15" i="12"/>
  <c r="L19" i="12"/>
  <c r="N19" i="12"/>
  <c r="D20" i="12"/>
  <c r="F20" i="12"/>
  <c r="H20" i="12"/>
  <c r="J20" i="12"/>
  <c r="L20" i="12"/>
  <c r="O20" i="12"/>
  <c r="N23" i="12"/>
  <c r="D24" i="12"/>
  <c r="F24" i="12"/>
  <c r="H24" i="12"/>
  <c r="J24" i="12"/>
  <c r="L24" i="12"/>
  <c r="D27" i="12"/>
  <c r="N27" i="12"/>
  <c r="D28" i="12"/>
  <c r="F28" i="12"/>
  <c r="H28" i="12"/>
  <c r="J28" i="12"/>
  <c r="L28" i="12"/>
  <c r="O28" i="12"/>
  <c r="L31" i="12"/>
  <c r="N31" i="12"/>
  <c r="D32" i="12"/>
  <c r="F32" i="12"/>
  <c r="H32" i="12"/>
  <c r="J32" i="12"/>
  <c r="L32" i="12"/>
  <c r="O32" i="12"/>
  <c r="N35" i="12"/>
  <c r="D36" i="12"/>
  <c r="F36" i="12"/>
  <c r="H36" i="12"/>
  <c r="J36" i="12"/>
  <c r="L36" i="12"/>
  <c r="O36" i="12"/>
  <c r="D39" i="12"/>
  <c r="F39" i="12"/>
  <c r="H39" i="12"/>
  <c r="J39" i="12"/>
  <c r="L39" i="12"/>
  <c r="N39" i="12"/>
  <c r="D40" i="12"/>
  <c r="F40" i="12"/>
  <c r="H40" i="12"/>
  <c r="J40" i="12"/>
  <c r="L40" i="12"/>
  <c r="N14" i="24"/>
  <c r="D15" i="24"/>
  <c r="F15" i="24"/>
  <c r="L15" i="24"/>
  <c r="N19" i="24"/>
  <c r="D20" i="24"/>
  <c r="F20" i="24"/>
  <c r="H20" i="24"/>
  <c r="J20" i="24"/>
  <c r="L20" i="24"/>
  <c r="N23" i="24"/>
  <c r="L27" i="24"/>
  <c r="N27" i="24"/>
  <c r="D28" i="24"/>
  <c r="F28" i="24"/>
  <c r="H28" i="24"/>
  <c r="J28" i="24"/>
  <c r="L28" i="24"/>
  <c r="N31" i="24"/>
  <c r="D32" i="24"/>
  <c r="F32" i="24"/>
  <c r="H32" i="24"/>
  <c r="J32" i="24"/>
  <c r="L32" i="24"/>
  <c r="L35" i="24"/>
  <c r="N35" i="24"/>
  <c r="D36" i="24"/>
  <c r="F36" i="24"/>
  <c r="H36" i="24"/>
  <c r="J36" i="24"/>
  <c r="L36" i="24"/>
  <c r="O36" i="24"/>
  <c r="D39" i="24"/>
  <c r="F39" i="24"/>
  <c r="H39" i="24"/>
  <c r="J39" i="24"/>
  <c r="L39" i="24"/>
  <c r="N39" i="24"/>
  <c r="O39" i="24"/>
  <c r="D40" i="24"/>
  <c r="F40" i="24"/>
  <c r="H40" i="24"/>
  <c r="J40" i="24"/>
  <c r="L40" i="24"/>
  <c r="F14" i="13"/>
  <c r="L14" i="13"/>
  <c r="N14" i="13"/>
  <c r="D15" i="13"/>
  <c r="F15" i="13"/>
  <c r="L15" i="13"/>
  <c r="O15" i="13"/>
  <c r="L19" i="13"/>
  <c r="N19" i="13"/>
  <c r="D20" i="13"/>
  <c r="F20" i="13"/>
  <c r="H20" i="13"/>
  <c r="J20" i="13"/>
  <c r="L20" i="13"/>
  <c r="N23" i="13"/>
  <c r="D24" i="13"/>
  <c r="F24" i="13"/>
  <c r="H24" i="13"/>
  <c r="J24" i="13"/>
  <c r="L24" i="13"/>
  <c r="D27" i="13"/>
  <c r="N27" i="13"/>
  <c r="D28" i="13"/>
  <c r="F28" i="13"/>
  <c r="H28" i="13"/>
  <c r="J28" i="13"/>
  <c r="L28" i="13"/>
  <c r="N31" i="13"/>
  <c r="D32" i="13"/>
  <c r="F32" i="13"/>
  <c r="H32" i="13"/>
  <c r="J32" i="13"/>
  <c r="L32" i="13"/>
  <c r="L35" i="13"/>
  <c r="N35" i="13"/>
  <c r="D36" i="13"/>
  <c r="F36" i="13"/>
  <c r="H36" i="13"/>
  <c r="J36" i="13"/>
  <c r="L36" i="13"/>
  <c r="D39" i="13"/>
  <c r="F39" i="13"/>
  <c r="H39" i="13"/>
  <c r="J39" i="13"/>
  <c r="L39" i="13"/>
  <c r="N39" i="13"/>
  <c r="D40" i="13"/>
  <c r="F40" i="13"/>
  <c r="H40" i="13"/>
  <c r="J40" i="13"/>
  <c r="L40" i="13"/>
  <c r="N14" i="25"/>
  <c r="D15" i="25"/>
  <c r="F15" i="25"/>
  <c r="L15" i="25"/>
  <c r="N19" i="25"/>
  <c r="D20" i="25"/>
  <c r="F20" i="25"/>
  <c r="H20" i="25"/>
  <c r="J20" i="25"/>
  <c r="L20" i="25"/>
  <c r="L23" i="25"/>
  <c r="N23" i="25"/>
  <c r="D24" i="25"/>
  <c r="F24" i="25"/>
  <c r="H24" i="25"/>
  <c r="J24" i="25"/>
  <c r="L24" i="25"/>
  <c r="N27" i="25"/>
  <c r="D28" i="25"/>
  <c r="F28" i="25"/>
  <c r="H28" i="25"/>
  <c r="J28" i="25"/>
  <c r="L28" i="25"/>
  <c r="L31" i="25"/>
  <c r="N31" i="25"/>
  <c r="D32" i="25"/>
  <c r="F32" i="25"/>
  <c r="H32" i="25"/>
  <c r="J32" i="25"/>
  <c r="L32" i="25"/>
  <c r="O32" i="25"/>
  <c r="D35" i="25"/>
  <c r="F35" i="25"/>
  <c r="H35" i="25"/>
  <c r="J35" i="25"/>
  <c r="L35" i="25"/>
  <c r="N35" i="25"/>
  <c r="O35" i="25"/>
  <c r="D36" i="25"/>
  <c r="F36" i="25"/>
  <c r="H36" i="25"/>
  <c r="J36" i="25"/>
  <c r="L36" i="25"/>
  <c r="F14" i="14"/>
  <c r="H14" i="14"/>
  <c r="J14" i="14"/>
  <c r="L14" i="14"/>
  <c r="N14" i="14"/>
  <c r="D15" i="14"/>
  <c r="F15" i="14"/>
  <c r="L15" i="14"/>
  <c r="O15" i="14"/>
  <c r="L19" i="14"/>
  <c r="N19" i="14"/>
  <c r="D20" i="14"/>
  <c r="F20" i="14"/>
  <c r="H20" i="14"/>
  <c r="J20" i="14"/>
  <c r="L20" i="14"/>
  <c r="N23" i="14"/>
  <c r="D24" i="14"/>
  <c r="F24" i="14"/>
  <c r="H24" i="14"/>
  <c r="J24" i="14"/>
  <c r="L24" i="14"/>
  <c r="D27" i="14"/>
  <c r="N27" i="14"/>
  <c r="D28" i="14"/>
  <c r="F28" i="14"/>
  <c r="H28" i="14"/>
  <c r="J28" i="14"/>
  <c r="L28" i="14"/>
  <c r="L31" i="14"/>
  <c r="N31" i="14"/>
  <c r="D32" i="14"/>
  <c r="F32" i="14"/>
  <c r="H32" i="14"/>
  <c r="J32" i="14"/>
  <c r="L32" i="14"/>
  <c r="O32" i="14"/>
  <c r="L35" i="14"/>
  <c r="N35" i="14"/>
  <c r="D36" i="14"/>
  <c r="F36" i="14"/>
  <c r="H36" i="14"/>
  <c r="J36" i="14"/>
  <c r="L36" i="14"/>
  <c r="D39" i="14"/>
  <c r="F39" i="14"/>
  <c r="H39" i="14"/>
  <c r="J39" i="14"/>
  <c r="L39" i="14"/>
  <c r="N39" i="14"/>
  <c r="D40" i="14"/>
  <c r="F40" i="14"/>
  <c r="H40" i="14"/>
  <c r="J40" i="14"/>
  <c r="L40" i="14"/>
  <c r="L14" i="26"/>
  <c r="N14" i="26"/>
  <c r="D15" i="26"/>
  <c r="F15" i="26"/>
  <c r="L15" i="26"/>
  <c r="N19" i="26"/>
  <c r="D20" i="26"/>
  <c r="F20" i="26"/>
  <c r="H20" i="26"/>
  <c r="J20" i="26"/>
  <c r="L20" i="26"/>
  <c r="O20" i="26"/>
  <c r="L23" i="26"/>
  <c r="N23" i="26"/>
  <c r="D24" i="26"/>
  <c r="F24" i="26"/>
  <c r="H24" i="26"/>
  <c r="J24" i="26"/>
  <c r="L24" i="26"/>
  <c r="N27" i="26"/>
  <c r="D28" i="26"/>
  <c r="F28" i="26"/>
  <c r="H28" i="26"/>
  <c r="J28" i="26"/>
  <c r="L28" i="26"/>
  <c r="L31" i="26"/>
  <c r="N31" i="26"/>
  <c r="D32" i="26"/>
  <c r="F32" i="26"/>
  <c r="H32" i="26"/>
  <c r="J32" i="26"/>
  <c r="L32" i="26"/>
  <c r="O32" i="26"/>
  <c r="D35" i="26"/>
  <c r="F35" i="26"/>
  <c r="H35" i="26"/>
  <c r="J35" i="26"/>
  <c r="L35" i="26"/>
  <c r="N35" i="26"/>
  <c r="O35" i="26"/>
  <c r="D36" i="26"/>
  <c r="F36" i="26"/>
  <c r="H36" i="26"/>
  <c r="J36" i="26"/>
  <c r="L36" i="26"/>
  <c r="L14" i="15"/>
  <c r="N14" i="15"/>
  <c r="D15" i="15"/>
  <c r="F15" i="15"/>
  <c r="L15" i="15"/>
  <c r="O15" i="15"/>
  <c r="N19" i="15"/>
  <c r="D20" i="15"/>
  <c r="F20" i="15"/>
  <c r="H20" i="15"/>
  <c r="J20" i="15"/>
  <c r="L20" i="15"/>
  <c r="O20" i="15"/>
  <c r="N23" i="15"/>
  <c r="D24" i="15"/>
  <c r="F24" i="15"/>
  <c r="H24" i="15"/>
  <c r="J24" i="15"/>
  <c r="L24" i="15"/>
  <c r="N27" i="15"/>
  <c r="D28" i="15"/>
  <c r="F28" i="15"/>
  <c r="H28" i="15"/>
  <c r="J28" i="15"/>
  <c r="L28" i="15"/>
  <c r="N31" i="15"/>
  <c r="D32" i="15"/>
  <c r="F32" i="15"/>
  <c r="H32" i="15"/>
  <c r="J32" i="15"/>
  <c r="L32" i="15"/>
  <c r="O32" i="15"/>
  <c r="L35" i="15"/>
  <c r="N35" i="15"/>
  <c r="D36" i="15"/>
  <c r="F36" i="15"/>
  <c r="H36" i="15"/>
  <c r="J36" i="15"/>
  <c r="L36" i="15"/>
  <c r="D39" i="15"/>
  <c r="F39" i="15"/>
  <c r="H39" i="15"/>
  <c r="J39" i="15"/>
  <c r="L39" i="15"/>
  <c r="N39" i="15"/>
  <c r="D40" i="15"/>
  <c r="F40" i="15"/>
  <c r="H40" i="15"/>
  <c r="J40" i="15"/>
  <c r="L40" i="15"/>
  <c r="L14" i="1"/>
  <c r="N14" i="1"/>
  <c r="D15" i="1"/>
  <c r="F15" i="1"/>
  <c r="L15" i="1"/>
  <c r="L19" i="1"/>
  <c r="N19" i="1"/>
  <c r="D20" i="1"/>
  <c r="F20" i="1"/>
  <c r="H20" i="1"/>
  <c r="J20" i="1"/>
  <c r="L20" i="1"/>
  <c r="N23" i="1"/>
  <c r="D24" i="1"/>
  <c r="F24" i="1"/>
  <c r="H24" i="1"/>
  <c r="J24" i="1"/>
  <c r="L24" i="1"/>
  <c r="L27" i="1"/>
  <c r="N27" i="1"/>
  <c r="D28" i="1"/>
  <c r="F28" i="1"/>
  <c r="H28" i="1"/>
  <c r="J28" i="1"/>
  <c r="L28" i="1"/>
  <c r="N31" i="1"/>
  <c r="D32" i="1"/>
  <c r="F32" i="1"/>
  <c r="H32" i="1"/>
  <c r="J32" i="1"/>
  <c r="L32" i="1"/>
  <c r="N35" i="1"/>
  <c r="D36" i="1"/>
  <c r="F36" i="1"/>
  <c r="H36" i="1"/>
  <c r="J36" i="1"/>
  <c r="L36" i="1"/>
  <c r="D39" i="1"/>
  <c r="F39" i="1"/>
  <c r="H39" i="1"/>
  <c r="J39" i="1"/>
  <c r="L39" i="1"/>
  <c r="N39" i="1"/>
  <c r="D40" i="1"/>
  <c r="F40" i="1"/>
  <c r="H40" i="1"/>
  <c r="J40" i="1"/>
  <c r="L40" i="1"/>
  <c r="L14" i="16"/>
  <c r="N14" i="16"/>
  <c r="D15" i="16"/>
  <c r="F15" i="16"/>
  <c r="L15" i="16"/>
  <c r="O15" i="16"/>
  <c r="L19" i="16"/>
  <c r="N19" i="16"/>
  <c r="D20" i="16"/>
  <c r="F20" i="16"/>
  <c r="H20" i="16"/>
  <c r="J20" i="16"/>
  <c r="L20" i="16"/>
  <c r="O20" i="16"/>
  <c r="N23" i="16"/>
  <c r="D24" i="16"/>
  <c r="F24" i="16"/>
  <c r="H24" i="16"/>
  <c r="J24" i="16"/>
  <c r="L24" i="16"/>
  <c r="L27" i="16"/>
  <c r="N27" i="16"/>
  <c r="D28" i="16"/>
  <c r="F28" i="16"/>
  <c r="H28" i="16"/>
  <c r="J28" i="16"/>
  <c r="L28" i="16"/>
  <c r="L31" i="16"/>
  <c r="N31" i="16"/>
  <c r="D32" i="16"/>
  <c r="F32" i="16"/>
  <c r="H32" i="16"/>
  <c r="J32" i="16"/>
  <c r="L32" i="16"/>
  <c r="O32" i="16"/>
  <c r="L35" i="16"/>
  <c r="N35" i="16"/>
  <c r="D36" i="16"/>
  <c r="F36" i="16"/>
  <c r="H36" i="16"/>
  <c r="J36" i="16"/>
  <c r="L36" i="16"/>
  <c r="D39" i="16"/>
  <c r="F39" i="16"/>
  <c r="H39" i="16"/>
  <c r="J39" i="16"/>
  <c r="L39" i="16"/>
  <c r="N39" i="16"/>
  <c r="D40" i="16"/>
  <c r="F40" i="16"/>
  <c r="H40" i="16"/>
  <c r="J40" i="16"/>
  <c r="L40" i="16"/>
  <c r="L14" i="4"/>
  <c r="N14" i="4"/>
  <c r="D15" i="4"/>
  <c r="F15" i="4"/>
  <c r="L15" i="4"/>
  <c r="L19" i="4"/>
  <c r="N19" i="4"/>
  <c r="D20" i="4"/>
  <c r="F20" i="4"/>
  <c r="H20" i="4"/>
  <c r="J20" i="4"/>
  <c r="L20" i="4"/>
  <c r="N23" i="4"/>
  <c r="D24" i="4"/>
  <c r="F24" i="4"/>
  <c r="H24" i="4"/>
  <c r="J24" i="4"/>
  <c r="L24" i="4"/>
  <c r="L27" i="4"/>
  <c r="N27" i="4"/>
  <c r="D28" i="4"/>
  <c r="F28" i="4"/>
  <c r="H28" i="4"/>
  <c r="J28" i="4"/>
  <c r="L28" i="4"/>
  <c r="N31" i="4"/>
  <c r="D32" i="4"/>
  <c r="F32" i="4"/>
  <c r="H32" i="4"/>
  <c r="J32" i="4"/>
  <c r="L32" i="4"/>
  <c r="N35" i="4"/>
  <c r="D36" i="4"/>
  <c r="F36" i="4"/>
  <c r="H36" i="4"/>
  <c r="J36" i="4"/>
  <c r="L36" i="4"/>
  <c r="D39" i="4"/>
  <c r="F39" i="4"/>
  <c r="H39" i="4"/>
  <c r="J39" i="4"/>
  <c r="L39" i="4"/>
  <c r="N39" i="4"/>
  <c r="D40" i="4"/>
  <c r="F40" i="4"/>
  <c r="H40" i="4"/>
  <c r="J40" i="4"/>
  <c r="L40" i="4"/>
</calcChain>
</file>

<file path=xl/sharedStrings.xml><?xml version="1.0" encoding="utf-8"?>
<sst xmlns="http://schemas.openxmlformats.org/spreadsheetml/2006/main" count="845" uniqueCount="63">
  <si>
    <t>CURRENT</t>
  </si>
  <si>
    <t>1-30</t>
  </si>
  <si>
    <t>31-60</t>
  </si>
  <si>
    <t>61-90</t>
  </si>
  <si>
    <t>OVER 90</t>
  </si>
  <si>
    <t>TOTAL</t>
  </si>
  <si>
    <t>COMMENTS</t>
  </si>
  <si>
    <t>A/R</t>
  </si>
  <si>
    <t>PER CENT</t>
  </si>
  <si>
    <t>POWER PLANTS  ACCOUNTS RECEIVABLE AGING</t>
  </si>
  <si>
    <t>AS OF NOVEMBER 30, 1999</t>
  </si>
  <si>
    <t>SMITH ENRON</t>
  </si>
  <si>
    <t>PUERTO QUETZAL</t>
  </si>
  <si>
    <t>HAINAN MEINAN</t>
  </si>
  <si>
    <t>TOTAL INCLUDES PAYMENTS FOR INTEREST</t>
  </si>
  <si>
    <t>DABHOL POWER CO</t>
  </si>
  <si>
    <t>PAYMENTS TOTALING $227,563.27</t>
  </si>
  <si>
    <t>CAME IN ON 12-2 AND 12-3</t>
  </si>
  <si>
    <t>EMPRESA ENERGETICA</t>
  </si>
  <si>
    <t>EGEMINSA</t>
  </si>
  <si>
    <t>TOTALS</t>
  </si>
  <si>
    <t>WE WILL BE WIRING TO EI EQUALS $2,410,727.74</t>
  </si>
  <si>
    <t>ALSO $6,513,871.14 WAS WIRED ON 12-1</t>
  </si>
  <si>
    <t>AS OF DECEMBER 31, 1999</t>
  </si>
  <si>
    <t>LAST PAYMENT 12/31/99</t>
  </si>
  <si>
    <t>LAST PAYMENT 12/30/99</t>
  </si>
  <si>
    <t>LAST PAYMENT 12/24/99</t>
  </si>
  <si>
    <t>LAST PAYMENT 12/6/99</t>
  </si>
  <si>
    <t>LAST PAYMENT 12/23/99</t>
  </si>
  <si>
    <t>AS OF JANUARY 31, 2000</t>
  </si>
  <si>
    <t>LAST PAYMENT 1/25/00</t>
  </si>
  <si>
    <t>LAST PAYMENT 1/31/00</t>
  </si>
  <si>
    <t>JAN. TOTAL $1,558,489.31</t>
  </si>
  <si>
    <t>AS OF FEBRUARY 29, 2000</t>
  </si>
  <si>
    <t>LAST PAYMENT 2/28/00</t>
  </si>
  <si>
    <t>LAST PAYMENT 2/22/00</t>
  </si>
  <si>
    <t>LAST PAYMENT 2/8/00</t>
  </si>
  <si>
    <t>LAST PAYMENT 2/24/00</t>
  </si>
  <si>
    <t>AS OF MARCH 31, 2000</t>
  </si>
  <si>
    <t>THIS MONTH TOTAL PAYMENTS</t>
  </si>
  <si>
    <t>LAST PAYMENT 3/13/00</t>
  </si>
  <si>
    <t>LAST PAYMENT 3/9/00</t>
  </si>
  <si>
    <t>LAST PAYMENT 3/22/00</t>
  </si>
  <si>
    <t>AS OF APRIL 30, 2000</t>
  </si>
  <si>
    <t>AS OF MAY 31, 2000</t>
  </si>
  <si>
    <t>AS OF JUNE 30, 2000</t>
  </si>
  <si>
    <t>AS OF AUGUST 31, 2000</t>
  </si>
  <si>
    <t>AS OF JULY 31, 2000</t>
  </si>
  <si>
    <t>AS OF SEPTEMBER 30, 2000</t>
  </si>
  <si>
    <t>AS OF OCTOBER 31, 2000</t>
  </si>
  <si>
    <t>AS OF NOVEMBER 30, 2000</t>
  </si>
  <si>
    <t>AS OF DECEMBER 31, 2000</t>
  </si>
  <si>
    <t>AS OF JANUARY 31, 2001</t>
  </si>
  <si>
    <t>AS OF FEBRUARY 28, 2001</t>
  </si>
  <si>
    <t>AS OF MARCH 31 2001</t>
  </si>
  <si>
    <t>TOTAL RECEIPTS</t>
  </si>
  <si>
    <t>AS OF APRIL 30 2001</t>
  </si>
  <si>
    <t>AS OF MAY 31, 2001</t>
  </si>
  <si>
    <t>AS OF JUNE 30, 2001</t>
  </si>
  <si>
    <t>AS OF JULY 31, 2001</t>
  </si>
  <si>
    <t>AS OF AUGUST 31, 2001</t>
  </si>
  <si>
    <t>AS OF SEPTEMBER 30, 2001</t>
  </si>
  <si>
    <t>AS OF OCTOBER 31,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</si>
</sst>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5" x14ac:knownFonts="1">
    <font>
      <sz val="10"/>
      <name val="Arial"/>
    </font>
    <font>
      <sz val="12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40" fontId="1" fillId="0" borderId="0" xfId="0" applyNumberFormat="1" applyFont="1" applyAlignment="1">
      <alignment horizontal="center"/>
    </xf>
    <xf numFmtId="0" fontId="1" fillId="0" borderId="0" xfId="0" applyFont="1"/>
    <xf numFmtId="0" fontId="2" fillId="2" borderId="0" xfId="0" applyFont="1" applyFill="1" applyAlignment="1">
      <alignment horizontal="centerContinuous"/>
    </xf>
    <xf numFmtId="0" fontId="1" fillId="2" borderId="0" xfId="0" applyFont="1" applyFill="1" applyAlignment="1">
      <alignment horizontal="centerContinuous"/>
    </xf>
    <xf numFmtId="40" fontId="1" fillId="2" borderId="0" xfId="0" applyNumberFormat="1" applyFont="1" applyFill="1" applyAlignment="1">
      <alignment horizontal="centerContinuous"/>
    </xf>
    <xf numFmtId="0" fontId="3" fillId="0" borderId="1" xfId="0" applyFont="1" applyBorder="1" applyAlignment="1">
      <alignment horizontal="center"/>
    </xf>
    <xf numFmtId="16" fontId="3" fillId="0" borderId="1" xfId="0" quotePrefix="1" applyNumberFormat="1" applyFont="1" applyBorder="1" applyAlignment="1">
      <alignment horizontal="center"/>
    </xf>
    <xf numFmtId="0" fontId="3" fillId="0" borderId="1" xfId="0" quotePrefix="1" applyFont="1" applyBorder="1" applyAlignment="1">
      <alignment horizontal="center"/>
    </xf>
    <xf numFmtId="40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1" fillId="2" borderId="0" xfId="0" applyFont="1" applyFill="1" applyAlignment="1">
      <alignment horizontal="center"/>
    </xf>
    <xf numFmtId="40" fontId="1" fillId="2" borderId="0" xfId="0" applyNumberFormat="1" applyFont="1" applyFill="1" applyAlignment="1">
      <alignment horizontal="center"/>
    </xf>
    <xf numFmtId="0" fontId="1" fillId="2" borderId="0" xfId="0" applyFont="1" applyFill="1"/>
    <xf numFmtId="0" fontId="4" fillId="0" borderId="0" xfId="0" applyFont="1" applyAlignment="1">
      <alignment horizontal="center"/>
    </xf>
    <xf numFmtId="8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10" fontId="1" fillId="0" borderId="0" xfId="0" applyNumberFormat="1" applyFont="1" applyAlignment="1">
      <alignment horizontal="center"/>
    </xf>
    <xf numFmtId="0" fontId="1" fillId="0" borderId="0" xfId="0" applyFont="1" applyFill="1" applyAlignment="1">
      <alignment horizontal="center"/>
    </xf>
    <xf numFmtId="40" fontId="1" fillId="0" borderId="0" xfId="0" applyNumberFormat="1" applyFont="1" applyFill="1" applyAlignment="1">
      <alignment horizontal="center"/>
    </xf>
    <xf numFmtId="0" fontId="1" fillId="0" borderId="0" xfId="0" applyFont="1" applyFill="1"/>
    <xf numFmtId="8" fontId="4" fillId="0" borderId="0" xfId="0" applyNumberFormat="1" applyFont="1" applyAlignment="1">
      <alignment horizontal="center"/>
    </xf>
    <xf numFmtId="0" fontId="4" fillId="0" borderId="0" xfId="0" applyFont="1"/>
    <xf numFmtId="10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24577" name="Picture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57B30A69-0F47-6251-A5FF-20890D9EA0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24578" name="Picture 1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E982F3FD-C162-4BDD-5230-5B83FEE396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24579" name="Picture 1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9F6F492D-8172-F9D1-4A8B-1CA2ECB909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657225</xdr:colOff>
          <xdr:row>4</xdr:row>
          <xdr:rowOff>85725</xdr:rowOff>
        </xdr:from>
        <xdr:to>
          <xdr:col>0</xdr:col>
          <xdr:colOff>1800225</xdr:colOff>
          <xdr:row>10</xdr:row>
          <xdr:rowOff>104775</xdr:rowOff>
        </xdr:to>
        <xdr:sp macro="" textlink="">
          <xdr:nvSpPr>
            <xdr:cNvPr id="24580" name="Picture 1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650C171E-72A1-6837-15F0-EB8F7321AC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5361" name="Picture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951B558C-F625-B305-D8DF-E6688AAB75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5362" name="Picture 1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5D6E4E3B-E8D4-B6ED-A9A0-2F7FA46484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5363" name="Picture 1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5E507B97-33DA-0786-FF1C-FA85567F4D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657225</xdr:colOff>
          <xdr:row>4</xdr:row>
          <xdr:rowOff>133350</xdr:rowOff>
        </xdr:from>
        <xdr:to>
          <xdr:col>0</xdr:col>
          <xdr:colOff>1800225</xdr:colOff>
          <xdr:row>10</xdr:row>
          <xdr:rowOff>152400</xdr:rowOff>
        </xdr:to>
        <xdr:sp macro="" textlink="">
          <xdr:nvSpPr>
            <xdr:cNvPr id="15364" name="Picture 1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8A40E5B4-5706-EB70-55E6-19005395A8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4337" name="Picture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3A5487E0-1ADA-4357-B2D2-6D2F732D56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4338" name="Picture 1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63BB49A8-D674-AC79-F11B-D7198372FB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4339" name="Picture 1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B60AECD5-441E-02B9-77D3-DFC655A16E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657225</xdr:colOff>
          <xdr:row>4</xdr:row>
          <xdr:rowOff>133350</xdr:rowOff>
        </xdr:from>
        <xdr:to>
          <xdr:col>0</xdr:col>
          <xdr:colOff>1800225</xdr:colOff>
          <xdr:row>10</xdr:row>
          <xdr:rowOff>152400</xdr:rowOff>
        </xdr:to>
        <xdr:sp macro="" textlink="">
          <xdr:nvSpPr>
            <xdr:cNvPr id="14340" name="Picture 1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E48DCC3D-D6CA-628A-D102-91C5773D03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3313" name="Picture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191BE75A-3041-BE2D-1A10-0EB6D5C26A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3314" name="Picture 1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8F9E56D4-FEB6-D237-B650-C2F720A1D3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3315" name="Picture 1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91B6172B-AE29-8827-A7B9-96236FA3C1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704850</xdr:colOff>
          <xdr:row>4</xdr:row>
          <xdr:rowOff>142875</xdr:rowOff>
        </xdr:from>
        <xdr:to>
          <xdr:col>0</xdr:col>
          <xdr:colOff>1847850</xdr:colOff>
          <xdr:row>10</xdr:row>
          <xdr:rowOff>161925</xdr:rowOff>
        </xdr:to>
        <xdr:sp macro="" textlink="">
          <xdr:nvSpPr>
            <xdr:cNvPr id="13316" name="Picture 1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24427FB8-0C3E-310A-F434-CEFF4E54C2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2289" name="Picture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EF3733AD-B13D-5EDF-738B-0FD9301DA7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2290" name="Picture 1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60AF5ED1-C6B3-3B3A-7B54-E6C875671F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2291" name="Picture 1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1CAE72A9-D9D8-D098-1769-87A813EA2D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704850</xdr:colOff>
          <xdr:row>4</xdr:row>
          <xdr:rowOff>142875</xdr:rowOff>
        </xdr:from>
        <xdr:to>
          <xdr:col>0</xdr:col>
          <xdr:colOff>1847850</xdr:colOff>
          <xdr:row>10</xdr:row>
          <xdr:rowOff>161925</xdr:rowOff>
        </xdr:to>
        <xdr:sp macro="" textlink="">
          <xdr:nvSpPr>
            <xdr:cNvPr id="12292" name="Picture 1" hidden="1">
              <a:extLst>
                <a:ext uri="{63B3BB69-23CF-44E3-9099-C40C66FF867C}">
                  <a14:compatExt spid="_x0000_s12292"/>
                </a:ext>
                <a:ext uri="{FF2B5EF4-FFF2-40B4-BE49-F238E27FC236}">
                  <a16:creationId xmlns:a16="http://schemas.microsoft.com/office/drawing/2014/main" id="{86CEBDC8-1EC8-1AAE-E22B-72CA3C8E92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1265" name="Picture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86ED8135-925A-73DD-CB7E-34212D9D16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1266" name="Picture 1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3123855C-6325-B5BC-821C-0FCC83ED7B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1267" name="Picture 1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11ACEB43-0CDD-6EA4-7F8A-63AB4B44B9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704850</xdr:colOff>
          <xdr:row>4</xdr:row>
          <xdr:rowOff>142875</xdr:rowOff>
        </xdr:from>
        <xdr:to>
          <xdr:col>0</xdr:col>
          <xdr:colOff>1847850</xdr:colOff>
          <xdr:row>10</xdr:row>
          <xdr:rowOff>161925</xdr:rowOff>
        </xdr:to>
        <xdr:sp macro="" textlink="">
          <xdr:nvSpPr>
            <xdr:cNvPr id="11268" name="Picture 1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C8902021-42F7-DC51-C2A6-DF1F8CB404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0241" name="Picture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413FC558-E4AF-36B8-98E9-C391B1F3CA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0242" name="Picture 1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D552EF52-93F1-F927-11A1-2467F124C2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0243" name="Picture 1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23CF028F-404C-3E70-F5C7-34D7B69ADA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704850</xdr:colOff>
          <xdr:row>4</xdr:row>
          <xdr:rowOff>142875</xdr:rowOff>
        </xdr:from>
        <xdr:to>
          <xdr:col>0</xdr:col>
          <xdr:colOff>1847850</xdr:colOff>
          <xdr:row>10</xdr:row>
          <xdr:rowOff>161925</xdr:rowOff>
        </xdr:to>
        <xdr:sp macro="" textlink="">
          <xdr:nvSpPr>
            <xdr:cNvPr id="10244" name="Picture 1" hidden="1">
              <a:extLst>
                <a:ext uri="{63B3BB69-23CF-44E3-9099-C40C66FF867C}">
                  <a14:compatExt spid="_x0000_s10244"/>
                </a:ext>
                <a:ext uri="{FF2B5EF4-FFF2-40B4-BE49-F238E27FC236}">
                  <a16:creationId xmlns:a16="http://schemas.microsoft.com/office/drawing/2014/main" id="{FED862C6-005A-E1A0-8890-C5EA6E771F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9217" name="Picture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6C0C117E-2C53-64A3-66EE-A9556F538E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9218" name="Picture 1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2EB8BFE1-358E-607A-59E8-039D58E738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9219" name="Picture 1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6DAB67CF-AF7E-0D6B-D0D4-4E03897929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9220" name="Picture 1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4435E07A-0375-C82A-4893-B9593E714B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8193" name="Picture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1F7E92E0-119A-44BB-A567-9A38938865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8194" name="Picture 1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13D8936C-3635-F077-D3ED-F7D305021F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8195" name="Picture 1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A9849A26-14DC-D0BF-259C-87F5C02A64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8196" name="Picture 1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A7274C09-FF90-4DC1-8462-2985071E7E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7169" name="Picture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93A4E5CF-5BE7-99F4-02E6-F65919AF35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7170" name="Picture 1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7C48C597-299A-1D2B-239E-D9AD165C19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7171" name="Picture 1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EBB0C7B5-EE05-6AF0-FDE6-A9C2CE7339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7172" name="Picture 1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42113CE2-CE21-8A27-743E-2A5E11AE4D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6145" name="Picture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1DE76532-0DF8-DDC8-B88D-52209583FB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6146" name="Picture 1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691BF99E-95D8-09EB-FA09-AAC60C19DD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6147" name="Picture 1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FCB481F8-2CCF-CCBF-D31E-D44693F581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6148" name="Picture 1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E0BE7E1C-4F8E-990E-B2B6-25771414F4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23553" name="Picture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4AD2441D-AC89-B3CF-47A7-392980E8CB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23554" name="Picture 1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ADC4D975-1ACD-5DE4-F631-030DC42CF3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23555" name="Picture 1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1854E1F6-5F41-3346-03D1-E9A80C804C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657225</xdr:colOff>
          <xdr:row>4</xdr:row>
          <xdr:rowOff>85725</xdr:rowOff>
        </xdr:from>
        <xdr:to>
          <xdr:col>0</xdr:col>
          <xdr:colOff>1800225</xdr:colOff>
          <xdr:row>10</xdr:row>
          <xdr:rowOff>104775</xdr:rowOff>
        </xdr:to>
        <xdr:sp macro="" textlink="">
          <xdr:nvSpPr>
            <xdr:cNvPr id="23556" name="Picture 1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3FCC3794-81AA-514C-9D2E-FF4D056F77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5121" name="Picture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D4B9846C-E8FD-79F3-C280-4B790AE8B4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5122" name="Picture 1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897F4F16-84E7-A94C-A70E-3782EFBBF5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5123" name="Picture 1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E6FADE93-E62B-E607-ED90-F5E9AEFC25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5124" name="Picture 1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C4E9CAA4-180B-6B28-EC54-E48571969A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4097" name="Picture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856D738-73C9-D523-4673-976EEB3563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4098" name="Picture 1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255B4E4-1261-A01B-B68E-00AC6F2911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4099" name="Picture 1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8B9DC2D4-406F-455B-5551-581E2D7BF0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4100" name="Picture 1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1C113210-A431-DF5D-2DC7-561A5B1E76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3073" name="Picture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D2EC60DC-CA27-788F-485B-FFFE0BDC0D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3074" name="Picture 1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BFD75818-889F-4426-0D0D-029AEE81EB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2049" name="Picture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C1E8DE42-EB00-32E4-F104-1AB9DA0F28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2050" name="Picture 1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96B0F20E-79FC-2201-8E1D-F1F705630F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025" name="Picture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F10156A-61FF-9699-3BFB-4DDDD42FFD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026" name="Picture 1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7E225A28-4C11-69D5-43BE-5ECAE186F6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22529" name="Picture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8020BA63-E138-2F87-50BE-1CC1998644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22530" name="Picture 1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D89DB580-C720-8D1D-D2EA-7396DF4E2B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22531" name="Picture 1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BBBEC9AE-46C5-7BDD-C556-6665F55236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657225</xdr:colOff>
          <xdr:row>4</xdr:row>
          <xdr:rowOff>85725</xdr:rowOff>
        </xdr:from>
        <xdr:to>
          <xdr:col>0</xdr:col>
          <xdr:colOff>1800225</xdr:colOff>
          <xdr:row>10</xdr:row>
          <xdr:rowOff>104775</xdr:rowOff>
        </xdr:to>
        <xdr:sp macro="" textlink="">
          <xdr:nvSpPr>
            <xdr:cNvPr id="22532" name="Picture 1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EA555BE8-CB16-2BC2-3838-3C3D98E49D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21505" name="Picture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22761FE0-8247-0FA9-3193-5F4B54AFA1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21506" name="Picture 1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514B256B-3032-03F5-FB4D-B154E0D78F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21507" name="Picture 1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30E86925-B2A9-9D6D-8217-7607FEB32E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657225</xdr:colOff>
          <xdr:row>4</xdr:row>
          <xdr:rowOff>85725</xdr:rowOff>
        </xdr:from>
        <xdr:to>
          <xdr:col>0</xdr:col>
          <xdr:colOff>1800225</xdr:colOff>
          <xdr:row>10</xdr:row>
          <xdr:rowOff>104775</xdr:rowOff>
        </xdr:to>
        <xdr:sp macro="" textlink="">
          <xdr:nvSpPr>
            <xdr:cNvPr id="21508" name="Picture 1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9BD65177-0E8E-2EBA-A8F1-ABD0F1994D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20481" name="Picture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5C87FED7-203A-637E-EBC5-7E690614AE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20482" name="Picture 1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174AF7B3-48C6-D84B-FFD3-EB07483696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20483" name="Picture 1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AC586C9E-C7E8-17C5-A855-E7A3B1D349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657225</xdr:colOff>
          <xdr:row>4</xdr:row>
          <xdr:rowOff>85725</xdr:rowOff>
        </xdr:from>
        <xdr:to>
          <xdr:col>0</xdr:col>
          <xdr:colOff>1800225</xdr:colOff>
          <xdr:row>10</xdr:row>
          <xdr:rowOff>104775</xdr:rowOff>
        </xdr:to>
        <xdr:sp macro="" textlink="">
          <xdr:nvSpPr>
            <xdr:cNvPr id="20484" name="Picture 1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A01209E8-6A94-6F28-DCE8-750CF0EB0E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9457" name="Picture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FF9CBF64-130A-21C0-72C3-65EB5E17CF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9458" name="Picture 1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DADA98F9-0CA4-9B66-31D6-AE9972B5A1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9459" name="Picture 1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B5DBCBB-7EAB-49F1-33BB-F2B3369295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657225</xdr:colOff>
          <xdr:row>4</xdr:row>
          <xdr:rowOff>133350</xdr:rowOff>
        </xdr:from>
        <xdr:to>
          <xdr:col>0</xdr:col>
          <xdr:colOff>1800225</xdr:colOff>
          <xdr:row>10</xdr:row>
          <xdr:rowOff>152400</xdr:rowOff>
        </xdr:to>
        <xdr:sp macro="" textlink="">
          <xdr:nvSpPr>
            <xdr:cNvPr id="19460" name="Picture 1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C7093405-96CE-42C2-7C93-2D6F5C849A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8433" name="Picture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41E49086-82CC-962B-42F5-E6D3FBDBBB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8434" name="Picture 1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C49501B2-1120-360F-3D16-29DCC7725D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8435" name="Picture 1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CFAB9949-EBF9-C0E6-7383-AEFF8CDC4D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657225</xdr:colOff>
          <xdr:row>4</xdr:row>
          <xdr:rowOff>133350</xdr:rowOff>
        </xdr:from>
        <xdr:to>
          <xdr:col>0</xdr:col>
          <xdr:colOff>1800225</xdr:colOff>
          <xdr:row>10</xdr:row>
          <xdr:rowOff>152400</xdr:rowOff>
        </xdr:to>
        <xdr:sp macro="" textlink="">
          <xdr:nvSpPr>
            <xdr:cNvPr id="18436" name="Picture 1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8BC905EA-6622-8DB4-AEDE-3C35BCE440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7409" name="Picture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A57089F3-1D36-B03F-9D72-72930E5261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7410" name="Picture 1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FC1344D8-2FE0-1A95-0CC2-F2E6BD9F37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7411" name="Picture 1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3BCFE0A0-74C5-B1EE-C024-A77A48A2A4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657225</xdr:colOff>
          <xdr:row>4</xdr:row>
          <xdr:rowOff>133350</xdr:rowOff>
        </xdr:from>
        <xdr:to>
          <xdr:col>0</xdr:col>
          <xdr:colOff>1800225</xdr:colOff>
          <xdr:row>10</xdr:row>
          <xdr:rowOff>152400</xdr:rowOff>
        </xdr:to>
        <xdr:sp macro="" textlink="">
          <xdr:nvSpPr>
            <xdr:cNvPr id="17412" name="Picture 1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B3BBF8B3-963F-5F47-5CF1-8598174CDF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6385" name="Picture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7946B3F8-D5E9-A258-197D-E5C5E221C0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6386" name="Picture 1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3A59B1B2-4979-1658-7767-6DF2D0781F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6387" name="Picture 1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5C2BDD4E-AF64-6BE0-DBFA-89BEF83948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657225</xdr:colOff>
          <xdr:row>4</xdr:row>
          <xdr:rowOff>133350</xdr:rowOff>
        </xdr:from>
        <xdr:to>
          <xdr:col>0</xdr:col>
          <xdr:colOff>1800225</xdr:colOff>
          <xdr:row>10</xdr:row>
          <xdr:rowOff>152400</xdr:rowOff>
        </xdr:to>
        <xdr:sp macro="" textlink="">
          <xdr:nvSpPr>
            <xdr:cNvPr id="16388" name="Picture 1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C9A8B89A-0CD6-2D9E-B512-0F94739631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0.bin"/><Relationship Id="rId3" Type="http://schemas.openxmlformats.org/officeDocument/2006/relationships/vmlDrawing" Target="../drawings/vmlDrawing10.vml"/><Relationship Id="rId7" Type="http://schemas.openxmlformats.org/officeDocument/2006/relationships/oleObject" Target="../embeddings/oleObject39.bin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oleObject" Target="../embeddings/oleObject38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7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4.bin"/><Relationship Id="rId3" Type="http://schemas.openxmlformats.org/officeDocument/2006/relationships/vmlDrawing" Target="../drawings/vmlDrawing11.vml"/><Relationship Id="rId7" Type="http://schemas.openxmlformats.org/officeDocument/2006/relationships/oleObject" Target="../embeddings/oleObject43.bin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oleObject" Target="../embeddings/oleObject4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41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8.bin"/><Relationship Id="rId3" Type="http://schemas.openxmlformats.org/officeDocument/2006/relationships/vmlDrawing" Target="../drawings/vmlDrawing12.vml"/><Relationship Id="rId7" Type="http://schemas.openxmlformats.org/officeDocument/2006/relationships/oleObject" Target="../embeddings/oleObject47.bin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oleObject" Target="../embeddings/oleObject46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45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52.bin"/><Relationship Id="rId3" Type="http://schemas.openxmlformats.org/officeDocument/2006/relationships/vmlDrawing" Target="../drawings/vmlDrawing13.vml"/><Relationship Id="rId7" Type="http://schemas.openxmlformats.org/officeDocument/2006/relationships/oleObject" Target="../embeddings/oleObject51.bin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oleObject" Target="../embeddings/oleObject50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49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56.bin"/><Relationship Id="rId3" Type="http://schemas.openxmlformats.org/officeDocument/2006/relationships/vmlDrawing" Target="../drawings/vmlDrawing14.vml"/><Relationship Id="rId7" Type="http://schemas.openxmlformats.org/officeDocument/2006/relationships/oleObject" Target="../embeddings/oleObject55.bin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oleObject" Target="../embeddings/oleObject5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3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60.bin"/><Relationship Id="rId3" Type="http://schemas.openxmlformats.org/officeDocument/2006/relationships/vmlDrawing" Target="../drawings/vmlDrawing15.vml"/><Relationship Id="rId7" Type="http://schemas.openxmlformats.org/officeDocument/2006/relationships/oleObject" Target="../embeddings/oleObject59.bin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6" Type="http://schemas.openxmlformats.org/officeDocument/2006/relationships/oleObject" Target="../embeddings/oleObject58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7.bin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64.bin"/><Relationship Id="rId3" Type="http://schemas.openxmlformats.org/officeDocument/2006/relationships/vmlDrawing" Target="../drawings/vmlDrawing16.vml"/><Relationship Id="rId7" Type="http://schemas.openxmlformats.org/officeDocument/2006/relationships/oleObject" Target="../embeddings/oleObject63.bin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6" Type="http://schemas.openxmlformats.org/officeDocument/2006/relationships/oleObject" Target="../embeddings/oleObject6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61.bin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68.bin"/><Relationship Id="rId3" Type="http://schemas.openxmlformats.org/officeDocument/2006/relationships/vmlDrawing" Target="../drawings/vmlDrawing17.vml"/><Relationship Id="rId7" Type="http://schemas.openxmlformats.org/officeDocument/2006/relationships/oleObject" Target="../embeddings/oleObject67.bin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6" Type="http://schemas.openxmlformats.org/officeDocument/2006/relationships/oleObject" Target="../embeddings/oleObject66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65.bin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72.bin"/><Relationship Id="rId3" Type="http://schemas.openxmlformats.org/officeDocument/2006/relationships/vmlDrawing" Target="../drawings/vmlDrawing18.vml"/><Relationship Id="rId7" Type="http://schemas.openxmlformats.org/officeDocument/2006/relationships/oleObject" Target="../embeddings/oleObject71.bin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6" Type="http://schemas.openxmlformats.org/officeDocument/2006/relationships/oleObject" Target="../embeddings/oleObject70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69.bin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76.bin"/><Relationship Id="rId3" Type="http://schemas.openxmlformats.org/officeDocument/2006/relationships/vmlDrawing" Target="../drawings/vmlDrawing19.vml"/><Relationship Id="rId7" Type="http://schemas.openxmlformats.org/officeDocument/2006/relationships/oleObject" Target="../embeddings/oleObject75.bin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6" Type="http://schemas.openxmlformats.org/officeDocument/2006/relationships/oleObject" Target="../embeddings/oleObject7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73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8.bin"/><Relationship Id="rId3" Type="http://schemas.openxmlformats.org/officeDocument/2006/relationships/vmlDrawing" Target="../drawings/vmlDrawing2.vml"/><Relationship Id="rId7" Type="http://schemas.openxmlformats.org/officeDocument/2006/relationships/oleObject" Target="../embeddings/oleObject7.bin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6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80.bin"/><Relationship Id="rId3" Type="http://schemas.openxmlformats.org/officeDocument/2006/relationships/vmlDrawing" Target="../drawings/vmlDrawing20.vml"/><Relationship Id="rId7" Type="http://schemas.openxmlformats.org/officeDocument/2006/relationships/oleObject" Target="../embeddings/oleObject79.bin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6" Type="http://schemas.openxmlformats.org/officeDocument/2006/relationships/oleObject" Target="../embeddings/oleObject78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77.bin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84.bin"/><Relationship Id="rId3" Type="http://schemas.openxmlformats.org/officeDocument/2006/relationships/vmlDrawing" Target="../drawings/vmlDrawing21.vml"/><Relationship Id="rId7" Type="http://schemas.openxmlformats.org/officeDocument/2006/relationships/oleObject" Target="../embeddings/oleObject83.bin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Relationship Id="rId6" Type="http://schemas.openxmlformats.org/officeDocument/2006/relationships/oleObject" Target="../embeddings/oleObject8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8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Relationship Id="rId6" Type="http://schemas.openxmlformats.org/officeDocument/2006/relationships/oleObject" Target="../embeddings/oleObject86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8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Relationship Id="rId6" Type="http://schemas.openxmlformats.org/officeDocument/2006/relationships/oleObject" Target="../embeddings/oleObject88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87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Relationship Id="rId6" Type="http://schemas.openxmlformats.org/officeDocument/2006/relationships/oleObject" Target="../embeddings/oleObject90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8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2.bin"/><Relationship Id="rId3" Type="http://schemas.openxmlformats.org/officeDocument/2006/relationships/vmlDrawing" Target="../drawings/vmlDrawing3.vml"/><Relationship Id="rId7" Type="http://schemas.openxmlformats.org/officeDocument/2006/relationships/oleObject" Target="../embeddings/oleObject11.bin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10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6.bin"/><Relationship Id="rId3" Type="http://schemas.openxmlformats.org/officeDocument/2006/relationships/vmlDrawing" Target="../drawings/vmlDrawing4.vml"/><Relationship Id="rId7" Type="http://schemas.openxmlformats.org/officeDocument/2006/relationships/oleObject" Target="../embeddings/oleObject15.bin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1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0.bin"/><Relationship Id="rId3" Type="http://schemas.openxmlformats.org/officeDocument/2006/relationships/vmlDrawing" Target="../drawings/vmlDrawing5.vml"/><Relationship Id="rId7" Type="http://schemas.openxmlformats.org/officeDocument/2006/relationships/oleObject" Target="../embeddings/oleObject19.bin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18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7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4.bin"/><Relationship Id="rId3" Type="http://schemas.openxmlformats.org/officeDocument/2006/relationships/vmlDrawing" Target="../drawings/vmlDrawing6.vml"/><Relationship Id="rId7" Type="http://schemas.openxmlformats.org/officeDocument/2006/relationships/oleObject" Target="../embeddings/oleObject23.bin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2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1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8.bin"/><Relationship Id="rId3" Type="http://schemas.openxmlformats.org/officeDocument/2006/relationships/vmlDrawing" Target="../drawings/vmlDrawing7.vml"/><Relationship Id="rId7" Type="http://schemas.openxmlformats.org/officeDocument/2006/relationships/oleObject" Target="../embeddings/oleObject27.bin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oleObject" Target="../embeddings/oleObject26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2.bin"/><Relationship Id="rId3" Type="http://schemas.openxmlformats.org/officeDocument/2006/relationships/vmlDrawing" Target="../drawings/vmlDrawing8.vml"/><Relationship Id="rId7" Type="http://schemas.openxmlformats.org/officeDocument/2006/relationships/oleObject" Target="../embeddings/oleObject31.bin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oleObject" Target="../embeddings/oleObject30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9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6.bin"/><Relationship Id="rId3" Type="http://schemas.openxmlformats.org/officeDocument/2006/relationships/vmlDrawing" Target="../drawings/vmlDrawing9.vml"/><Relationship Id="rId7" Type="http://schemas.openxmlformats.org/officeDocument/2006/relationships/oleObject" Target="../embeddings/oleObject35.bin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oleObject" Target="../embeddings/oleObject3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8"/>
  <sheetViews>
    <sheetView tabSelected="1" topLeftCell="K24" workbookViewId="0">
      <selection activeCell="O38" sqref="A1:O38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6.57031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62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0</v>
      </c>
      <c r="E14" s="16"/>
      <c r="F14" s="16">
        <v>0</v>
      </c>
      <c r="G14" s="16"/>
      <c r="H14" s="16">
        <v>3119556.94</v>
      </c>
      <c r="I14" s="16"/>
      <c r="J14" s="16">
        <v>5122056.38</v>
      </c>
      <c r="K14" s="16"/>
      <c r="L14" s="16">
        <f>1480001.13+18408675.15</f>
        <v>19888676.279999997</v>
      </c>
      <c r="M14" s="16"/>
      <c r="N14" s="16">
        <f>SUM(L14,J14,H14,F14,D14)</f>
        <v>28130289.599999998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</v>
      </c>
      <c r="E15" s="18"/>
      <c r="F15" s="18">
        <f>F14/N14</f>
        <v>0</v>
      </c>
      <c r="G15" s="18"/>
      <c r="H15" s="18">
        <v>0</v>
      </c>
      <c r="I15" s="18"/>
      <c r="J15" s="18">
        <v>0</v>
      </c>
      <c r="K15" s="18"/>
      <c r="L15" s="18">
        <f>L14/N14</f>
        <v>0.70701996185634719</v>
      </c>
      <c r="M15" s="18"/>
      <c r="O15" s="16">
        <v>0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0</v>
      </c>
      <c r="E19" s="16"/>
      <c r="F19" s="16">
        <v>0</v>
      </c>
      <c r="G19" s="16"/>
      <c r="H19" s="16">
        <v>0</v>
      </c>
      <c r="I19" s="16"/>
      <c r="J19" s="16">
        <v>0</v>
      </c>
      <c r="K19" s="16"/>
      <c r="L19" s="16">
        <v>361082.48</v>
      </c>
      <c r="M19" s="16"/>
      <c r="N19" s="16">
        <f>SUM(L19,J19,H19,F19,D19)</f>
        <v>361082.48</v>
      </c>
      <c r="O19" s="1" t="s">
        <v>39</v>
      </c>
    </row>
    <row r="20" spans="1:15" x14ac:dyDescent="0.2">
      <c r="B20" s="1" t="s">
        <v>8</v>
      </c>
      <c r="D20" s="18">
        <f>D19/N19</f>
        <v>0</v>
      </c>
      <c r="E20" s="18"/>
      <c r="F20" s="18">
        <f>F19/N19</f>
        <v>0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1</v>
      </c>
      <c r="M20" s="18"/>
      <c r="O20" s="16">
        <f>3099921.68+2647167.35</f>
        <v>5747089.0300000003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15</v>
      </c>
      <c r="B23" s="1" t="s">
        <v>7</v>
      </c>
      <c r="D23" s="16">
        <v>222042.77</v>
      </c>
      <c r="E23" s="16"/>
      <c r="F23" s="16">
        <v>222042.77</v>
      </c>
      <c r="G23" s="16"/>
      <c r="H23" s="16">
        <v>222042.77</v>
      </c>
      <c r="I23" s="16"/>
      <c r="J23" s="16">
        <v>222042.41</v>
      </c>
      <c r="K23" s="16"/>
      <c r="L23" s="16">
        <f>222042.83+665228.25</f>
        <v>887271.08</v>
      </c>
      <c r="M23" s="16"/>
      <c r="N23" s="16">
        <f>SUM(L23,J23,H23,F23,D23)</f>
        <v>1775441.8</v>
      </c>
      <c r="O23" s="1" t="s">
        <v>39</v>
      </c>
    </row>
    <row r="24" spans="1:15" x14ac:dyDescent="0.2">
      <c r="B24" s="1" t="s">
        <v>8</v>
      </c>
      <c r="D24" s="18">
        <f>D23/N23</f>
        <v>0.12506338985597837</v>
      </c>
      <c r="E24" s="18"/>
      <c r="F24" s="18">
        <f>F23/N23</f>
        <v>0.12506338985597837</v>
      </c>
      <c r="G24" s="18"/>
      <c r="H24" s="18">
        <f>H23/N23</f>
        <v>0.12506338985597837</v>
      </c>
      <c r="I24" s="18"/>
      <c r="J24" s="18">
        <f>J23/N23</f>
        <v>0.12506318708954584</v>
      </c>
      <c r="K24" s="18"/>
      <c r="L24" s="18">
        <f>L23/N23</f>
        <v>0.499746643342519</v>
      </c>
      <c r="M24" s="18"/>
      <c r="O24" s="16">
        <v>0</v>
      </c>
    </row>
    <row r="25" spans="1:15" x14ac:dyDescent="0.2">
      <c r="F25" s="16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18</v>
      </c>
      <c r="B27" s="1" t="s">
        <v>7</v>
      </c>
      <c r="D27" s="16">
        <v>1065593.95</v>
      </c>
      <c r="E27" s="16"/>
      <c r="F27" s="16">
        <v>1847003.65</v>
      </c>
      <c r="G27" s="16"/>
      <c r="H27" s="16">
        <v>0</v>
      </c>
      <c r="I27" s="16"/>
      <c r="J27" s="16">
        <v>1395232.05</v>
      </c>
      <c r="K27" s="16"/>
      <c r="L27" s="16">
        <v>74964.58</v>
      </c>
      <c r="M27" s="16"/>
      <c r="N27" s="16">
        <f>SUM(L27,J27,H27,F27,D27)</f>
        <v>4382794.2300000004</v>
      </c>
      <c r="O27" s="1" t="s">
        <v>39</v>
      </c>
    </row>
    <row r="28" spans="1:15" x14ac:dyDescent="0.2">
      <c r="B28" s="1" t="s">
        <v>8</v>
      </c>
      <c r="D28" s="18">
        <f>D27/N27</f>
        <v>0.24313118391597405</v>
      </c>
      <c r="E28" s="18"/>
      <c r="F28" s="18">
        <f>F27/N27</f>
        <v>0.42142148434835364</v>
      </c>
      <c r="G28" s="18"/>
      <c r="H28" s="18">
        <f>H27/N27</f>
        <v>0</v>
      </c>
      <c r="I28" s="18"/>
      <c r="J28" s="18">
        <f>J27/N27</f>
        <v>0.31834304253886908</v>
      </c>
      <c r="K28" s="18"/>
      <c r="L28" s="18">
        <f>L27/N27</f>
        <v>1.7104289196803107E-2</v>
      </c>
      <c r="M28" s="18"/>
      <c r="O28" s="16">
        <v>0</v>
      </c>
    </row>
    <row r="29" spans="1:15" x14ac:dyDescent="0.2">
      <c r="F29" s="2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3"/>
      <c r="O30" s="12"/>
    </row>
    <row r="31" spans="1:15" ht="15.75" x14ac:dyDescent="0.25">
      <c r="A31" s="15" t="s">
        <v>19</v>
      </c>
      <c r="B31" s="1" t="s">
        <v>7</v>
      </c>
      <c r="D31" s="16">
        <v>6666416.1799999997</v>
      </c>
      <c r="E31" s="16"/>
      <c r="F31" s="16">
        <v>4365995.8600000003</v>
      </c>
      <c r="G31" s="16"/>
      <c r="H31" s="16">
        <v>0</v>
      </c>
      <c r="I31" s="16"/>
      <c r="J31" s="16">
        <v>36113.980000000003</v>
      </c>
      <c r="K31" s="16"/>
      <c r="L31" s="16">
        <f>294377.1+417484.57</f>
        <v>711861.66999999993</v>
      </c>
      <c r="M31" s="16"/>
      <c r="N31" s="16">
        <f>SUM(L31,J31,H31,F31,D31)</f>
        <v>11780387.689999999</v>
      </c>
      <c r="O31" s="1" t="s">
        <v>39</v>
      </c>
    </row>
    <row r="32" spans="1:15" x14ac:dyDescent="0.2">
      <c r="B32" s="1" t="s">
        <v>8</v>
      </c>
      <c r="D32" s="18">
        <f>D31/N31</f>
        <v>0.56589106873442807</v>
      </c>
      <c r="E32" s="18"/>
      <c r="F32" s="18">
        <f>F31/N31</f>
        <v>0.37061563463706348</v>
      </c>
      <c r="G32" s="18"/>
      <c r="H32" s="18">
        <f>H31/N31</f>
        <v>0</v>
      </c>
      <c r="I32" s="18"/>
      <c r="J32" s="18">
        <f>J31/N31</f>
        <v>3.0656019946318086E-3</v>
      </c>
      <c r="K32" s="18"/>
      <c r="L32" s="18">
        <f>L31/N31</f>
        <v>6.0427694633876684E-2</v>
      </c>
      <c r="M32" s="18"/>
      <c r="O32" s="16">
        <f>3575508.3+3531135.8+611637.76</f>
        <v>7718281.8599999994</v>
      </c>
    </row>
    <row r="33" spans="1:15" x14ac:dyDescent="0.2">
      <c r="D33" s="18"/>
      <c r="E33" s="18"/>
      <c r="F33" s="18"/>
      <c r="G33" s="18"/>
      <c r="H33" s="18"/>
      <c r="I33" s="18"/>
      <c r="J33" s="18"/>
      <c r="K33" s="18"/>
      <c r="L33" s="18"/>
      <c r="M33" s="18"/>
    </row>
    <row r="34" spans="1:15" s="14" customFormat="1" x14ac:dyDescent="0.2">
      <c r="A34" s="12"/>
      <c r="B34" s="12"/>
      <c r="C34" s="12"/>
      <c r="D34" s="12"/>
      <c r="E34" s="12"/>
      <c r="F34" s="13"/>
      <c r="G34" s="13"/>
      <c r="H34" s="13"/>
      <c r="I34" s="13"/>
      <c r="J34" s="13"/>
      <c r="K34" s="13"/>
      <c r="L34" s="13"/>
      <c r="M34" s="13"/>
      <c r="N34" s="13"/>
      <c r="O34" s="12"/>
    </row>
    <row r="35" spans="1:15" s="23" customFormat="1" ht="15.75" x14ac:dyDescent="0.25">
      <c r="A35" s="15" t="s">
        <v>20</v>
      </c>
      <c r="B35" s="15" t="s">
        <v>7</v>
      </c>
      <c r="C35" s="15"/>
      <c r="D35" s="22">
        <f>SUM(D31,D27,D23,D19,D14)</f>
        <v>7954052.8999999994</v>
      </c>
      <c r="E35" s="15"/>
      <c r="F35" s="22">
        <f>SUM(F31,F27,F23,F19,F14)</f>
        <v>6435042.2799999993</v>
      </c>
      <c r="G35" s="15"/>
      <c r="H35" s="22">
        <f>SUM(H31,H27,H23,H19,H14)</f>
        <v>3341599.71</v>
      </c>
      <c r="I35" s="15"/>
      <c r="J35" s="22">
        <f>SUM(J31,J27,J23,J19,J14)</f>
        <v>6775444.8200000003</v>
      </c>
      <c r="K35" s="15"/>
      <c r="L35" s="22">
        <f>SUM(L31,L27,L23,L19,L14)</f>
        <v>21923856.089999996</v>
      </c>
      <c r="M35" s="15"/>
      <c r="N35" s="22">
        <f>SUM(N31,N27,N23,N19,N14)</f>
        <v>46429995.799999997</v>
      </c>
      <c r="O35" s="22">
        <f>SUM(O32,O28,O24,O20,O15)</f>
        <v>13465370.890000001</v>
      </c>
    </row>
    <row r="36" spans="1:15" s="23" customFormat="1" ht="15.75" x14ac:dyDescent="0.25">
      <c r="A36" s="15"/>
      <c r="B36" s="15" t="s">
        <v>8</v>
      </c>
      <c r="C36" s="15"/>
      <c r="D36" s="24">
        <f>D35/N35</f>
        <v>0.17131280679547251</v>
      </c>
      <c r="E36" s="15"/>
      <c r="F36" s="24">
        <f>F35/N35</f>
        <v>0.13859665867124632</v>
      </c>
      <c r="G36" s="15"/>
      <c r="H36" s="24">
        <f>H35/N35</f>
        <v>7.1970708858000804E-2</v>
      </c>
      <c r="I36" s="15"/>
      <c r="J36" s="24">
        <f>J35/N35</f>
        <v>0.14592818076455655</v>
      </c>
      <c r="K36" s="15"/>
      <c r="L36" s="24">
        <f>L35/N35</f>
        <v>0.4721916449107238</v>
      </c>
      <c r="M36" s="15"/>
      <c r="N36" s="22"/>
      <c r="O36" s="15" t="s">
        <v>55</v>
      </c>
    </row>
    <row r="37" spans="1:15" s="23" customFormat="1" ht="15.75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22"/>
      <c r="O37" s="15"/>
    </row>
    <row r="38" spans="1:15" s="14" customFormat="1" ht="9.9499999999999993" customHeight="1" x14ac:dyDescent="0.2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3"/>
      <c r="O38" s="12"/>
    </row>
  </sheetData>
  <phoneticPr fontId="0" type="noConversion"/>
  <pageMargins left="0.75" right="0.75" top="1" bottom="1" header="0.5" footer="0.5"/>
  <pageSetup scale="4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24577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24577" r:id="rId4"/>
      </mc:Fallback>
    </mc:AlternateContent>
    <mc:AlternateContent xmlns:mc="http://schemas.openxmlformats.org/markup-compatibility/2006">
      <mc:Choice Requires="x14">
        <oleObject progId="Word.Document.6" shapeId="24578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24578" r:id="rId6"/>
      </mc:Fallback>
    </mc:AlternateContent>
    <mc:AlternateContent xmlns:mc="http://schemas.openxmlformats.org/markup-compatibility/2006">
      <mc:Choice Requires="x14">
        <oleObject progId="Word.Document.6" shapeId="24579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24579" r:id="rId7"/>
      </mc:Fallback>
    </mc:AlternateContent>
    <mc:AlternateContent xmlns:mc="http://schemas.openxmlformats.org/markup-compatibility/2006">
      <mc:Choice Requires="x14">
        <oleObject progId="Word.Document.6" shapeId="24580" r:id="rId8">
          <objectPr defaultSize="0" autoLine="0" autoPict="0" r:id="rId5">
            <anchor moveWithCells="1">
              <from>
                <xdr:col>0</xdr:col>
                <xdr:colOff>657225</xdr:colOff>
                <xdr:row>4</xdr:row>
                <xdr:rowOff>85725</xdr:rowOff>
              </from>
              <to>
                <xdr:col>0</xdr:col>
                <xdr:colOff>1800225</xdr:colOff>
                <xdr:row>10</xdr:row>
                <xdr:rowOff>104775</xdr:rowOff>
              </to>
            </anchor>
          </objectPr>
        </oleObject>
      </mc:Choice>
      <mc:Fallback>
        <oleObject progId="Word.Document.6" shapeId="24580" r:id="rId8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29" workbookViewId="0">
      <selection activeCell="K29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6.57031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52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6784447.4199999999</v>
      </c>
      <c r="E14" s="16"/>
      <c r="F14" s="16">
        <v>5502225.6600000001</v>
      </c>
      <c r="G14" s="16"/>
      <c r="H14" s="16">
        <v>2151302.67</v>
      </c>
      <c r="I14" s="16"/>
      <c r="J14" s="16">
        <v>42222</v>
      </c>
      <c r="K14" s="16"/>
      <c r="L14" s="16">
        <f>37325.9+1851404.42</f>
        <v>1888730.3199999998</v>
      </c>
      <c r="M14" s="16"/>
      <c r="N14" s="16">
        <f>SUM(L14,J14,H14,F14,D14)</f>
        <v>16368928.07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0.41447108759883505</v>
      </c>
      <c r="E15" s="18"/>
      <c r="F15" s="18">
        <f>F14/N14</f>
        <v>0.33613842253263687</v>
      </c>
      <c r="G15" s="18"/>
      <c r="H15" s="18">
        <v>0</v>
      </c>
      <c r="I15" s="18"/>
      <c r="J15" s="18">
        <v>0</v>
      </c>
      <c r="K15" s="18"/>
      <c r="L15" s="18">
        <f>L14/N14</f>
        <v>0.11538509497525086</v>
      </c>
      <c r="M15" s="18"/>
      <c r="O15" s="16">
        <v>2230986.6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0</v>
      </c>
      <c r="E19" s="16"/>
      <c r="F19" s="16">
        <v>32122.82</v>
      </c>
      <c r="G19" s="16"/>
      <c r="H19" s="16">
        <v>-152850.42000000001</v>
      </c>
      <c r="I19" s="16"/>
      <c r="J19" s="16">
        <v>32407.23</v>
      </c>
      <c r="K19" s="16"/>
      <c r="L19" s="16">
        <f>71398.48+468894.72</f>
        <v>540293.19999999995</v>
      </c>
      <c r="M19" s="16"/>
      <c r="N19" s="16">
        <f>SUM(L19,J19,H19,F19,D19)</f>
        <v>451972.8299999999</v>
      </c>
      <c r="O19" s="1" t="s">
        <v>39</v>
      </c>
    </row>
    <row r="20" spans="1:15" x14ac:dyDescent="0.2">
      <c r="B20" s="1" t="s">
        <v>8</v>
      </c>
      <c r="D20" s="18">
        <f>D19/N19</f>
        <v>0</v>
      </c>
      <c r="E20" s="18"/>
      <c r="F20" s="18">
        <f>F19/N19</f>
        <v>7.1072458050188567E-2</v>
      </c>
      <c r="G20" s="18"/>
      <c r="H20" s="18">
        <f>H19/N19</f>
        <v>-0.33818497452601309</v>
      </c>
      <c r="I20" s="18"/>
      <c r="J20" s="18">
        <f>J19/N19</f>
        <v>7.1701721539323512E-2</v>
      </c>
      <c r="K20" s="18"/>
      <c r="L20" s="18">
        <f>L19/N19</f>
        <v>1.1954107949365012</v>
      </c>
      <c r="M20" s="18"/>
      <c r="O20" s="16">
        <v>2318398.16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446831.93</v>
      </c>
      <c r="E27" s="16"/>
      <c r="F27" s="16">
        <v>222492.95</v>
      </c>
      <c r="G27" s="16"/>
      <c r="H27" s="16">
        <v>222492.95</v>
      </c>
      <c r="I27" s="16"/>
      <c r="J27" s="16">
        <v>0</v>
      </c>
      <c r="K27" s="16"/>
      <c r="L27" s="16">
        <f>444985.9+4011.82</f>
        <v>448997.72000000003</v>
      </c>
      <c r="M27" s="16"/>
      <c r="N27" s="16">
        <f>SUM(L27,J27,H27,F27,D27)</f>
        <v>1340815.55</v>
      </c>
      <c r="O27" s="1" t="s">
        <v>39</v>
      </c>
    </row>
    <row r="28" spans="1:15" x14ac:dyDescent="0.2">
      <c r="B28" s="1" t="s">
        <v>8</v>
      </c>
      <c r="D28" s="18">
        <f>D27/N27</f>
        <v>0.33325383942631032</v>
      </c>
      <c r="E28" s="18"/>
      <c r="F28" s="18">
        <f>F27/N27</f>
        <v>0.16593852152147251</v>
      </c>
      <c r="G28" s="18"/>
      <c r="H28" s="18">
        <f>H27/N27</f>
        <v>0.16593852152147251</v>
      </c>
      <c r="I28" s="18"/>
      <c r="J28" s="18">
        <f>J27/N27</f>
        <v>0</v>
      </c>
      <c r="K28" s="18"/>
      <c r="L28" s="18">
        <f>L27/N27</f>
        <v>0.33486911753074466</v>
      </c>
      <c r="M28" s="18"/>
      <c r="O28" s="16">
        <v>0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1148606.8</v>
      </c>
      <c r="E31" s="16"/>
      <c r="F31" s="16">
        <v>860590.43</v>
      </c>
      <c r="G31" s="16"/>
      <c r="H31" s="16">
        <v>1588292.58</v>
      </c>
      <c r="I31" s="16"/>
      <c r="J31" s="16">
        <v>105299.88</v>
      </c>
      <c r="K31" s="16"/>
      <c r="L31" s="16">
        <f>28085.15-36492.68</f>
        <v>-8407.5299999999988</v>
      </c>
      <c r="M31" s="16"/>
      <c r="N31" s="16">
        <f>SUM(L31,J31,H31,F31,D31)</f>
        <v>3694382.16</v>
      </c>
      <c r="O31" s="1" t="s">
        <v>39</v>
      </c>
    </row>
    <row r="32" spans="1:15" x14ac:dyDescent="0.2">
      <c r="B32" s="1" t="s">
        <v>8</v>
      </c>
      <c r="D32" s="18">
        <f>D31/N31</f>
        <v>0.31090633027526315</v>
      </c>
      <c r="E32" s="18"/>
      <c r="F32" s="18">
        <f>F31/N31</f>
        <v>0.23294569774557378</v>
      </c>
      <c r="G32" s="18"/>
      <c r="H32" s="18">
        <f>H31/N31</f>
        <v>0.42992102906863322</v>
      </c>
      <c r="I32" s="18"/>
      <c r="J32" s="18">
        <f>J31/N31</f>
        <v>2.8502703683475995E-2</v>
      </c>
      <c r="K32" s="18"/>
      <c r="L32" s="18">
        <f>L31/N31</f>
        <v>-2.2757607729461315E-3</v>
      </c>
      <c r="M32" s="18"/>
      <c r="O32" s="16">
        <v>37116.019999999997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3102732</v>
      </c>
      <c r="E35" s="16"/>
      <c r="F35" s="16">
        <v>1543309.76</v>
      </c>
      <c r="G35" s="16"/>
      <c r="H35" s="16">
        <v>-739143.8</v>
      </c>
      <c r="I35" s="16"/>
      <c r="J35" s="16">
        <v>-835928.78</v>
      </c>
      <c r="K35" s="16"/>
      <c r="L35" s="16">
        <f>598644.72+1819424.3</f>
        <v>2418069.02</v>
      </c>
      <c r="M35" s="16"/>
      <c r="N35" s="16">
        <f>SUM(L35,J35,H35,F35,D35)</f>
        <v>5489038.2000000002</v>
      </c>
      <c r="O35" s="1" t="s">
        <v>39</v>
      </c>
    </row>
    <row r="36" spans="1:15" x14ac:dyDescent="0.2">
      <c r="B36" s="1" t="s">
        <v>8</v>
      </c>
      <c r="D36" s="18">
        <f>D35/N35</f>
        <v>0.56525968429223172</v>
      </c>
      <c r="E36" s="18"/>
      <c r="F36" s="18">
        <f>F35/N35</f>
        <v>0.2811621460386266</v>
      </c>
      <c r="G36" s="18"/>
      <c r="H36" s="18">
        <f>H35/N35</f>
        <v>-0.13465816288179594</v>
      </c>
      <c r="I36" s="18"/>
      <c r="J36" s="18">
        <f>J35/N35</f>
        <v>-0.15229057433049017</v>
      </c>
      <c r="K36" s="18"/>
      <c r="L36" s="18">
        <f>L35/N35</f>
        <v>0.44052690688142776</v>
      </c>
      <c r="M36" s="18"/>
      <c r="O36" s="16">
        <f>1500000</f>
        <v>1500000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11482618.149999999</v>
      </c>
      <c r="E39" s="15"/>
      <c r="F39" s="22">
        <f>SUM(F35,F31,F27,F23,F19,F14)</f>
        <v>8160741.6200000001</v>
      </c>
      <c r="G39" s="15"/>
      <c r="H39" s="22">
        <f>SUM(H35,H31,H27,H23,H19,H14)</f>
        <v>3070093.98</v>
      </c>
      <c r="I39" s="15"/>
      <c r="J39" s="22">
        <f>SUM(J35,J31,J27,J23,J19,J14)</f>
        <v>-655999.67000000004</v>
      </c>
      <c r="K39" s="15"/>
      <c r="L39" s="22">
        <f>SUM(L35,L31,L27,L23,L19,L14)</f>
        <v>5356378.49</v>
      </c>
      <c r="M39" s="15"/>
      <c r="N39" s="22">
        <f>SUM(N35,N31,N27,N23,N19,N14)</f>
        <v>27413832.57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0.41886219742094233</v>
      </c>
      <c r="E40" s="15"/>
      <c r="F40" s="24">
        <f>F39/N39</f>
        <v>0.29768700159534095</v>
      </c>
      <c r="G40" s="15"/>
      <c r="H40" s="24">
        <f>H39/N39</f>
        <v>0.111990688356349</v>
      </c>
      <c r="I40" s="15"/>
      <c r="J40" s="24">
        <f>J39/N39</f>
        <v>-2.3929513260319734E-2</v>
      </c>
      <c r="K40" s="15"/>
      <c r="L40" s="24">
        <f>L39/N39</f>
        <v>0.19538962588768741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41" right="0.41" top="1" bottom="1" header="0.5" footer="0.5"/>
  <pageSetup scale="47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5361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5361" r:id="rId4"/>
      </mc:Fallback>
    </mc:AlternateContent>
    <mc:AlternateContent xmlns:mc="http://schemas.openxmlformats.org/markup-compatibility/2006">
      <mc:Choice Requires="x14">
        <oleObject progId="Word.Document.6" shapeId="15362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5362" r:id="rId6"/>
      </mc:Fallback>
    </mc:AlternateContent>
    <mc:AlternateContent xmlns:mc="http://schemas.openxmlformats.org/markup-compatibility/2006">
      <mc:Choice Requires="x14">
        <oleObject progId="Word.Document.6" shapeId="15363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5363" r:id="rId7"/>
      </mc:Fallback>
    </mc:AlternateContent>
    <mc:AlternateContent xmlns:mc="http://schemas.openxmlformats.org/markup-compatibility/2006">
      <mc:Choice Requires="x14">
        <oleObject progId="Word.Document.6" shapeId="15364" r:id="rId8">
          <objectPr defaultSize="0" autoLine="0" autoPict="0" r:id="rId5">
            <anchor moveWithCells="1">
              <from>
                <xdr:col>0</xdr:col>
                <xdr:colOff>657225</xdr:colOff>
                <xdr:row>4</xdr:row>
                <xdr:rowOff>133350</xdr:rowOff>
              </from>
              <to>
                <xdr:col>0</xdr:col>
                <xdr:colOff>1800225</xdr:colOff>
                <xdr:row>10</xdr:row>
                <xdr:rowOff>152400</xdr:rowOff>
              </to>
            </anchor>
          </objectPr>
        </oleObject>
      </mc:Choice>
      <mc:Fallback>
        <oleObject progId="Word.Document.6" shapeId="15364" r:id="rId8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H26" zoomScale="85" workbookViewId="0">
      <selection activeCell="H26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6.57031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51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10256812.529999999</v>
      </c>
      <c r="E14" s="16"/>
      <c r="F14" s="16">
        <v>4532289.2699999996</v>
      </c>
      <c r="G14" s="16"/>
      <c r="H14" s="16">
        <v>42222</v>
      </c>
      <c r="I14" s="16"/>
      <c r="J14" s="16">
        <v>37325.9</v>
      </c>
      <c r="K14" s="16"/>
      <c r="L14" s="16">
        <f>765643.41+1085761.01</f>
        <v>1851404.42</v>
      </c>
      <c r="M14" s="16"/>
      <c r="N14" s="16">
        <f>SUM(L14,J14,H14,F14,D14)</f>
        <v>16720054.119999999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0.61344373985794254</v>
      </c>
      <c r="E15" s="18"/>
      <c r="F15" s="18">
        <f>F14/N14</f>
        <v>0.27106905500853723</v>
      </c>
      <c r="G15" s="18"/>
      <c r="H15" s="18">
        <v>0</v>
      </c>
      <c r="I15" s="18"/>
      <c r="J15" s="18">
        <v>0</v>
      </c>
      <c r="K15" s="18"/>
      <c r="L15" s="18">
        <f>L14/N14</f>
        <v>0.11072957101169957</v>
      </c>
      <c r="M15" s="18"/>
      <c r="O15" s="16">
        <f>4275090.13</f>
        <v>4275090.13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2318398.16</v>
      </c>
      <c r="E19" s="16"/>
      <c r="F19" s="16">
        <v>-152850.42000000001</v>
      </c>
      <c r="G19" s="16"/>
      <c r="H19" s="16">
        <v>32704.23</v>
      </c>
      <c r="I19" s="16"/>
      <c r="J19" s="16">
        <v>71398.48</v>
      </c>
      <c r="K19" s="16"/>
      <c r="L19" s="16">
        <f>24488.81+444405.91</f>
        <v>468894.71999999997</v>
      </c>
      <c r="M19" s="16"/>
      <c r="N19" s="16">
        <f>SUM(L19,J19,H19,F19,D19)</f>
        <v>2738545.17</v>
      </c>
      <c r="O19" s="1" t="s">
        <v>39</v>
      </c>
    </row>
    <row r="20" spans="1:15" x14ac:dyDescent="0.2">
      <c r="B20" s="1" t="s">
        <v>8</v>
      </c>
      <c r="D20" s="18">
        <f>D19/N19</f>
        <v>0.84658021543606676</v>
      </c>
      <c r="E20" s="18"/>
      <c r="F20" s="18">
        <f>F19/N19</f>
        <v>-5.5814460055081005E-2</v>
      </c>
      <c r="G20" s="18"/>
      <c r="H20" s="18">
        <f>H19/N19</f>
        <v>1.1942191189053859E-2</v>
      </c>
      <c r="I20" s="18"/>
      <c r="J20" s="18">
        <f>J19/N19</f>
        <v>2.6071682432756805E-2</v>
      </c>
      <c r="K20" s="18"/>
      <c r="L20" s="18">
        <f>L19/N19</f>
        <v>0.17122037099720358</v>
      </c>
      <c r="M20" s="18"/>
      <c r="O20" s="16">
        <f>3188526.22+2699455.47+1522850.42</f>
        <v>7410832.1100000003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222492.95</v>
      </c>
      <c r="E27" s="16"/>
      <c r="F27" s="16">
        <v>222492.95</v>
      </c>
      <c r="G27" s="16"/>
      <c r="H27" s="16">
        <v>0</v>
      </c>
      <c r="I27" s="16"/>
      <c r="J27" s="16">
        <v>0</v>
      </c>
      <c r="K27" s="16"/>
      <c r="L27" s="16">
        <f>444985.9+4011.82</f>
        <v>448997.72000000003</v>
      </c>
      <c r="M27" s="16"/>
      <c r="N27" s="16">
        <f>SUM(L27,J27,H27,F27,D27)</f>
        <v>893983.62000000011</v>
      </c>
      <c r="O27" s="1" t="s">
        <v>39</v>
      </c>
    </row>
    <row r="28" spans="1:15" x14ac:dyDescent="0.2">
      <c r="B28" s="1" t="s">
        <v>8</v>
      </c>
      <c r="D28" s="18">
        <f>D27/N27</f>
        <v>0.24887810584269987</v>
      </c>
      <c r="E28" s="18"/>
      <c r="F28" s="18">
        <f>F27/N27</f>
        <v>0.24887810584269987</v>
      </c>
      <c r="G28" s="18"/>
      <c r="H28" s="18">
        <f>H27/N27</f>
        <v>0</v>
      </c>
      <c r="I28" s="18"/>
      <c r="J28" s="18">
        <f>J27/N27</f>
        <v>0</v>
      </c>
      <c r="K28" s="18"/>
      <c r="L28" s="18">
        <f>L27/N27</f>
        <v>0.50224378831460015</v>
      </c>
      <c r="M28" s="18"/>
      <c r="O28" s="16">
        <v>0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0</v>
      </c>
      <c r="E31" s="16"/>
      <c r="F31" s="16">
        <v>1588292.58</v>
      </c>
      <c r="G31" s="16"/>
      <c r="H31" s="16">
        <v>105299.88</v>
      </c>
      <c r="I31" s="16"/>
      <c r="J31" s="16">
        <v>28085.15</v>
      </c>
      <c r="K31" s="16"/>
      <c r="L31" s="16">
        <f>18617.53-55110.21</f>
        <v>-36492.68</v>
      </c>
      <c r="M31" s="16"/>
      <c r="N31" s="16">
        <f>SUM(L31,J31,H31,F31,D31)</f>
        <v>1685184.9300000002</v>
      </c>
      <c r="O31" s="1" t="s">
        <v>39</v>
      </c>
    </row>
    <row r="32" spans="1:15" x14ac:dyDescent="0.2">
      <c r="B32" s="1" t="s">
        <v>8</v>
      </c>
      <c r="D32" s="18">
        <f>D31/N31</f>
        <v>0</v>
      </c>
      <c r="E32" s="18"/>
      <c r="F32" s="18">
        <f>F31/N31</f>
        <v>0.94250343195271746</v>
      </c>
      <c r="G32" s="18"/>
      <c r="H32" s="18">
        <f>H31/N31</f>
        <v>6.2485652539036173E-2</v>
      </c>
      <c r="I32" s="18"/>
      <c r="J32" s="18">
        <f>J31/N31</f>
        <v>1.6665915710508995E-2</v>
      </c>
      <c r="K32" s="18"/>
      <c r="L32" s="18">
        <f>L31/N31</f>
        <v>-2.1655000202262666E-2</v>
      </c>
      <c r="M32" s="18"/>
      <c r="O32" s="16">
        <f>1412855.55+1621503.24</f>
        <v>3034358.79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0</v>
      </c>
      <c r="E35" s="16"/>
      <c r="F35" s="16">
        <v>-756565.36</v>
      </c>
      <c r="G35" s="16"/>
      <c r="H35" s="16">
        <v>-818199.1</v>
      </c>
      <c r="I35" s="16"/>
      <c r="J35" s="16">
        <v>594519.24</v>
      </c>
      <c r="K35" s="16"/>
      <c r="L35" s="16">
        <f>975141.39+830678.71</f>
        <v>1805820.1</v>
      </c>
      <c r="M35" s="16"/>
      <c r="N35" s="16">
        <f>SUM(L35,J35,H35,F35,D35)</f>
        <v>825574.87999999977</v>
      </c>
      <c r="O35" s="1" t="s">
        <v>39</v>
      </c>
    </row>
    <row r="36" spans="1:15" x14ac:dyDescent="0.2">
      <c r="B36" s="1" t="s">
        <v>8</v>
      </c>
      <c r="D36" s="18">
        <f>D35/N35</f>
        <v>0</v>
      </c>
      <c r="E36" s="18"/>
      <c r="F36" s="18">
        <f>F35/N35</f>
        <v>-0.91641034426822698</v>
      </c>
      <c r="G36" s="18"/>
      <c r="H36" s="18">
        <f>H35/N35</f>
        <v>-0.99106588611320179</v>
      </c>
      <c r="I36" s="18"/>
      <c r="J36" s="18">
        <f>J35/N35</f>
        <v>0.72012757946317374</v>
      </c>
      <c r="K36" s="18"/>
      <c r="L36" s="18">
        <f>L35/N35</f>
        <v>2.1873486509182554</v>
      </c>
      <c r="M36" s="18"/>
      <c r="O36" s="16"/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12797703.640000001</v>
      </c>
      <c r="E39" s="15"/>
      <c r="F39" s="22">
        <f>SUM(F35,F31,F27,F23,F19,F14)</f>
        <v>5433659.0199999996</v>
      </c>
      <c r="G39" s="15"/>
      <c r="H39" s="22">
        <f>SUM(H35,H31,H27,H23,H19,H14)</f>
        <v>-637972.99</v>
      </c>
      <c r="I39" s="15"/>
      <c r="J39" s="22">
        <f>SUM(J35,J31,J27,J23,J19,J14)</f>
        <v>731328.77</v>
      </c>
      <c r="K39" s="15"/>
      <c r="L39" s="22">
        <f>SUM(L35,L31,L27,L23,L19,L14)</f>
        <v>4607320.04</v>
      </c>
      <c r="M39" s="15"/>
      <c r="N39" s="22">
        <f>SUM(N35,N31,N27,N23,N19,N14)</f>
        <v>22932038.479999997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0.55807091249918406</v>
      </c>
      <c r="E40" s="15"/>
      <c r="F40" s="24">
        <f>F39/N39</f>
        <v>0.23694618447195281</v>
      </c>
      <c r="G40" s="15"/>
      <c r="H40" s="24">
        <f>H39/N39</f>
        <v>-2.7820160451780304E-2</v>
      </c>
      <c r="I40" s="15"/>
      <c r="J40" s="24">
        <f>J39/N39</f>
        <v>3.1891136526646893E-2</v>
      </c>
      <c r="K40" s="15"/>
      <c r="L40" s="24">
        <f>L39/N39</f>
        <v>0.20091192695399668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28000000000000003" right="0.38" top="1" bottom="1" header="0.5" footer="0.5"/>
  <pageSetup scale="48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4337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4337" r:id="rId4"/>
      </mc:Fallback>
    </mc:AlternateContent>
    <mc:AlternateContent xmlns:mc="http://schemas.openxmlformats.org/markup-compatibility/2006">
      <mc:Choice Requires="x14">
        <oleObject progId="Word.Document.6" shapeId="14338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4338" r:id="rId6"/>
      </mc:Fallback>
    </mc:AlternateContent>
    <mc:AlternateContent xmlns:mc="http://schemas.openxmlformats.org/markup-compatibility/2006">
      <mc:Choice Requires="x14">
        <oleObject progId="Word.Document.6" shapeId="14339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4339" r:id="rId7"/>
      </mc:Fallback>
    </mc:AlternateContent>
    <mc:AlternateContent xmlns:mc="http://schemas.openxmlformats.org/markup-compatibility/2006">
      <mc:Choice Requires="x14">
        <oleObject progId="Word.Document.6" shapeId="14340" r:id="rId8">
          <objectPr defaultSize="0" autoLine="0" autoPict="0" r:id="rId5">
            <anchor moveWithCells="1">
              <from>
                <xdr:col>0</xdr:col>
                <xdr:colOff>657225</xdr:colOff>
                <xdr:row>4</xdr:row>
                <xdr:rowOff>133350</xdr:rowOff>
              </from>
              <to>
                <xdr:col>0</xdr:col>
                <xdr:colOff>1800225</xdr:colOff>
                <xdr:row>10</xdr:row>
                <xdr:rowOff>152400</xdr:rowOff>
              </to>
            </anchor>
          </objectPr>
        </oleObject>
      </mc:Choice>
      <mc:Fallback>
        <oleObject progId="Word.Document.6" shapeId="14340" r:id="rId8"/>
      </mc:Fallback>
    </mc:AlternateContent>
  </oleObjec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H11" zoomScale="85" workbookViewId="0">
      <selection activeCell="H11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6.5703125" style="1" bestFit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50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11384500.93</v>
      </c>
      <c r="E14" s="16"/>
      <c r="F14" s="16">
        <v>2769542.66</v>
      </c>
      <c r="G14" s="16"/>
      <c r="H14" s="16">
        <v>37325.9</v>
      </c>
      <c r="I14" s="16"/>
      <c r="J14" s="16">
        <v>765643.41</v>
      </c>
      <c r="K14" s="16"/>
      <c r="L14" s="16">
        <f>-462610.38+1548371.39</f>
        <v>1085761.0099999998</v>
      </c>
      <c r="M14" s="16"/>
      <c r="N14" s="16">
        <f>SUM(L14,J14,H14,F14,D14)</f>
        <v>16042773.91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0.70963419380383197</v>
      </c>
      <c r="E15" s="18"/>
      <c r="F15" s="18">
        <f>F14/N14</f>
        <v>0.17263489939689614</v>
      </c>
      <c r="G15" s="18"/>
      <c r="H15" s="18">
        <v>0</v>
      </c>
      <c r="I15" s="18"/>
      <c r="J15" s="18">
        <v>0</v>
      </c>
      <c r="K15" s="18"/>
      <c r="L15" s="18">
        <f>L14/N14</f>
        <v>6.7679131806701362E-2</v>
      </c>
      <c r="M15" s="18"/>
      <c r="O15" s="16">
        <f>1304115.03+2722035.64</f>
        <v>4026150.67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2699455.47</v>
      </c>
      <c r="E19" s="16"/>
      <c r="F19" s="16">
        <v>32407.23</v>
      </c>
      <c r="G19" s="16"/>
      <c r="H19" s="16">
        <v>3259924.7</v>
      </c>
      <c r="I19" s="16"/>
      <c r="J19" s="16">
        <v>24488.81</v>
      </c>
      <c r="K19" s="16"/>
      <c r="L19" s="16">
        <v>444405.91</v>
      </c>
      <c r="M19" s="16"/>
      <c r="N19" s="16">
        <f>SUM(L19,J19,H19,F19,D19)</f>
        <v>6460682.1200000001</v>
      </c>
      <c r="O19" s="1" t="s">
        <v>39</v>
      </c>
    </row>
    <row r="20" spans="1:15" x14ac:dyDescent="0.2">
      <c r="B20" s="1" t="s">
        <v>8</v>
      </c>
      <c r="D20" s="18">
        <f>D19/N19</f>
        <v>0.41782824473648617</v>
      </c>
      <c r="E20" s="18"/>
      <c r="F20" s="18">
        <f>F19/N19</f>
        <v>5.0160694177598698E-3</v>
      </c>
      <c r="G20" s="18"/>
      <c r="H20" s="18">
        <f>H19/N19</f>
        <v>0.50457902733032156</v>
      </c>
      <c r="I20" s="18"/>
      <c r="J20" s="18">
        <f>J19/N19</f>
        <v>3.7904372239877361E-3</v>
      </c>
      <c r="K20" s="18"/>
      <c r="L20" s="18">
        <f>L19/N19</f>
        <v>6.8786221291444682E-2</v>
      </c>
      <c r="M20" s="18"/>
      <c r="O20" s="16">
        <f>2730346.33</f>
        <v>2730346.33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222492.95</v>
      </c>
      <c r="E27" s="16"/>
      <c r="F27" s="16">
        <v>0</v>
      </c>
      <c r="G27" s="16"/>
      <c r="H27" s="16">
        <v>0</v>
      </c>
      <c r="I27" s="16"/>
      <c r="J27" s="16">
        <v>444985.9</v>
      </c>
      <c r="K27" s="16"/>
      <c r="L27" s="16">
        <v>4011.82</v>
      </c>
      <c r="M27" s="16"/>
      <c r="N27" s="16">
        <f>SUM(L27,J27,H27,F27,D27)</f>
        <v>671490.67</v>
      </c>
      <c r="O27" s="1" t="s">
        <v>39</v>
      </c>
    </row>
    <row r="28" spans="1:15" x14ac:dyDescent="0.2">
      <c r="B28" s="1" t="s">
        <v>8</v>
      </c>
      <c r="D28" s="18">
        <f>D27/N27</f>
        <v>0.33134183383367039</v>
      </c>
      <c r="E28" s="18"/>
      <c r="F28" s="18">
        <f>F27/N27</f>
        <v>0</v>
      </c>
      <c r="G28" s="18"/>
      <c r="H28" s="18">
        <f>H27/N27</f>
        <v>0</v>
      </c>
      <c r="I28" s="18"/>
      <c r="J28" s="18">
        <f>J27/N27</f>
        <v>0.66268366766734077</v>
      </c>
      <c r="K28" s="18"/>
      <c r="L28" s="18">
        <f>L27/N27</f>
        <v>5.9744984989888242E-3</v>
      </c>
      <c r="M28" s="18"/>
      <c r="O28" s="16">
        <v>222492.95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0</v>
      </c>
      <c r="E31" s="16"/>
      <c r="F31" s="16">
        <v>1726803.12</v>
      </c>
      <c r="G31" s="16"/>
      <c r="H31" s="16">
        <v>28085.13</v>
      </c>
      <c r="I31" s="16"/>
      <c r="J31" s="16">
        <v>1431473.08</v>
      </c>
      <c r="K31" s="16"/>
      <c r="L31" s="16">
        <v>-55110.21</v>
      </c>
      <c r="M31" s="16"/>
      <c r="N31" s="16">
        <f>SUM(L31,J31,H31,F31,D31)</f>
        <v>3131251.12</v>
      </c>
      <c r="O31" s="1" t="s">
        <v>39</v>
      </c>
    </row>
    <row r="32" spans="1:15" x14ac:dyDescent="0.2">
      <c r="B32" s="1" t="s">
        <v>8</v>
      </c>
      <c r="D32" s="18">
        <f>D31/N31</f>
        <v>0</v>
      </c>
      <c r="E32" s="18"/>
      <c r="F32" s="18">
        <f>F31/N31</f>
        <v>0.55147385304567975</v>
      </c>
      <c r="G32" s="18"/>
      <c r="H32" s="18">
        <f>H31/N31</f>
        <v>8.9692997858312942E-3</v>
      </c>
      <c r="I32" s="18"/>
      <c r="J32" s="18">
        <f>J31/N31</f>
        <v>0.45715690793908603</v>
      </c>
      <c r="K32" s="18"/>
      <c r="L32" s="18">
        <f>L31/N31</f>
        <v>-1.7600060770597024E-2</v>
      </c>
      <c r="M32" s="18"/>
      <c r="O32" s="16">
        <f>1073124.03+17839.24</f>
        <v>1090963.27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1279934.6399999999</v>
      </c>
      <c r="E35" s="16"/>
      <c r="F35" s="16">
        <v>-1801887.66</v>
      </c>
      <c r="G35" s="16"/>
      <c r="H35" s="16">
        <v>594519.24</v>
      </c>
      <c r="I35" s="16"/>
      <c r="J35" s="16">
        <v>975141.39</v>
      </c>
      <c r="K35" s="16"/>
      <c r="L35" s="16">
        <f>599706.33+230972.38</f>
        <v>830678.71</v>
      </c>
      <c r="M35" s="16"/>
      <c r="N35" s="16">
        <f>SUM(L35,J35,H35,F35,D35)</f>
        <v>1878386.3199999998</v>
      </c>
      <c r="O35" s="1" t="s">
        <v>39</v>
      </c>
    </row>
    <row r="36" spans="1:15" x14ac:dyDescent="0.2">
      <c r="B36" s="1" t="s">
        <v>8</v>
      </c>
      <c r="D36" s="18">
        <f>D35/N35</f>
        <v>0.68140117204431094</v>
      </c>
      <c r="E36" s="18"/>
      <c r="F36" s="18">
        <f>F35/N35</f>
        <v>-0.95927426686114281</v>
      </c>
      <c r="G36" s="18"/>
      <c r="H36" s="18">
        <f>H35/N35</f>
        <v>0.31650530759827938</v>
      </c>
      <c r="I36" s="18"/>
      <c r="J36" s="18">
        <f>J35/N35</f>
        <v>0.51913782570563016</v>
      </c>
      <c r="K36" s="18"/>
      <c r="L36" s="18">
        <f>L35/N35</f>
        <v>0.44222996151292243</v>
      </c>
      <c r="M36" s="18"/>
      <c r="O36" s="16">
        <v>4700000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15586383.99</v>
      </c>
      <c r="E39" s="15"/>
      <c r="F39" s="22">
        <f>SUM(F35,F31,F27,F23,F19,F14)</f>
        <v>2726865.3500000006</v>
      </c>
      <c r="G39" s="15"/>
      <c r="H39" s="22">
        <f>SUM(H35,H31,H27,H23,H19,H14)</f>
        <v>3919854.97</v>
      </c>
      <c r="I39" s="15"/>
      <c r="J39" s="22">
        <f>SUM(J35,J31,J27,J23,J19,J14)</f>
        <v>3641732.5900000003</v>
      </c>
      <c r="K39" s="15"/>
      <c r="L39" s="22">
        <f>SUM(L35,L31,L27,L23,L19,L14)</f>
        <v>2378443</v>
      </c>
      <c r="M39" s="15"/>
      <c r="N39" s="22">
        <f>SUM(N35,N31,N27,N23,N19,N14)</f>
        <v>28253279.899999999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0.55166635679703868</v>
      </c>
      <c r="E40" s="15"/>
      <c r="F40" s="24">
        <f>F39/N39</f>
        <v>9.6515001431745295E-2</v>
      </c>
      <c r="G40" s="15"/>
      <c r="H40" s="24">
        <f>H39/N39</f>
        <v>0.13873982008014582</v>
      </c>
      <c r="I40" s="15"/>
      <c r="J40" s="24">
        <f>J39/N39</f>
        <v>0.12889592298273309</v>
      </c>
      <c r="K40" s="15"/>
      <c r="L40" s="24">
        <f>L39/N39</f>
        <v>8.4182898708337228E-2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37" right="0.41" top="1" bottom="0.68" header="0.5" footer="0.26"/>
  <pageSetup scale="48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3313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3313" r:id="rId4"/>
      </mc:Fallback>
    </mc:AlternateContent>
    <mc:AlternateContent xmlns:mc="http://schemas.openxmlformats.org/markup-compatibility/2006">
      <mc:Choice Requires="x14">
        <oleObject progId="Word.Document.6" shapeId="13314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3314" r:id="rId6"/>
      </mc:Fallback>
    </mc:AlternateContent>
    <mc:AlternateContent xmlns:mc="http://schemas.openxmlformats.org/markup-compatibility/2006">
      <mc:Choice Requires="x14">
        <oleObject progId="Word.Document.6" shapeId="13315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3315" r:id="rId7"/>
      </mc:Fallback>
    </mc:AlternateContent>
    <mc:AlternateContent xmlns:mc="http://schemas.openxmlformats.org/markup-compatibility/2006">
      <mc:Choice Requires="x14">
        <oleObject progId="Word.Document.6" shapeId="13316" r:id="rId8">
          <objectPr defaultSize="0" autoLine="0" autoPict="0" r:id="rId5">
            <anchor moveWithCells="1">
              <from>
                <xdr:col>0</xdr:col>
                <xdr:colOff>704850</xdr:colOff>
                <xdr:row>4</xdr:row>
                <xdr:rowOff>142875</xdr:rowOff>
              </from>
              <to>
                <xdr:col>0</xdr:col>
                <xdr:colOff>1847850</xdr:colOff>
                <xdr:row>10</xdr:row>
                <xdr:rowOff>161925</xdr:rowOff>
              </to>
            </anchor>
          </objectPr>
        </oleObject>
      </mc:Choice>
      <mc:Fallback>
        <oleObject progId="Word.Document.6" shapeId="13316" r:id="rId8"/>
      </mc:Fallback>
    </mc:AlternateContent>
  </oleObjec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workbookViewId="0">
      <selection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5.285156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49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8827660.9100000001</v>
      </c>
      <c r="E14" s="16"/>
      <c r="F14" s="16">
        <f>2766781.24</f>
        <v>2766781.24</v>
      </c>
      <c r="G14" s="16"/>
      <c r="H14" s="16">
        <f>2069758.44-476961.58</f>
        <v>1592796.8599999999</v>
      </c>
      <c r="I14" s="16"/>
      <c r="J14" s="16">
        <f>6931.5</f>
        <v>6931.5</v>
      </c>
      <c r="K14" s="16"/>
      <c r="L14" s="16">
        <f>13448.48+1534922.91</f>
        <v>1548371.39</v>
      </c>
      <c r="M14" s="16"/>
      <c r="N14" s="16">
        <f>SUM(L14,J14,H14,F14,D14)</f>
        <v>14742541.9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0.59878825306238403</v>
      </c>
      <c r="E15" s="18"/>
      <c r="F15" s="18">
        <f>F14/N14</f>
        <v>0.18767328312629725</v>
      </c>
      <c r="G15" s="18"/>
      <c r="H15" s="18">
        <v>0</v>
      </c>
      <c r="I15" s="18"/>
      <c r="J15" s="18">
        <v>0</v>
      </c>
      <c r="K15" s="18"/>
      <c r="L15" s="18">
        <f>L14/N14</f>
        <v>0.10502743695780169</v>
      </c>
      <c r="M15" s="18"/>
      <c r="O15" s="16">
        <f>2297123.6+2282155.9+1002042.77</f>
        <v>5581322.2699999996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0</v>
      </c>
      <c r="E19" s="16"/>
      <c r="F19" s="16">
        <v>3259924.7</v>
      </c>
      <c r="G19" s="16"/>
      <c r="H19" s="16">
        <v>2752830.14</v>
      </c>
      <c r="I19" s="16"/>
      <c r="J19" s="16">
        <v>0</v>
      </c>
      <c r="K19" s="16"/>
      <c r="L19" s="16">
        <f>2005+444405.91</f>
        <v>446410.91</v>
      </c>
      <c r="M19" s="16"/>
      <c r="N19" s="16">
        <f>SUM(L19,J19,H19,F19,D19)</f>
        <v>6459165.75</v>
      </c>
      <c r="O19" s="1" t="s">
        <v>39</v>
      </c>
    </row>
    <row r="20" spans="1:15" x14ac:dyDescent="0.2">
      <c r="B20" s="1" t="s">
        <v>8</v>
      </c>
      <c r="D20" s="18">
        <f>D19/N19</f>
        <v>0</v>
      </c>
      <c r="E20" s="18"/>
      <c r="F20" s="18">
        <f>F19/N19</f>
        <v>0.50469748357208521</v>
      </c>
      <c r="G20" s="18"/>
      <c r="H20" s="18">
        <f>H19/N19</f>
        <v>0.42618973510627128</v>
      </c>
      <c r="I20" s="18"/>
      <c r="J20" s="18">
        <f>J19/N19</f>
        <v>0</v>
      </c>
      <c r="K20" s="18"/>
      <c r="L20" s="18">
        <f>L19/N19</f>
        <v>6.9112781321643585E-2</v>
      </c>
      <c r="M20" s="18"/>
      <c r="O20" s="16">
        <v>0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f>222492.95+222492.95</f>
        <v>444985.9</v>
      </c>
      <c r="E27" s="16"/>
      <c r="F27" s="16">
        <v>222492.95</v>
      </c>
      <c r="G27" s="16"/>
      <c r="H27" s="16">
        <v>222492.95</v>
      </c>
      <c r="I27" s="16"/>
      <c r="J27" s="16">
        <v>0</v>
      </c>
      <c r="K27" s="16"/>
      <c r="L27" s="16">
        <v>4011.82</v>
      </c>
      <c r="M27" s="16"/>
      <c r="N27" s="16">
        <f>SUM(L27,J27,H27,F27,D27)</f>
        <v>893983.62000000011</v>
      </c>
      <c r="O27" s="1" t="s">
        <v>39</v>
      </c>
    </row>
    <row r="28" spans="1:15" x14ac:dyDescent="0.2">
      <c r="B28" s="1" t="s">
        <v>8</v>
      </c>
      <c r="D28" s="18">
        <f>D27/N27</f>
        <v>0.49775621168539974</v>
      </c>
      <c r="E28" s="18"/>
      <c r="F28" s="18">
        <f>F27/N27</f>
        <v>0.24887810584269987</v>
      </c>
      <c r="G28" s="18"/>
      <c r="H28" s="18">
        <f>H27/N27</f>
        <v>0.24887810584269987</v>
      </c>
      <c r="I28" s="18"/>
      <c r="J28" s="18">
        <f>J27/N27</f>
        <v>0</v>
      </c>
      <c r="K28" s="18"/>
      <c r="L28" s="18">
        <f>L27/N27</f>
        <v>4.4875766292004314E-3</v>
      </c>
      <c r="M28" s="18"/>
      <c r="O28" s="16">
        <v>222492.95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1726803.12</v>
      </c>
      <c r="E31" s="16"/>
      <c r="F31" s="16">
        <v>45924.39</v>
      </c>
      <c r="G31" s="16"/>
      <c r="H31" s="16">
        <v>1431473.08</v>
      </c>
      <c r="I31" s="16"/>
      <c r="J31" s="16">
        <v>1073124.03</v>
      </c>
      <c r="K31" s="16"/>
      <c r="L31" s="16">
        <f>-58231.25+3121.04</f>
        <v>-55110.21</v>
      </c>
      <c r="M31" s="16"/>
      <c r="N31" s="16">
        <f>SUM(L31,J31,H31,F31,D31)</f>
        <v>4222214.41</v>
      </c>
      <c r="O31" s="1" t="s">
        <v>39</v>
      </c>
    </row>
    <row r="32" spans="1:15" x14ac:dyDescent="0.2">
      <c r="B32" s="1" t="s">
        <v>8</v>
      </c>
      <c r="D32" s="18">
        <f>D31/N31</f>
        <v>0.40898044303723552</v>
      </c>
      <c r="E32" s="18"/>
      <c r="F32" s="18">
        <f>F31/N31</f>
        <v>1.0876849335559914E-2</v>
      </c>
      <c r="G32" s="18"/>
      <c r="H32" s="18">
        <f>H31/N31</f>
        <v>0.33903372519634783</v>
      </c>
      <c r="I32" s="18"/>
      <c r="J32" s="18">
        <f>J31/N31</f>
        <v>0.25416142473920456</v>
      </c>
      <c r="K32" s="18"/>
      <c r="L32" s="18">
        <f>L31/N31</f>
        <v>-1.305244230834786E-2</v>
      </c>
      <c r="M32" s="18"/>
      <c r="O32" s="16">
        <f>1274815.21+1409.37</f>
        <v>1276224.58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0</v>
      </c>
      <c r="E35" s="16"/>
      <c r="F35" s="16">
        <v>1161830.08</v>
      </c>
      <c r="G35" s="16"/>
      <c r="H35" s="16">
        <v>2594116.9300000002</v>
      </c>
      <c r="I35" s="16"/>
      <c r="J35" s="16">
        <v>1294099.33</v>
      </c>
      <c r="K35" s="16"/>
      <c r="L35" s="16">
        <f>28354+202618.38</f>
        <v>230972.38</v>
      </c>
      <c r="M35" s="16"/>
      <c r="N35" s="16">
        <f>SUM(L35,J35,H35,F35,D35)</f>
        <v>5281018.7200000007</v>
      </c>
      <c r="O35" s="1" t="s">
        <v>39</v>
      </c>
    </row>
    <row r="36" spans="1:15" x14ac:dyDescent="0.2">
      <c r="B36" s="1" t="s">
        <v>8</v>
      </c>
      <c r="D36" s="18">
        <f>D35/N35</f>
        <v>0</v>
      </c>
      <c r="E36" s="18"/>
      <c r="F36" s="18">
        <f>F35/N35</f>
        <v>0.220001128873105</v>
      </c>
      <c r="G36" s="18"/>
      <c r="H36" s="18">
        <f>H35/N35</f>
        <v>0.49121524984861253</v>
      </c>
      <c r="I36" s="18"/>
      <c r="J36" s="18">
        <f>J35/N35</f>
        <v>0.24504729079998411</v>
      </c>
      <c r="K36" s="18"/>
      <c r="L36" s="18">
        <f>L35/N35</f>
        <v>4.3736330478298321E-2</v>
      </c>
      <c r="M36" s="18"/>
      <c r="O36" s="16">
        <v>0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10999449.93</v>
      </c>
      <c r="E39" s="15"/>
      <c r="F39" s="22">
        <f>SUM(F35,F31,F27,F23,F19,F14)</f>
        <v>7456953.3600000003</v>
      </c>
      <c r="G39" s="15"/>
      <c r="H39" s="22">
        <f>SUM(H35,H31,H27,H23,H19,H14)</f>
        <v>8593709.959999999</v>
      </c>
      <c r="I39" s="15"/>
      <c r="J39" s="22">
        <f>SUM(J35,J31,J27,J23,J19,J14)</f>
        <v>2374154.8600000003</v>
      </c>
      <c r="K39" s="15"/>
      <c r="L39" s="22">
        <f>SUM(L35,L31,L27,L23,L19,L14)</f>
        <v>2243352.0499999998</v>
      </c>
      <c r="M39" s="15"/>
      <c r="N39" s="22">
        <f>SUM(N35,N31,N27,N23,N19,N14)</f>
        <v>31667620.159999996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0.34734059188614447</v>
      </c>
      <c r="E40" s="15"/>
      <c r="F40" s="24">
        <f>F39/N39</f>
        <v>0.23547564743810548</v>
      </c>
      <c r="G40" s="15"/>
      <c r="H40" s="24">
        <f>H39/N39</f>
        <v>0.2713721434253808</v>
      </c>
      <c r="I40" s="15"/>
      <c r="J40" s="24">
        <f>J39/N39</f>
        <v>7.4971053966311083E-2</v>
      </c>
      <c r="K40" s="15"/>
      <c r="L40" s="24">
        <f>L39/N39</f>
        <v>7.0840563284058286E-2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33" right="0.43" top="1" bottom="1" header="0.5" footer="0.5"/>
  <pageSetup scale="48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2289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2289" r:id="rId4"/>
      </mc:Fallback>
    </mc:AlternateContent>
    <mc:AlternateContent xmlns:mc="http://schemas.openxmlformats.org/markup-compatibility/2006">
      <mc:Choice Requires="x14">
        <oleObject progId="Word.Document.6" shapeId="12290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2290" r:id="rId6"/>
      </mc:Fallback>
    </mc:AlternateContent>
    <mc:AlternateContent xmlns:mc="http://schemas.openxmlformats.org/markup-compatibility/2006">
      <mc:Choice Requires="x14">
        <oleObject progId="Word.Document.6" shapeId="12291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2291" r:id="rId7"/>
      </mc:Fallback>
    </mc:AlternateContent>
    <mc:AlternateContent xmlns:mc="http://schemas.openxmlformats.org/markup-compatibility/2006">
      <mc:Choice Requires="x14">
        <oleObject progId="Word.Document.6" shapeId="12292" r:id="rId8">
          <objectPr defaultSize="0" autoLine="0" autoPict="0" r:id="rId5">
            <anchor moveWithCells="1">
              <from>
                <xdr:col>0</xdr:col>
                <xdr:colOff>704850</xdr:colOff>
                <xdr:row>4</xdr:row>
                <xdr:rowOff>142875</xdr:rowOff>
              </from>
              <to>
                <xdr:col>0</xdr:col>
                <xdr:colOff>1847850</xdr:colOff>
                <xdr:row>10</xdr:row>
                <xdr:rowOff>161925</xdr:rowOff>
              </to>
            </anchor>
          </objectPr>
        </oleObject>
      </mc:Choice>
      <mc:Fallback>
        <oleObject progId="Word.Document.6" shapeId="12292" r:id="rId8"/>
      </mc:Fallback>
    </mc:AlternateContent>
  </oleObjec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workbookViewId="0">
      <selection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5.285156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48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5450040.2999999998</v>
      </c>
      <c r="E14" s="16"/>
      <c r="F14" s="16">
        <f>6122956.92-175922.3</f>
        <v>5947034.6200000001</v>
      </c>
      <c r="G14" s="16"/>
      <c r="H14" s="16">
        <v>1234016.01</v>
      </c>
      <c r="I14" s="16"/>
      <c r="J14" s="16">
        <v>13448.48</v>
      </c>
      <c r="K14" s="16"/>
      <c r="L14" s="16">
        <f>16120.84+1518802.07</f>
        <v>1534922.9100000001</v>
      </c>
      <c r="M14" s="16"/>
      <c r="N14" s="16">
        <f>SUM(L14,J14,H14,F14,D14)</f>
        <v>14179462.32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0.38436156301306068</v>
      </c>
      <c r="E15" s="18"/>
      <c r="F15" s="18">
        <f>F14/N14</f>
        <v>0.41941185679599169</v>
      </c>
      <c r="G15" s="18"/>
      <c r="H15" s="18">
        <v>0</v>
      </c>
      <c r="I15" s="18"/>
      <c r="J15" s="18">
        <v>0</v>
      </c>
      <c r="K15" s="18"/>
      <c r="L15" s="18">
        <f>L14/N14</f>
        <v>0.10824972593177991</v>
      </c>
      <c r="M15" s="18"/>
      <c r="O15" s="16">
        <f>4045590.65+3388277.02</f>
        <v>7433867.6699999999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71398.48</v>
      </c>
      <c r="E19" s="16"/>
      <c r="F19" s="16">
        <v>2752830.14</v>
      </c>
      <c r="G19" s="16"/>
      <c r="H19" s="16">
        <v>0</v>
      </c>
      <c r="I19" s="16"/>
      <c r="J19" s="16">
        <v>0</v>
      </c>
      <c r="K19" s="16"/>
      <c r="L19" s="16">
        <f>2005+444405.91</f>
        <v>446410.91</v>
      </c>
      <c r="M19" s="16"/>
      <c r="N19" s="16">
        <f>SUM(L19,J19,H19,F19,D19)</f>
        <v>3270639.5300000003</v>
      </c>
      <c r="O19" s="1" t="s">
        <v>39</v>
      </c>
    </row>
    <row r="20" spans="1:15" x14ac:dyDescent="0.2">
      <c r="B20" s="1" t="s">
        <v>8</v>
      </c>
      <c r="D20" s="18">
        <f>D19/N19</f>
        <v>2.1830128127877178E-2</v>
      </c>
      <c r="E20" s="18"/>
      <c r="F20" s="18">
        <f>F19/N19</f>
        <v>0.8416794681130757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0.13649040375904706</v>
      </c>
      <c r="M20" s="18"/>
      <c r="O20" s="16">
        <v>2930191.28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f>222492.95+444985.9</f>
        <v>667478.85000000009</v>
      </c>
      <c r="E27" s="16"/>
      <c r="F27" s="16">
        <v>0</v>
      </c>
      <c r="G27" s="16"/>
      <c r="H27" s="16">
        <v>0</v>
      </c>
      <c r="I27" s="16"/>
      <c r="J27" s="16">
        <v>0</v>
      </c>
      <c r="K27" s="16"/>
      <c r="L27" s="16">
        <v>-193455.91</v>
      </c>
      <c r="M27" s="16"/>
      <c r="N27" s="16">
        <f>SUM(L27,J27,H27,F27,D27)</f>
        <v>474022.94000000006</v>
      </c>
      <c r="O27" s="1" t="s">
        <v>39</v>
      </c>
    </row>
    <row r="28" spans="1:15" x14ac:dyDescent="0.2">
      <c r="B28" s="1" t="s">
        <v>8</v>
      </c>
      <c r="D28" s="18">
        <f>D27/N27</f>
        <v>1.4081150798313684</v>
      </c>
      <c r="E28" s="18"/>
      <c r="F28" s="18">
        <f>F27/N27</f>
        <v>0</v>
      </c>
      <c r="G28" s="18"/>
      <c r="H28" s="18">
        <f>H27/N27</f>
        <v>0</v>
      </c>
      <c r="I28" s="18"/>
      <c r="J28" s="18">
        <f>J27/N27</f>
        <v>0</v>
      </c>
      <c r="K28" s="18"/>
      <c r="L28" s="18">
        <f>L27/N27</f>
        <v>-0.40811507983136847</v>
      </c>
      <c r="M28" s="18"/>
      <c r="O28" s="16">
        <v>0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37407.64</v>
      </c>
      <c r="E31" s="16"/>
      <c r="F31" s="16">
        <v>1432882.45</v>
      </c>
      <c r="G31" s="16"/>
      <c r="H31" s="16">
        <v>1073124.03</v>
      </c>
      <c r="I31" s="16"/>
      <c r="J31" s="16">
        <v>1216583.96</v>
      </c>
      <c r="K31" s="16"/>
      <c r="L31" s="16">
        <v>3121.04</v>
      </c>
      <c r="M31" s="16"/>
      <c r="N31" s="16">
        <f>SUM(L31,J31,H31,F31,D31)</f>
        <v>3763119.1200000006</v>
      </c>
      <c r="O31" s="1" t="s">
        <v>39</v>
      </c>
    </row>
    <row r="32" spans="1:15" x14ac:dyDescent="0.2">
      <c r="B32" s="1" t="s">
        <v>8</v>
      </c>
      <c r="D32" s="18">
        <f>D31/N31</f>
        <v>9.9405941739096459E-3</v>
      </c>
      <c r="E32" s="18"/>
      <c r="F32" s="18">
        <f>F31/N31</f>
        <v>0.38076988910199572</v>
      </c>
      <c r="G32" s="18"/>
      <c r="H32" s="18">
        <f>H31/N31</f>
        <v>0.28516876446898121</v>
      </c>
      <c r="I32" s="18"/>
      <c r="J32" s="18">
        <f>J31/N31</f>
        <v>0.32329137643668315</v>
      </c>
      <c r="K32" s="18"/>
      <c r="L32" s="18">
        <f>L31/N31</f>
        <v>8.2937581843011115E-4</v>
      </c>
      <c r="M32" s="18"/>
      <c r="O32" s="16">
        <v>0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1134621.68</v>
      </c>
      <c r="E35" s="16"/>
      <c r="F35" s="16">
        <v>2621325.33</v>
      </c>
      <c r="G35" s="16"/>
      <c r="H35" s="16">
        <v>1294099.33</v>
      </c>
      <c r="I35" s="16"/>
      <c r="J35" s="16">
        <v>13832.09</v>
      </c>
      <c r="K35" s="16"/>
      <c r="L35" s="16">
        <f>14521.91+202618.38</f>
        <v>217140.29</v>
      </c>
      <c r="M35" s="16"/>
      <c r="N35" s="16">
        <f>SUM(L35,J35,H35,F35,D35)</f>
        <v>5281018.72</v>
      </c>
      <c r="O35" s="1" t="s">
        <v>39</v>
      </c>
    </row>
    <row r="36" spans="1:15" x14ac:dyDescent="0.2">
      <c r="B36" s="1" t="s">
        <v>8</v>
      </c>
      <c r="D36" s="18">
        <f>D35/N35</f>
        <v>0.21484901685786867</v>
      </c>
      <c r="E36" s="18"/>
      <c r="F36" s="18">
        <f>F35/N35</f>
        <v>0.49636736186384889</v>
      </c>
      <c r="G36" s="18"/>
      <c r="H36" s="18">
        <f>H35/N35</f>
        <v>0.24504729079998416</v>
      </c>
      <c r="I36" s="18"/>
      <c r="J36" s="18">
        <f>J35/N35</f>
        <v>2.6192086666187771E-3</v>
      </c>
      <c r="K36" s="18"/>
      <c r="L36" s="18">
        <f>L35/N35</f>
        <v>4.1117121811679549E-2</v>
      </c>
      <c r="M36" s="18"/>
      <c r="O36" s="16">
        <v>4159714.31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7360946.9499999993</v>
      </c>
      <c r="E39" s="15"/>
      <c r="F39" s="22">
        <f>SUM(F35,F31,F27,F23,F19,F14)</f>
        <v>12754072.539999999</v>
      </c>
      <c r="G39" s="15"/>
      <c r="H39" s="22">
        <f>SUM(H35,H31,H27,H23,H19,H14)</f>
        <v>3601239.37</v>
      </c>
      <c r="I39" s="15"/>
      <c r="J39" s="22">
        <f>SUM(J35,J31,J27,J23,J19,J14)</f>
        <v>1243864.53</v>
      </c>
      <c r="K39" s="15"/>
      <c r="L39" s="22">
        <f>SUM(L35,L31,L27,L23,L19,L14)</f>
        <v>2076835</v>
      </c>
      <c r="M39" s="15"/>
      <c r="N39" s="22">
        <f>SUM(N35,N31,N27,N23,N19,N14)</f>
        <v>27036958.390000001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0.2722549942127569</v>
      </c>
      <c r="E40" s="15"/>
      <c r="F40" s="24">
        <f>F39/N39</f>
        <v>0.47172734284775436</v>
      </c>
      <c r="G40" s="15"/>
      <c r="H40" s="24">
        <f>H39/N39</f>
        <v>0.13319691209540674</v>
      </c>
      <c r="I40" s="15"/>
      <c r="J40" s="24">
        <f>J39/N39</f>
        <v>4.6006082195253914E-2</v>
      </c>
      <c r="K40" s="15"/>
      <c r="L40" s="24">
        <f>L39/N39</f>
        <v>7.6814668648827994E-2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34" right="0.43" top="1" bottom="0.72" header="0.32" footer="0.36"/>
  <pageSetup scale="48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1265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1265" r:id="rId4"/>
      </mc:Fallback>
    </mc:AlternateContent>
    <mc:AlternateContent xmlns:mc="http://schemas.openxmlformats.org/markup-compatibility/2006">
      <mc:Choice Requires="x14">
        <oleObject progId="Word.Document.6" shapeId="11266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1266" r:id="rId6"/>
      </mc:Fallback>
    </mc:AlternateContent>
    <mc:AlternateContent xmlns:mc="http://schemas.openxmlformats.org/markup-compatibility/2006">
      <mc:Choice Requires="x14">
        <oleObject progId="Word.Document.6" shapeId="11267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1267" r:id="rId7"/>
      </mc:Fallback>
    </mc:AlternateContent>
    <mc:AlternateContent xmlns:mc="http://schemas.openxmlformats.org/markup-compatibility/2006">
      <mc:Choice Requires="x14">
        <oleObject progId="Word.Document.6" shapeId="11268" r:id="rId8">
          <objectPr defaultSize="0" autoLine="0" autoPict="0" r:id="rId5">
            <anchor moveWithCells="1">
              <from>
                <xdr:col>0</xdr:col>
                <xdr:colOff>704850</xdr:colOff>
                <xdr:row>4</xdr:row>
                <xdr:rowOff>142875</xdr:rowOff>
              </from>
              <to>
                <xdr:col>0</xdr:col>
                <xdr:colOff>1847850</xdr:colOff>
                <xdr:row>10</xdr:row>
                <xdr:rowOff>161925</xdr:rowOff>
              </to>
            </anchor>
          </objectPr>
        </oleObject>
      </mc:Choice>
      <mc:Fallback>
        <oleObject progId="Word.Document.6" shapeId="11268" r:id="rId8"/>
      </mc:Fallback>
    </mc:AlternateContent>
  </oleObjec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28" zoomScale="85" workbookViewId="0">
      <selection activeCell="K28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5.285156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46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f>8079349.15-469541.88</f>
        <v>7609807.2700000005</v>
      </c>
      <c r="E14" s="16"/>
      <c r="F14" s="16">
        <f>3873847.26</f>
        <v>3873847.26</v>
      </c>
      <c r="G14" s="16"/>
      <c r="H14" s="16">
        <v>2555573.02</v>
      </c>
      <c r="I14" s="16"/>
      <c r="J14" s="16">
        <v>2561652.2999999998</v>
      </c>
      <c r="K14" s="16"/>
      <c r="L14" s="16">
        <f>684+1518118.07</f>
        <v>1518802.07</v>
      </c>
      <c r="M14" s="16"/>
      <c r="N14" s="16">
        <f>SUM(L14,J14,H14,F14,D14)</f>
        <v>18119681.920000002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0.41997466090177371</v>
      </c>
      <c r="E15" s="18"/>
      <c r="F15" s="18">
        <f>F14/N14</f>
        <v>0.21379223305924341</v>
      </c>
      <c r="G15" s="18"/>
      <c r="H15" s="18">
        <v>0</v>
      </c>
      <c r="I15" s="18"/>
      <c r="J15" s="18">
        <v>0</v>
      </c>
      <c r="K15" s="18"/>
      <c r="L15" s="18">
        <f>L14/N14</f>
        <v>8.3820570179192186E-2</v>
      </c>
      <c r="M15" s="18"/>
      <c r="O15" s="16">
        <f>6101574.82</f>
        <v>6101574.8200000003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-4010</v>
      </c>
      <c r="E19" s="16"/>
      <c r="F19" s="16">
        <v>2930191.28</v>
      </c>
      <c r="G19" s="16"/>
      <c r="H19" s="16">
        <v>0</v>
      </c>
      <c r="I19" s="16"/>
      <c r="J19" s="16">
        <v>0</v>
      </c>
      <c r="K19" s="16"/>
      <c r="L19" s="16">
        <f>2005+444405.91</f>
        <v>446410.91</v>
      </c>
      <c r="M19" s="16"/>
      <c r="N19" s="16">
        <f>SUM(L19,J19,H19,F19,D19)</f>
        <v>3372592.19</v>
      </c>
      <c r="O19" s="1" t="s">
        <v>39</v>
      </c>
    </row>
    <row r="20" spans="1:15" x14ac:dyDescent="0.2">
      <c r="B20" s="1" t="s">
        <v>8</v>
      </c>
      <c r="D20" s="18">
        <f>D19/N19</f>
        <v>-1.1889964081308033E-3</v>
      </c>
      <c r="E20" s="18"/>
      <c r="F20" s="18">
        <f>F19/N19</f>
        <v>0.86882466510129697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0.13236433130683375</v>
      </c>
      <c r="M20" s="18"/>
      <c r="O20" s="16">
        <f>1104.17+2817381.12+4670.12</f>
        <v>2823155.41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f>222492.95-212872.29</f>
        <v>9620.6600000000035</v>
      </c>
      <c r="E27" s="16"/>
      <c r="F27" s="16">
        <v>290490.43</v>
      </c>
      <c r="G27" s="16"/>
      <c r="H27" s="16">
        <v>0</v>
      </c>
      <c r="I27" s="16"/>
      <c r="J27" s="16">
        <v>144874.81</v>
      </c>
      <c r="K27" s="16"/>
      <c r="L27" s="16">
        <v>-193455.91</v>
      </c>
      <c r="M27" s="16"/>
      <c r="N27" s="16">
        <f>SUM(L27,J27,H27,F27,D27)</f>
        <v>251529.99</v>
      </c>
      <c r="O27" s="1" t="s">
        <v>39</v>
      </c>
    </row>
    <row r="28" spans="1:15" x14ac:dyDescent="0.2">
      <c r="B28" s="1" t="s">
        <v>8</v>
      </c>
      <c r="D28" s="18">
        <f>D27/N27</f>
        <v>3.8248560340657607E-2</v>
      </c>
      <c r="E28" s="18"/>
      <c r="F28" s="18">
        <f>F27/N27</f>
        <v>1.1548938160415783</v>
      </c>
      <c r="G28" s="18"/>
      <c r="H28" s="18">
        <f>H27/N27</f>
        <v>0</v>
      </c>
      <c r="I28" s="18"/>
      <c r="J28" s="18">
        <f>J27/N27</f>
        <v>0.57597430032100749</v>
      </c>
      <c r="K28" s="18"/>
      <c r="L28" s="18">
        <f>L27/N27</f>
        <v>-0.76911667670324324</v>
      </c>
      <c r="M28" s="18"/>
      <c r="O28" s="16">
        <f>222492.95+222492.95</f>
        <v>444985.9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18617.53</v>
      </c>
      <c r="E31" s="16"/>
      <c r="F31" s="16">
        <v>1073124.03</v>
      </c>
      <c r="G31" s="16"/>
      <c r="H31" s="16">
        <v>1216583.96</v>
      </c>
      <c r="I31" s="16"/>
      <c r="J31" s="16">
        <v>0</v>
      </c>
      <c r="K31" s="16"/>
      <c r="L31" s="16">
        <f>1486802.59+3121.04</f>
        <v>1489923.6300000001</v>
      </c>
      <c r="M31" s="16"/>
      <c r="N31" s="16">
        <f>SUM(L31,J31,H31,F31,D31)</f>
        <v>3798249.15</v>
      </c>
      <c r="O31" s="1" t="s">
        <v>39</v>
      </c>
    </row>
    <row r="32" spans="1:15" x14ac:dyDescent="0.2">
      <c r="B32" s="1" t="s">
        <v>8</v>
      </c>
      <c r="D32" s="18">
        <f>D31/N31</f>
        <v>4.9016084160777079E-3</v>
      </c>
      <c r="E32" s="18"/>
      <c r="F32" s="18">
        <f>F31/N31</f>
        <v>0.28253123679366848</v>
      </c>
      <c r="G32" s="18"/>
      <c r="H32" s="18">
        <f>H31/N31</f>
        <v>0.3203012524862936</v>
      </c>
      <c r="I32" s="18"/>
      <c r="J32" s="18">
        <f>J31/N31</f>
        <v>0</v>
      </c>
      <c r="K32" s="18"/>
      <c r="L32" s="18">
        <f>L31/N31</f>
        <v>0.3922659023039603</v>
      </c>
      <c r="M32" s="18"/>
      <c r="O32" s="16">
        <f>200993.8+1588512.44+1277.6</f>
        <v>1790783.84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1121287.76</v>
      </c>
      <c r="E35" s="16"/>
      <c r="F35" s="16">
        <v>1882035.79</v>
      </c>
      <c r="G35" s="16"/>
      <c r="H35" s="16">
        <v>3241956.12</v>
      </c>
      <c r="I35" s="16"/>
      <c r="J35" s="16">
        <v>513323.97</v>
      </c>
      <c r="K35" s="16"/>
      <c r="L35" s="16">
        <v>462618.38</v>
      </c>
      <c r="M35" s="16"/>
      <c r="N35" s="16">
        <f>SUM(L35,J35,H35,F35,D35)</f>
        <v>7221222.0199999996</v>
      </c>
      <c r="O35" s="1" t="s">
        <v>39</v>
      </c>
    </row>
    <row r="36" spans="1:15" x14ac:dyDescent="0.2">
      <c r="B36" s="1" t="s">
        <v>8</v>
      </c>
      <c r="D36" s="18">
        <f>D35/N35</f>
        <v>0.15527673251071153</v>
      </c>
      <c r="E36" s="18"/>
      <c r="F36" s="18">
        <f>F35/N35</f>
        <v>0.26062566485111338</v>
      </c>
      <c r="G36" s="18"/>
      <c r="H36" s="18">
        <f>H35/N35</f>
        <v>0.44894840665763108</v>
      </c>
      <c r="I36" s="18"/>
      <c r="J36" s="18">
        <f>J35/N35</f>
        <v>7.1085471209483733E-2</v>
      </c>
      <c r="K36" s="18"/>
      <c r="L36" s="18">
        <f>L35/N35</f>
        <v>6.4063724771060288E-2</v>
      </c>
      <c r="M36" s="18"/>
      <c r="O36" s="16">
        <f>2994328.65</f>
        <v>2994328.65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8755323.2200000007</v>
      </c>
      <c r="E39" s="15"/>
      <c r="F39" s="22">
        <f>SUM(F35,F31,F27,F23,F19,F14)</f>
        <v>10049688.789999999</v>
      </c>
      <c r="G39" s="15"/>
      <c r="H39" s="22">
        <f>SUM(H35,H31,H27,H23,H19,H14)</f>
        <v>7014113.0999999996</v>
      </c>
      <c r="I39" s="15"/>
      <c r="J39" s="22">
        <f>SUM(J35,J31,J27,J23,J19,J14)</f>
        <v>3219851.08</v>
      </c>
      <c r="K39" s="15"/>
      <c r="L39" s="22">
        <f>SUM(L35,L31,L27,L23,L19,L14)</f>
        <v>3792994.8400000008</v>
      </c>
      <c r="M39" s="15"/>
      <c r="N39" s="22">
        <f>SUM(N35,N31,N27,N23,N19,N14)</f>
        <v>32831971.030000001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0.26667065501489023</v>
      </c>
      <c r="E40" s="15"/>
      <c r="F40" s="24">
        <f>F39/N39</f>
        <v>0.30609459239645287</v>
      </c>
      <c r="G40" s="15"/>
      <c r="H40" s="24">
        <f>H39/N39</f>
        <v>0.21363667425238952</v>
      </c>
      <c r="I40" s="15"/>
      <c r="J40" s="24">
        <f>J39/N39</f>
        <v>9.8070599448868964E-2</v>
      </c>
      <c r="K40" s="15"/>
      <c r="L40" s="24">
        <f>L39/N39</f>
        <v>0.11552747888739839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75" right="0.75" top="1" bottom="1" header="0.5" footer="0.5"/>
  <pageSetup scale="4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0241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0241" r:id="rId4"/>
      </mc:Fallback>
    </mc:AlternateContent>
    <mc:AlternateContent xmlns:mc="http://schemas.openxmlformats.org/markup-compatibility/2006">
      <mc:Choice Requires="x14">
        <oleObject progId="Word.Document.6" shapeId="10242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0242" r:id="rId6"/>
      </mc:Fallback>
    </mc:AlternateContent>
    <mc:AlternateContent xmlns:mc="http://schemas.openxmlformats.org/markup-compatibility/2006">
      <mc:Choice Requires="x14">
        <oleObject progId="Word.Document.6" shapeId="10243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0243" r:id="rId7"/>
      </mc:Fallback>
    </mc:AlternateContent>
    <mc:AlternateContent xmlns:mc="http://schemas.openxmlformats.org/markup-compatibility/2006">
      <mc:Choice Requires="x14">
        <oleObject progId="Word.Document.6" shapeId="10244" r:id="rId8">
          <objectPr defaultSize="0" autoLine="0" autoPict="0" r:id="rId5">
            <anchor moveWithCells="1">
              <from>
                <xdr:col>0</xdr:col>
                <xdr:colOff>704850</xdr:colOff>
                <xdr:row>4</xdr:row>
                <xdr:rowOff>142875</xdr:rowOff>
              </from>
              <to>
                <xdr:col>0</xdr:col>
                <xdr:colOff>1847850</xdr:colOff>
                <xdr:row>10</xdr:row>
                <xdr:rowOff>161925</xdr:rowOff>
              </to>
            </anchor>
          </objectPr>
        </oleObject>
      </mc:Choice>
      <mc:Fallback>
        <oleObject progId="Word.Document.6" shapeId="10244" r:id="rId8"/>
      </mc:Fallback>
    </mc:AlternateContent>
  </oleObjec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workbookViewId="0">
      <selection activeCell="A5" sqref="A5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5.285156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47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9231160.7699999996</v>
      </c>
      <c r="E14" s="16"/>
      <c r="F14" s="16">
        <v>2555573.02</v>
      </c>
      <c r="G14" s="16"/>
      <c r="H14" s="16">
        <v>5165902.82</v>
      </c>
      <c r="I14" s="16"/>
      <c r="J14" s="16">
        <v>1860114.72</v>
      </c>
      <c r="K14" s="16"/>
      <c r="L14" s="16">
        <f>974385.64+1712084.13</f>
        <v>2686469.77</v>
      </c>
      <c r="M14" s="16"/>
      <c r="N14" s="16">
        <f>SUM(L14,J14,H14,F14,D14)</f>
        <v>21499221.100000001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0.4293718701278903</v>
      </c>
      <c r="E15" s="18"/>
      <c r="F15" s="18">
        <f>F14/N14</f>
        <v>0.11886816774027222</v>
      </c>
      <c r="G15" s="18"/>
      <c r="H15" s="18">
        <v>0</v>
      </c>
      <c r="I15" s="18"/>
      <c r="J15" s="18">
        <v>0</v>
      </c>
      <c r="K15" s="18"/>
      <c r="L15" s="18">
        <f>L14/N14</f>
        <v>0.12495660924199714</v>
      </c>
      <c r="M15" s="18"/>
      <c r="O15" s="16">
        <v>0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1104.17</v>
      </c>
      <c r="E19" s="16"/>
      <c r="F19" s="16">
        <v>2817381.12</v>
      </c>
      <c r="G19" s="16"/>
      <c r="H19" s="16">
        <v>0</v>
      </c>
      <c r="I19" s="16"/>
      <c r="J19" s="16">
        <v>2005</v>
      </c>
      <c r="K19" s="16"/>
      <c r="L19" s="16">
        <v>444405.91</v>
      </c>
      <c r="M19" s="16"/>
      <c r="N19" s="16">
        <f>SUM(L19,J19,H19,F19,D19)</f>
        <v>3264896.2</v>
      </c>
      <c r="O19" s="1" t="s">
        <v>39</v>
      </c>
    </row>
    <row r="20" spans="1:15" x14ac:dyDescent="0.2">
      <c r="A20" s="1">
        <v>463</v>
      </c>
      <c r="B20" s="1" t="s">
        <v>8</v>
      </c>
      <c r="D20" s="18">
        <f>D19/N19</f>
        <v>3.3819451901717429E-4</v>
      </c>
      <c r="E20" s="18"/>
      <c r="F20" s="18">
        <f>F19/N19</f>
        <v>0.86293129931665202</v>
      </c>
      <c r="G20" s="18"/>
      <c r="H20" s="18">
        <f>H19/N19</f>
        <v>0</v>
      </c>
      <c r="I20" s="18"/>
      <c r="J20" s="18">
        <f>J19/N19</f>
        <v>6.1410834439391978E-4</v>
      </c>
      <c r="K20" s="18"/>
      <c r="L20" s="18">
        <f>L19/N19</f>
        <v>0.13611639781993681</v>
      </c>
      <c r="M20" s="18"/>
      <c r="O20" s="16">
        <v>0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f>290490.43-212872.29</f>
        <v>77618.139999999985</v>
      </c>
      <c r="E27" s="16"/>
      <c r="F27" s="16">
        <v>222492.95</v>
      </c>
      <c r="G27" s="16"/>
      <c r="H27" s="16">
        <v>435365.24</v>
      </c>
      <c r="I27" s="16"/>
      <c r="J27" s="16">
        <v>0</v>
      </c>
      <c r="K27" s="16"/>
      <c r="L27" s="16">
        <v>-193455.91</v>
      </c>
      <c r="M27" s="16"/>
      <c r="N27" s="16">
        <f>SUM(L27,J27,H27,F27,D27)</f>
        <v>542020.42000000004</v>
      </c>
      <c r="O27" s="1" t="s">
        <v>39</v>
      </c>
    </row>
    <row r="28" spans="1:15" x14ac:dyDescent="0.2">
      <c r="B28" s="1" t="s">
        <v>8</v>
      </c>
      <c r="D28" s="18">
        <f>D27/N27</f>
        <v>0.14320150521266334</v>
      </c>
      <c r="E28" s="18"/>
      <c r="F28" s="18">
        <f>F27/N27</f>
        <v>0.41048813253198096</v>
      </c>
      <c r="G28" s="18"/>
      <c r="H28" s="18">
        <f>H27/N27</f>
        <v>0.80322663858309984</v>
      </c>
      <c r="I28" s="18"/>
      <c r="J28" s="18">
        <f>J27/N27</f>
        <v>0</v>
      </c>
      <c r="K28" s="18"/>
      <c r="L28" s="18">
        <f>L27/N27</f>
        <v>-0.35691627632774425</v>
      </c>
      <c r="M28" s="18"/>
      <c r="O28" s="16">
        <v>212872.29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1277.5999999999999</v>
      </c>
      <c r="E31" s="16"/>
      <c r="F31" s="16">
        <v>1475809.01</v>
      </c>
      <c r="G31" s="16"/>
      <c r="H31" s="16">
        <v>1588512.44</v>
      </c>
      <c r="I31" s="16"/>
      <c r="J31" s="16">
        <v>2971378.64</v>
      </c>
      <c r="K31" s="16"/>
      <c r="L31" s="16">
        <v>3121.04</v>
      </c>
      <c r="M31" s="16"/>
      <c r="N31" s="16">
        <f>SUM(L31,J31,H31,F31,D31)</f>
        <v>6040098.7299999995</v>
      </c>
      <c r="O31" s="1" t="s">
        <v>39</v>
      </c>
    </row>
    <row r="32" spans="1:15" x14ac:dyDescent="0.2">
      <c r="B32" s="1" t="s">
        <v>8</v>
      </c>
      <c r="D32" s="18">
        <f>D31/N31</f>
        <v>2.1151972130097947E-4</v>
      </c>
      <c r="E32" s="18"/>
      <c r="F32" s="18">
        <f>F31/N31</f>
        <v>0.24433524615581906</v>
      </c>
      <c r="G32" s="18"/>
      <c r="H32" s="18">
        <f>H31/N31</f>
        <v>0.26299444943013373</v>
      </c>
      <c r="I32" s="18"/>
      <c r="J32" s="18">
        <f>J31/N31</f>
        <v>0.49194206466224444</v>
      </c>
      <c r="K32" s="18"/>
      <c r="L32" s="18">
        <f>L31/N31</f>
        <v>5.1672003050188555E-4</v>
      </c>
      <c r="M32" s="18"/>
      <c r="O32" s="16">
        <v>1484576.05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1131743.9099999999</v>
      </c>
      <c r="E35" s="16"/>
      <c r="F35" s="16">
        <v>4013620.31</v>
      </c>
      <c r="G35" s="16"/>
      <c r="H35" s="16">
        <v>1972547.72</v>
      </c>
      <c r="I35" s="16"/>
      <c r="J35" s="16">
        <v>45789.72</v>
      </c>
      <c r="K35" s="16"/>
      <c r="L35" s="16">
        <f>52629.22+663416.07</f>
        <v>716045.28999999992</v>
      </c>
      <c r="M35" s="16"/>
      <c r="N35" s="16">
        <f>SUM(L35,J35,H35,F35,D35)</f>
        <v>7879746.9500000002</v>
      </c>
      <c r="O35" s="1" t="s">
        <v>39</v>
      </c>
    </row>
    <row r="36" spans="1:15" x14ac:dyDescent="0.2">
      <c r="B36" s="1" t="s">
        <v>8</v>
      </c>
      <c r="D36" s="18">
        <f>D35/N35</f>
        <v>0.14362693588783329</v>
      </c>
      <c r="E36" s="18"/>
      <c r="F36" s="18">
        <f>F35/N35</f>
        <v>0.50935903595229026</v>
      </c>
      <c r="G36" s="18"/>
      <c r="H36" s="18">
        <f>H35/N35</f>
        <v>0.25033135359759234</v>
      </c>
      <c r="I36" s="18"/>
      <c r="J36" s="18">
        <f>J35/N35</f>
        <v>5.8110647829877331E-3</v>
      </c>
      <c r="K36" s="18"/>
      <c r="L36" s="18">
        <f>L35/N35</f>
        <v>9.0871609779296258E-2</v>
      </c>
      <c r="M36" s="18"/>
      <c r="O36" s="16">
        <v>3112416.5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10442904.59</v>
      </c>
      <c r="E39" s="15"/>
      <c r="F39" s="22">
        <f>SUM(F35,F31,F27,F23,F19,F14)</f>
        <v>11084876.41</v>
      </c>
      <c r="G39" s="15"/>
      <c r="H39" s="22">
        <f>SUM(H35,H31,H27,H23,H19,H14)</f>
        <v>9162328.2200000007</v>
      </c>
      <c r="I39" s="15"/>
      <c r="J39" s="22">
        <f>SUM(J35,J31,J27,J23,J19,J14)</f>
        <v>4879288.08</v>
      </c>
      <c r="K39" s="15"/>
      <c r="L39" s="22">
        <f>SUM(L35,L31,L27,L23,L19,L14)</f>
        <v>3725281.86</v>
      </c>
      <c r="M39" s="15"/>
      <c r="N39" s="22">
        <f>SUM(N35,N31,N27,N23,N19,N14)</f>
        <v>39294679.159999996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0.26575874426862228</v>
      </c>
      <c r="E40" s="15"/>
      <c r="F40" s="24">
        <f>F39/N39</f>
        <v>0.28209611700517068</v>
      </c>
      <c r="G40" s="15"/>
      <c r="H40" s="24">
        <f>H39/N39</f>
        <v>0.23316969156798178</v>
      </c>
      <c r="I40" s="15"/>
      <c r="J40" s="24">
        <f>J39/N39</f>
        <v>0.12417172462797124</v>
      </c>
      <c r="K40" s="15"/>
      <c r="L40" s="24">
        <f>L39/N39</f>
        <v>9.4803722530254153E-2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75" right="0.75" top="1" bottom="1" header="0.5" footer="0.5"/>
  <pageSetup scale="44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9217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9217" r:id="rId4"/>
      </mc:Fallback>
    </mc:AlternateContent>
    <mc:AlternateContent xmlns:mc="http://schemas.openxmlformats.org/markup-compatibility/2006">
      <mc:Choice Requires="x14">
        <oleObject progId="Word.Document.6" shapeId="9218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9218" r:id="rId6"/>
      </mc:Fallback>
    </mc:AlternateContent>
    <mc:AlternateContent xmlns:mc="http://schemas.openxmlformats.org/markup-compatibility/2006">
      <mc:Choice Requires="x14">
        <oleObject progId="Word.Document.6" shapeId="9219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9219" r:id="rId7"/>
      </mc:Fallback>
    </mc:AlternateContent>
    <mc:AlternateContent xmlns:mc="http://schemas.openxmlformats.org/markup-compatibility/2006">
      <mc:Choice Requires="x14">
        <oleObject progId="Word.Document.6" shapeId="9220" r:id="rId8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9220" r:id="rId8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31" workbookViewId="0">
      <selection activeCell="K31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5.285156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45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8139276.2199999997</v>
      </c>
      <c r="E14" s="16"/>
      <c r="F14" s="16">
        <v>3455362.88</v>
      </c>
      <c r="G14" s="16"/>
      <c r="H14" s="16">
        <v>1859430.72</v>
      </c>
      <c r="I14" s="16"/>
      <c r="J14" s="16">
        <v>974385.64</v>
      </c>
      <c r="K14" s="16"/>
      <c r="L14" s="16">
        <v>1712084.13</v>
      </c>
      <c r="M14" s="16"/>
      <c r="N14" s="16">
        <f>SUM(L14,J14,H14,F14,D14)</f>
        <v>16140539.59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0.50427534808332886</v>
      </c>
      <c r="E15" s="18"/>
      <c r="F15" s="18">
        <f>F14/N14</f>
        <v>0.21407976237304963</v>
      </c>
      <c r="G15" s="18"/>
      <c r="H15" s="18">
        <v>0</v>
      </c>
      <c r="I15" s="18"/>
      <c r="J15" s="18">
        <v>0</v>
      </c>
      <c r="K15" s="18"/>
      <c r="L15" s="18">
        <f>L14/N14</f>
        <v>0.1060735374089188</v>
      </c>
      <c r="M15" s="18"/>
      <c r="O15" s="16">
        <v>0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0</v>
      </c>
      <c r="E19" s="16"/>
      <c r="F19" s="16">
        <v>0</v>
      </c>
      <c r="G19" s="16"/>
      <c r="H19" s="16">
        <v>2005</v>
      </c>
      <c r="I19" s="16"/>
      <c r="J19" s="16">
        <v>0</v>
      </c>
      <c r="K19" s="16"/>
      <c r="L19" s="16">
        <v>444405.91</v>
      </c>
      <c r="M19" s="16"/>
      <c r="N19" s="16">
        <f>SUM(L19,J19,H19,F19,D19)</f>
        <v>446410.91</v>
      </c>
      <c r="O19" s="1" t="s">
        <v>39</v>
      </c>
    </row>
    <row r="20" spans="1:15" x14ac:dyDescent="0.2">
      <c r="A20" s="1">
        <v>463</v>
      </c>
      <c r="B20" s="1" t="s">
        <v>8</v>
      </c>
      <c r="D20" s="18">
        <f>D19/N19</f>
        <v>0</v>
      </c>
      <c r="E20" s="18"/>
      <c r="F20" s="18">
        <f>F19/N19</f>
        <v>0</v>
      </c>
      <c r="G20" s="18"/>
      <c r="H20" s="18">
        <f>H19/N19</f>
        <v>4.4913776860874659E-3</v>
      </c>
      <c r="I20" s="18"/>
      <c r="J20" s="18">
        <f>J19/N19</f>
        <v>0</v>
      </c>
      <c r="K20" s="18"/>
      <c r="L20" s="18">
        <f>L19/N19</f>
        <v>0.99550862231391257</v>
      </c>
      <c r="M20" s="18"/>
      <c r="O20" s="16">
        <f>9973.39+177074.32+3326591.62</f>
        <v>3513639.33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222492.95</v>
      </c>
      <c r="E27" s="16"/>
      <c r="F27" s="16">
        <v>435365.24</v>
      </c>
      <c r="G27" s="16"/>
      <c r="H27" s="16">
        <v>0</v>
      </c>
      <c r="I27" s="16"/>
      <c r="J27" s="16">
        <v>0</v>
      </c>
      <c r="K27" s="16"/>
      <c r="L27" s="16">
        <v>-193455.91</v>
      </c>
      <c r="M27" s="16"/>
      <c r="N27" s="16">
        <f>SUM(L27,J27,H27,F27,D27)</f>
        <v>464402.28</v>
      </c>
      <c r="O27" s="1" t="s">
        <v>39</v>
      </c>
    </row>
    <row r="28" spans="1:15" x14ac:dyDescent="0.2">
      <c r="B28" s="1" t="s">
        <v>8</v>
      </c>
      <c r="D28" s="18">
        <f>D27/N27</f>
        <v>0.47909530073797224</v>
      </c>
      <c r="E28" s="18"/>
      <c r="F28" s="18">
        <f>F27/N27</f>
        <v>0.937474381047397</v>
      </c>
      <c r="G28" s="18"/>
      <c r="H28" s="18">
        <f>H27/N27</f>
        <v>0</v>
      </c>
      <c r="I28" s="18"/>
      <c r="J28" s="18">
        <f>J27/N27</f>
        <v>0</v>
      </c>
      <c r="K28" s="18"/>
      <c r="L28" s="18">
        <f>L27/N27</f>
        <v>-0.41656968178536935</v>
      </c>
      <c r="M28" s="18"/>
      <c r="O28" s="16">
        <v>0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2555.1999999999998</v>
      </c>
      <c r="E31" s="16"/>
      <c r="F31" s="16">
        <v>3075315.03</v>
      </c>
      <c r="G31" s="16"/>
      <c r="H31" s="16">
        <v>1484576.05</v>
      </c>
      <c r="I31" s="16"/>
      <c r="J31" s="16">
        <v>0</v>
      </c>
      <c r="K31" s="16"/>
      <c r="L31" s="16">
        <v>3121.04</v>
      </c>
      <c r="M31" s="16"/>
      <c r="N31" s="16">
        <f>SUM(L31,J31,H31,F31,D31)</f>
        <v>4565567.32</v>
      </c>
      <c r="O31" s="1" t="s">
        <v>39</v>
      </c>
    </row>
    <row r="32" spans="1:15" x14ac:dyDescent="0.2">
      <c r="B32" s="1" t="s">
        <v>8</v>
      </c>
      <c r="D32" s="18">
        <f>D31/N31</f>
        <v>5.5966757708437423E-4</v>
      </c>
      <c r="E32" s="18"/>
      <c r="F32" s="18">
        <f>F31/N31</f>
        <v>0.67358880385537712</v>
      </c>
      <c r="G32" s="18"/>
      <c r="H32" s="18">
        <f>H31/N31</f>
        <v>0.32516792458554744</v>
      </c>
      <c r="I32" s="18"/>
      <c r="J32" s="18">
        <f>J31/N31</f>
        <v>0</v>
      </c>
      <c r="K32" s="18"/>
      <c r="L32" s="18">
        <f>L31/N31</f>
        <v>6.8360398199100475E-4</v>
      </c>
      <c r="M32" s="18"/>
      <c r="O32" s="16">
        <f>1536897.81+16694.79</f>
        <v>1553592.6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2967641.79</v>
      </c>
      <c r="E35" s="16"/>
      <c r="F35" s="16">
        <v>4552270.22</v>
      </c>
      <c r="G35" s="16"/>
      <c r="H35" s="16">
        <v>1046489.72</v>
      </c>
      <c r="I35" s="16"/>
      <c r="J35" s="16">
        <v>52659.22</v>
      </c>
      <c r="K35" s="16"/>
      <c r="L35" s="16">
        <v>833470.97</v>
      </c>
      <c r="M35" s="16"/>
      <c r="N35" s="16">
        <f>SUM(L35,J35,H35,F35,D35)</f>
        <v>9452531.9199999999</v>
      </c>
      <c r="O35" s="1" t="s">
        <v>39</v>
      </c>
    </row>
    <row r="36" spans="1:15" x14ac:dyDescent="0.2">
      <c r="B36" s="1" t="s">
        <v>8</v>
      </c>
      <c r="D36" s="18">
        <f>D35/N35</f>
        <v>0.31395205169537266</v>
      </c>
      <c r="E36" s="18"/>
      <c r="F36" s="18">
        <f>F35/N35</f>
        <v>0.48159268421703461</v>
      </c>
      <c r="G36" s="18"/>
      <c r="H36" s="18">
        <f>H35/N35</f>
        <v>0.11070999059900556</v>
      </c>
      <c r="I36" s="18"/>
      <c r="J36" s="18">
        <f>J35/N35</f>
        <v>5.5709116293573965E-3</v>
      </c>
      <c r="K36" s="18"/>
      <c r="L36" s="18">
        <f>L35/N35</f>
        <v>8.8174361859229777E-2</v>
      </c>
      <c r="M36" s="18"/>
      <c r="O36" s="16">
        <v>3059914.9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11331966.16</v>
      </c>
      <c r="E39" s="15"/>
      <c r="F39" s="22">
        <f>SUM(F35,F31,F27,F23,F19,F14)</f>
        <v>11518313.370000001</v>
      </c>
      <c r="G39" s="15"/>
      <c r="H39" s="22">
        <f>SUM(H35,H31,H27,H23,H19,H14)</f>
        <v>4392501.49</v>
      </c>
      <c r="I39" s="15"/>
      <c r="J39" s="22">
        <f>SUM(J35,J31,J27,J23,J19,J14)</f>
        <v>1027044.86</v>
      </c>
      <c r="K39" s="15"/>
      <c r="L39" s="22">
        <f>SUM(L35,L31,L27,L23,L19,L14)</f>
        <v>2868321.9</v>
      </c>
      <c r="M39" s="15"/>
      <c r="N39" s="22">
        <f>SUM(N35,N31,N27,N23,N19,N14)</f>
        <v>31138147.780000001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0.36392550514126953</v>
      </c>
      <c r="E40" s="15"/>
      <c r="F40" s="24">
        <f>F39/N39</f>
        <v>0.36991003611968859</v>
      </c>
      <c r="G40" s="15"/>
      <c r="H40" s="24">
        <f>H39/N39</f>
        <v>0.14106495739676908</v>
      </c>
      <c r="I40" s="15"/>
      <c r="J40" s="24">
        <f>J39/N39</f>
        <v>3.2983492379070466E-2</v>
      </c>
      <c r="K40" s="15"/>
      <c r="L40" s="24">
        <f>L39/N39</f>
        <v>9.2116008963202364E-2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43" right="0.42" top="1" bottom="1" header="0.5" footer="0.5"/>
  <pageSetup scale="47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8193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8193" r:id="rId4"/>
      </mc:Fallback>
    </mc:AlternateContent>
    <mc:AlternateContent xmlns:mc="http://schemas.openxmlformats.org/markup-compatibility/2006">
      <mc:Choice Requires="x14">
        <oleObject progId="Word.Document.6" shapeId="8194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8194" r:id="rId6"/>
      </mc:Fallback>
    </mc:AlternateContent>
    <mc:AlternateContent xmlns:mc="http://schemas.openxmlformats.org/markup-compatibility/2006">
      <mc:Choice Requires="x14">
        <oleObject progId="Word.Document.6" shapeId="8195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8195" r:id="rId7"/>
      </mc:Fallback>
    </mc:AlternateContent>
    <mc:AlternateContent xmlns:mc="http://schemas.openxmlformats.org/markup-compatibility/2006">
      <mc:Choice Requires="x14">
        <oleObject progId="Word.Document.6" shapeId="8196" r:id="rId8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8196" r:id="rId8"/>
      </mc:Fallback>
    </mc:AlternateContent>
  </oleObjec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28" workbookViewId="0">
      <selection activeCell="K28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5.285156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44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7716132.0599999996</v>
      </c>
      <c r="E14" s="16"/>
      <c r="F14" s="16">
        <v>1859430.72</v>
      </c>
      <c r="G14" s="16"/>
      <c r="H14" s="16">
        <v>974385.64</v>
      </c>
      <c r="I14" s="16"/>
      <c r="J14" s="16">
        <v>-2000</v>
      </c>
      <c r="K14" s="16"/>
      <c r="L14" s="16">
        <v>1714084.13</v>
      </c>
      <c r="M14" s="16"/>
      <c r="N14" s="16">
        <f>SUM(L14,J14,H14,F14,D14)</f>
        <v>12262032.550000001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0.62927023138590499</v>
      </c>
      <c r="E15" s="18"/>
      <c r="F15" s="18">
        <f>F14/N14</f>
        <v>0.15164131333185865</v>
      </c>
      <c r="G15" s="18"/>
      <c r="H15" s="18">
        <v>0</v>
      </c>
      <c r="I15" s="18"/>
      <c r="J15" s="18">
        <v>0</v>
      </c>
      <c r="K15" s="18"/>
      <c r="L15" s="18">
        <f>L14/N14</f>
        <v>0.13978792855186148</v>
      </c>
      <c r="M15" s="18"/>
      <c r="O15" s="16">
        <v>8249472.3200000003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0</v>
      </c>
      <c r="E19" s="16"/>
      <c r="F19" s="16">
        <v>3394818.78</v>
      </c>
      <c r="G19" s="16"/>
      <c r="H19" s="16">
        <v>120825.55</v>
      </c>
      <c r="I19" s="16"/>
      <c r="J19" s="16">
        <v>0</v>
      </c>
      <c r="K19" s="16"/>
      <c r="L19" s="16">
        <v>444405.91</v>
      </c>
      <c r="M19" s="16"/>
      <c r="N19" s="16">
        <f>SUM(L19,J19,H19,F19,D19)</f>
        <v>3960050.2399999998</v>
      </c>
      <c r="O19" s="1" t="s">
        <v>39</v>
      </c>
    </row>
    <row r="20" spans="1:15" x14ac:dyDescent="0.2">
      <c r="A20" s="1">
        <v>463</v>
      </c>
      <c r="B20" s="1" t="s">
        <v>8</v>
      </c>
      <c r="D20" s="18">
        <f>D19/N19</f>
        <v>0</v>
      </c>
      <c r="E20" s="18"/>
      <c r="F20" s="18">
        <f>F19/N19</f>
        <v>0.85726659366826619</v>
      </c>
      <c r="G20" s="18"/>
      <c r="H20" s="18">
        <f>H19/N19</f>
        <v>3.0511115434737519E-2</v>
      </c>
      <c r="I20" s="18"/>
      <c r="J20" s="18">
        <f>J19/N19</f>
        <v>0</v>
      </c>
      <c r="K20" s="18"/>
      <c r="L20" s="18">
        <f>L19/N19</f>
        <v>0.1122222908969963</v>
      </c>
      <c r="M20" s="18"/>
      <c r="O20" s="16">
        <v>1503714.38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435365.24</v>
      </c>
      <c r="E27" s="16"/>
      <c r="F27" s="16">
        <v>-144874.81</v>
      </c>
      <c r="G27" s="16"/>
      <c r="H27" s="16">
        <v>0</v>
      </c>
      <c r="I27" s="16"/>
      <c r="J27" s="16">
        <v>4011.82</v>
      </c>
      <c r="K27" s="16"/>
      <c r="L27" s="16">
        <v>-52592.92</v>
      </c>
      <c r="M27" s="16"/>
      <c r="N27" s="16">
        <f>SUM(L27,J27,H27,F27,D27)</f>
        <v>241909.33</v>
      </c>
      <c r="O27" s="1" t="s">
        <v>39</v>
      </c>
    </row>
    <row r="28" spans="1:15" x14ac:dyDescent="0.2">
      <c r="B28" s="1" t="s">
        <v>8</v>
      </c>
      <c r="D28" s="18">
        <f>D27/N27</f>
        <v>1.7997042114911401</v>
      </c>
      <c r="E28" s="18"/>
      <c r="F28" s="18">
        <f>F27/N27</f>
        <v>-0.59888062192557845</v>
      </c>
      <c r="G28" s="18"/>
      <c r="H28" s="18">
        <f>H27/N27</f>
        <v>0</v>
      </c>
      <c r="I28" s="18"/>
      <c r="J28" s="18">
        <f>J27/N27</f>
        <v>1.6583982106022948E-2</v>
      </c>
      <c r="K28" s="18"/>
      <c r="L28" s="18">
        <f>L27/N27</f>
        <v>-0.21740757167158456</v>
      </c>
      <c r="M28" s="18"/>
      <c r="O28" s="16">
        <v>0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1486802.59</v>
      </c>
      <c r="E31" s="16"/>
      <c r="F31" s="16">
        <v>1501270.84</v>
      </c>
      <c r="G31" s="16"/>
      <c r="H31" s="16">
        <v>0</v>
      </c>
      <c r="I31" s="16"/>
      <c r="J31" s="16">
        <v>1536897.81</v>
      </c>
      <c r="K31" s="16"/>
      <c r="L31" s="16">
        <v>3121.04</v>
      </c>
      <c r="M31" s="16"/>
      <c r="N31" s="16">
        <f>SUM(L31,J31,H31,F31,D31)</f>
        <v>4528092.28</v>
      </c>
      <c r="O31" s="1" t="s">
        <v>39</v>
      </c>
    </row>
    <row r="32" spans="1:15" x14ac:dyDescent="0.2">
      <c r="B32" s="1" t="s">
        <v>8</v>
      </c>
      <c r="D32" s="18">
        <f>D31/N31</f>
        <v>0.32835077071353325</v>
      </c>
      <c r="E32" s="18"/>
      <c r="F32" s="18">
        <f>F31/N31</f>
        <v>0.33154599048939876</v>
      </c>
      <c r="G32" s="18"/>
      <c r="H32" s="18">
        <f>H31/N31</f>
        <v>0</v>
      </c>
      <c r="I32" s="18"/>
      <c r="J32" s="18">
        <f>J31/N31</f>
        <v>0.33941397722574679</v>
      </c>
      <c r="K32" s="18"/>
      <c r="L32" s="18">
        <f>L31/N31</f>
        <v>6.8926157132115687E-4</v>
      </c>
      <c r="M32" s="18"/>
      <c r="O32" s="16">
        <v>1204941.97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2673331.44</v>
      </c>
      <c r="E35" s="16"/>
      <c r="F35" s="16">
        <v>3219397.62</v>
      </c>
      <c r="G35" s="16"/>
      <c r="H35" s="16">
        <v>438993.22</v>
      </c>
      <c r="I35" s="16"/>
      <c r="J35" s="16">
        <v>578948.05000000005</v>
      </c>
      <c r="K35" s="16"/>
      <c r="L35" s="16">
        <v>207855.43</v>
      </c>
      <c r="M35" s="16"/>
      <c r="N35" s="16">
        <f>SUM(L35,J35,H35,F35,D35)</f>
        <v>7118525.7599999998</v>
      </c>
      <c r="O35" s="1" t="s">
        <v>39</v>
      </c>
    </row>
    <row r="36" spans="1:15" x14ac:dyDescent="0.2">
      <c r="B36" s="1" t="s">
        <v>8</v>
      </c>
      <c r="D36" s="18">
        <f>D35/N35</f>
        <v>0.3755456579256658</v>
      </c>
      <c r="E36" s="18"/>
      <c r="F36" s="18">
        <f>F35/N35</f>
        <v>0.4522562295258169</v>
      </c>
      <c r="G36" s="18"/>
      <c r="H36" s="18">
        <f>H35/N35</f>
        <v>6.1669120096012685E-2</v>
      </c>
      <c r="I36" s="18"/>
      <c r="J36" s="18">
        <f>J35/N35</f>
        <v>8.1329768201892416E-2</v>
      </c>
      <c r="K36" s="18"/>
      <c r="L36" s="18">
        <f>L35/N35</f>
        <v>2.9199224250612249E-2</v>
      </c>
      <c r="M36" s="18"/>
      <c r="O36" s="16">
        <v>3341912.89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12311631.33</v>
      </c>
      <c r="E39" s="15"/>
      <c r="F39" s="22">
        <f>SUM(F35,F31,F27,F23,F19,F14)</f>
        <v>9830043.1500000004</v>
      </c>
      <c r="G39" s="15"/>
      <c r="H39" s="22">
        <f>SUM(H35,H31,H27,H23,H19,H14)</f>
        <v>1534204.4100000001</v>
      </c>
      <c r="I39" s="15"/>
      <c r="J39" s="22">
        <f>SUM(J35,J31,J27,J23,J19,J14)</f>
        <v>2117857.6800000002</v>
      </c>
      <c r="K39" s="15"/>
      <c r="L39" s="22">
        <f>SUM(L35,L31,L27,L23,L19,L14)</f>
        <v>2385569.3499999996</v>
      </c>
      <c r="M39" s="15"/>
      <c r="N39" s="22">
        <f>SUM(N35,N31,N27,N23,N19,N14)</f>
        <v>28179305.920000002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0.4369032851608291</v>
      </c>
      <c r="E40" s="15"/>
      <c r="F40" s="24">
        <f>F39/N39</f>
        <v>0.34883907992294511</v>
      </c>
      <c r="G40" s="15"/>
      <c r="H40" s="24">
        <f>H39/N39</f>
        <v>5.4444364753182678E-2</v>
      </c>
      <c r="I40" s="15"/>
      <c r="J40" s="24">
        <f>J39/N39</f>
        <v>7.515648845335364E-2</v>
      </c>
      <c r="K40" s="15"/>
      <c r="L40" s="24">
        <f>L39/N39</f>
        <v>8.4656781709689446E-2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28999999999999998" right="0.4" top="1" bottom="1" header="0.5" footer="0.5"/>
  <pageSetup scale="48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7169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7169" r:id="rId4"/>
      </mc:Fallback>
    </mc:AlternateContent>
    <mc:AlternateContent xmlns:mc="http://schemas.openxmlformats.org/markup-compatibility/2006">
      <mc:Choice Requires="x14">
        <oleObject progId="Word.Document.6" shapeId="7170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7170" r:id="rId6"/>
      </mc:Fallback>
    </mc:AlternateContent>
    <mc:AlternateContent xmlns:mc="http://schemas.openxmlformats.org/markup-compatibility/2006">
      <mc:Choice Requires="x14">
        <oleObject progId="Word.Document.6" shapeId="7171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7171" r:id="rId7"/>
      </mc:Fallback>
    </mc:AlternateContent>
    <mc:AlternateContent xmlns:mc="http://schemas.openxmlformats.org/markup-compatibility/2006">
      <mc:Choice Requires="x14">
        <oleObject progId="Word.Document.6" shapeId="7172" r:id="rId8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7172" r:id="rId8"/>
      </mc:Fallback>
    </mc:AlternateContent>
  </oleObjec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28" workbookViewId="0">
      <selection activeCell="K28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5.285156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43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7024991.54</v>
      </c>
      <c r="E14" s="16"/>
      <c r="F14" s="16">
        <v>4853352.3499999996</v>
      </c>
      <c r="G14" s="16"/>
      <c r="H14" s="16">
        <v>0</v>
      </c>
      <c r="I14" s="16"/>
      <c r="J14" s="16">
        <v>1539</v>
      </c>
      <c r="K14" s="16"/>
      <c r="L14" s="16">
        <v>6081050.7400000002</v>
      </c>
      <c r="M14" s="16"/>
      <c r="N14" s="16">
        <f>SUM(L14,J14,H14,F14,D14)</f>
        <v>17960933.629999999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0.3911261900253456</v>
      </c>
      <c r="E15" s="18"/>
      <c r="F15" s="18">
        <f>F14/N14</f>
        <v>0.27021715295988208</v>
      </c>
      <c r="G15" s="18"/>
      <c r="H15" s="18">
        <v>0</v>
      </c>
      <c r="I15" s="18"/>
      <c r="J15" s="18">
        <v>0</v>
      </c>
      <c r="K15" s="18"/>
      <c r="L15" s="18">
        <f>L14/N14</f>
        <v>0.33857097104589662</v>
      </c>
      <c r="M15" s="18"/>
      <c r="O15" s="16">
        <v>2986712.47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2005</v>
      </c>
      <c r="E19" s="16"/>
      <c r="F19" s="16">
        <f>183708.79-62883.24</f>
        <v>120825.55000000002</v>
      </c>
      <c r="G19" s="16"/>
      <c r="H19" s="16">
        <v>1503714.38</v>
      </c>
      <c r="I19" s="16"/>
      <c r="J19" s="16">
        <v>0</v>
      </c>
      <c r="K19" s="16"/>
      <c r="L19" s="16">
        <v>444405.91</v>
      </c>
      <c r="M19" s="16"/>
      <c r="N19" s="16">
        <f>SUM(L19,J19,H19,F19,D19)</f>
        <v>2070950.8399999999</v>
      </c>
      <c r="O19" s="1" t="s">
        <v>39</v>
      </c>
    </row>
    <row r="20" spans="1:15" x14ac:dyDescent="0.2">
      <c r="A20" s="1">
        <v>463</v>
      </c>
      <c r="B20" s="1" t="s">
        <v>8</v>
      </c>
      <c r="D20" s="18">
        <f>D19/N19</f>
        <v>9.6815431891179035E-4</v>
      </c>
      <c r="E20" s="18"/>
      <c r="F20" s="18">
        <f>F19/N19</f>
        <v>5.8343031455058599E-2</v>
      </c>
      <c r="G20" s="18"/>
      <c r="H20" s="18">
        <f>H19/N19</f>
        <v>0.72609853935499502</v>
      </c>
      <c r="I20" s="18"/>
      <c r="J20" s="18">
        <f>J19/N19</f>
        <v>0</v>
      </c>
      <c r="K20" s="18"/>
      <c r="L20" s="18">
        <f>L19/N19</f>
        <v>0.2145902748710346</v>
      </c>
      <c r="M20" s="18"/>
      <c r="O20" s="16">
        <v>2896377.45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289749.62</v>
      </c>
      <c r="E27" s="16"/>
      <c r="F27" s="16">
        <v>0</v>
      </c>
      <c r="G27" s="16"/>
      <c r="H27" s="16">
        <v>4011.82</v>
      </c>
      <c r="I27" s="16"/>
      <c r="J27" s="16">
        <v>144874.81</v>
      </c>
      <c r="K27" s="16"/>
      <c r="L27" s="16">
        <f>-197492.73+25</f>
        <v>-197467.73</v>
      </c>
      <c r="M27" s="16"/>
      <c r="N27" s="16">
        <f>SUM(L27,J27,H27,F27,D27)</f>
        <v>241168.52</v>
      </c>
      <c r="O27" s="1" t="s">
        <v>39</v>
      </c>
    </row>
    <row r="28" spans="1:15" x14ac:dyDescent="0.2">
      <c r="B28" s="1" t="s">
        <v>8</v>
      </c>
      <c r="D28" s="18">
        <f>D27/N27</f>
        <v>1.2014404699253451</v>
      </c>
      <c r="E28" s="18"/>
      <c r="F28" s="18">
        <f>F27/N27</f>
        <v>0</v>
      </c>
      <c r="G28" s="18"/>
      <c r="H28" s="18">
        <f>H27/N27</f>
        <v>1.6634923994226114E-2</v>
      </c>
      <c r="I28" s="18"/>
      <c r="J28" s="18">
        <f>J27/N27</f>
        <v>0.60072023496267257</v>
      </c>
      <c r="K28" s="18"/>
      <c r="L28" s="18">
        <f>L27/N27</f>
        <v>-0.81879562888224389</v>
      </c>
      <c r="M28" s="18"/>
      <c r="O28" s="16">
        <v>652.21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1484576.05</v>
      </c>
      <c r="E31" s="16"/>
      <c r="F31" s="16">
        <v>-9525.33</v>
      </c>
      <c r="G31" s="16"/>
      <c r="H31" s="16">
        <v>1536897.81</v>
      </c>
      <c r="I31" s="16"/>
      <c r="J31" s="16">
        <v>1217777.54</v>
      </c>
      <c r="K31" s="16"/>
      <c r="L31" s="16">
        <v>-189.2</v>
      </c>
      <c r="M31" s="16"/>
      <c r="N31" s="16">
        <f>SUM(L31,J31,H31,F31,D31)</f>
        <v>4229536.87</v>
      </c>
      <c r="O31" s="1" t="s">
        <v>39</v>
      </c>
    </row>
    <row r="32" spans="1:15" x14ac:dyDescent="0.2">
      <c r="B32" s="1" t="s">
        <v>8</v>
      </c>
      <c r="D32" s="18">
        <f>D31/N31</f>
        <v>0.35100203535996127</v>
      </c>
      <c r="E32" s="18"/>
      <c r="F32" s="18">
        <f>F31/N31</f>
        <v>-2.2520976392386904E-3</v>
      </c>
      <c r="G32" s="18"/>
      <c r="H32" s="18">
        <f>H31/N31</f>
        <v>0.3633726001778535</v>
      </c>
      <c r="I32" s="18"/>
      <c r="J32" s="18">
        <f>J31/N31</f>
        <v>0.28792219513149675</v>
      </c>
      <c r="K32" s="18"/>
      <c r="L32" s="18">
        <f>L31/N31</f>
        <v>-4.473303007286469E-5</v>
      </c>
      <c r="M32" s="18"/>
      <c r="O32" s="16">
        <v>1604419.57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0</v>
      </c>
      <c r="E35" s="16"/>
      <c r="F35" s="16">
        <v>2586962.08</v>
      </c>
      <c r="G35" s="16"/>
      <c r="H35" s="16">
        <v>613143.35</v>
      </c>
      <c r="I35" s="16"/>
      <c r="J35" s="16">
        <v>1078218.44</v>
      </c>
      <c r="K35" s="16"/>
      <c r="L35" s="16">
        <v>289392.93</v>
      </c>
      <c r="M35" s="16"/>
      <c r="N35" s="16">
        <f>SUM(L35,J35,H35,F35,D35)</f>
        <v>4567716.8</v>
      </c>
      <c r="O35" s="1" t="s">
        <v>39</v>
      </c>
    </row>
    <row r="36" spans="1:15" x14ac:dyDescent="0.2">
      <c r="B36" s="1" t="s">
        <v>8</v>
      </c>
      <c r="D36" s="18">
        <f>D35/N35</f>
        <v>0</v>
      </c>
      <c r="E36" s="18"/>
      <c r="F36" s="18">
        <f>F35/N35</f>
        <v>0.56635780922319878</v>
      </c>
      <c r="G36" s="18"/>
      <c r="H36" s="18">
        <f>H35/N35</f>
        <v>0.13423409918933679</v>
      </c>
      <c r="I36" s="18"/>
      <c r="J36" s="18">
        <f>J35/N35</f>
        <v>0.23605194612765834</v>
      </c>
      <c r="K36" s="18"/>
      <c r="L36" s="18">
        <f>L35/N35</f>
        <v>6.3356145459806085E-2</v>
      </c>
      <c r="M36" s="18"/>
      <c r="O36" s="16">
        <v>978679.13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8801322.2100000009</v>
      </c>
      <c r="E39" s="15"/>
      <c r="F39" s="22">
        <f>SUM(F35,F31,F27,F23,F19,F14)</f>
        <v>7551614.6499999994</v>
      </c>
      <c r="G39" s="15"/>
      <c r="H39" s="22">
        <f>SUM(H35,H31,H27,H23,H19,H14)</f>
        <v>3657767.36</v>
      </c>
      <c r="I39" s="15"/>
      <c r="J39" s="22">
        <f>SUM(J35,J31,J27,J23,J19,J14)</f>
        <v>2442409.79</v>
      </c>
      <c r="K39" s="15"/>
      <c r="L39" s="22">
        <f>SUM(L35,L31,L27,L23,L19,L14)</f>
        <v>6685888.4100000001</v>
      </c>
      <c r="M39" s="15"/>
      <c r="N39" s="22">
        <f>SUM(N35,N31,N27,N23,N19,N14)</f>
        <v>29139002.419999998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0.30204610587351743</v>
      </c>
      <c r="E40" s="15"/>
      <c r="F40" s="24">
        <f>F39/N39</f>
        <v>0.25915831095222513</v>
      </c>
      <c r="G40" s="15"/>
      <c r="H40" s="24">
        <f>H39/N39</f>
        <v>0.12552822870454328</v>
      </c>
      <c r="I40" s="15"/>
      <c r="J40" s="24">
        <f>J39/N39</f>
        <v>8.3819265834701839E-2</v>
      </c>
      <c r="K40" s="15"/>
      <c r="L40" s="24">
        <f>L39/N39</f>
        <v>0.2294480886350124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75" right="0.75" top="1" bottom="1" header="0.5" footer="0.5"/>
  <pageSetup scale="44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6145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6145" r:id="rId4"/>
      </mc:Fallback>
    </mc:AlternateContent>
    <mc:AlternateContent xmlns:mc="http://schemas.openxmlformats.org/markup-compatibility/2006">
      <mc:Choice Requires="x14">
        <oleObject progId="Word.Document.6" shapeId="6146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6146" r:id="rId6"/>
      </mc:Fallback>
    </mc:AlternateContent>
    <mc:AlternateContent xmlns:mc="http://schemas.openxmlformats.org/markup-compatibility/2006">
      <mc:Choice Requires="x14">
        <oleObject progId="Word.Document.6" shapeId="6147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6147" r:id="rId7"/>
      </mc:Fallback>
    </mc:AlternateContent>
    <mc:AlternateContent xmlns:mc="http://schemas.openxmlformats.org/markup-compatibility/2006">
      <mc:Choice Requires="x14">
        <oleObject progId="Word.Document.6" shapeId="6148" r:id="rId8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6148" r:id="rId8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8"/>
  <sheetViews>
    <sheetView topLeftCell="J10" workbookViewId="0">
      <selection activeCell="J10" sqref="J10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6.57031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61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0</v>
      </c>
      <c r="E14" s="16"/>
      <c r="F14" s="16">
        <v>3995609.14</v>
      </c>
      <c r="G14" s="16"/>
      <c r="H14" s="16">
        <v>4246004.18</v>
      </c>
      <c r="I14" s="16"/>
      <c r="J14" s="16">
        <v>1480001.13</v>
      </c>
      <c r="K14" s="16"/>
      <c r="L14" s="16">
        <v>18408675.149999999</v>
      </c>
      <c r="M14" s="16"/>
      <c r="N14" s="16">
        <f>SUM(L14,J14,H14,F14,D14)</f>
        <v>28130289.599999998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</v>
      </c>
      <c r="E15" s="18"/>
      <c r="F15" s="18">
        <f>F14/N14</f>
        <v>0.14203938874486385</v>
      </c>
      <c r="G15" s="18"/>
      <c r="H15" s="18">
        <v>0</v>
      </c>
      <c r="I15" s="18"/>
      <c r="J15" s="18">
        <v>0</v>
      </c>
      <c r="K15" s="18"/>
      <c r="L15" s="18">
        <f>L14/N14</f>
        <v>0.65440759450979846</v>
      </c>
      <c r="M15" s="18"/>
      <c r="O15" s="16">
        <v>0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0</v>
      </c>
      <c r="E19" s="16"/>
      <c r="F19" s="16">
        <v>0</v>
      </c>
      <c r="G19" s="16"/>
      <c r="H19" s="16">
        <v>0</v>
      </c>
      <c r="I19" s="16"/>
      <c r="J19" s="16">
        <v>0</v>
      </c>
      <c r="K19" s="16"/>
      <c r="L19" s="16">
        <v>361082.48</v>
      </c>
      <c r="M19" s="16"/>
      <c r="N19" s="16">
        <f>SUM(L19,J19,H19,F19,D19)</f>
        <v>361082.48</v>
      </c>
      <c r="O19" s="1" t="s">
        <v>39</v>
      </c>
    </row>
    <row r="20" spans="1:15" x14ac:dyDescent="0.2">
      <c r="B20" s="1" t="s">
        <v>8</v>
      </c>
      <c r="D20" s="18">
        <f>D19/N19</f>
        <v>0</v>
      </c>
      <c r="E20" s="18"/>
      <c r="F20" s="18">
        <f>F19/N19</f>
        <v>0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1</v>
      </c>
      <c r="M20" s="18"/>
      <c r="O20" s="16">
        <v>2607998.87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15</v>
      </c>
      <c r="B23" s="1" t="s">
        <v>7</v>
      </c>
      <c r="D23" s="16">
        <v>666128.31000000006</v>
      </c>
      <c r="E23" s="16"/>
      <c r="F23" s="16">
        <v>0</v>
      </c>
      <c r="G23" s="16"/>
      <c r="H23" s="16">
        <v>222042.41</v>
      </c>
      <c r="I23" s="16"/>
      <c r="J23" s="16">
        <v>222042.83</v>
      </c>
      <c r="K23" s="16"/>
      <c r="L23" s="16">
        <f>220242.35+581497.16</f>
        <v>801739.51</v>
      </c>
      <c r="M23" s="16"/>
      <c r="N23" s="16">
        <f>SUM(L23,J23,H23,F23,D23)</f>
        <v>1911953.06</v>
      </c>
      <c r="O23" s="1" t="s">
        <v>39</v>
      </c>
    </row>
    <row r="24" spans="1:15" x14ac:dyDescent="0.2">
      <c r="B24" s="1" t="s">
        <v>8</v>
      </c>
      <c r="D24" s="18">
        <f>D23/N23</f>
        <v>0.3484020209157227</v>
      </c>
      <c r="E24" s="18"/>
      <c r="F24" s="18">
        <f>F23/N23</f>
        <v>0</v>
      </c>
      <c r="G24" s="18"/>
      <c r="H24" s="18">
        <f>H23/N23</f>
        <v>0.11613381868276619</v>
      </c>
      <c r="I24" s="18"/>
      <c r="J24" s="18">
        <f>J23/N23</f>
        <v>0.11613403835343111</v>
      </c>
      <c r="K24" s="18"/>
      <c r="L24" s="18">
        <f>L23/N23</f>
        <v>0.41933012204807996</v>
      </c>
      <c r="M24" s="18"/>
      <c r="O24" s="16">
        <v>0</v>
      </c>
    </row>
    <row r="25" spans="1:15" x14ac:dyDescent="0.2">
      <c r="F25" s="16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18</v>
      </c>
      <c r="B27" s="1" t="s">
        <v>7</v>
      </c>
      <c r="D27" s="16">
        <v>1241186.19</v>
      </c>
      <c r="E27" s="16"/>
      <c r="F27" s="16">
        <v>0</v>
      </c>
      <c r="G27" s="16"/>
      <c r="H27" s="16">
        <v>1395232.05</v>
      </c>
      <c r="I27" s="16"/>
      <c r="J27" s="16">
        <v>0</v>
      </c>
      <c r="K27" s="16"/>
      <c r="L27" s="16">
        <v>74964.58</v>
      </c>
      <c r="M27" s="16"/>
      <c r="N27" s="16">
        <f>SUM(L27,J27,H27,F27,D27)</f>
        <v>2711382.8200000003</v>
      </c>
      <c r="O27" s="1" t="s">
        <v>39</v>
      </c>
    </row>
    <row r="28" spans="1:15" x14ac:dyDescent="0.2">
      <c r="B28" s="1" t="s">
        <v>8</v>
      </c>
      <c r="D28" s="18">
        <f>D27/N27</f>
        <v>0.45776870047439477</v>
      </c>
      <c r="E28" s="18"/>
      <c r="F28" s="18">
        <f>F27/N27</f>
        <v>0</v>
      </c>
      <c r="G28" s="18"/>
      <c r="H28" s="18">
        <f>H27/N27</f>
        <v>0.51458320075952979</v>
      </c>
      <c r="I28" s="18"/>
      <c r="J28" s="18">
        <f>J27/N27</f>
        <v>0</v>
      </c>
      <c r="K28" s="18"/>
      <c r="L28" s="18">
        <f>L27/N27</f>
        <v>2.7648098766075383E-2</v>
      </c>
      <c r="M28" s="18"/>
      <c r="O28" s="16"/>
    </row>
    <row r="29" spans="1:15" x14ac:dyDescent="0.2">
      <c r="F29" s="2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3"/>
      <c r="O30" s="12"/>
    </row>
    <row r="31" spans="1:15" ht="15.75" x14ac:dyDescent="0.25">
      <c r="A31" s="15" t="s">
        <v>19</v>
      </c>
      <c r="B31" s="1" t="s">
        <v>7</v>
      </c>
      <c r="D31" s="16">
        <v>5724350.4400000004</v>
      </c>
      <c r="E31" s="16"/>
      <c r="F31" s="16">
        <v>4147270.02</v>
      </c>
      <c r="G31" s="16"/>
      <c r="H31" s="16">
        <v>762082.3</v>
      </c>
      <c r="I31" s="16"/>
      <c r="J31" s="16">
        <v>297628.78000000003</v>
      </c>
      <c r="K31" s="16"/>
      <c r="L31" s="16">
        <f>453522.66-36038.09</f>
        <v>417484.56999999995</v>
      </c>
      <c r="M31" s="16"/>
      <c r="N31" s="16">
        <f>SUM(L31,J31,H31,F31,D31)</f>
        <v>11348816.109999999</v>
      </c>
      <c r="O31" s="1" t="s">
        <v>39</v>
      </c>
    </row>
    <row r="32" spans="1:15" x14ac:dyDescent="0.2">
      <c r="B32" s="1" t="s">
        <v>8</v>
      </c>
      <c r="D32" s="18">
        <f>D31/N31</f>
        <v>0.50440066915490811</v>
      </c>
      <c r="E32" s="18"/>
      <c r="F32" s="18">
        <f>F31/N31</f>
        <v>0.36543635739640162</v>
      </c>
      <c r="G32" s="18"/>
      <c r="H32" s="18">
        <f>H31/N31</f>
        <v>6.7150819311319346E-2</v>
      </c>
      <c r="I32" s="18"/>
      <c r="J32" s="18">
        <f>J31/N31</f>
        <v>2.6225535519757405E-2</v>
      </c>
      <c r="K32" s="18"/>
      <c r="L32" s="18">
        <f>L31/N31</f>
        <v>3.6786618617613669E-2</v>
      </c>
      <c r="M32" s="18"/>
      <c r="O32" s="16">
        <f>5165558.61+633377+211786</f>
        <v>6010721.6100000003</v>
      </c>
    </row>
    <row r="33" spans="1:15" x14ac:dyDescent="0.2">
      <c r="D33" s="18"/>
      <c r="E33" s="18"/>
      <c r="F33" s="18"/>
      <c r="G33" s="18"/>
      <c r="H33" s="18"/>
      <c r="I33" s="18"/>
      <c r="J33" s="18"/>
      <c r="K33" s="18"/>
      <c r="L33" s="18"/>
      <c r="M33" s="18"/>
    </row>
    <row r="34" spans="1:15" s="14" customFormat="1" x14ac:dyDescent="0.2">
      <c r="A34" s="12"/>
      <c r="B34" s="12"/>
      <c r="C34" s="12"/>
      <c r="D34" s="12"/>
      <c r="E34" s="12"/>
      <c r="F34" s="13"/>
      <c r="G34" s="13"/>
      <c r="H34" s="13"/>
      <c r="I34" s="13"/>
      <c r="J34" s="13"/>
      <c r="K34" s="13"/>
      <c r="L34" s="13"/>
      <c r="M34" s="13"/>
      <c r="N34" s="13"/>
      <c r="O34" s="12"/>
    </row>
    <row r="35" spans="1:15" s="23" customFormat="1" ht="15.75" x14ac:dyDescent="0.25">
      <c r="A35" s="15" t="s">
        <v>20</v>
      </c>
      <c r="B35" s="15" t="s">
        <v>7</v>
      </c>
      <c r="C35" s="15"/>
      <c r="D35" s="22">
        <f>SUM(D31,D27,D23,D19,D14)</f>
        <v>7631664.9400000013</v>
      </c>
      <c r="E35" s="15"/>
      <c r="F35" s="22">
        <f>SUM(F31,F27,F23,F19,F14)</f>
        <v>8142879.1600000001</v>
      </c>
      <c r="G35" s="15"/>
      <c r="H35" s="22">
        <f>SUM(H31,H27,H23,H19,H14)</f>
        <v>6625360.9399999995</v>
      </c>
      <c r="I35" s="15"/>
      <c r="J35" s="22">
        <f>SUM(J31,J27,J23,J19,J14)</f>
        <v>1999672.7399999998</v>
      </c>
      <c r="K35" s="15"/>
      <c r="L35" s="22">
        <f>SUM(L31,L27,L23,L19,L14)</f>
        <v>20063946.289999999</v>
      </c>
      <c r="M35" s="15"/>
      <c r="N35" s="22">
        <f>SUM(N31,N27,N23,N19,N14)</f>
        <v>44463524.07</v>
      </c>
      <c r="O35" s="22">
        <f>SUM(O32,O28,O24,O20,O15)</f>
        <v>8618720.4800000004</v>
      </c>
    </row>
    <row r="36" spans="1:15" s="23" customFormat="1" ht="15.75" x14ac:dyDescent="0.25">
      <c r="A36" s="15"/>
      <c r="B36" s="15" t="s">
        <v>8</v>
      </c>
      <c r="C36" s="15"/>
      <c r="D36" s="24">
        <f>D35/N35</f>
        <v>0.17163877806863187</v>
      </c>
      <c r="E36" s="15"/>
      <c r="F36" s="24">
        <f>F35/N35</f>
        <v>0.18313616228845173</v>
      </c>
      <c r="G36" s="15"/>
      <c r="H36" s="24">
        <f>H35/N35</f>
        <v>0.14900665384888373</v>
      </c>
      <c r="I36" s="15"/>
      <c r="J36" s="24">
        <f>J35/N35</f>
        <v>4.4973329978340595E-2</v>
      </c>
      <c r="K36" s="15"/>
      <c r="L36" s="24">
        <f>L35/N35</f>
        <v>0.45124507581569206</v>
      </c>
      <c r="M36" s="15"/>
      <c r="N36" s="22"/>
      <c r="O36" s="15" t="s">
        <v>55</v>
      </c>
    </row>
    <row r="37" spans="1:15" s="23" customFormat="1" ht="15.75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22"/>
      <c r="O37" s="15"/>
    </row>
    <row r="38" spans="1:15" s="14" customFormat="1" ht="9.9499999999999993" customHeight="1" x14ac:dyDescent="0.2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3"/>
      <c r="O38" s="12"/>
    </row>
  </sheetData>
  <phoneticPr fontId="0" type="noConversion"/>
  <pageMargins left="0.75" right="0.75" top="1" bottom="1" header="0.5" footer="0.5"/>
  <pageSetup scale="4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23553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23553" r:id="rId4"/>
      </mc:Fallback>
    </mc:AlternateContent>
    <mc:AlternateContent xmlns:mc="http://schemas.openxmlformats.org/markup-compatibility/2006">
      <mc:Choice Requires="x14">
        <oleObject progId="Word.Document.6" shapeId="23554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23554" r:id="rId6"/>
      </mc:Fallback>
    </mc:AlternateContent>
    <mc:AlternateContent xmlns:mc="http://schemas.openxmlformats.org/markup-compatibility/2006">
      <mc:Choice Requires="x14">
        <oleObject progId="Word.Document.6" shapeId="23555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23555" r:id="rId7"/>
      </mc:Fallback>
    </mc:AlternateContent>
    <mc:AlternateContent xmlns:mc="http://schemas.openxmlformats.org/markup-compatibility/2006">
      <mc:Choice Requires="x14">
        <oleObject progId="Word.Document.6" shapeId="23556" r:id="rId8">
          <objectPr defaultSize="0" autoLine="0" autoPict="0" r:id="rId5">
            <anchor moveWithCells="1">
              <from>
                <xdr:col>0</xdr:col>
                <xdr:colOff>657225</xdr:colOff>
                <xdr:row>4</xdr:row>
                <xdr:rowOff>85725</xdr:rowOff>
              </from>
              <to>
                <xdr:col>0</xdr:col>
                <xdr:colOff>1800225</xdr:colOff>
                <xdr:row>10</xdr:row>
                <xdr:rowOff>104775</xdr:rowOff>
              </to>
            </anchor>
          </objectPr>
        </oleObject>
      </mc:Choice>
      <mc:Fallback>
        <oleObject progId="Word.Document.6" shapeId="23556" r:id="rId8"/>
      </mc:Fallback>
    </mc:AlternateContent>
  </oleObjec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I14" workbookViewId="0">
      <selection activeCell="I14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5.28515625" style="1" bestFit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38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10862564.92</v>
      </c>
      <c r="E14" s="16"/>
      <c r="F14" s="16">
        <v>0</v>
      </c>
      <c r="G14" s="16"/>
      <c r="H14" s="16">
        <v>1539</v>
      </c>
      <c r="I14" s="16"/>
      <c r="J14" s="16">
        <v>4368505.6100000003</v>
      </c>
      <c r="K14" s="16"/>
      <c r="L14" s="16">
        <v>5699257.7300000004</v>
      </c>
      <c r="M14" s="16"/>
      <c r="N14" s="16">
        <f>SUM(L14,J14,H14,F14,D14)</f>
        <v>20931867.259999998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0.5189486816953951</v>
      </c>
      <c r="E15" s="18"/>
      <c r="F15" s="18">
        <f>F14/N14</f>
        <v>0</v>
      </c>
      <c r="G15" s="18"/>
      <c r="H15" s="18">
        <v>0</v>
      </c>
      <c r="I15" s="18"/>
      <c r="J15" s="18">
        <v>0</v>
      </c>
      <c r="K15" s="18"/>
      <c r="L15" s="18">
        <f>L14/N14</f>
        <v>0.27227660385994634</v>
      </c>
      <c r="M15" s="18"/>
      <c r="O15" s="16">
        <v>8978874.2599999998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/>
      <c r="E19" s="16"/>
      <c r="F19" s="16">
        <v>4400091.83</v>
      </c>
      <c r="G19" s="16"/>
      <c r="H19" s="16">
        <v>0</v>
      </c>
      <c r="I19" s="16"/>
      <c r="J19" s="16">
        <v>0</v>
      </c>
      <c r="K19" s="16"/>
      <c r="L19" s="16">
        <v>444405.91</v>
      </c>
      <c r="M19" s="16"/>
      <c r="N19" s="16">
        <f>SUM(L19,J19,H19,F19,D19)</f>
        <v>4844497.74</v>
      </c>
      <c r="O19" s="1" t="s">
        <v>34</v>
      </c>
    </row>
    <row r="20" spans="1:15" x14ac:dyDescent="0.2">
      <c r="A20" s="1">
        <v>463</v>
      </c>
      <c r="B20" s="1" t="s">
        <v>8</v>
      </c>
      <c r="D20" s="18">
        <f>D19/N19</f>
        <v>0</v>
      </c>
      <c r="E20" s="18"/>
      <c r="F20" s="18">
        <f>F19/N19</f>
        <v>0.9082658442936955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9.1734155706304443E-2</v>
      </c>
      <c r="M20" s="18"/>
      <c r="O20" s="16">
        <v>1000000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195872.9</v>
      </c>
      <c r="E27" s="16"/>
      <c r="F27" s="16">
        <v>4011.82</v>
      </c>
      <c r="G27" s="16"/>
      <c r="H27" s="16">
        <v>144874.81</v>
      </c>
      <c r="I27" s="16"/>
      <c r="J27" s="16">
        <v>0</v>
      </c>
      <c r="K27" s="16"/>
      <c r="L27" s="16">
        <f>-197492.73+25</f>
        <v>-197467.73</v>
      </c>
      <c r="M27" s="16"/>
      <c r="N27" s="16">
        <f>SUM(L27,J27,H27,F27,D27)</f>
        <v>147291.79999999999</v>
      </c>
      <c r="O27" s="1" t="s">
        <v>40</v>
      </c>
    </row>
    <row r="28" spans="1:15" x14ac:dyDescent="0.2">
      <c r="B28" s="1" t="s">
        <v>8</v>
      </c>
      <c r="D28" s="18">
        <f>D27/N27</f>
        <v>1.3298289517814299</v>
      </c>
      <c r="E28" s="18"/>
      <c r="F28" s="18">
        <f>F27/N27</f>
        <v>2.7237225697560898E-2</v>
      </c>
      <c r="G28" s="18"/>
      <c r="H28" s="18">
        <f>H27/N27</f>
        <v>0.98359046464229516</v>
      </c>
      <c r="I28" s="18"/>
      <c r="J28" s="18">
        <f>J27/N27</f>
        <v>0</v>
      </c>
      <c r="K28" s="18"/>
      <c r="L28" s="18">
        <f>L27/N27</f>
        <v>-1.340656642121286</v>
      </c>
      <c r="M28" s="18"/>
      <c r="O28" s="16">
        <v>144874.81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0</v>
      </c>
      <c r="E31" s="16"/>
      <c r="F31" s="16">
        <v>1559976.76</v>
      </c>
      <c r="G31" s="16"/>
      <c r="H31" s="16">
        <v>1217777.54</v>
      </c>
      <c r="I31" s="16"/>
      <c r="J31" s="16">
        <v>1581340.62</v>
      </c>
      <c r="K31" s="16"/>
      <c r="L31" s="16">
        <v>-189.2</v>
      </c>
      <c r="M31" s="16"/>
      <c r="N31" s="16">
        <f>SUM(L31,J31,H31,F31,D31)</f>
        <v>4358905.72</v>
      </c>
      <c r="O31" s="1" t="s">
        <v>41</v>
      </c>
    </row>
    <row r="32" spans="1:15" x14ac:dyDescent="0.2">
      <c r="B32" s="1" t="s">
        <v>8</v>
      </c>
      <c r="D32" s="18">
        <f>D31/N31</f>
        <v>0</v>
      </c>
      <c r="E32" s="18"/>
      <c r="F32" s="18">
        <f>F31/N31</f>
        <v>0.35788265684259857</v>
      </c>
      <c r="G32" s="18"/>
      <c r="H32" s="18">
        <f>H31/N31</f>
        <v>0.27937689370349589</v>
      </c>
      <c r="I32" s="18"/>
      <c r="J32" s="18">
        <f>J31/N31</f>
        <v>0.3627838548432748</v>
      </c>
      <c r="K32" s="18"/>
      <c r="L32" s="18">
        <f>L31/N31</f>
        <v>-4.3405389369146533E-5</v>
      </c>
      <c r="M32" s="18"/>
      <c r="O32" s="16">
        <v>1100305.79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126549.55</v>
      </c>
      <c r="E35" s="16"/>
      <c r="F35" s="16">
        <v>613143.35</v>
      </c>
      <c r="G35" s="16"/>
      <c r="H35" s="16">
        <v>1138414.3500000001</v>
      </c>
      <c r="I35" s="16"/>
      <c r="J35" s="16">
        <v>536193.6</v>
      </c>
      <c r="K35" s="16"/>
      <c r="L35" s="16">
        <v>671682.55</v>
      </c>
      <c r="M35" s="16"/>
      <c r="N35" s="16">
        <f>SUM(L35,J35,H35,F35,D35)</f>
        <v>3085983.4</v>
      </c>
      <c r="O35" s="1" t="s">
        <v>42</v>
      </c>
    </row>
    <row r="36" spans="1:15" x14ac:dyDescent="0.2">
      <c r="B36" s="1" t="s">
        <v>8</v>
      </c>
      <c r="D36" s="18">
        <f>D35/N35</f>
        <v>4.1007851824478386E-2</v>
      </c>
      <c r="E36" s="18"/>
      <c r="F36" s="18">
        <f>F35/N35</f>
        <v>0.1986865353844742</v>
      </c>
      <c r="G36" s="18"/>
      <c r="H36" s="18">
        <f>H35/N35</f>
        <v>0.3688984036660729</v>
      </c>
      <c r="I36" s="18"/>
      <c r="J36" s="18">
        <f>J35/N35</f>
        <v>0.17375129107953075</v>
      </c>
      <c r="K36" s="18"/>
      <c r="L36" s="18">
        <f>L35/N35</f>
        <v>0.21765591804544382</v>
      </c>
      <c r="M36" s="18"/>
      <c r="O36" s="16">
        <v>1063696.02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11184987.369999999</v>
      </c>
      <c r="E39" s="15"/>
      <c r="F39" s="22">
        <f>SUM(F35,F31,F27,F23,F19,F14)</f>
        <v>6577223.7599999998</v>
      </c>
      <c r="G39" s="15"/>
      <c r="H39" s="22">
        <f>SUM(H35,H31,H27,H23,H19,H14)</f>
        <v>2502605.7000000002</v>
      </c>
      <c r="I39" s="15"/>
      <c r="J39" s="22">
        <f>SUM(J35,J31,J27,J23,J19,J14)</f>
        <v>6486039.8300000001</v>
      </c>
      <c r="K39" s="15"/>
      <c r="L39" s="22">
        <f>SUM(L35,L31,L27,L23,L19,L14)</f>
        <v>6686385.0200000005</v>
      </c>
      <c r="M39" s="15"/>
      <c r="N39" s="22">
        <f>SUM(N35,N31,N27,N23,N19,N14)</f>
        <v>33437241.679999996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0.33450687939639884</v>
      </c>
      <c r="E40" s="15"/>
      <c r="F40" s="24">
        <f>F39/N39</f>
        <v>0.19670353861556922</v>
      </c>
      <c r="G40" s="15"/>
      <c r="H40" s="24">
        <f>H39/N39</f>
        <v>7.4844860827647089E-2</v>
      </c>
      <c r="I40" s="15"/>
      <c r="J40" s="24">
        <f>J39/N39</f>
        <v>0.19397652151073008</v>
      </c>
      <c r="K40" s="15"/>
      <c r="L40" s="24">
        <f>L39/N39</f>
        <v>0.19996819964965487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28999999999999998" right="0.26" top="0.49" bottom="0.57999999999999996" header="0.3" footer="0.23"/>
  <pageSetup scale="49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5121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5121" r:id="rId4"/>
      </mc:Fallback>
    </mc:AlternateContent>
    <mc:AlternateContent xmlns:mc="http://schemas.openxmlformats.org/markup-compatibility/2006">
      <mc:Choice Requires="x14">
        <oleObject progId="Word.Document.6" shapeId="5122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5122" r:id="rId6"/>
      </mc:Fallback>
    </mc:AlternateContent>
    <mc:AlternateContent xmlns:mc="http://schemas.openxmlformats.org/markup-compatibility/2006">
      <mc:Choice Requires="x14">
        <oleObject progId="Word.Document.6" shapeId="5123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5123" r:id="rId7"/>
      </mc:Fallback>
    </mc:AlternateContent>
    <mc:AlternateContent xmlns:mc="http://schemas.openxmlformats.org/markup-compatibility/2006">
      <mc:Choice Requires="x14">
        <oleObject progId="Word.Document.6" shapeId="5124" r:id="rId8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5124" r:id="rId8"/>
      </mc:Fallback>
    </mc:AlternateContent>
  </oleObjec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28" workbookViewId="0">
      <selection activeCell="K28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4.425781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33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5714782.9400000004</v>
      </c>
      <c r="E14" s="16"/>
      <c r="F14" s="16">
        <v>882079.46</v>
      </c>
      <c r="G14" s="16"/>
      <c r="H14" s="16">
        <v>4368505.6100000003</v>
      </c>
      <c r="I14" s="16"/>
      <c r="J14" s="16">
        <v>4030388.46</v>
      </c>
      <c r="K14" s="16"/>
      <c r="L14" s="16">
        <f>9082357.21+681819.86</f>
        <v>9764177.0700000003</v>
      </c>
      <c r="M14" s="16"/>
      <c r="N14" s="16">
        <f>SUM(L14,J14,H14,F14,D14)</f>
        <v>24759933.540000003</v>
      </c>
      <c r="O14" s="1" t="s">
        <v>35</v>
      </c>
    </row>
    <row r="15" spans="1:15" x14ac:dyDescent="0.2">
      <c r="A15" s="17"/>
      <c r="B15" s="1" t="s">
        <v>8</v>
      </c>
      <c r="D15" s="18">
        <f>D14/N14</f>
        <v>0.23080768495471493</v>
      </c>
      <c r="E15" s="18"/>
      <c r="F15" s="18">
        <f>F14/N14</f>
        <v>3.5625275753466336E-2</v>
      </c>
      <c r="G15" s="18"/>
      <c r="H15" s="18">
        <v>0</v>
      </c>
      <c r="I15" s="18"/>
      <c r="J15" s="18">
        <v>0</v>
      </c>
      <c r="K15" s="18"/>
      <c r="L15" s="18">
        <f>L14/N14</f>
        <v>0.39435392886761356</v>
      </c>
      <c r="M15" s="18"/>
      <c r="O15" s="16">
        <v>3360451.57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2896377.45</v>
      </c>
      <c r="E19" s="16"/>
      <c r="F19" s="16">
        <v>0</v>
      </c>
      <c r="G19" s="16"/>
      <c r="H19" s="16">
        <v>0</v>
      </c>
      <c r="I19" s="16"/>
      <c r="J19" s="16">
        <v>0</v>
      </c>
      <c r="K19" s="16"/>
      <c r="L19" s="16">
        <v>22240.62</v>
      </c>
      <c r="M19" s="16"/>
      <c r="N19" s="16">
        <f>SUM(L19,J19,H19,F19,D19)</f>
        <v>2918618.0700000003</v>
      </c>
      <c r="O19" s="1" t="s">
        <v>34</v>
      </c>
    </row>
    <row r="20" spans="1:15" x14ac:dyDescent="0.2">
      <c r="A20" s="1">
        <v>463</v>
      </c>
      <c r="B20" s="1" t="s">
        <v>8</v>
      </c>
      <c r="D20" s="18">
        <f>D19/N19</f>
        <v>0.9923797429240202</v>
      </c>
      <c r="E20" s="18"/>
      <c r="F20" s="18">
        <f>F19/N19</f>
        <v>0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7.6202570759797963E-3</v>
      </c>
      <c r="M20" s="18"/>
      <c r="O20" s="16">
        <v>1000000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0</v>
      </c>
      <c r="E27" s="16"/>
      <c r="F27" s="16">
        <v>0</v>
      </c>
      <c r="G27" s="16"/>
      <c r="H27" s="16">
        <v>144874.81</v>
      </c>
      <c r="I27" s="16"/>
      <c r="J27" s="16">
        <v>0</v>
      </c>
      <c r="K27" s="16"/>
      <c r="L27" s="16">
        <f>-197492.73+25</f>
        <v>-197467.73</v>
      </c>
      <c r="M27" s="16"/>
      <c r="N27" s="16">
        <f>SUM(L27,J27,H27,F27,D27)</f>
        <v>-52592.920000000013</v>
      </c>
      <c r="O27" s="1" t="s">
        <v>31</v>
      </c>
    </row>
    <row r="28" spans="1:15" x14ac:dyDescent="0.2">
      <c r="B28" s="1" t="s">
        <v>8</v>
      </c>
      <c r="D28" s="18">
        <f>D27/N27</f>
        <v>0</v>
      </c>
      <c r="E28" s="18"/>
      <c r="F28" s="18">
        <f>F27/N27</f>
        <v>0</v>
      </c>
      <c r="G28" s="18"/>
      <c r="H28" s="18">
        <f>H27/N27</f>
        <v>-2.7546447316482894</v>
      </c>
      <c r="I28" s="18"/>
      <c r="J28" s="18">
        <f>J27/N27</f>
        <v>0</v>
      </c>
      <c r="K28" s="18"/>
      <c r="L28" s="18">
        <f>L27/N27</f>
        <v>3.7546447316482894</v>
      </c>
      <c r="M28" s="18"/>
      <c r="O28" s="16">
        <v>144874.81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0</v>
      </c>
      <c r="E31" s="16"/>
      <c r="F31" s="16">
        <v>1217777.54</v>
      </c>
      <c r="G31" s="16"/>
      <c r="H31" s="16">
        <v>1581340.62</v>
      </c>
      <c r="I31" s="16"/>
      <c r="J31" s="16">
        <v>-189.2</v>
      </c>
      <c r="K31" s="16"/>
      <c r="L31" s="16">
        <v>1100305.79</v>
      </c>
      <c r="M31" s="16"/>
      <c r="N31" s="16">
        <f>SUM(L31,J31,H31,F31,D31)</f>
        <v>3899234.75</v>
      </c>
      <c r="O31" s="1" t="s">
        <v>36</v>
      </c>
    </row>
    <row r="32" spans="1:15" x14ac:dyDescent="0.2">
      <c r="B32" s="1" t="s">
        <v>8</v>
      </c>
      <c r="D32" s="18">
        <f>D31/N31</f>
        <v>0</v>
      </c>
      <c r="E32" s="18"/>
      <c r="F32" s="18">
        <f>F31/N31</f>
        <v>0.3123119324888044</v>
      </c>
      <c r="G32" s="18"/>
      <c r="H32" s="18">
        <f>H31/N31</f>
        <v>0.40555153033553576</v>
      </c>
      <c r="I32" s="18"/>
      <c r="J32" s="18">
        <f>J31/N31</f>
        <v>-4.852234146713018E-5</v>
      </c>
      <c r="K32" s="18"/>
      <c r="L32" s="18">
        <f>L31/N31</f>
        <v>0.28218505951712708</v>
      </c>
      <c r="M32" s="18"/>
      <c r="O32" s="16">
        <v>1486817.27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613143.35</v>
      </c>
      <c r="E35" s="16"/>
      <c r="F35" s="16">
        <v>1138414.3500000001</v>
      </c>
      <c r="G35" s="16"/>
      <c r="H35" s="16">
        <v>536193.6</v>
      </c>
      <c r="I35" s="16"/>
      <c r="J35" s="16">
        <v>807306.43</v>
      </c>
      <c r="K35" s="16"/>
      <c r="L35" s="16">
        <v>928072.54</v>
      </c>
      <c r="M35" s="16"/>
      <c r="N35" s="16">
        <f>SUM(L35,J35,H35,F35,D35)</f>
        <v>4023130.2700000005</v>
      </c>
      <c r="O35" s="1" t="s">
        <v>37</v>
      </c>
    </row>
    <row r="36" spans="1:15" x14ac:dyDescent="0.2">
      <c r="B36" s="1" t="s">
        <v>8</v>
      </c>
      <c r="D36" s="18">
        <f>D35/N35</f>
        <v>0.1524045479143781</v>
      </c>
      <c r="E36" s="18"/>
      <c r="F36" s="18">
        <f>F35/N35</f>
        <v>0.28296730993003616</v>
      </c>
      <c r="G36" s="18"/>
      <c r="H36" s="18">
        <f>H35/N35</f>
        <v>0.1332777126304687</v>
      </c>
      <c r="I36" s="18"/>
      <c r="J36" s="18">
        <f>J35/N35</f>
        <v>0.20066624141405193</v>
      </c>
      <c r="K36" s="18"/>
      <c r="L36" s="18">
        <f>L35/N35</f>
        <v>0.23068418811106506</v>
      </c>
      <c r="M36" s="18"/>
      <c r="O36" s="16">
        <v>691008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9224303.7400000002</v>
      </c>
      <c r="E39" s="15"/>
      <c r="F39" s="22">
        <f>SUM(F35,F31,F27,F23,F19,F14)</f>
        <v>3238271.35</v>
      </c>
      <c r="G39" s="15"/>
      <c r="H39" s="22">
        <f>SUM(H35,H31,H27,H23,H19,H14)</f>
        <v>6630914.6400000006</v>
      </c>
      <c r="I39" s="15"/>
      <c r="J39" s="22">
        <f>SUM(J35,J31,J27,J23,J19,J14)</f>
        <v>4837505.6900000004</v>
      </c>
      <c r="K39" s="15"/>
      <c r="L39" s="22">
        <f>SUM(L35,L31,L27,L23,L19,L14)</f>
        <v>11686024.050000001</v>
      </c>
      <c r="M39" s="15"/>
      <c r="N39" s="22">
        <f>SUM(N35,N31,N27,N23,N19,N14)</f>
        <v>35617019.469999999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0.25898584096205962</v>
      </c>
      <c r="E40" s="15"/>
      <c r="F40" s="24">
        <f>F39/N39</f>
        <v>9.0919212168429103E-2</v>
      </c>
      <c r="G40" s="15"/>
      <c r="H40" s="24">
        <f>H39/N39</f>
        <v>0.18617264270485015</v>
      </c>
      <c r="I40" s="15"/>
      <c r="J40" s="24">
        <f>J39/N39</f>
        <v>0.1358200591173723</v>
      </c>
      <c r="K40" s="15"/>
      <c r="L40" s="24">
        <f>L39/N39</f>
        <v>0.32810224504728891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34" right="0.36" top="1" bottom="0.76" header="0.5" footer="0.5"/>
  <pageSetup scale="48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4097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4097" r:id="rId4"/>
      </mc:Fallback>
    </mc:AlternateContent>
    <mc:AlternateContent xmlns:mc="http://schemas.openxmlformats.org/markup-compatibility/2006">
      <mc:Choice Requires="x14">
        <oleObject progId="Word.Document.6" shapeId="4098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4098" r:id="rId6"/>
      </mc:Fallback>
    </mc:AlternateContent>
    <mc:AlternateContent xmlns:mc="http://schemas.openxmlformats.org/markup-compatibility/2006">
      <mc:Choice Requires="x14">
        <oleObject progId="Word.Document.6" shapeId="4099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4099" r:id="rId7"/>
      </mc:Fallback>
    </mc:AlternateContent>
    <mc:AlternateContent xmlns:mc="http://schemas.openxmlformats.org/markup-compatibility/2006">
      <mc:Choice Requires="x14">
        <oleObject progId="Word.Document.6" shapeId="4100" r:id="rId8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4100" r:id="rId8"/>
      </mc:Fallback>
    </mc:AlternateContent>
  </oleObject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28" workbookViewId="0">
      <selection activeCell="K28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4.425781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29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4147088.81</v>
      </c>
      <c r="E14" s="16"/>
      <c r="F14" s="16">
        <v>4368505.6100000003</v>
      </c>
      <c r="G14" s="16"/>
      <c r="H14" s="16">
        <v>4030388.46</v>
      </c>
      <c r="I14" s="16"/>
      <c r="J14" s="16">
        <v>4145790.82</v>
      </c>
      <c r="K14" s="16"/>
      <c r="L14" s="16">
        <f>8885821.83+681819.86</f>
        <v>9567641.6899999995</v>
      </c>
      <c r="M14" s="16"/>
      <c r="N14" s="16">
        <f>SUM(L14,J14,H14,F14,D14)</f>
        <v>26259415.389999997</v>
      </c>
      <c r="O14" s="1" t="s">
        <v>30</v>
      </c>
    </row>
    <row r="15" spans="1:15" x14ac:dyDescent="0.2">
      <c r="A15" s="17"/>
      <c r="B15" s="1" t="s">
        <v>8</v>
      </c>
      <c r="D15" s="18">
        <f>D14/N14</f>
        <v>0.15792768987459171</v>
      </c>
      <c r="E15" s="18"/>
      <c r="F15" s="18">
        <f>F14/N14</f>
        <v>0.16635959122165364</v>
      </c>
      <c r="G15" s="18"/>
      <c r="H15" s="18">
        <v>0</v>
      </c>
      <c r="I15" s="18"/>
      <c r="J15" s="18">
        <v>0</v>
      </c>
      <c r="K15" s="18"/>
      <c r="L15" s="18">
        <f>L14/N14</f>
        <v>0.36435090225365452</v>
      </c>
      <c r="M15" s="18"/>
      <c r="O15" s="16">
        <v>1400000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62316.77</v>
      </c>
      <c r="E19" s="16"/>
      <c r="F19" s="16">
        <v>2046377.11</v>
      </c>
      <c r="G19" s="16"/>
      <c r="H19" s="16">
        <v>0</v>
      </c>
      <c r="I19" s="16"/>
      <c r="J19" s="16">
        <v>0</v>
      </c>
      <c r="K19" s="16"/>
      <c r="L19" s="16">
        <f>19417.71+422165.29</f>
        <v>441583</v>
      </c>
      <c r="M19" s="16"/>
      <c r="N19" s="16">
        <f>SUM(L19,J19,H19,F19,D19)</f>
        <v>2550276.8800000004</v>
      </c>
      <c r="O19" s="1" t="s">
        <v>25</v>
      </c>
    </row>
    <row r="20" spans="1:15" x14ac:dyDescent="0.2">
      <c r="A20" s="1">
        <v>463</v>
      </c>
      <c r="B20" s="1" t="s">
        <v>8</v>
      </c>
      <c r="D20" s="18">
        <f>D19/N19</f>
        <v>2.4435295825604626E-2</v>
      </c>
      <c r="E20" s="18"/>
      <c r="F20" s="18">
        <f>F19/N19</f>
        <v>0.80241370105664755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0.17315100311774773</v>
      </c>
      <c r="M20" s="18"/>
      <c r="O20" s="16">
        <v>2804400.03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0</v>
      </c>
      <c r="E27" s="16"/>
      <c r="F27" s="16">
        <v>144874.81</v>
      </c>
      <c r="G27" s="16"/>
      <c r="H27" s="16">
        <v>0</v>
      </c>
      <c r="I27" s="16"/>
      <c r="J27" s="16">
        <v>0</v>
      </c>
      <c r="K27" s="16"/>
      <c r="L27" s="16">
        <f>-197492.73+25</f>
        <v>-197467.73</v>
      </c>
      <c r="M27" s="16"/>
      <c r="N27" s="16">
        <f>SUM(L27,J27,H27,F27,D27)</f>
        <v>-52592.920000000013</v>
      </c>
      <c r="O27" s="1" t="s">
        <v>31</v>
      </c>
    </row>
    <row r="28" spans="1:15" x14ac:dyDescent="0.2">
      <c r="B28" s="1" t="s">
        <v>8</v>
      </c>
      <c r="D28" s="18">
        <f>D27/N27</f>
        <v>0</v>
      </c>
      <c r="E28" s="18"/>
      <c r="F28" s="18">
        <f>F27/N27</f>
        <v>-2.7546447316482894</v>
      </c>
      <c r="G28" s="18"/>
      <c r="H28" s="18">
        <f>H27/N27</f>
        <v>0</v>
      </c>
      <c r="I28" s="18"/>
      <c r="J28" s="18">
        <f>J27/N27</f>
        <v>0</v>
      </c>
      <c r="K28" s="18"/>
      <c r="L28" s="18">
        <f>L27/N27</f>
        <v>3.7546447316482894</v>
      </c>
      <c r="M28" s="18"/>
      <c r="O28" s="16">
        <v>144874.81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1214467.3</v>
      </c>
      <c r="E31" s="16"/>
      <c r="F31" s="16">
        <v>1581340.62</v>
      </c>
      <c r="G31" s="16"/>
      <c r="H31" s="16">
        <v>-189.2</v>
      </c>
      <c r="I31" s="16"/>
      <c r="J31" s="16">
        <v>2587123.06</v>
      </c>
      <c r="K31" s="16"/>
      <c r="L31" s="16">
        <v>0</v>
      </c>
      <c r="M31" s="16"/>
      <c r="N31" s="16">
        <f>SUM(L31,J31,H31,F31,D31)</f>
        <v>5382741.7800000003</v>
      </c>
      <c r="O31" s="1" t="s">
        <v>30</v>
      </c>
    </row>
    <row r="32" spans="1:15" x14ac:dyDescent="0.2">
      <c r="B32" s="1" t="s">
        <v>8</v>
      </c>
      <c r="D32" s="18">
        <f>D31/N31</f>
        <v>0.22562243362898229</v>
      </c>
      <c r="E32" s="18"/>
      <c r="F32" s="18">
        <f>F31/N31</f>
        <v>0.29377976589469612</v>
      </c>
      <c r="G32" s="18"/>
      <c r="H32" s="18">
        <f>H31/N31</f>
        <v>-3.514937326233769E-5</v>
      </c>
      <c r="I32" s="18"/>
      <c r="J32" s="18">
        <f>J31/N31</f>
        <v>0.48063294984958388</v>
      </c>
      <c r="K32" s="18"/>
      <c r="L32" s="18">
        <f>L31/N31</f>
        <v>0</v>
      </c>
      <c r="M32" s="18"/>
      <c r="O32" s="16">
        <v>546126.27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674958.96</v>
      </c>
      <c r="E35" s="16"/>
      <c r="F35" s="16">
        <v>536193.6</v>
      </c>
      <c r="G35" s="16"/>
      <c r="H35" s="16">
        <v>807306.43</v>
      </c>
      <c r="I35" s="16"/>
      <c r="J35" s="16">
        <v>1482169.4</v>
      </c>
      <c r="K35" s="16"/>
      <c r="L35" s="16">
        <v>136911.14000000001</v>
      </c>
      <c r="M35" s="16"/>
      <c r="N35" s="16">
        <f>SUM(L35,J35,H35,F35,D35)</f>
        <v>3637539.5300000003</v>
      </c>
      <c r="O35" s="1" t="s">
        <v>31</v>
      </c>
    </row>
    <row r="36" spans="1:15" x14ac:dyDescent="0.2">
      <c r="B36" s="1" t="s">
        <v>8</v>
      </c>
      <c r="D36" s="18">
        <f>D35/N35</f>
        <v>0.18555371135719312</v>
      </c>
      <c r="E36" s="18"/>
      <c r="F36" s="18">
        <f>F35/N35</f>
        <v>0.14740557334919188</v>
      </c>
      <c r="G36" s="18"/>
      <c r="H36" s="18">
        <f>H35/N35</f>
        <v>0.22193750015412203</v>
      </c>
      <c r="I36" s="18"/>
      <c r="J36" s="18">
        <f>J35/N35</f>
        <v>0.40746482279465424</v>
      </c>
      <c r="K36" s="18"/>
      <c r="L36" s="18">
        <f>L35/N35</f>
        <v>3.7638392344838657E-2</v>
      </c>
      <c r="M36" s="18"/>
      <c r="O36" s="1" t="s">
        <v>32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6098831.8399999999</v>
      </c>
      <c r="E39" s="15"/>
      <c r="F39" s="22">
        <f>SUM(F35,F31,F27,F23,F19,F14)</f>
        <v>8677291.75</v>
      </c>
      <c r="G39" s="15"/>
      <c r="H39" s="22">
        <f>SUM(H35,H31,H27,H23,H19,H14)</f>
        <v>4837505.6900000004</v>
      </c>
      <c r="I39" s="15"/>
      <c r="J39" s="22">
        <f>SUM(J35,J31,J27,J23,J19,J14)</f>
        <v>8215083.2799999993</v>
      </c>
      <c r="K39" s="15"/>
      <c r="L39" s="22">
        <f>SUM(L35,L31,L27,L23,L19,L14)</f>
        <v>10017363.859999999</v>
      </c>
      <c r="M39" s="15"/>
      <c r="N39" s="22">
        <f>SUM(N35,N31,N27,N23,N19,N14)</f>
        <v>37846076.420000002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0.16114832545169816</v>
      </c>
      <c r="E40" s="15"/>
      <c r="F40" s="24">
        <f>F39/N39</f>
        <v>0.22927850310565959</v>
      </c>
      <c r="G40" s="15"/>
      <c r="H40" s="24">
        <f>H39/N39</f>
        <v>0.12782053379365871</v>
      </c>
      <c r="I40" s="15"/>
      <c r="J40" s="24">
        <f>J39/N39</f>
        <v>0.21706565269362205</v>
      </c>
      <c r="K40" s="15"/>
      <c r="L40" s="24">
        <f>L39/N39</f>
        <v>0.26468698495536142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2" right="0.4" top="1" bottom="0.81" header="0.5" footer="0.5"/>
  <pageSetup scale="49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3073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3073" r:id="rId4"/>
      </mc:Fallback>
    </mc:AlternateContent>
    <mc:AlternateContent xmlns:mc="http://schemas.openxmlformats.org/markup-compatibility/2006">
      <mc:Choice Requires="x14">
        <oleObject progId="Word.Document.6" shapeId="3074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3074" r:id="rId6"/>
      </mc:Fallback>
    </mc:AlternateContent>
  </oleObject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G12" zoomScale="75" workbookViewId="0">
      <selection activeCell="G12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4.425781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23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4368505.6100000003</v>
      </c>
      <c r="E14" s="16"/>
      <c r="F14" s="16">
        <v>2207235.46</v>
      </c>
      <c r="G14" s="16"/>
      <c r="H14" s="16">
        <v>4145790.82</v>
      </c>
      <c r="I14" s="16"/>
      <c r="J14" s="16">
        <v>3961806.98</v>
      </c>
      <c r="K14" s="16"/>
      <c r="L14" s="16">
        <f>8438904.44+681819.86</f>
        <v>9120724.2999999989</v>
      </c>
      <c r="M14" s="16"/>
      <c r="N14" s="16">
        <f>SUM(L14,J14,H14,F14,D14)</f>
        <v>23804063.169999998</v>
      </c>
      <c r="O14" s="1" t="s">
        <v>24</v>
      </c>
    </row>
    <row r="15" spans="1:15" x14ac:dyDescent="0.2">
      <c r="A15" s="17"/>
      <c r="B15" s="1" t="s">
        <v>8</v>
      </c>
      <c r="D15" s="18">
        <f>D14/N14</f>
        <v>0.18351932520098418</v>
      </c>
      <c r="E15" s="18"/>
      <c r="F15" s="18">
        <f>F14/N14</f>
        <v>9.2725155543266866E-2</v>
      </c>
      <c r="G15" s="18"/>
      <c r="H15" s="18">
        <v>0</v>
      </c>
      <c r="I15" s="18"/>
      <c r="J15" s="18">
        <v>0</v>
      </c>
      <c r="K15" s="18"/>
      <c r="L15" s="18">
        <f>L14/N14</f>
        <v>0.38315829675224305</v>
      </c>
      <c r="M15" s="18"/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2046377.11</v>
      </c>
      <c r="E19" s="16"/>
      <c r="F19" s="16">
        <v>0</v>
      </c>
      <c r="G19" s="16"/>
      <c r="H19" s="16">
        <v>0</v>
      </c>
      <c r="I19" s="16"/>
      <c r="J19" s="16">
        <v>0</v>
      </c>
      <c r="K19" s="16"/>
      <c r="L19" s="16">
        <f>19417.71+422165.29</f>
        <v>441583</v>
      </c>
      <c r="M19" s="16"/>
      <c r="N19" s="16">
        <f>SUM(L19,J19,H19,F19,D19)</f>
        <v>2487960.1100000003</v>
      </c>
      <c r="O19" s="1" t="s">
        <v>25</v>
      </c>
    </row>
    <row r="20" spans="1:15" x14ac:dyDescent="0.2">
      <c r="A20" s="1">
        <v>463</v>
      </c>
      <c r="B20" s="1" t="s">
        <v>8</v>
      </c>
      <c r="D20" s="18">
        <f>D19/N19</f>
        <v>0.82251202572536419</v>
      </c>
      <c r="E20" s="18"/>
      <c r="F20" s="18">
        <f>F19/N19</f>
        <v>0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0.17748797427463575</v>
      </c>
      <c r="M20" s="18"/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144874.81</v>
      </c>
      <c r="E27" s="16"/>
      <c r="F27" s="16">
        <v>0</v>
      </c>
      <c r="G27" s="16"/>
      <c r="H27" s="16">
        <v>0</v>
      </c>
      <c r="I27" s="16"/>
      <c r="J27" s="16">
        <v>0</v>
      </c>
      <c r="K27" s="16"/>
      <c r="L27" s="16">
        <f>-197492.73+25</f>
        <v>-197467.73</v>
      </c>
      <c r="M27" s="16"/>
      <c r="N27" s="16">
        <f>SUM(L27,J27,H27,F27,D27)</f>
        <v>-52592.920000000013</v>
      </c>
      <c r="O27" s="1" t="s">
        <v>26</v>
      </c>
    </row>
    <row r="28" spans="1:15" x14ac:dyDescent="0.2">
      <c r="B28" s="1" t="s">
        <v>8</v>
      </c>
      <c r="D28" s="18">
        <f>D27/N27</f>
        <v>-2.7546447316482894</v>
      </c>
      <c r="E28" s="18"/>
      <c r="F28" s="18">
        <f>F27/N27</f>
        <v>0</v>
      </c>
      <c r="G28" s="18"/>
      <c r="H28" s="18">
        <f>H27/N27</f>
        <v>0</v>
      </c>
      <c r="I28" s="18"/>
      <c r="J28" s="18">
        <f>J27/N27</f>
        <v>0</v>
      </c>
      <c r="K28" s="18"/>
      <c r="L28" s="18">
        <f>L27/N27</f>
        <v>3.7546447316482894</v>
      </c>
      <c r="M28" s="18"/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1581340.62</v>
      </c>
      <c r="E31" s="16"/>
      <c r="F31" s="16">
        <v>-189.2</v>
      </c>
      <c r="G31" s="16"/>
      <c r="H31" s="16">
        <v>2587123.06</v>
      </c>
      <c r="I31" s="16"/>
      <c r="J31" s="16">
        <v>546126.27</v>
      </c>
      <c r="K31" s="16"/>
      <c r="L31" s="16">
        <v>0</v>
      </c>
      <c r="M31" s="16"/>
      <c r="N31" s="16">
        <f>SUM(L31,J31,H31,F31,D31)</f>
        <v>4714400.75</v>
      </c>
      <c r="O31" s="1" t="s">
        <v>27</v>
      </c>
    </row>
    <row r="32" spans="1:15" x14ac:dyDescent="0.2">
      <c r="B32" s="1" t="s">
        <v>8</v>
      </c>
      <c r="D32" s="18">
        <f>D31/N31</f>
        <v>0.33542770414670414</v>
      </c>
      <c r="E32" s="18"/>
      <c r="F32" s="18">
        <f>F31/N31</f>
        <v>-4.0132354043088081E-5</v>
      </c>
      <c r="G32" s="18"/>
      <c r="H32" s="18">
        <f>H31/N31</f>
        <v>0.54877028856742827</v>
      </c>
      <c r="I32" s="18"/>
      <c r="J32" s="18">
        <f>J31/N31</f>
        <v>0.11584213963991076</v>
      </c>
      <c r="K32" s="18"/>
      <c r="L32" s="18">
        <f>L31/N31</f>
        <v>0</v>
      </c>
      <c r="M32" s="18"/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536193.6</v>
      </c>
      <c r="E35" s="16"/>
      <c r="F35" s="16">
        <v>807306.43</v>
      </c>
      <c r="G35" s="16"/>
      <c r="H35" s="16">
        <v>2650570.21</v>
      </c>
      <c r="I35" s="16"/>
      <c r="J35" s="16">
        <v>500614.52</v>
      </c>
      <c r="K35" s="16"/>
      <c r="L35" s="16">
        <v>26385.119999999999</v>
      </c>
      <c r="M35" s="16"/>
      <c r="N35" s="16">
        <f>SUM(L35,J35,H35,F35,D35)</f>
        <v>4521069.88</v>
      </c>
      <c r="O35" s="1" t="s">
        <v>28</v>
      </c>
    </row>
    <row r="36" spans="1:15" x14ac:dyDescent="0.2">
      <c r="B36" s="1" t="s">
        <v>8</v>
      </c>
      <c r="D36" s="18">
        <f>D35/N35</f>
        <v>0.11859883041666235</v>
      </c>
      <c r="E36" s="18"/>
      <c r="F36" s="18">
        <f>F35/N35</f>
        <v>0.17856535099607884</v>
      </c>
      <c r="G36" s="18"/>
      <c r="H36" s="18">
        <f>H35/N35</f>
        <v>0.58627056877077066</v>
      </c>
      <c r="I36" s="18"/>
      <c r="J36" s="18">
        <f>J35/N35</f>
        <v>0.11072921527149676</v>
      </c>
      <c r="K36" s="18"/>
      <c r="L36" s="18">
        <f>L35/N35</f>
        <v>5.8360345449913727E-3</v>
      </c>
      <c r="M36" s="18"/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8677291.75</v>
      </c>
      <c r="E39" s="15"/>
      <c r="F39" s="22">
        <f>SUM(F35,F31,F27,F23,F19,F14)</f>
        <v>3014352.69</v>
      </c>
      <c r="G39" s="15"/>
      <c r="H39" s="22">
        <f>SUM(H35,H31,H27,H23,H19,H14)</f>
        <v>9383484.0899999999</v>
      </c>
      <c r="I39" s="15"/>
      <c r="J39" s="22">
        <f>SUM(J35,J31,J27,J23,J19,J14)</f>
        <v>5008547.7699999996</v>
      </c>
      <c r="K39" s="15"/>
      <c r="L39" s="22">
        <f>SUM(L35,L31,L27,L23,L19,L14)</f>
        <v>9459920.4499999993</v>
      </c>
      <c r="M39" s="15"/>
      <c r="N39" s="22">
        <f>SUM(N35,N31,N27,N23,N19,N14)</f>
        <v>35543596.75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0.24413094181302852</v>
      </c>
      <c r="E40" s="15"/>
      <c r="F40" s="24">
        <f>F39/N39</f>
        <v>8.48071935769978E-2</v>
      </c>
      <c r="G40" s="15"/>
      <c r="H40" s="24">
        <f>H39/N39</f>
        <v>0.26399928392165317</v>
      </c>
      <c r="I40" s="15"/>
      <c r="J40" s="24">
        <f>J39/N39</f>
        <v>0.14091280084084343</v>
      </c>
      <c r="K40" s="15"/>
      <c r="L40" s="24">
        <f>L39/N39</f>
        <v>0.26614977984747701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41" right="0.42" top="1" bottom="0.75" header="0.5" footer="0.5"/>
  <pageSetup scale="48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2049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2049" r:id="rId4"/>
      </mc:Fallback>
    </mc:AlternateContent>
    <mc:AlternateContent xmlns:mc="http://schemas.openxmlformats.org/markup-compatibility/2006">
      <mc:Choice Requires="x14">
        <oleObject progId="Word.Document.6" shapeId="2050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2050" r:id="rId6"/>
      </mc:Fallback>
    </mc:AlternateContent>
  </oleObject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I1" zoomScale="85" workbookViewId="0">
      <selection activeCell="I1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56.285156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10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3971478.74</v>
      </c>
      <c r="E14" s="16"/>
      <c r="F14" s="16">
        <v>3856970.57</v>
      </c>
      <c r="G14" s="16"/>
      <c r="H14" s="16">
        <v>3961806.98</v>
      </c>
      <c r="I14" s="16"/>
      <c r="J14" s="16">
        <v>3551416.52</v>
      </c>
      <c r="K14" s="16"/>
      <c r="L14" s="16">
        <f>9291272.33+681819.86</f>
        <v>9973092.1899999995</v>
      </c>
      <c r="M14" s="16"/>
      <c r="N14" s="16">
        <f>SUM(L14,J14,H14,F14,D14)</f>
        <v>25314765</v>
      </c>
      <c r="O14" s="1" t="s">
        <v>14</v>
      </c>
    </row>
    <row r="15" spans="1:15" x14ac:dyDescent="0.2">
      <c r="A15" s="17"/>
      <c r="B15" s="1" t="s">
        <v>8</v>
      </c>
      <c r="D15" s="18">
        <f>D14/N14</f>
        <v>0.15688388732820552</v>
      </c>
      <c r="E15" s="18"/>
      <c r="F15" s="18">
        <f>F14/N14</f>
        <v>0.15236051253092808</v>
      </c>
      <c r="G15" s="18"/>
      <c r="H15" s="18">
        <v>0</v>
      </c>
      <c r="I15" s="18"/>
      <c r="J15" s="18">
        <v>0</v>
      </c>
      <c r="K15" s="18"/>
      <c r="L15" s="18">
        <f>L14/N14</f>
        <v>0.39396345136919103</v>
      </c>
      <c r="M15" s="18"/>
      <c r="O15" s="1" t="s">
        <v>21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 t="s">
        <v>22</v>
      </c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/>
      <c r="E19" s="16"/>
      <c r="F19" s="16">
        <v>2804400.03</v>
      </c>
      <c r="G19" s="16"/>
      <c r="H19" s="16"/>
      <c r="I19" s="16"/>
      <c r="J19" s="16"/>
      <c r="K19" s="16"/>
      <c r="L19" s="16">
        <f>19417.71+422165.29</f>
        <v>441583</v>
      </c>
      <c r="M19" s="16"/>
      <c r="N19" s="16">
        <f>SUM(L19,J19,H19,F19,D19)</f>
        <v>3245983.03</v>
      </c>
    </row>
    <row r="20" spans="1:15" x14ac:dyDescent="0.2">
      <c r="A20" s="1">
        <v>463</v>
      </c>
      <c r="B20" s="1" t="s">
        <v>8</v>
      </c>
      <c r="D20" s="18">
        <f>D19/N19</f>
        <v>0</v>
      </c>
      <c r="E20" s="18"/>
      <c r="F20" s="18">
        <f>F19/N19</f>
        <v>0.86396016371040607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0.13603983628959393</v>
      </c>
      <c r="M20" s="18"/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144874.81</v>
      </c>
      <c r="E27" s="16"/>
      <c r="F27" s="16">
        <v>144874.81</v>
      </c>
      <c r="G27" s="16"/>
      <c r="H27" s="16">
        <v>144874.81</v>
      </c>
      <c r="I27" s="16"/>
      <c r="J27" s="16"/>
      <c r="K27" s="16"/>
      <c r="L27" s="16">
        <f>-197492.73+25</f>
        <v>-197467.73</v>
      </c>
      <c r="M27" s="16"/>
      <c r="N27" s="16">
        <f>SUM(L27,J27,H27,F27,D27)</f>
        <v>237156.69999999998</v>
      </c>
      <c r="O27" s="1" t="s">
        <v>16</v>
      </c>
    </row>
    <row r="28" spans="1:15" x14ac:dyDescent="0.2">
      <c r="B28" s="1" t="s">
        <v>8</v>
      </c>
      <c r="D28" s="18">
        <f>D27/N27</f>
        <v>0.61088221416472743</v>
      </c>
      <c r="E28" s="18"/>
      <c r="F28" s="18">
        <f>F27/N27</f>
        <v>0.61088221416472743</v>
      </c>
      <c r="G28" s="18"/>
      <c r="H28" s="18">
        <f>H27/N27</f>
        <v>0.61088221416472743</v>
      </c>
      <c r="I28" s="18"/>
      <c r="J28" s="18">
        <f>J27/N27</f>
        <v>0</v>
      </c>
      <c r="K28" s="18"/>
      <c r="L28" s="18">
        <f>L27/N27</f>
        <v>-0.83264664249418219</v>
      </c>
      <c r="M28" s="18"/>
      <c r="O28" s="1" t="s">
        <v>17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/>
      <c r="E31" s="16"/>
      <c r="F31" s="16">
        <v>2587123.06</v>
      </c>
      <c r="G31" s="16"/>
      <c r="H31" s="16">
        <v>546126.27</v>
      </c>
      <c r="I31" s="16"/>
      <c r="J31" s="16"/>
      <c r="K31" s="16"/>
      <c r="L31" s="16"/>
      <c r="M31" s="16"/>
      <c r="N31" s="16">
        <f>SUM(L31,J31,H31,F31,D31)</f>
        <v>3133249.33</v>
      </c>
    </row>
    <row r="32" spans="1:15" x14ac:dyDescent="0.2">
      <c r="B32" s="1" t="s">
        <v>8</v>
      </c>
      <c r="D32" s="18">
        <f>D31/N31</f>
        <v>0</v>
      </c>
      <c r="E32" s="18"/>
      <c r="F32" s="18">
        <f>F31/N31</f>
        <v>0.82569970899826217</v>
      </c>
      <c r="G32" s="18"/>
      <c r="H32" s="18">
        <f>H31/N31</f>
        <v>0.1743002910017378</v>
      </c>
      <c r="I32" s="18"/>
      <c r="J32" s="18">
        <f>J31/N31</f>
        <v>0</v>
      </c>
      <c r="K32" s="18"/>
      <c r="L32" s="18">
        <f>L31/N31</f>
        <v>0</v>
      </c>
      <c r="M32" s="18"/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430539.24</v>
      </c>
      <c r="E35" s="16"/>
      <c r="F35" s="16">
        <v>3127805.71</v>
      </c>
      <c r="G35" s="16"/>
      <c r="H35" s="16">
        <v>1229839.52</v>
      </c>
      <c r="I35" s="16"/>
      <c r="J35" s="16">
        <v>150.56</v>
      </c>
      <c r="K35" s="16"/>
      <c r="L35" s="16">
        <v>26234.560000000001</v>
      </c>
      <c r="M35" s="16"/>
      <c r="N35" s="16">
        <f>SUM(L35,J35,H35,F35,D35)</f>
        <v>4814569.59</v>
      </c>
    </row>
    <row r="36" spans="1:15" x14ac:dyDescent="0.2">
      <c r="B36" s="1" t="s">
        <v>8</v>
      </c>
      <c r="D36" s="18">
        <f>D35/N35</f>
        <v>8.9424242801317569E-2</v>
      </c>
      <c r="E36" s="18"/>
      <c r="F36" s="18">
        <f>F35/N35</f>
        <v>0.64965427366478257</v>
      </c>
      <c r="G36" s="18"/>
      <c r="H36" s="18">
        <f>H35/N35</f>
        <v>0.25544121795526897</v>
      </c>
      <c r="I36" s="18"/>
      <c r="J36" s="18">
        <f>J35/N35</f>
        <v>3.1271746557099824E-5</v>
      </c>
      <c r="K36" s="18"/>
      <c r="L36" s="18">
        <f>L35/N35</f>
        <v>5.4489938320737832E-3</v>
      </c>
      <c r="M36" s="18"/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4546892.79</v>
      </c>
      <c r="E39" s="15"/>
      <c r="F39" s="22">
        <f>SUM(F35,F31,F27,F23,F19,F14)</f>
        <v>12521174.18</v>
      </c>
      <c r="G39" s="15"/>
      <c r="H39" s="22">
        <f>SUM(H35,H31,H27,H23,H19,H14)</f>
        <v>5882647.5800000001</v>
      </c>
      <c r="I39" s="15"/>
      <c r="J39" s="22">
        <f>SUM(J35,J31,J27,J23,J19,J14)</f>
        <v>3551567.08</v>
      </c>
      <c r="K39" s="15"/>
      <c r="L39" s="22">
        <f>SUM(L35,L31,L27,L23,L19,L14)</f>
        <v>10312137.779999999</v>
      </c>
      <c r="M39" s="15"/>
      <c r="N39" s="22">
        <f>SUM(N35,N31,N27,N23,N19,N14)</f>
        <v>36814419.409999996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0.12350847474630866</v>
      </c>
      <c r="E40" s="15"/>
      <c r="F40" s="24">
        <f>F39/N39</f>
        <v>0.34011603009550223</v>
      </c>
      <c r="G40" s="15"/>
      <c r="H40" s="24">
        <f>H39/N39</f>
        <v>0.15979194224103616</v>
      </c>
      <c r="I40" s="15"/>
      <c r="J40" s="24">
        <f>J39/N39</f>
        <v>9.6472174134987945E-2</v>
      </c>
      <c r="K40" s="15"/>
      <c r="L40" s="24">
        <f>L39/N39</f>
        <v>0.28011137878216508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32" right="0.4" top="1" bottom="0.54" header="0.5" footer="0.21"/>
  <pageSetup scale="45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025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025" r:id="rId4"/>
      </mc:Fallback>
    </mc:AlternateContent>
    <mc:AlternateContent xmlns:mc="http://schemas.openxmlformats.org/markup-compatibility/2006">
      <mc:Choice Requires="x14">
        <oleObject progId="Word.Document.6" shapeId="1026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026" r:id="rId6"/>
      </mc:Fallback>
    </mc:AlternateContent>
  </oleObjec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I1" workbookViewId="0">
      <selection activeCell="O1" sqref="O1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6.57031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60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3995609.14</v>
      </c>
      <c r="E14" s="16"/>
      <c r="F14" s="16">
        <v>4246004.18</v>
      </c>
      <c r="G14" s="16"/>
      <c r="H14" s="16">
        <v>1480001.13</v>
      </c>
      <c r="I14" s="16"/>
      <c r="J14" s="16">
        <v>0</v>
      </c>
      <c r="K14" s="16"/>
      <c r="L14" s="16">
        <v>18408675.149999999</v>
      </c>
      <c r="M14" s="16"/>
      <c r="N14" s="16">
        <f>SUM(L14,J14,H14,F14,D14)</f>
        <v>28130289.599999998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0.14203938874486385</v>
      </c>
      <c r="E15" s="18"/>
      <c r="F15" s="18">
        <f>F14/N14</f>
        <v>0.15094064939878898</v>
      </c>
      <c r="G15" s="18"/>
      <c r="H15" s="18">
        <v>0</v>
      </c>
      <c r="I15" s="18"/>
      <c r="J15" s="18">
        <v>0</v>
      </c>
      <c r="K15" s="18"/>
      <c r="L15" s="18">
        <f>L14/N14</f>
        <v>0.65440759450979846</v>
      </c>
      <c r="M15" s="18"/>
      <c r="O15" s="16">
        <v>0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0</v>
      </c>
      <c r="E19" s="16"/>
      <c r="F19" s="16">
        <v>0</v>
      </c>
      <c r="G19" s="16"/>
      <c r="H19" s="16">
        <v>0</v>
      </c>
      <c r="I19" s="16"/>
      <c r="J19" s="16">
        <v>0</v>
      </c>
      <c r="K19" s="16"/>
      <c r="L19" s="16">
        <v>361082.48</v>
      </c>
      <c r="M19" s="16"/>
      <c r="N19" s="16">
        <f>SUM(L19,J19,H19,F19,D19)</f>
        <v>361082.48</v>
      </c>
      <c r="O19" s="1" t="s">
        <v>39</v>
      </c>
    </row>
    <row r="20" spans="1:15" x14ac:dyDescent="0.2">
      <c r="B20" s="1" t="s">
        <v>8</v>
      </c>
      <c r="D20" s="18">
        <f>D19/N19</f>
        <v>0</v>
      </c>
      <c r="E20" s="18"/>
      <c r="F20" s="18">
        <f>F19/N19</f>
        <v>0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1</v>
      </c>
      <c r="M20" s="18"/>
      <c r="O20" s="16">
        <v>2179404.27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>
        <v>0</v>
      </c>
      <c r="E23" s="16"/>
      <c r="F23" s="16">
        <v>0</v>
      </c>
      <c r="G23" s="16"/>
      <c r="H23" s="16">
        <v>0</v>
      </c>
      <c r="I23" s="16"/>
      <c r="J23" s="16">
        <v>0</v>
      </c>
      <c r="K23" s="16"/>
      <c r="L23" s="16">
        <v>0</v>
      </c>
      <c r="M23" s="16"/>
      <c r="N23" s="16">
        <f>SUM(L23,J23,H23,F23,D23)</f>
        <v>0</v>
      </c>
      <c r="O23" s="1" t="s">
        <v>39</v>
      </c>
    </row>
    <row r="24" spans="1:15" x14ac:dyDescent="0.2">
      <c r="B24" s="1" t="s">
        <v>8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O24" s="16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222042.77</v>
      </c>
      <c r="E27" s="16"/>
      <c r="F27" s="16">
        <v>222042.41</v>
      </c>
      <c r="G27" s="16"/>
      <c r="H27" s="16">
        <v>222042.83</v>
      </c>
      <c r="I27" s="16"/>
      <c r="J27" s="16">
        <v>220242.35</v>
      </c>
      <c r="K27" s="16"/>
      <c r="L27" s="16">
        <f>222492.95+359004.21</f>
        <v>581497.16</v>
      </c>
      <c r="M27" s="16"/>
      <c r="N27" s="16">
        <f>SUM(L27,J27,H27,F27,D27)</f>
        <v>1467867.52</v>
      </c>
      <c r="O27" s="1" t="s">
        <v>39</v>
      </c>
    </row>
    <row r="28" spans="1:15" x14ac:dyDescent="0.2">
      <c r="B28" s="1" t="s">
        <v>8</v>
      </c>
      <c r="D28" s="18">
        <f>D27/N27</f>
        <v>0.15126894421643719</v>
      </c>
      <c r="E28" s="18"/>
      <c r="F28" s="18">
        <f>F27/N27</f>
        <v>0.15126869896269657</v>
      </c>
      <c r="G28" s="18"/>
      <c r="H28" s="18">
        <f>H27/N27</f>
        <v>0.1512689850920606</v>
      </c>
      <c r="I28" s="18"/>
      <c r="J28" s="18">
        <f>J27/N27</f>
        <v>0.1500423893840229</v>
      </c>
      <c r="K28" s="18"/>
      <c r="L28" s="18">
        <f>L27/N27</f>
        <v>0.39615098234478274</v>
      </c>
      <c r="M28" s="18"/>
      <c r="O28" s="16">
        <v>0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0</v>
      </c>
      <c r="E31" s="16"/>
      <c r="F31" s="16">
        <v>1395232.05</v>
      </c>
      <c r="G31" s="16"/>
      <c r="H31" s="16">
        <v>8876.5300000000007</v>
      </c>
      <c r="I31" s="16"/>
      <c r="J31" s="16">
        <v>0</v>
      </c>
      <c r="K31" s="16"/>
      <c r="L31" s="16">
        <v>74964.58</v>
      </c>
      <c r="M31" s="16"/>
      <c r="N31" s="16">
        <f>SUM(L31,J31,H31,F31,D31)</f>
        <v>1479073.1600000001</v>
      </c>
      <c r="O31" s="1" t="s">
        <v>39</v>
      </c>
    </row>
    <row r="32" spans="1:15" x14ac:dyDescent="0.2">
      <c r="B32" s="1" t="s">
        <v>8</v>
      </c>
      <c r="D32" s="18">
        <f>D31/N31</f>
        <v>0</v>
      </c>
      <c r="E32" s="18"/>
      <c r="F32" s="18">
        <f>F31/N31</f>
        <v>0.94331510281749675</v>
      </c>
      <c r="G32" s="18"/>
      <c r="H32" s="18">
        <f>H31/N31</f>
        <v>6.0014137502163853E-3</v>
      </c>
      <c r="I32" s="18"/>
      <c r="J32" s="18">
        <f>J31/N31</f>
        <v>0</v>
      </c>
      <c r="K32" s="18"/>
      <c r="L32" s="18">
        <f>L31/N31</f>
        <v>5.0683483432286743E-2</v>
      </c>
      <c r="M32" s="18"/>
      <c r="O32" s="16">
        <v>1285097.06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3114212.1</v>
      </c>
      <c r="E35" s="16"/>
      <c r="F35" s="16">
        <v>6798657.0700000003</v>
      </c>
      <c r="G35" s="16"/>
      <c r="H35" s="16">
        <v>800728.78</v>
      </c>
      <c r="I35" s="16"/>
      <c r="J35" s="16">
        <v>453522.66</v>
      </c>
      <c r="K35" s="16"/>
      <c r="L35" s="16">
        <f>-51876.61+15838.52</f>
        <v>-36038.089999999997</v>
      </c>
      <c r="M35" s="16"/>
      <c r="N35" s="16">
        <f>SUM(L35,J35,H35,F35,D35)</f>
        <v>11131082.52</v>
      </c>
      <c r="O35" s="1" t="s">
        <v>39</v>
      </c>
    </row>
    <row r="36" spans="1:15" x14ac:dyDescent="0.2">
      <c r="B36" s="1" t="s">
        <v>8</v>
      </c>
      <c r="D36" s="18">
        <f>D35/N35</f>
        <v>0.27977621173901784</v>
      </c>
      <c r="E36" s="18"/>
      <c r="F36" s="18">
        <f>F35/N35</f>
        <v>0.61078130161953026</v>
      </c>
      <c r="G36" s="18"/>
      <c r="H36" s="18">
        <f>H35/N35</f>
        <v>7.193628998448931E-2</v>
      </c>
      <c r="I36" s="18"/>
      <c r="J36" s="18">
        <f>J35/N35</f>
        <v>4.074380539225398E-2</v>
      </c>
      <c r="K36" s="18"/>
      <c r="L36" s="18">
        <f>L35/N35</f>
        <v>-3.2376087352912731E-3</v>
      </c>
      <c r="M36" s="18"/>
      <c r="O36" s="16">
        <f>510244.44+1027933.48+288940.56+240012+6115697.12</f>
        <v>8182827.5999999996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7331864.0099999998</v>
      </c>
      <c r="E39" s="15"/>
      <c r="F39" s="22">
        <f>SUM(F35,F31,F27,F23,F19,F14)</f>
        <v>12661935.709999999</v>
      </c>
      <c r="G39" s="15"/>
      <c r="H39" s="22">
        <f>SUM(H35,H31,H27,H23,H19,H14)</f>
        <v>2511649.27</v>
      </c>
      <c r="I39" s="15"/>
      <c r="J39" s="22">
        <f>SUM(J35,J31,J27,J23,J19,J14)</f>
        <v>673765.01</v>
      </c>
      <c r="K39" s="15"/>
      <c r="L39" s="22">
        <f>SUM(L35,L31,L27,L23,L19,L14)</f>
        <v>19390181.279999997</v>
      </c>
      <c r="M39" s="15"/>
      <c r="N39" s="22">
        <f>SUM(N35,N31,N27,N23,N19,N14)</f>
        <v>42569395.280000001</v>
      </c>
      <c r="O39" s="22">
        <f>SUM(O36,O32,O28,O20,O15)</f>
        <v>11647328.93</v>
      </c>
    </row>
    <row r="40" spans="1:15" s="23" customFormat="1" ht="15.75" x14ac:dyDescent="0.25">
      <c r="A40" s="15"/>
      <c r="B40" s="15" t="s">
        <v>8</v>
      </c>
      <c r="C40" s="15"/>
      <c r="D40" s="24">
        <f>D39/N39</f>
        <v>0.17223321970572281</v>
      </c>
      <c r="E40" s="15"/>
      <c r="F40" s="24">
        <f>F39/N39</f>
        <v>0.29744222643324331</v>
      </c>
      <c r="G40" s="15"/>
      <c r="H40" s="24">
        <f>H39/N39</f>
        <v>5.9001290797758309E-2</v>
      </c>
      <c r="I40" s="15"/>
      <c r="J40" s="24">
        <f>J39/N39</f>
        <v>1.5827450814565575E-2</v>
      </c>
      <c r="K40" s="15"/>
      <c r="L40" s="24">
        <f>L39/N39</f>
        <v>0.45549581224870989</v>
      </c>
      <c r="M40" s="15"/>
      <c r="N40" s="22"/>
      <c r="O40" s="15" t="s">
        <v>55</v>
      </c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75" right="0.75" top="1" bottom="1" header="0.5" footer="0.5"/>
  <pageSetup scale="4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22529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22529" r:id="rId4"/>
      </mc:Fallback>
    </mc:AlternateContent>
    <mc:AlternateContent xmlns:mc="http://schemas.openxmlformats.org/markup-compatibility/2006">
      <mc:Choice Requires="x14">
        <oleObject progId="Word.Document.6" shapeId="22530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22530" r:id="rId6"/>
      </mc:Fallback>
    </mc:AlternateContent>
    <mc:AlternateContent xmlns:mc="http://schemas.openxmlformats.org/markup-compatibility/2006">
      <mc:Choice Requires="x14">
        <oleObject progId="Word.Document.6" shapeId="22531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22531" r:id="rId7"/>
      </mc:Fallback>
    </mc:AlternateContent>
    <mc:AlternateContent xmlns:mc="http://schemas.openxmlformats.org/markup-compatibility/2006">
      <mc:Choice Requires="x14">
        <oleObject progId="Word.Document.6" shapeId="22532" r:id="rId8">
          <objectPr defaultSize="0" autoLine="0" autoPict="0" r:id="rId5">
            <anchor moveWithCells="1">
              <from>
                <xdr:col>0</xdr:col>
                <xdr:colOff>657225</xdr:colOff>
                <xdr:row>4</xdr:row>
                <xdr:rowOff>85725</xdr:rowOff>
              </from>
              <to>
                <xdr:col>0</xdr:col>
                <xdr:colOff>1800225</xdr:colOff>
                <xdr:row>10</xdr:row>
                <xdr:rowOff>104775</xdr:rowOff>
              </to>
            </anchor>
          </objectPr>
        </oleObject>
      </mc:Choice>
      <mc:Fallback>
        <oleObject progId="Word.Document.6" shapeId="22532" r:id="rId8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30" workbookViewId="0">
      <selection activeCell="K30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6.57031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59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8241613.3200000003</v>
      </c>
      <c r="E14" s="16"/>
      <c r="F14" s="16">
        <v>1480001.13</v>
      </c>
      <c r="G14" s="16"/>
      <c r="H14" s="16">
        <v>0</v>
      </c>
      <c r="I14" s="16"/>
      <c r="J14" s="16">
        <v>0</v>
      </c>
      <c r="K14" s="16"/>
      <c r="L14" s="16">
        <f>6781315.73+11637732.7</f>
        <v>18419048.43</v>
      </c>
      <c r="M14" s="16"/>
      <c r="N14" s="16">
        <f>SUM(L14,J14,H14,F14,D14)</f>
        <v>28140662.879999999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0.292872039125185</v>
      </c>
      <c r="E15" s="18"/>
      <c r="F15" s="18">
        <f>F14/N14</f>
        <v>5.2592973246975622E-2</v>
      </c>
      <c r="G15" s="18"/>
      <c r="H15" s="18">
        <v>0</v>
      </c>
      <c r="I15" s="18"/>
      <c r="J15" s="18">
        <v>0</v>
      </c>
      <c r="K15" s="18"/>
      <c r="L15" s="18">
        <f>L14/N14</f>
        <v>0.65453498762783946</v>
      </c>
      <c r="M15" s="18"/>
      <c r="O15" s="16">
        <v>0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0</v>
      </c>
      <c r="E19" s="16"/>
      <c r="F19" s="16">
        <v>0</v>
      </c>
      <c r="G19" s="16"/>
      <c r="H19" s="16">
        <v>0</v>
      </c>
      <c r="I19" s="16"/>
      <c r="J19" s="16">
        <v>0</v>
      </c>
      <c r="K19" s="16"/>
      <c r="L19" s="16">
        <v>361082.48</v>
      </c>
      <c r="M19" s="16"/>
      <c r="N19" s="16">
        <f>SUM(L19,J19,H19,F19,D19)</f>
        <v>361082.48</v>
      </c>
      <c r="O19" s="1" t="s">
        <v>39</v>
      </c>
    </row>
    <row r="20" spans="1:15" x14ac:dyDescent="0.2">
      <c r="B20" s="1" t="s">
        <v>8</v>
      </c>
      <c r="D20" s="18">
        <f>D19/N19</f>
        <v>0</v>
      </c>
      <c r="E20" s="18"/>
      <c r="F20" s="18">
        <f>F19/N19</f>
        <v>0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1</v>
      </c>
      <c r="M20" s="18"/>
      <c r="O20" s="16">
        <f>2283513.15</f>
        <v>2283513.15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>
        <v>0</v>
      </c>
      <c r="E23" s="16"/>
      <c r="F23" s="16">
        <v>0</v>
      </c>
      <c r="G23" s="16"/>
      <c r="H23" s="16">
        <v>0</v>
      </c>
      <c r="I23" s="16"/>
      <c r="J23" s="16">
        <v>0</v>
      </c>
      <c r="K23" s="16"/>
      <c r="L23" s="16">
        <v>0</v>
      </c>
      <c r="M23" s="16"/>
      <c r="N23" s="16">
        <f>SUM(L23,J23,H23,F23,D23)</f>
        <v>0</v>
      </c>
      <c r="O23" s="1" t="s">
        <v>39</v>
      </c>
    </row>
    <row r="24" spans="1:15" x14ac:dyDescent="0.2">
      <c r="B24" s="1" t="s">
        <v>8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O24" s="16">
        <v>76019.61</v>
      </c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444085.18</v>
      </c>
      <c r="E27" s="16"/>
      <c r="F27" s="16">
        <v>222042.83</v>
      </c>
      <c r="G27" s="16"/>
      <c r="H27" s="16">
        <v>220242.35</v>
      </c>
      <c r="I27" s="16"/>
      <c r="J27" s="16">
        <v>222492.95</v>
      </c>
      <c r="K27" s="16"/>
      <c r="L27" s="16">
        <v>359004.21</v>
      </c>
      <c r="M27" s="16"/>
      <c r="N27" s="16">
        <f>SUM(L27,J27,H27,F27,D27)</f>
        <v>1467867.52</v>
      </c>
      <c r="O27" s="1" t="s">
        <v>39</v>
      </c>
    </row>
    <row r="28" spans="1:15" x14ac:dyDescent="0.2">
      <c r="B28" s="1" t="s">
        <v>8</v>
      </c>
      <c r="D28" s="18">
        <f>D27/N27</f>
        <v>0.30253764317913379</v>
      </c>
      <c r="E28" s="18"/>
      <c r="F28" s="18">
        <f>F27/N27</f>
        <v>0.1512689850920606</v>
      </c>
      <c r="G28" s="18"/>
      <c r="H28" s="18">
        <f>H27/N27</f>
        <v>0.1500423893840229</v>
      </c>
      <c r="I28" s="18"/>
      <c r="J28" s="18">
        <f>J27/N27</f>
        <v>0.15157563401907007</v>
      </c>
      <c r="K28" s="18"/>
      <c r="L28" s="18">
        <f>L27/N27</f>
        <v>0.24457534832571268</v>
      </c>
      <c r="M28" s="18"/>
      <c r="O28" s="16">
        <v>0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0</v>
      </c>
      <c r="E31" s="16"/>
      <c r="F31" s="16">
        <v>8876.5300000000007</v>
      </c>
      <c r="G31" s="16"/>
      <c r="H31" s="16">
        <v>1285097.06</v>
      </c>
      <c r="I31" s="16"/>
      <c r="J31" s="16">
        <v>0</v>
      </c>
      <c r="K31" s="16"/>
      <c r="L31" s="16">
        <v>74964.58</v>
      </c>
      <c r="M31" s="16"/>
      <c r="N31" s="16">
        <f>SUM(L31,J31,H31,F31,D31)</f>
        <v>1368938.1700000002</v>
      </c>
      <c r="O31" s="1" t="s">
        <v>39</v>
      </c>
    </row>
    <row r="32" spans="1:15" x14ac:dyDescent="0.2">
      <c r="B32" s="1" t="s">
        <v>8</v>
      </c>
      <c r="D32" s="18">
        <f>D31/N31</f>
        <v>0</v>
      </c>
      <c r="E32" s="18"/>
      <c r="F32" s="18">
        <f>F31/N31</f>
        <v>6.4842446463451303E-3</v>
      </c>
      <c r="G32" s="18"/>
      <c r="H32" s="18">
        <f>H31/N31</f>
        <v>0.93875464075926807</v>
      </c>
      <c r="I32" s="18"/>
      <c r="J32" s="18">
        <f>J31/N31</f>
        <v>0</v>
      </c>
      <c r="K32" s="18"/>
      <c r="L32" s="18">
        <f>L31/N31</f>
        <v>5.4761114594386678E-2</v>
      </c>
      <c r="M32" s="18"/>
      <c r="O32" s="16">
        <v>728225.76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4396232.5999999996</v>
      </c>
      <c r="E35" s="16"/>
      <c r="F35" s="16">
        <v>5981524.2699999996</v>
      </c>
      <c r="G35" s="16"/>
      <c r="H35" s="16">
        <v>2413378.42</v>
      </c>
      <c r="I35" s="16"/>
      <c r="J35" s="16">
        <v>-51876.61</v>
      </c>
      <c r="K35" s="16"/>
      <c r="L35" s="16">
        <v>15838.52</v>
      </c>
      <c r="M35" s="16"/>
      <c r="N35" s="16">
        <f>SUM(L35,J35,H35,F35,D35)</f>
        <v>12755097.199999999</v>
      </c>
      <c r="O35" s="1" t="s">
        <v>39</v>
      </c>
    </row>
    <row r="36" spans="1:15" x14ac:dyDescent="0.2">
      <c r="B36" s="1" t="s">
        <v>8</v>
      </c>
      <c r="D36" s="18">
        <f>D35/N35</f>
        <v>0.34466476664717222</v>
      </c>
      <c r="E36" s="18"/>
      <c r="F36" s="18">
        <f>F35/N35</f>
        <v>0.46895168074454185</v>
      </c>
      <c r="G36" s="18"/>
      <c r="H36" s="18">
        <f>H35/N35</f>
        <v>0.18920893993657689</v>
      </c>
      <c r="I36" s="18"/>
      <c r="J36" s="18">
        <f>J35/N35</f>
        <v>-4.0671277675563304E-3</v>
      </c>
      <c r="K36" s="18"/>
      <c r="L36" s="18">
        <f>L35/N35</f>
        <v>1.2417404392653316E-3</v>
      </c>
      <c r="M36" s="18"/>
      <c r="O36" s="16">
        <v>7228704.2599999998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13081931.1</v>
      </c>
      <c r="E39" s="15"/>
      <c r="F39" s="22">
        <f>SUM(F35,F31,F27,F23,F19,F14)</f>
        <v>7692444.7599999998</v>
      </c>
      <c r="G39" s="15"/>
      <c r="H39" s="22">
        <f>SUM(H35,H31,H27,H23,H19,H14)</f>
        <v>3918717.83</v>
      </c>
      <c r="I39" s="15"/>
      <c r="J39" s="22">
        <f>SUM(J35,J31,J27,J23,J19,J14)</f>
        <v>170616.34000000003</v>
      </c>
      <c r="K39" s="15"/>
      <c r="L39" s="22">
        <f>SUM(L35,L31,L27,L23,L19,L14)</f>
        <v>19229938.219999999</v>
      </c>
      <c r="M39" s="15"/>
      <c r="N39" s="22">
        <f>SUM(N35,N31,N27,N23,N19,N14)</f>
        <v>44093648.25</v>
      </c>
      <c r="O39" s="22">
        <f>SUM(O36,O32,O28,O20,O15)</f>
        <v>10240443.17</v>
      </c>
    </row>
    <row r="40" spans="1:15" s="23" customFormat="1" ht="15.75" x14ac:dyDescent="0.25">
      <c r="A40" s="15"/>
      <c r="B40" s="15" t="s">
        <v>8</v>
      </c>
      <c r="C40" s="15"/>
      <c r="D40" s="24">
        <f>D39/N39</f>
        <v>0.29668516031671294</v>
      </c>
      <c r="E40" s="15"/>
      <c r="F40" s="24">
        <f>F39/N39</f>
        <v>0.17445698111405422</v>
      </c>
      <c r="G40" s="15"/>
      <c r="H40" s="24">
        <f>H39/N39</f>
        <v>8.8872615116396048E-2</v>
      </c>
      <c r="I40" s="15"/>
      <c r="J40" s="24">
        <f>J39/N39</f>
        <v>3.8694085604495205E-3</v>
      </c>
      <c r="K40" s="15"/>
      <c r="L40" s="24">
        <f>L39/N39</f>
        <v>0.4361158348923872</v>
      </c>
      <c r="M40" s="15"/>
      <c r="N40" s="22"/>
      <c r="O40" s="15" t="s">
        <v>55</v>
      </c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75" right="0.75" top="1" bottom="1" header="0.5" footer="0.5"/>
  <pageSetup scale="4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21505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21505" r:id="rId4"/>
      </mc:Fallback>
    </mc:AlternateContent>
    <mc:AlternateContent xmlns:mc="http://schemas.openxmlformats.org/markup-compatibility/2006">
      <mc:Choice Requires="x14">
        <oleObject progId="Word.Document.6" shapeId="21506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21506" r:id="rId6"/>
      </mc:Fallback>
    </mc:AlternateContent>
    <mc:AlternateContent xmlns:mc="http://schemas.openxmlformats.org/markup-compatibility/2006">
      <mc:Choice Requires="x14">
        <oleObject progId="Word.Document.6" shapeId="21507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21507" r:id="rId7"/>
      </mc:Fallback>
    </mc:AlternateContent>
    <mc:AlternateContent xmlns:mc="http://schemas.openxmlformats.org/markup-compatibility/2006">
      <mc:Choice Requires="x14">
        <oleObject progId="Word.Document.6" shapeId="21508" r:id="rId8">
          <objectPr defaultSize="0" autoLine="0" autoPict="0" r:id="rId5">
            <anchor moveWithCells="1">
              <from>
                <xdr:col>0</xdr:col>
                <xdr:colOff>657225</xdr:colOff>
                <xdr:row>4</xdr:row>
                <xdr:rowOff>85725</xdr:rowOff>
              </from>
              <to>
                <xdr:col>0</xdr:col>
                <xdr:colOff>1800225</xdr:colOff>
                <xdr:row>10</xdr:row>
                <xdr:rowOff>104775</xdr:rowOff>
              </to>
            </anchor>
          </objectPr>
        </oleObject>
      </mc:Choice>
      <mc:Fallback>
        <oleObject progId="Word.Document.6" shapeId="21508" r:id="rId8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28" workbookViewId="0">
      <selection activeCell="K28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6.57031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58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5700266.6200000001</v>
      </c>
      <c r="E14" s="16"/>
      <c r="F14" s="16">
        <v>0</v>
      </c>
      <c r="G14" s="16"/>
      <c r="H14" s="16">
        <v>1249148.06</v>
      </c>
      <c r="I14" s="16"/>
      <c r="J14" s="16">
        <v>5532167.6699999999</v>
      </c>
      <c r="K14" s="16"/>
      <c r="L14" s="16">
        <f>2567970.69+9086514.98</f>
        <v>11654485.67</v>
      </c>
      <c r="M14" s="16"/>
      <c r="N14" s="16">
        <f>SUM(L14,J14,H14,F14,D14)</f>
        <v>24136068.02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0.23617213107273968</v>
      </c>
      <c r="E15" s="18"/>
      <c r="F15" s="18">
        <f>F14/N14</f>
        <v>0</v>
      </c>
      <c r="G15" s="18"/>
      <c r="H15" s="18">
        <v>0</v>
      </c>
      <c r="I15" s="18"/>
      <c r="J15" s="18">
        <v>0</v>
      </c>
      <c r="K15" s="18"/>
      <c r="L15" s="18">
        <f>L14/N14</f>
        <v>0.4828659606172257</v>
      </c>
      <c r="M15" s="18"/>
      <c r="O15" s="16">
        <v>0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0</v>
      </c>
      <c r="E19" s="16"/>
      <c r="F19" s="16">
        <v>0</v>
      </c>
      <c r="G19" s="16"/>
      <c r="H19" s="16">
        <v>0</v>
      </c>
      <c r="I19" s="16"/>
      <c r="J19" s="16">
        <v>0</v>
      </c>
      <c r="K19" s="16"/>
      <c r="L19" s="16">
        <v>361082.48</v>
      </c>
      <c r="M19" s="16"/>
      <c r="N19" s="16">
        <f>SUM(L19,J19,H19,F19,D19)</f>
        <v>361082.48</v>
      </c>
      <c r="O19" s="1" t="s">
        <v>39</v>
      </c>
    </row>
    <row r="20" spans="1:15" x14ac:dyDescent="0.2">
      <c r="B20" s="1" t="s">
        <v>8</v>
      </c>
      <c r="D20" s="18">
        <f>D19/N19</f>
        <v>0</v>
      </c>
      <c r="E20" s="18"/>
      <c r="F20" s="18">
        <f>F19/N19</f>
        <v>0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1</v>
      </c>
      <c r="M20" s="18"/>
      <c r="O20" s="16">
        <f>9025.65+1923557.92</f>
        <v>1932583.5699999998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442285.18</v>
      </c>
      <c r="E27" s="16"/>
      <c r="F27" s="16">
        <v>0</v>
      </c>
      <c r="G27" s="16"/>
      <c r="H27" s="16">
        <v>222492.95</v>
      </c>
      <c r="I27" s="16"/>
      <c r="J27" s="16">
        <v>121847.95</v>
      </c>
      <c r="K27" s="16"/>
      <c r="L27" s="16">
        <f>233144.44+4011.82</f>
        <v>237156.26</v>
      </c>
      <c r="M27" s="16"/>
      <c r="N27" s="16">
        <f>SUM(L27,J27,H27,F27,D27)</f>
        <v>1023782.3400000001</v>
      </c>
      <c r="O27" s="1" t="s">
        <v>39</v>
      </c>
    </row>
    <row r="28" spans="1:15" x14ac:dyDescent="0.2">
      <c r="B28" s="1" t="s">
        <v>8</v>
      </c>
      <c r="D28" s="18">
        <f>D27/N27</f>
        <v>0.43201094873349738</v>
      </c>
      <c r="E28" s="18"/>
      <c r="F28" s="18">
        <f>F27/N27</f>
        <v>0</v>
      </c>
      <c r="G28" s="18"/>
      <c r="H28" s="18">
        <f>H27/N27</f>
        <v>0.21732446566718469</v>
      </c>
      <c r="I28" s="18"/>
      <c r="J28" s="18">
        <f>J27/N27</f>
        <v>0.11901743685088374</v>
      </c>
      <c r="K28" s="18"/>
      <c r="L28" s="18">
        <f>L27/N27</f>
        <v>0.23164714874843415</v>
      </c>
      <c r="M28" s="18"/>
      <c r="O28" s="16">
        <v>0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0</v>
      </c>
      <c r="E31" s="16"/>
      <c r="F31" s="16">
        <v>2013322.82</v>
      </c>
      <c r="G31" s="16"/>
      <c r="H31" s="16">
        <v>0</v>
      </c>
      <c r="I31" s="16"/>
      <c r="J31" s="16">
        <v>0</v>
      </c>
      <c r="K31" s="16"/>
      <c r="L31" s="16">
        <v>74964.58</v>
      </c>
      <c r="M31" s="16"/>
      <c r="N31" s="16">
        <f>SUM(L31,J31,H31,F31,D31)</f>
        <v>2088287.4000000001</v>
      </c>
      <c r="O31" s="1" t="s">
        <v>39</v>
      </c>
    </row>
    <row r="32" spans="1:15" x14ac:dyDescent="0.2">
      <c r="B32" s="1" t="s">
        <v>8</v>
      </c>
      <c r="D32" s="18">
        <f>D31/N31</f>
        <v>0</v>
      </c>
      <c r="E32" s="18"/>
      <c r="F32" s="18">
        <f>F31/N31</f>
        <v>0.96410236445424125</v>
      </c>
      <c r="G32" s="18"/>
      <c r="H32" s="18">
        <f>H31/N31</f>
        <v>0</v>
      </c>
      <c r="I32" s="18"/>
      <c r="J32" s="18">
        <f>J31/N31</f>
        <v>0</v>
      </c>
      <c r="K32" s="18"/>
      <c r="L32" s="18">
        <f>L31/N31</f>
        <v>3.5897635545758692E-2</v>
      </c>
      <c r="M32" s="18"/>
      <c r="O32" s="16">
        <v>1038874.2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6438672.5899999999</v>
      </c>
      <c r="E35" s="16"/>
      <c r="F35" s="16">
        <v>6404761.2000000002</v>
      </c>
      <c r="G35" s="16"/>
      <c r="H35" s="16">
        <v>2241875.7000000002</v>
      </c>
      <c r="I35" s="16"/>
      <c r="J35" s="16">
        <v>0</v>
      </c>
      <c r="K35" s="16"/>
      <c r="L35" s="16">
        <f>15838.52+135363.86</f>
        <v>151202.37999999998</v>
      </c>
      <c r="M35" s="16"/>
      <c r="N35" s="16">
        <f>SUM(L35,J35,H35,F35,D35)</f>
        <v>15236511.870000001</v>
      </c>
      <c r="O35" s="1" t="s">
        <v>39</v>
      </c>
    </row>
    <row r="36" spans="1:15" x14ac:dyDescent="0.2">
      <c r="B36" s="1" t="s">
        <v>8</v>
      </c>
      <c r="D36" s="18">
        <f>D35/N35</f>
        <v>0.42258179857277262</v>
      </c>
      <c r="E36" s="18"/>
      <c r="F36" s="18">
        <f>F35/N35</f>
        <v>0.4203561323383132</v>
      </c>
      <c r="G36" s="18"/>
      <c r="H36" s="18">
        <f>H35/N35</f>
        <v>0.1471383817456377</v>
      </c>
      <c r="I36" s="18"/>
      <c r="J36" s="18">
        <f>J35/N35</f>
        <v>0</v>
      </c>
      <c r="K36" s="18"/>
      <c r="L36" s="18">
        <f>L35/N35</f>
        <v>9.9236873432764217E-3</v>
      </c>
      <c r="M36" s="18"/>
      <c r="O36" s="16">
        <f>495954+798596+1893738+3068582.61</f>
        <v>6256870.6099999994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12581224.390000001</v>
      </c>
      <c r="E39" s="15"/>
      <c r="F39" s="22">
        <f>SUM(F35,F31,F27,F23,F19,F14)</f>
        <v>8418084.0199999996</v>
      </c>
      <c r="G39" s="15"/>
      <c r="H39" s="22">
        <f>SUM(H35,H31,H27,H23,H19,H14)</f>
        <v>3713516.7100000004</v>
      </c>
      <c r="I39" s="15"/>
      <c r="J39" s="22">
        <f>SUM(J35,J31,J27,J23,J19,J14)</f>
        <v>5654015.6200000001</v>
      </c>
      <c r="K39" s="15"/>
      <c r="L39" s="22">
        <f>SUM(L35,L31,L27,L23,L19,L14)</f>
        <v>12547587.129999999</v>
      </c>
      <c r="M39" s="15"/>
      <c r="N39" s="22">
        <f>SUM(N35,N31,N27,N23,N19,N14)</f>
        <v>42914427.870000005</v>
      </c>
      <c r="O39" s="22">
        <f>SUM(O36,O32,O28,O20,O15)</f>
        <v>9228328.379999999</v>
      </c>
    </row>
    <row r="40" spans="1:15" s="23" customFormat="1" ht="15.75" x14ac:dyDescent="0.25">
      <c r="A40" s="15"/>
      <c r="B40" s="15" t="s">
        <v>8</v>
      </c>
      <c r="C40" s="15"/>
      <c r="D40" s="24">
        <f>D39/N39</f>
        <v>0.2931700366159396</v>
      </c>
      <c r="E40" s="15"/>
      <c r="F40" s="24">
        <f>F39/N39</f>
        <v>0.19615976345998992</v>
      </c>
      <c r="G40" s="15"/>
      <c r="H40" s="24">
        <f>H39/N39</f>
        <v>8.6533058794335968E-2</v>
      </c>
      <c r="I40" s="15"/>
      <c r="J40" s="24">
        <f>J39/N39</f>
        <v>0.13175092621827839</v>
      </c>
      <c r="K40" s="15"/>
      <c r="L40" s="24">
        <f>L39/N39</f>
        <v>0.292386214911456</v>
      </c>
      <c r="M40" s="15"/>
      <c r="N40" s="22"/>
      <c r="O40" s="15" t="s">
        <v>55</v>
      </c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75" right="0.75" top="1" bottom="1" header="0.5" footer="0.5"/>
  <pageSetup scale="4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20481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20481" r:id="rId4"/>
      </mc:Fallback>
    </mc:AlternateContent>
    <mc:AlternateContent xmlns:mc="http://schemas.openxmlformats.org/markup-compatibility/2006">
      <mc:Choice Requires="x14">
        <oleObject progId="Word.Document.6" shapeId="20482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20482" r:id="rId6"/>
      </mc:Fallback>
    </mc:AlternateContent>
    <mc:AlternateContent xmlns:mc="http://schemas.openxmlformats.org/markup-compatibility/2006">
      <mc:Choice Requires="x14">
        <oleObject progId="Word.Document.6" shapeId="20483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20483" r:id="rId7"/>
      </mc:Fallback>
    </mc:AlternateContent>
    <mc:AlternateContent xmlns:mc="http://schemas.openxmlformats.org/markup-compatibility/2006">
      <mc:Choice Requires="x14">
        <oleObject progId="Word.Document.6" shapeId="20484" r:id="rId8">
          <objectPr defaultSize="0" autoLine="0" autoPict="0" r:id="rId5">
            <anchor moveWithCells="1">
              <from>
                <xdr:col>0</xdr:col>
                <xdr:colOff>657225</xdr:colOff>
                <xdr:row>4</xdr:row>
                <xdr:rowOff>85725</xdr:rowOff>
              </from>
              <to>
                <xdr:col>0</xdr:col>
                <xdr:colOff>1800225</xdr:colOff>
                <xdr:row>10</xdr:row>
                <xdr:rowOff>104775</xdr:rowOff>
              </to>
            </anchor>
          </objectPr>
        </oleObject>
      </mc:Choice>
      <mc:Fallback>
        <oleObject progId="Word.Document.6" shapeId="20484" r:id="rId8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J14" workbookViewId="0">
      <selection activeCell="J14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6.57031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57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1463248.43</v>
      </c>
      <c r="E14" s="16"/>
      <c r="F14" s="16">
        <v>1249148.06</v>
      </c>
      <c r="G14" s="16"/>
      <c r="H14" s="16">
        <v>5532167.6699999999</v>
      </c>
      <c r="I14" s="16"/>
      <c r="J14" s="16">
        <v>2567970.69</v>
      </c>
      <c r="K14" s="16"/>
      <c r="L14" s="16">
        <f>4983986.03+4102528.95</f>
        <v>9086514.9800000004</v>
      </c>
      <c r="M14" s="16"/>
      <c r="N14" s="16">
        <f>SUM(L14,J14,H14,F14,D14)</f>
        <v>19899049.829999998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7.3533582884645704E-2</v>
      </c>
      <c r="E15" s="18"/>
      <c r="F15" s="18">
        <f>F14/N14</f>
        <v>6.2774256593738087E-2</v>
      </c>
      <c r="G15" s="18"/>
      <c r="H15" s="18">
        <v>0</v>
      </c>
      <c r="I15" s="18"/>
      <c r="J15" s="18">
        <v>0</v>
      </c>
      <c r="K15" s="18"/>
      <c r="L15" s="18">
        <f>L14/N14</f>
        <v>0.45663059581372994</v>
      </c>
      <c r="M15" s="18"/>
      <c r="O15" s="16">
        <v>0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0</v>
      </c>
      <c r="E19" s="16"/>
      <c r="F19" s="16">
        <v>0</v>
      </c>
      <c r="G19" s="16"/>
      <c r="H19" s="16">
        <v>0</v>
      </c>
      <c r="I19" s="16"/>
      <c r="J19" s="16">
        <v>0</v>
      </c>
      <c r="K19" s="16"/>
      <c r="L19" s="16">
        <f>9025.65+361082.48</f>
        <v>370108.13</v>
      </c>
      <c r="M19" s="16"/>
      <c r="N19" s="16">
        <f>SUM(L19,J19,H19,F19,D19)</f>
        <v>370108.13</v>
      </c>
      <c r="O19" s="1" t="s">
        <v>39</v>
      </c>
    </row>
    <row r="20" spans="1:15" x14ac:dyDescent="0.2">
      <c r="B20" s="1" t="s">
        <v>8</v>
      </c>
      <c r="D20" s="18">
        <f>D19/N19</f>
        <v>0</v>
      </c>
      <c r="E20" s="18"/>
      <c r="F20" s="18">
        <f>F19/N19</f>
        <v>0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1</v>
      </c>
      <c r="M20" s="18"/>
      <c r="O20" s="16">
        <v>2490724.7799999998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442285.18</v>
      </c>
      <c r="E27" s="16"/>
      <c r="F27" s="16">
        <v>222492.95</v>
      </c>
      <c r="G27" s="16"/>
      <c r="H27" s="16">
        <v>0</v>
      </c>
      <c r="I27" s="16"/>
      <c r="J27" s="16">
        <v>121847.95</v>
      </c>
      <c r="K27" s="16"/>
      <c r="L27" s="16">
        <f>233144.44+4011.82</f>
        <v>237156.26</v>
      </c>
      <c r="M27" s="16"/>
      <c r="N27" s="16">
        <f>SUM(L27,J27,H27,F27,D27)</f>
        <v>1023782.3400000001</v>
      </c>
      <c r="O27" s="1" t="s">
        <v>39</v>
      </c>
    </row>
    <row r="28" spans="1:15" x14ac:dyDescent="0.2">
      <c r="B28" s="1" t="s">
        <v>8</v>
      </c>
      <c r="D28" s="18">
        <f>D27/N27</f>
        <v>0.43201094873349738</v>
      </c>
      <c r="E28" s="18"/>
      <c r="F28" s="18">
        <f>F27/N27</f>
        <v>0.21732446566718469</v>
      </c>
      <c r="G28" s="18"/>
      <c r="H28" s="18">
        <f>H27/N27</f>
        <v>0</v>
      </c>
      <c r="I28" s="18"/>
      <c r="J28" s="18">
        <f>J27/N27</f>
        <v>0.11901743685088374</v>
      </c>
      <c r="K28" s="18"/>
      <c r="L28" s="18">
        <f>L27/N27</f>
        <v>0.23164714874843415</v>
      </c>
      <c r="M28" s="18"/>
      <c r="O28" s="16">
        <v>0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0</v>
      </c>
      <c r="E31" s="16"/>
      <c r="F31" s="16">
        <v>0</v>
      </c>
      <c r="G31" s="16"/>
      <c r="H31" s="16">
        <v>1038874.2</v>
      </c>
      <c r="I31" s="16"/>
      <c r="J31" s="16">
        <v>0</v>
      </c>
      <c r="K31" s="16"/>
      <c r="L31" s="16">
        <v>74964.58</v>
      </c>
      <c r="M31" s="16"/>
      <c r="N31" s="16">
        <f>SUM(L31,J31,H31,F31,D31)</f>
        <v>1113838.78</v>
      </c>
      <c r="O31" s="1" t="s">
        <v>39</v>
      </c>
    </row>
    <row r="32" spans="1:15" x14ac:dyDescent="0.2">
      <c r="B32" s="1" t="s">
        <v>8</v>
      </c>
      <c r="D32" s="18">
        <f>D31/N31</f>
        <v>0</v>
      </c>
      <c r="E32" s="18"/>
      <c r="F32" s="18">
        <f>F31/N31</f>
        <v>0</v>
      </c>
      <c r="G32" s="18"/>
      <c r="H32" s="18">
        <f>H31/N31</f>
        <v>0.93269710002375739</v>
      </c>
      <c r="I32" s="18"/>
      <c r="J32" s="18">
        <f>J31/N31</f>
        <v>0</v>
      </c>
      <c r="K32" s="18"/>
      <c r="L32" s="18">
        <f>L31/N31</f>
        <v>6.7302899976242517E-2</v>
      </c>
      <c r="M32" s="18"/>
      <c r="O32" s="16">
        <v>960474.71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5395360.8499999996</v>
      </c>
      <c r="E35" s="16"/>
      <c r="F35" s="16">
        <v>6518635.3099999996</v>
      </c>
      <c r="G35" s="16"/>
      <c r="H35" s="16">
        <v>1980111</v>
      </c>
      <c r="I35" s="16"/>
      <c r="J35" s="16">
        <v>15838.52</v>
      </c>
      <c r="K35" s="16"/>
      <c r="L35" s="16">
        <v>135363.85999999999</v>
      </c>
      <c r="M35" s="16"/>
      <c r="N35" s="16">
        <f>SUM(L35,J35,H35,F35,D35)</f>
        <v>14045309.539999999</v>
      </c>
      <c r="O35" s="1" t="s">
        <v>39</v>
      </c>
    </row>
    <row r="36" spans="1:15" x14ac:dyDescent="0.2">
      <c r="B36" s="1" t="s">
        <v>8</v>
      </c>
      <c r="D36" s="18">
        <f>D35/N35</f>
        <v>0.38413968981135038</v>
      </c>
      <c r="E36" s="18"/>
      <c r="F36" s="18">
        <f>F35/N35</f>
        <v>0.46411474887295362</v>
      </c>
      <c r="G36" s="18"/>
      <c r="H36" s="18">
        <f>H35/N35</f>
        <v>0.14098023218077116</v>
      </c>
      <c r="I36" s="18"/>
      <c r="J36" s="18">
        <f>J35/N35</f>
        <v>1.1276732602363139E-3</v>
      </c>
      <c r="K36" s="18"/>
      <c r="L36" s="18">
        <f>L35/N35</f>
        <v>9.6376558746885405E-3</v>
      </c>
      <c r="M36" s="18"/>
      <c r="O36" s="16">
        <f>248624.1+3000000+900000+600000</f>
        <v>4748624.0999999996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7300894.459999999</v>
      </c>
      <c r="E39" s="15"/>
      <c r="F39" s="22">
        <f>SUM(F35,F31,F27,F23,F19,F14)</f>
        <v>7990276.3200000003</v>
      </c>
      <c r="G39" s="15"/>
      <c r="H39" s="22">
        <f>SUM(H35,H31,H27,H23,H19,H14)</f>
        <v>8551152.870000001</v>
      </c>
      <c r="I39" s="15"/>
      <c r="J39" s="22">
        <f>SUM(J35,J31,J27,J23,J19,J14)</f>
        <v>2705657.16</v>
      </c>
      <c r="K39" s="15"/>
      <c r="L39" s="22">
        <f>SUM(L35,L31,L27,L23,L19,L14)</f>
        <v>9972803.5700000003</v>
      </c>
      <c r="M39" s="15"/>
      <c r="N39" s="22">
        <f>SUM(N35,N31,N27,N23,N19,N14)</f>
        <v>36520784.379999995</v>
      </c>
      <c r="O39" s="22">
        <f>SUM(O36,O32,O28,O20,O15)</f>
        <v>8199823.5899999999</v>
      </c>
    </row>
    <row r="40" spans="1:15" s="23" customFormat="1" ht="15.75" x14ac:dyDescent="0.25">
      <c r="A40" s="15"/>
      <c r="B40" s="15" t="s">
        <v>8</v>
      </c>
      <c r="C40" s="15"/>
      <c r="D40" s="24">
        <f>D39/N39</f>
        <v>0.19991066960758416</v>
      </c>
      <c r="E40" s="15"/>
      <c r="F40" s="24">
        <f>F39/N39</f>
        <v>0.21878709495559859</v>
      </c>
      <c r="G40" s="15"/>
      <c r="H40" s="24">
        <f>H39/N39</f>
        <v>0.23414483054429955</v>
      </c>
      <c r="I40" s="15"/>
      <c r="J40" s="24">
        <f>J39/N39</f>
        <v>7.4085406596078165E-2</v>
      </c>
      <c r="K40" s="15"/>
      <c r="L40" s="24">
        <f>L39/N39</f>
        <v>0.27307199829643969</v>
      </c>
      <c r="M40" s="15"/>
      <c r="N40" s="22"/>
      <c r="O40" s="15" t="s">
        <v>55</v>
      </c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34" right="0.39" top="1" bottom="1" header="0.5" footer="0.5"/>
  <pageSetup scale="48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9457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9457" r:id="rId4"/>
      </mc:Fallback>
    </mc:AlternateContent>
    <mc:AlternateContent xmlns:mc="http://schemas.openxmlformats.org/markup-compatibility/2006">
      <mc:Choice Requires="x14">
        <oleObject progId="Word.Document.6" shapeId="19458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9458" r:id="rId6"/>
      </mc:Fallback>
    </mc:AlternateContent>
    <mc:AlternateContent xmlns:mc="http://schemas.openxmlformats.org/markup-compatibility/2006">
      <mc:Choice Requires="x14">
        <oleObject progId="Word.Document.6" shapeId="19459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9459" r:id="rId7"/>
      </mc:Fallback>
    </mc:AlternateContent>
    <mc:AlternateContent xmlns:mc="http://schemas.openxmlformats.org/markup-compatibility/2006">
      <mc:Choice Requires="x14">
        <oleObject progId="Word.Document.6" shapeId="19460" r:id="rId8">
          <objectPr defaultSize="0" autoLine="0" autoPict="0" r:id="rId5">
            <anchor moveWithCells="1">
              <from>
                <xdr:col>0</xdr:col>
                <xdr:colOff>657225</xdr:colOff>
                <xdr:row>4</xdr:row>
                <xdr:rowOff>133350</xdr:rowOff>
              </from>
              <to>
                <xdr:col>0</xdr:col>
                <xdr:colOff>1800225</xdr:colOff>
                <xdr:row>10</xdr:row>
                <xdr:rowOff>152400</xdr:rowOff>
              </to>
            </anchor>
          </objectPr>
        </oleObject>
      </mc:Choice>
      <mc:Fallback>
        <oleObject progId="Word.Document.6" shapeId="19460" r:id="rId8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workbookViewId="0">
      <selection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6.57031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56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1249158.06</v>
      </c>
      <c r="E14" s="16"/>
      <c r="F14" s="16">
        <v>5532167.6699999999</v>
      </c>
      <c r="G14" s="16"/>
      <c r="H14" s="16">
        <v>2567970.69</v>
      </c>
      <c r="I14" s="16"/>
      <c r="J14" s="16">
        <v>4983986.03</v>
      </c>
      <c r="K14" s="16"/>
      <c r="L14" s="16">
        <f>2146835.69+1955693.26</f>
        <v>4102528.95</v>
      </c>
      <c r="M14" s="16"/>
      <c r="N14" s="16">
        <f>SUM(L14,J14,H14,F14,D14)</f>
        <v>18435811.399999999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6.7757151171550831E-2</v>
      </c>
      <c r="E15" s="18"/>
      <c r="F15" s="18">
        <f>F14/N14</f>
        <v>0.30007725453299011</v>
      </c>
      <c r="G15" s="18"/>
      <c r="H15" s="18">
        <v>0</v>
      </c>
      <c r="I15" s="18"/>
      <c r="J15" s="18">
        <v>0</v>
      </c>
      <c r="K15" s="18"/>
      <c r="L15" s="18">
        <f>L14/N14</f>
        <v>0.22253042521361444</v>
      </c>
      <c r="M15" s="18"/>
      <c r="O15" s="16">
        <v>0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0</v>
      </c>
      <c r="E19" s="16"/>
      <c r="F19" s="16">
        <v>0</v>
      </c>
      <c r="G19" s="16"/>
      <c r="H19" s="16">
        <v>0</v>
      </c>
      <c r="I19" s="16"/>
      <c r="J19" s="16">
        <v>9025.65</v>
      </c>
      <c r="K19" s="16"/>
      <c r="L19" s="16">
        <f>37119.76+323962.72</f>
        <v>361082.48</v>
      </c>
      <c r="M19" s="16"/>
      <c r="N19" s="16">
        <f>SUM(L19,J19,H19,F19,D19)</f>
        <v>370108.13</v>
      </c>
      <c r="O19" s="1" t="s">
        <v>39</v>
      </c>
    </row>
    <row r="20" spans="1:15" x14ac:dyDescent="0.2">
      <c r="B20" s="1" t="s">
        <v>8</v>
      </c>
      <c r="D20" s="18">
        <f>D19/N19</f>
        <v>0</v>
      </c>
      <c r="E20" s="18"/>
      <c r="F20" s="18">
        <f>F19/N19</f>
        <v>0</v>
      </c>
      <c r="G20" s="18"/>
      <c r="H20" s="18">
        <f>H19/N19</f>
        <v>0</v>
      </c>
      <c r="I20" s="18"/>
      <c r="J20" s="18">
        <f>J19/N19</f>
        <v>2.4386521852411077E-2</v>
      </c>
      <c r="K20" s="18"/>
      <c r="L20" s="18">
        <f>L19/N19</f>
        <v>0.97561347814758881</v>
      </c>
      <c r="M20" s="18"/>
      <c r="O20" s="16">
        <v>1999159.89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222492.95</v>
      </c>
      <c r="E27" s="16"/>
      <c r="F27" s="16">
        <v>-222492.95</v>
      </c>
      <c r="G27" s="16"/>
      <c r="H27" s="16">
        <v>130653.41</v>
      </c>
      <c r="I27" s="16"/>
      <c r="J27" s="16">
        <v>224338.98</v>
      </c>
      <c r="K27" s="16"/>
      <c r="L27" s="16">
        <f>222492.95+4011.82</f>
        <v>226504.77000000002</v>
      </c>
      <c r="M27" s="16"/>
      <c r="N27" s="16">
        <f>SUM(L27,J27,H27,F27,D27)</f>
        <v>581497.16</v>
      </c>
      <c r="O27" s="1" t="s">
        <v>39</v>
      </c>
    </row>
    <row r="28" spans="1:15" x14ac:dyDescent="0.2">
      <c r="B28" s="1" t="s">
        <v>8</v>
      </c>
      <c r="D28" s="18">
        <f>D27/N27</f>
        <v>0.38262087126960342</v>
      </c>
      <c r="E28" s="18"/>
      <c r="F28" s="18">
        <f>F27/N27</f>
        <v>-0.38262087126960342</v>
      </c>
      <c r="G28" s="18"/>
      <c r="H28" s="18">
        <f>H27/N27</f>
        <v>0.2246845195254264</v>
      </c>
      <c r="I28" s="18"/>
      <c r="J28" s="18">
        <f>J27/N27</f>
        <v>0.38579548694614435</v>
      </c>
      <c r="K28" s="18"/>
      <c r="L28" s="18">
        <f>L27/N27</f>
        <v>0.38951999352842925</v>
      </c>
      <c r="M28" s="18"/>
      <c r="O28" s="16">
        <f>222492.95*3</f>
        <v>667478.85000000009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0</v>
      </c>
      <c r="E31" s="16"/>
      <c r="F31" s="16">
        <v>1038874.2</v>
      </c>
      <c r="G31" s="16"/>
      <c r="H31" s="16">
        <v>938546.94</v>
      </c>
      <c r="I31" s="16"/>
      <c r="J31" s="16">
        <v>0</v>
      </c>
      <c r="K31" s="16"/>
      <c r="L31" s="16">
        <v>96892.35</v>
      </c>
      <c r="M31" s="16"/>
      <c r="N31" s="16">
        <f>SUM(L31,J31,H31,F31,D31)</f>
        <v>2074313.4899999998</v>
      </c>
      <c r="O31" s="1" t="s">
        <v>39</v>
      </c>
    </row>
    <row r="32" spans="1:15" x14ac:dyDescent="0.2">
      <c r="B32" s="1" t="s">
        <v>8</v>
      </c>
      <c r="D32" s="18">
        <f>D31/N31</f>
        <v>0</v>
      </c>
      <c r="E32" s="18"/>
      <c r="F32" s="18">
        <f>F31/N31</f>
        <v>0.50082796308671751</v>
      </c>
      <c r="G32" s="18"/>
      <c r="H32" s="18">
        <f>H31/N31</f>
        <v>0.4524614743743483</v>
      </c>
      <c r="I32" s="18"/>
      <c r="J32" s="18">
        <f>J31/N31</f>
        <v>0</v>
      </c>
      <c r="K32" s="18"/>
      <c r="L32" s="18">
        <f>L31/N31</f>
        <v>4.6710562538934276E-2</v>
      </c>
      <c r="M32" s="18"/>
      <c r="O32" s="16">
        <f>1670664.22+1063418</f>
        <v>2734082.2199999997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4559322.25</v>
      </c>
      <c r="E35" s="16"/>
      <c r="F35" s="16">
        <v>3470049.92</v>
      </c>
      <c r="G35" s="16"/>
      <c r="H35" s="16">
        <v>1591871.96</v>
      </c>
      <c r="I35" s="16"/>
      <c r="J35" s="16">
        <v>-942980.93</v>
      </c>
      <c r="K35" s="16"/>
      <c r="L35" s="16">
        <f>1504434.26+829198.68</f>
        <v>2333632.94</v>
      </c>
      <c r="M35" s="16"/>
      <c r="N35" s="16">
        <f>SUM(L35,J35,H35,F35,D35)</f>
        <v>11011896.140000001</v>
      </c>
      <c r="O35" s="1" t="s">
        <v>39</v>
      </c>
    </row>
    <row r="36" spans="1:15" x14ac:dyDescent="0.2">
      <c r="B36" s="1" t="s">
        <v>8</v>
      </c>
      <c r="D36" s="18">
        <f>D35/N35</f>
        <v>0.4140360744448503</v>
      </c>
      <c r="E36" s="18"/>
      <c r="F36" s="18">
        <f>F35/N35</f>
        <v>0.31511829351488957</v>
      </c>
      <c r="G36" s="18"/>
      <c r="H36" s="18">
        <f>H35/N35</f>
        <v>0.144559296579054</v>
      </c>
      <c r="I36" s="18"/>
      <c r="J36" s="18">
        <f>J35/N35</f>
        <v>-8.5632929879776359E-2</v>
      </c>
      <c r="K36" s="18"/>
      <c r="L36" s="18">
        <f>L35/N35</f>
        <v>0.2119192653409824</v>
      </c>
      <c r="M36" s="18"/>
      <c r="O36" s="16">
        <v>0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6030973.2599999998</v>
      </c>
      <c r="E39" s="15"/>
      <c r="F39" s="22">
        <f>SUM(F35,F31,F27,F23,F19,F14)</f>
        <v>9818598.8399999999</v>
      </c>
      <c r="G39" s="15"/>
      <c r="H39" s="22">
        <f>SUM(H35,H31,H27,H23,H19,H14)</f>
        <v>5229043</v>
      </c>
      <c r="I39" s="15"/>
      <c r="J39" s="22">
        <f>SUM(J35,J31,J27,J23,J19,J14)</f>
        <v>4274369.7300000004</v>
      </c>
      <c r="K39" s="15"/>
      <c r="L39" s="22">
        <f>SUM(L35,L31,L27,L23,L19,L14)</f>
        <v>7189337.25</v>
      </c>
      <c r="M39" s="15"/>
      <c r="N39" s="22">
        <f>SUM(N35,N31,N27,N23,N19,N14)</f>
        <v>32542322.079999998</v>
      </c>
      <c r="O39" s="22">
        <f>SUM(O36,O32,O28,O20,O15)</f>
        <v>5400720.96</v>
      </c>
    </row>
    <row r="40" spans="1:15" s="23" customFormat="1" ht="15.75" x14ac:dyDescent="0.25">
      <c r="A40" s="15"/>
      <c r="B40" s="15" t="s">
        <v>8</v>
      </c>
      <c r="C40" s="15"/>
      <c r="D40" s="24">
        <f>D39/N39</f>
        <v>0.18532707177975297</v>
      </c>
      <c r="E40" s="15"/>
      <c r="F40" s="24">
        <f>F39/N39</f>
        <v>0.30171783119417767</v>
      </c>
      <c r="G40" s="15"/>
      <c r="H40" s="24">
        <f>H39/N39</f>
        <v>0.16068438469588156</v>
      </c>
      <c r="I40" s="15"/>
      <c r="J40" s="24">
        <f>J39/N39</f>
        <v>0.13134802487333752</v>
      </c>
      <c r="K40" s="15"/>
      <c r="L40" s="24">
        <f>L39/N39</f>
        <v>0.22092268745685037</v>
      </c>
      <c r="M40" s="15"/>
      <c r="N40" s="22"/>
      <c r="O40" s="15" t="s">
        <v>55</v>
      </c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33" right="0.34" top="1" bottom="1" header="0.5" footer="0.5"/>
  <pageSetup scale="48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8433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8433" r:id="rId4"/>
      </mc:Fallback>
    </mc:AlternateContent>
    <mc:AlternateContent xmlns:mc="http://schemas.openxmlformats.org/markup-compatibility/2006">
      <mc:Choice Requires="x14">
        <oleObject progId="Word.Document.6" shapeId="18434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8434" r:id="rId6"/>
      </mc:Fallback>
    </mc:AlternateContent>
    <mc:AlternateContent xmlns:mc="http://schemas.openxmlformats.org/markup-compatibility/2006">
      <mc:Choice Requires="x14">
        <oleObject progId="Word.Document.6" shapeId="18435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8435" r:id="rId7"/>
      </mc:Fallback>
    </mc:AlternateContent>
    <mc:AlternateContent xmlns:mc="http://schemas.openxmlformats.org/markup-compatibility/2006">
      <mc:Choice Requires="x14">
        <oleObject progId="Word.Document.6" shapeId="18436" r:id="rId8">
          <objectPr defaultSize="0" autoLine="0" autoPict="0" r:id="rId5">
            <anchor moveWithCells="1">
              <from>
                <xdr:col>0</xdr:col>
                <xdr:colOff>657225</xdr:colOff>
                <xdr:row>4</xdr:row>
                <xdr:rowOff>133350</xdr:rowOff>
              </from>
              <to>
                <xdr:col>0</xdr:col>
                <xdr:colOff>1800225</xdr:colOff>
                <xdr:row>10</xdr:row>
                <xdr:rowOff>152400</xdr:rowOff>
              </to>
            </anchor>
          </objectPr>
        </oleObject>
      </mc:Choice>
      <mc:Fallback>
        <oleObject progId="Word.Document.6" shapeId="18436" r:id="rId8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22" workbookViewId="0">
      <selection activeCell="K22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6.57031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54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6712742.3200000003</v>
      </c>
      <c r="E14" s="16"/>
      <c r="F14" s="16">
        <v>2567970.69</v>
      </c>
      <c r="G14" s="16"/>
      <c r="H14" s="16">
        <v>4983986.03</v>
      </c>
      <c r="I14" s="16"/>
      <c r="J14" s="16">
        <v>2146835.69</v>
      </c>
      <c r="K14" s="16"/>
      <c r="L14" s="16">
        <f>24740.94+1930952.32</f>
        <v>1955693.26</v>
      </c>
      <c r="M14" s="16"/>
      <c r="N14" s="16">
        <f>SUM(L14,J14,H14,F14,D14)</f>
        <v>18367227.990000002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0.36547389315659057</v>
      </c>
      <c r="E15" s="18"/>
      <c r="F15" s="18">
        <f>F14/N14</f>
        <v>0.13981264300732402</v>
      </c>
      <c r="G15" s="18"/>
      <c r="H15" s="18">
        <v>0</v>
      </c>
      <c r="I15" s="18"/>
      <c r="J15" s="18">
        <v>0</v>
      </c>
      <c r="K15" s="18"/>
      <c r="L15" s="18">
        <f>L14/N14</f>
        <v>0.10647732260223333</v>
      </c>
      <c r="M15" s="18"/>
      <c r="O15" s="16">
        <v>2772914.88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0</v>
      </c>
      <c r="E19" s="16"/>
      <c r="F19" s="16">
        <v>0</v>
      </c>
      <c r="G19" s="16"/>
      <c r="H19" s="16">
        <v>9025.65</v>
      </c>
      <c r="I19" s="16"/>
      <c r="J19" s="16">
        <v>37119.760000000002</v>
      </c>
      <c r="K19" s="16"/>
      <c r="L19" s="16">
        <f>-152850.42+476813.14</f>
        <v>323962.71999999997</v>
      </c>
      <c r="M19" s="16"/>
      <c r="N19" s="16">
        <f>SUM(L19,J19,H19,F19,D19)</f>
        <v>370108.13</v>
      </c>
      <c r="O19" s="1" t="s">
        <v>39</v>
      </c>
    </row>
    <row r="20" spans="1:15" x14ac:dyDescent="0.2">
      <c r="B20" s="1" t="s">
        <v>8</v>
      </c>
      <c r="D20" s="18">
        <f>D19/N19</f>
        <v>0</v>
      </c>
      <c r="E20" s="18"/>
      <c r="F20" s="18">
        <f>F19/N19</f>
        <v>0</v>
      </c>
      <c r="G20" s="18"/>
      <c r="H20" s="18">
        <f>H19/N19</f>
        <v>2.4386521852411077E-2</v>
      </c>
      <c r="I20" s="18"/>
      <c r="J20" s="18">
        <f>J19/N19</f>
        <v>0.10029436532507406</v>
      </c>
      <c r="K20" s="18"/>
      <c r="L20" s="18">
        <f>L19/N19</f>
        <v>0.87531911282251473</v>
      </c>
      <c r="M20" s="18"/>
      <c r="O20" s="16">
        <f>72893.35+2346886.15</f>
        <v>2419779.5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222492.95</v>
      </c>
      <c r="E27" s="16"/>
      <c r="F27" s="16">
        <v>353146.36</v>
      </c>
      <c r="G27" s="16"/>
      <c r="H27" s="16">
        <v>224338.98</v>
      </c>
      <c r="I27" s="16"/>
      <c r="J27" s="16">
        <v>222492.95</v>
      </c>
      <c r="K27" s="16"/>
      <c r="L27" s="16">
        <v>4011.82</v>
      </c>
      <c r="M27" s="16"/>
      <c r="N27" s="16">
        <f>SUM(L27,J27,H27,F27,D27)</f>
        <v>1026483.06</v>
      </c>
      <c r="O27" s="1" t="s">
        <v>39</v>
      </c>
    </row>
    <row r="28" spans="1:15" x14ac:dyDescent="0.2">
      <c r="B28" s="1" t="s">
        <v>8</v>
      </c>
      <c r="D28" s="18">
        <f>D27/N27</f>
        <v>0.21675267587952207</v>
      </c>
      <c r="E28" s="18"/>
      <c r="F28" s="18">
        <f>F27/N27</f>
        <v>0.34403525373326665</v>
      </c>
      <c r="G28" s="18"/>
      <c r="H28" s="18">
        <f>H27/N27</f>
        <v>0.2185510786705043</v>
      </c>
      <c r="I28" s="18"/>
      <c r="J28" s="18">
        <f>J27/N27</f>
        <v>0.21675267587952207</v>
      </c>
      <c r="K28" s="18"/>
      <c r="L28" s="18">
        <f>L27/N27</f>
        <v>3.9083158371848821E-3</v>
      </c>
      <c r="M28" s="18"/>
      <c r="O28" s="16">
        <f>222492.95</f>
        <v>222492.95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0</v>
      </c>
      <c r="E31" s="16"/>
      <c r="F31" s="16">
        <v>2609211.16</v>
      </c>
      <c r="G31" s="16"/>
      <c r="H31" s="16">
        <v>0</v>
      </c>
      <c r="I31" s="16"/>
      <c r="J31" s="16">
        <v>0</v>
      </c>
      <c r="K31" s="16"/>
      <c r="L31" s="16">
        <v>96892.35</v>
      </c>
      <c r="M31" s="16"/>
      <c r="N31" s="16">
        <f>SUM(L31,J31,H31,F31,D31)</f>
        <v>2706103.5100000002</v>
      </c>
      <c r="O31" s="1" t="s">
        <v>39</v>
      </c>
    </row>
    <row r="32" spans="1:15" x14ac:dyDescent="0.2">
      <c r="B32" s="1" t="s">
        <v>8</v>
      </c>
      <c r="D32" s="18">
        <f>D31/N31</f>
        <v>0</v>
      </c>
      <c r="E32" s="18"/>
      <c r="F32" s="18">
        <f>F31/N31</f>
        <v>0.96419488403087728</v>
      </c>
      <c r="G32" s="18"/>
      <c r="H32" s="18">
        <f>H31/N31</f>
        <v>0</v>
      </c>
      <c r="I32" s="18"/>
      <c r="J32" s="18">
        <f>J31/N31</f>
        <v>0</v>
      </c>
      <c r="K32" s="18"/>
      <c r="L32" s="18">
        <f>L31/N31</f>
        <v>3.5805115969122704E-2</v>
      </c>
      <c r="M32" s="18"/>
      <c r="O32" s="16">
        <f>860590.43+1148606.8</f>
        <v>2009197.23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3194421.4</v>
      </c>
      <c r="E35" s="16"/>
      <c r="F35" s="16">
        <v>1991871.96</v>
      </c>
      <c r="G35" s="16"/>
      <c r="H35" s="16">
        <v>-942980.93</v>
      </c>
      <c r="I35" s="16"/>
      <c r="J35" s="16">
        <v>1504434.26</v>
      </c>
      <c r="K35" s="16"/>
      <c r="L35" s="16">
        <f>-739143.8+1568342.48</f>
        <v>829198.67999999993</v>
      </c>
      <c r="M35" s="16"/>
      <c r="N35" s="16">
        <f>SUM(L35,J35,H35,F35,D35)</f>
        <v>6576945.3699999992</v>
      </c>
      <c r="O35" s="1" t="s">
        <v>39</v>
      </c>
    </row>
    <row r="36" spans="1:15" x14ac:dyDescent="0.2">
      <c r="B36" s="1" t="s">
        <v>8</v>
      </c>
      <c r="D36" s="18">
        <f>D35/N35</f>
        <v>0.48569985309152724</v>
      </c>
      <c r="E36" s="18"/>
      <c r="F36" s="18">
        <f>F35/N35</f>
        <v>0.30285669835204976</v>
      </c>
      <c r="G36" s="18"/>
      <c r="H36" s="18">
        <f>H35/N35</f>
        <v>-0.14337673143847326</v>
      </c>
      <c r="I36" s="18"/>
      <c r="J36" s="18">
        <f>J35/N35</f>
        <v>0.22874361506213944</v>
      </c>
      <c r="K36" s="18"/>
      <c r="L36" s="18">
        <f>L35/N35</f>
        <v>0.12607656493275693</v>
      </c>
      <c r="M36" s="18"/>
      <c r="O36" s="16">
        <f>400000+3350000</f>
        <v>3750000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10129656.67</v>
      </c>
      <c r="E39" s="15"/>
      <c r="F39" s="22">
        <f>SUM(F35,F31,F27,F23,F19,F14)</f>
        <v>7522200.1699999999</v>
      </c>
      <c r="G39" s="15"/>
      <c r="H39" s="22">
        <f>SUM(H35,H31,H27,H23,H19,H14)</f>
        <v>4274369.7300000004</v>
      </c>
      <c r="I39" s="15"/>
      <c r="J39" s="22">
        <f>SUM(J35,J31,J27,J23,J19,J14)</f>
        <v>3910882.66</v>
      </c>
      <c r="K39" s="15"/>
      <c r="L39" s="22">
        <f>SUM(L35,L31,L27,L23,L19,L14)</f>
        <v>3278454.59</v>
      </c>
      <c r="M39" s="15"/>
      <c r="N39" s="22">
        <f>SUM(N35,N31,N27,N23,N19,N14)</f>
        <v>29115563.82</v>
      </c>
      <c r="O39" s="22">
        <f>SUM(O36,O32,O28,O20,O15)</f>
        <v>11174384.559999999</v>
      </c>
    </row>
    <row r="40" spans="1:15" s="23" customFormat="1" ht="15.75" x14ac:dyDescent="0.25">
      <c r="A40" s="15"/>
      <c r="B40" s="15" t="s">
        <v>8</v>
      </c>
      <c r="C40" s="15"/>
      <c r="D40" s="24">
        <f>D39/N39</f>
        <v>0.34791209033849307</v>
      </c>
      <c r="E40" s="15"/>
      <c r="F40" s="24">
        <f>F39/N39</f>
        <v>0.25835667193340994</v>
      </c>
      <c r="G40" s="15"/>
      <c r="H40" s="24">
        <f>H39/N39</f>
        <v>0.14680703957598992</v>
      </c>
      <c r="I40" s="15"/>
      <c r="J40" s="24">
        <f>J39/N39</f>
        <v>0.13432275205721914</v>
      </c>
      <c r="K40" s="15"/>
      <c r="L40" s="24">
        <f>L39/N39</f>
        <v>0.11260144609488795</v>
      </c>
      <c r="M40" s="15"/>
      <c r="N40" s="22"/>
      <c r="O40" s="15" t="s">
        <v>55</v>
      </c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43" right="0.44" top="1" bottom="1" header="0.5" footer="0.5"/>
  <pageSetup scale="47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7409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7409" r:id="rId4"/>
      </mc:Fallback>
    </mc:AlternateContent>
    <mc:AlternateContent xmlns:mc="http://schemas.openxmlformats.org/markup-compatibility/2006">
      <mc:Choice Requires="x14">
        <oleObject progId="Word.Document.6" shapeId="17410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7410" r:id="rId6"/>
      </mc:Fallback>
    </mc:AlternateContent>
    <mc:AlternateContent xmlns:mc="http://schemas.openxmlformats.org/markup-compatibility/2006">
      <mc:Choice Requires="x14">
        <oleObject progId="Word.Document.6" shapeId="17411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7411" r:id="rId7"/>
      </mc:Fallback>
    </mc:AlternateContent>
    <mc:AlternateContent xmlns:mc="http://schemas.openxmlformats.org/markup-compatibility/2006">
      <mc:Choice Requires="x14">
        <oleObject progId="Word.Document.6" shapeId="17412" r:id="rId8">
          <objectPr defaultSize="0" autoLine="0" autoPict="0" r:id="rId5">
            <anchor moveWithCells="1">
              <from>
                <xdr:col>0</xdr:col>
                <xdr:colOff>657225</xdr:colOff>
                <xdr:row>4</xdr:row>
                <xdr:rowOff>133350</xdr:rowOff>
              </from>
              <to>
                <xdr:col>0</xdr:col>
                <xdr:colOff>1800225</xdr:colOff>
                <xdr:row>10</xdr:row>
                <xdr:rowOff>152400</xdr:rowOff>
              </to>
            </anchor>
          </objectPr>
        </oleObject>
      </mc:Choice>
      <mc:Fallback>
        <oleObject progId="Word.Document.6" shapeId="17412" r:id="rId8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30" workbookViewId="0">
      <selection activeCell="K30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6.57031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53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8545503.6999999993</v>
      </c>
      <c r="E14" s="16"/>
      <c r="F14" s="16">
        <v>5280547.76</v>
      </c>
      <c r="G14" s="16"/>
      <c r="H14" s="16">
        <v>5352225.66</v>
      </c>
      <c r="I14" s="16"/>
      <c r="J14" s="16">
        <v>46681.43</v>
      </c>
      <c r="K14" s="16"/>
      <c r="L14" s="16">
        <f>20281.51+1888730.32</f>
        <v>1909011.83</v>
      </c>
      <c r="M14" s="16"/>
      <c r="N14" s="16">
        <f>SUM(L14,J14,H14,F14,D14)</f>
        <v>21133970.379999999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0.40434918504887202</v>
      </c>
      <c r="E15" s="18"/>
      <c r="F15" s="18">
        <f>F14/N14</f>
        <v>0.24986065869559529</v>
      </c>
      <c r="G15" s="18"/>
      <c r="H15" s="18">
        <v>0</v>
      </c>
      <c r="I15" s="18"/>
      <c r="J15" s="18">
        <v>0</v>
      </c>
      <c r="K15" s="18"/>
      <c r="L15" s="18">
        <f>L14/N14</f>
        <v>9.0329067168873373E-2</v>
      </c>
      <c r="M15" s="18"/>
      <c r="O15" s="16">
        <v>1980000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72893.350000000006</v>
      </c>
      <c r="E19" s="16"/>
      <c r="F19" s="16">
        <v>9025.65</v>
      </c>
      <c r="G19" s="16"/>
      <c r="H19" s="16">
        <v>37119.760000000002</v>
      </c>
      <c r="I19" s="16"/>
      <c r="J19" s="16">
        <v>-152850.42000000001</v>
      </c>
      <c r="K19" s="16"/>
      <c r="L19" s="16">
        <f>32407.23+444405.91</f>
        <v>476813.13999999996</v>
      </c>
      <c r="M19" s="16"/>
      <c r="N19" s="16">
        <f>SUM(L19,J19,H19,F19,D19)</f>
        <v>443001.48</v>
      </c>
      <c r="O19" s="1" t="s">
        <v>39</v>
      </c>
    </row>
    <row r="20" spans="1:15" x14ac:dyDescent="0.2">
      <c r="B20" s="1" t="s">
        <v>8</v>
      </c>
      <c r="D20" s="18">
        <f>D19/N19</f>
        <v>0.16454425840744372</v>
      </c>
      <c r="E20" s="18"/>
      <c r="F20" s="18">
        <f>F19/N19</f>
        <v>2.0373859699069179E-2</v>
      </c>
      <c r="G20" s="18"/>
      <c r="H20" s="18">
        <f>H19/N19</f>
        <v>8.3791503360214514E-2</v>
      </c>
      <c r="I20" s="18"/>
      <c r="J20" s="18">
        <f>J19/N19</f>
        <v>-0.3450336554180361</v>
      </c>
      <c r="K20" s="18"/>
      <c r="L20" s="18">
        <f>L19/N19</f>
        <v>1.0763240339513087</v>
      </c>
      <c r="M20" s="18"/>
      <c r="O20" s="16">
        <v>1757637.33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453791.36</v>
      </c>
      <c r="E27" s="16"/>
      <c r="F27" s="16">
        <v>-98798.97</v>
      </c>
      <c r="G27" s="16"/>
      <c r="H27" s="16">
        <v>222492.95</v>
      </c>
      <c r="I27" s="16"/>
      <c r="J27" s="16">
        <v>222492.95</v>
      </c>
      <c r="K27" s="16"/>
      <c r="L27" s="16">
        <f>444985.9+4011.82</f>
        <v>448997.72000000003</v>
      </c>
      <c r="M27" s="16"/>
      <c r="N27" s="16">
        <f>SUM(L27,J27,H27,F27,D27)</f>
        <v>1248976.0100000002</v>
      </c>
      <c r="O27" s="1" t="s">
        <v>39</v>
      </c>
    </row>
    <row r="28" spans="1:15" x14ac:dyDescent="0.2">
      <c r="B28" s="1" t="s">
        <v>8</v>
      </c>
      <c r="D28" s="18">
        <f>D27/N27</f>
        <v>0.3633307256237851</v>
      </c>
      <c r="E28" s="18"/>
      <c r="F28" s="18">
        <f>F27/N27</f>
        <v>-7.9103977345409526E-2</v>
      </c>
      <c r="G28" s="18"/>
      <c r="H28" s="18">
        <f>H27/N27</f>
        <v>0.17814029110134788</v>
      </c>
      <c r="I28" s="18"/>
      <c r="J28" s="18">
        <f>J27/N27</f>
        <v>0.17814029110134788</v>
      </c>
      <c r="K28" s="18"/>
      <c r="L28" s="18">
        <f>L27/N27</f>
        <v>0.3594926695189285</v>
      </c>
      <c r="M28" s="18"/>
      <c r="O28" s="16">
        <v>323137.95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0</v>
      </c>
      <c r="E31" s="16"/>
      <c r="F31" s="16">
        <v>1148606.8</v>
      </c>
      <c r="G31" s="16"/>
      <c r="H31" s="16">
        <v>860590.43</v>
      </c>
      <c r="I31" s="16"/>
      <c r="J31" s="16">
        <v>0</v>
      </c>
      <c r="K31" s="16"/>
      <c r="L31" s="16">
        <f>105299.88-8407.53</f>
        <v>96892.35</v>
      </c>
      <c r="M31" s="16"/>
      <c r="N31" s="16">
        <f>SUM(L31,J31,H31,F31,D31)</f>
        <v>2106089.58</v>
      </c>
      <c r="O31" s="1" t="s">
        <v>39</v>
      </c>
    </row>
    <row r="32" spans="1:15" x14ac:dyDescent="0.2">
      <c r="B32" s="1" t="s">
        <v>8</v>
      </c>
      <c r="D32" s="18">
        <f>D31/N31</f>
        <v>0</v>
      </c>
      <c r="E32" s="18"/>
      <c r="F32" s="18">
        <f>F31/N31</f>
        <v>0.54537414310743615</v>
      </c>
      <c r="G32" s="18"/>
      <c r="H32" s="18">
        <f>H31/N31</f>
        <v>0.40862005024496634</v>
      </c>
      <c r="I32" s="18"/>
      <c r="J32" s="18">
        <f>J31/N31</f>
        <v>0</v>
      </c>
      <c r="K32" s="18"/>
      <c r="L32" s="18">
        <f>L31/N31</f>
        <v>4.6005806647597583E-2</v>
      </c>
      <c r="M32" s="18"/>
      <c r="O32" s="16">
        <v>1588292.58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1125618.82</v>
      </c>
      <c r="E35" s="16"/>
      <c r="F35" s="16">
        <v>-898637.5</v>
      </c>
      <c r="G35" s="16"/>
      <c r="H35" s="16">
        <v>1244679.26</v>
      </c>
      <c r="I35" s="16"/>
      <c r="J35" s="16">
        <v>-739143.8</v>
      </c>
      <c r="K35" s="16"/>
      <c r="L35" s="16">
        <f>-818199.1+2386541.58</f>
        <v>1568342.48</v>
      </c>
      <c r="M35" s="16"/>
      <c r="N35" s="16">
        <f>SUM(L35,J35,H35,F35,D35)</f>
        <v>2300859.2599999998</v>
      </c>
      <c r="O35" s="1" t="s">
        <v>39</v>
      </c>
    </row>
    <row r="36" spans="1:15" x14ac:dyDescent="0.2">
      <c r="B36" s="1" t="s">
        <v>8</v>
      </c>
      <c r="D36" s="18">
        <f>D35/N35</f>
        <v>0.48921671984404652</v>
      </c>
      <c r="E36" s="18"/>
      <c r="F36" s="18">
        <f>F35/N35</f>
        <v>-0.39056604444376147</v>
      </c>
      <c r="G36" s="18"/>
      <c r="H36" s="18">
        <f>H35/N35</f>
        <v>0.54096279665536784</v>
      </c>
      <c r="I36" s="18"/>
      <c r="J36" s="18">
        <f>J35/N35</f>
        <v>-0.32124685453381452</v>
      </c>
      <c r="K36" s="18"/>
      <c r="L36" s="18">
        <f>L35/N35</f>
        <v>0.68163338247816174</v>
      </c>
      <c r="M36" s="18"/>
      <c r="O36" s="16">
        <f>4300000</f>
        <v>4300000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10197807.23</v>
      </c>
      <c r="E39" s="15"/>
      <c r="F39" s="22">
        <f>SUM(F35,F31,F27,F23,F19,F14)</f>
        <v>5440743.7400000002</v>
      </c>
      <c r="G39" s="15"/>
      <c r="H39" s="22">
        <f>SUM(H35,H31,H27,H23,H19,H14)</f>
        <v>7717108.0600000005</v>
      </c>
      <c r="I39" s="15"/>
      <c r="J39" s="22">
        <f>SUM(J35,J31,J27,J23,J19,J14)</f>
        <v>-622819.83999999997</v>
      </c>
      <c r="K39" s="15"/>
      <c r="L39" s="22">
        <f>SUM(L35,L31,L27,L23,L19,L14)</f>
        <v>4568753.28</v>
      </c>
      <c r="M39" s="15"/>
      <c r="N39" s="22">
        <f>SUM(N35,N31,N27,N23,N19,N14)</f>
        <v>27301592.469999999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0.37352426387602589</v>
      </c>
      <c r="E40" s="15"/>
      <c r="F40" s="24">
        <f>F39/N39</f>
        <v>0.19928301786712591</v>
      </c>
      <c r="G40" s="15"/>
      <c r="H40" s="24">
        <f>H39/N39</f>
        <v>0.28266146264104719</v>
      </c>
      <c r="I40" s="15"/>
      <c r="J40" s="24">
        <f>J39/N39</f>
        <v>-2.2812582844183082E-2</v>
      </c>
      <c r="K40" s="15"/>
      <c r="L40" s="24">
        <f>L39/N39</f>
        <v>0.16734383845998418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38" right="0.4" top="1" bottom="1" header="0.5" footer="0.5"/>
  <pageSetup scale="48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6385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6385" r:id="rId4"/>
      </mc:Fallback>
    </mc:AlternateContent>
    <mc:AlternateContent xmlns:mc="http://schemas.openxmlformats.org/markup-compatibility/2006">
      <mc:Choice Requires="x14">
        <oleObject progId="Word.Document.6" shapeId="16386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6386" r:id="rId6"/>
      </mc:Fallback>
    </mc:AlternateContent>
    <mc:AlternateContent xmlns:mc="http://schemas.openxmlformats.org/markup-compatibility/2006">
      <mc:Choice Requires="x14">
        <oleObject progId="Word.Document.6" shapeId="16387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6387" r:id="rId7"/>
      </mc:Fallback>
    </mc:AlternateContent>
    <mc:AlternateContent xmlns:mc="http://schemas.openxmlformats.org/markup-compatibility/2006">
      <mc:Choice Requires="x14">
        <oleObject progId="Word.Document.6" shapeId="16388" r:id="rId8">
          <objectPr defaultSize="0" autoLine="0" autoPict="0" r:id="rId5">
            <anchor moveWithCells="1">
              <from>
                <xdr:col>0</xdr:col>
                <xdr:colOff>657225</xdr:colOff>
                <xdr:row>4</xdr:row>
                <xdr:rowOff>133350</xdr:rowOff>
              </from>
              <to>
                <xdr:col>0</xdr:col>
                <xdr:colOff>1800225</xdr:colOff>
                <xdr:row>10</xdr:row>
                <xdr:rowOff>152400</xdr:rowOff>
              </to>
            </anchor>
          </objectPr>
        </oleObject>
      </mc:Choice>
      <mc:Fallback>
        <oleObject progId="Word.Document.6" shapeId="16388" r:id="rId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24</vt:i4>
      </vt:variant>
    </vt:vector>
  </HeadingPairs>
  <TitlesOfParts>
    <vt:vector size="50" baseType="lpstr">
      <vt:lpstr>1001</vt:lpstr>
      <vt:lpstr>0901</vt:lpstr>
      <vt:lpstr>0801</vt:lpstr>
      <vt:lpstr>0701</vt:lpstr>
      <vt:lpstr>0601</vt:lpstr>
      <vt:lpstr>0501</vt:lpstr>
      <vt:lpstr>0401</vt:lpstr>
      <vt:lpstr>0301</vt:lpstr>
      <vt:lpstr>0201</vt:lpstr>
      <vt:lpstr>0101</vt:lpstr>
      <vt:lpstr>1200</vt:lpstr>
      <vt:lpstr>1100</vt:lpstr>
      <vt:lpstr>1000</vt:lpstr>
      <vt:lpstr>0900</vt:lpstr>
      <vt:lpstr>0800</vt:lpstr>
      <vt:lpstr>0700</vt:lpstr>
      <vt:lpstr>0600</vt:lpstr>
      <vt:lpstr>0500</vt:lpstr>
      <vt:lpstr>0400</vt:lpstr>
      <vt:lpstr>0300</vt:lpstr>
      <vt:lpstr>0200</vt:lpstr>
      <vt:lpstr>0100</vt:lpstr>
      <vt:lpstr>1299</vt:lpstr>
      <vt:lpstr>1199</vt:lpstr>
      <vt:lpstr>Sheet2</vt:lpstr>
      <vt:lpstr>Sheet3</vt:lpstr>
      <vt:lpstr>'0100'!Print_Area</vt:lpstr>
      <vt:lpstr>'0101'!Print_Area</vt:lpstr>
      <vt:lpstr>'0200'!Print_Area</vt:lpstr>
      <vt:lpstr>'0201'!Print_Area</vt:lpstr>
      <vt:lpstr>'0300'!Print_Area</vt:lpstr>
      <vt:lpstr>'0301'!Print_Area</vt:lpstr>
      <vt:lpstr>'0400'!Print_Area</vt:lpstr>
      <vt:lpstr>'0401'!Print_Area</vt:lpstr>
      <vt:lpstr>'0500'!Print_Area</vt:lpstr>
      <vt:lpstr>'0501'!Print_Area</vt:lpstr>
      <vt:lpstr>'0600'!Print_Area</vt:lpstr>
      <vt:lpstr>'0601'!Print_Area</vt:lpstr>
      <vt:lpstr>'0700'!Print_Area</vt:lpstr>
      <vt:lpstr>'0701'!Print_Area</vt:lpstr>
      <vt:lpstr>'0800'!Print_Area</vt:lpstr>
      <vt:lpstr>'0801'!Print_Area</vt:lpstr>
      <vt:lpstr>'0900'!Print_Area</vt:lpstr>
      <vt:lpstr>'0901'!Print_Area</vt:lpstr>
      <vt:lpstr>'1000'!Print_Area</vt:lpstr>
      <vt:lpstr>'1001'!Print_Area</vt:lpstr>
      <vt:lpstr>'1100'!Print_Area</vt:lpstr>
      <vt:lpstr>'1199'!Print_Area</vt:lpstr>
      <vt:lpstr>'1200'!Print_Area</vt:lpstr>
      <vt:lpstr>'1299'!Print_Area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jlessor</dc:creator>
  <cp:lastModifiedBy>Jan Havlíček</cp:lastModifiedBy>
  <cp:lastPrinted>2001-11-01T19:03:36Z</cp:lastPrinted>
  <dcterms:created xsi:type="dcterms:W3CDTF">1999-12-09T16:56:27Z</dcterms:created>
  <dcterms:modified xsi:type="dcterms:W3CDTF">2023-09-18T07:48:32Z</dcterms:modified>
</cp:coreProperties>
</file>