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47E503-2666-4FB2-855C-71800E3844D0}" xr6:coauthVersionLast="47" xr6:coauthVersionMax="47" xr10:uidLastSave="{00000000-0000-0000-0000-000000000000}"/>
  <bookViews>
    <workbookView xWindow="-120" yWindow="-120" windowWidth="23280" windowHeight="1248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<sst xmlns="http://schemas.openxmlformats.org/spreadsheetml/2006/main" count="373" uniqueCount="159">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</sst>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73078CF0-9711-E7F4-8AAE-C8A681A539A2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36878</v>
      </c>
      <c r="D5" s="82" t="s">
        <v>148</v>
      </c>
      <c r="E5" s="83">
        <f>+C5-1</f>
        <v>36877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-203441866.19999999</v>
      </c>
      <c r="D12" s="59">
        <v>0</v>
      </c>
      <c r="E12" s="59">
        <f>+C12-D12</f>
        <v>-203441866.19999999</v>
      </c>
      <c r="F12" s="70"/>
    </row>
    <row r="13" spans="1:6" x14ac:dyDescent="0.2">
      <c r="A13" s="68"/>
      <c r="B13" s="69" t="s">
        <v>155</v>
      </c>
      <c r="C13" s="86">
        <f>+C15-C12</f>
        <v>-12394732.800000012</v>
      </c>
      <c r="D13" s="86">
        <f>+D15-D12</f>
        <v>0</v>
      </c>
      <c r="E13" s="86">
        <f>+E15-E12</f>
        <v>-12394732.800000012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-215836599</v>
      </c>
      <c r="D15" s="87">
        <v>0</v>
      </c>
      <c r="E15" s="87">
        <f>+C15-D15</f>
        <v>-215836599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-15054560.158333331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87332290.789093331</v>
      </c>
      <c r="E4" s="28">
        <f>'Hawaii Summary'!H6</f>
        <v>3954146</v>
      </c>
      <c r="F4" s="45">
        <f>'Hawaii Summary'!I6</f>
        <v>0.15</v>
      </c>
      <c r="G4" s="27">
        <f>'Hawaii Summary'!J6</f>
        <v>80</v>
      </c>
      <c r="H4" s="41">
        <f>'Hawaii Summary'!K6</f>
        <v>3985449.6558333333</v>
      </c>
      <c r="I4" s="41"/>
    </row>
    <row r="6" spans="1:9" x14ac:dyDescent="0.2">
      <c r="A6" t="s">
        <v>75</v>
      </c>
      <c r="B6" s="48">
        <f>'Hawaii Summary'!B11</f>
        <v>8.75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74009250</v>
      </c>
      <c r="C10" s="28">
        <f>B4*B7*'Notional Analysis'!C8</f>
        <v>177622200</v>
      </c>
      <c r="E10" t="s">
        <v>122</v>
      </c>
      <c r="G10" s="20">
        <f>B4*B6*'Notional Analysis'!C8</f>
        <v>74009250</v>
      </c>
    </row>
    <row r="11" spans="1:9" x14ac:dyDescent="0.2">
      <c r="A11" t="s">
        <v>108</v>
      </c>
      <c r="B11" s="20">
        <f>D4+H4</f>
        <v>91317740.444926664</v>
      </c>
      <c r="C11" s="28">
        <f>B11</f>
        <v>91317740.444926664</v>
      </c>
      <c r="E11" t="s">
        <v>123</v>
      </c>
      <c r="G11" s="54">
        <f>D4+H4</f>
        <v>91317740.444926664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-17308490.444926664</v>
      </c>
    </row>
    <row r="13" spans="1:9" x14ac:dyDescent="0.2">
      <c r="C13" s="28"/>
      <c r="E13" t="s">
        <v>75</v>
      </c>
      <c r="F13" s="20">
        <f>B4*B6*'Notional Analysis'!C8</f>
        <v>74009250</v>
      </c>
    </row>
    <row r="14" spans="1:9" x14ac:dyDescent="0.2">
      <c r="A14" t="s">
        <v>109</v>
      </c>
      <c r="B14" s="20">
        <f>D4</f>
        <v>87332290.789093331</v>
      </c>
      <c r="C14" s="28">
        <f>B14</f>
        <v>87332290.789093331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74009250</v>
      </c>
      <c r="C15" s="59">
        <f>C10-E4+C12</f>
        <v>173668054</v>
      </c>
      <c r="F15" s="20"/>
      <c r="G15" s="20">
        <f>-F14+F13</f>
        <v>-103612950</v>
      </c>
    </row>
    <row r="16" spans="1:9" ht="13.5" thickBot="1" x14ac:dyDescent="0.25">
      <c r="A16" t="s">
        <v>117</v>
      </c>
      <c r="B16" s="20">
        <f>B15-B14</f>
        <v>-13323040.789093331</v>
      </c>
      <c r="C16" s="60">
        <f>C15-C14</f>
        <v>86335763.210906669</v>
      </c>
      <c r="D16" s="61" t="s">
        <v>115</v>
      </c>
      <c r="F16" s="20"/>
      <c r="G16" s="17">
        <f>G12-G15</f>
        <v>86304459.555073336</v>
      </c>
      <c r="H16" s="20">
        <f>C16-G16</f>
        <v>31303.655833333731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99658804</v>
      </c>
      <c r="C20" s="28"/>
    </row>
    <row r="21" spans="1:3" x14ac:dyDescent="0.2">
      <c r="A21" t="s">
        <v>116</v>
      </c>
      <c r="B21" s="20">
        <f>-B14+B15-B19+B20</f>
        <v>86335763.210906669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36878</v>
      </c>
      <c r="J1" s="1" t="s">
        <v>86</v>
      </c>
    </row>
    <row r="2" spans="1:15" x14ac:dyDescent="0.2">
      <c r="D2" t="s">
        <v>87</v>
      </c>
      <c r="E2" s="27">
        <f>H1-H2</f>
        <v>20</v>
      </c>
      <c r="F2"/>
      <c r="G2" s="41" t="s">
        <v>99</v>
      </c>
      <c r="H2" s="25">
        <f>VLOOKUP(H1,C_Debt,1)</f>
        <v>36858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127120.19483333336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7502.958333333333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29238615.194833335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907857.95833333337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29238615.194833335</v>
      </c>
      <c r="E4" s="28">
        <f>'Hawaii Summary'!H7</f>
        <v>900355</v>
      </c>
      <c r="F4" s="45">
        <f>'Hawaii Summary'!I7</f>
        <v>0.15</v>
      </c>
      <c r="G4" s="27">
        <f>'Hawaii Summary'!J7</f>
        <v>112</v>
      </c>
      <c r="H4" s="28">
        <f>'Hawaii Summary'!K7</f>
        <v>907857.95833333337</v>
      </c>
      <c r="I4" s="41"/>
    </row>
    <row r="6" spans="1:9" x14ac:dyDescent="0.2">
      <c r="A6" t="s">
        <v>75</v>
      </c>
      <c r="B6" s="48">
        <f>'Hawaii Summary'!B11</f>
        <v>8.75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24421250</v>
      </c>
      <c r="C10" s="28">
        <f>B4*B7*'Notional Analysis'!C8</f>
        <v>58611000</v>
      </c>
      <c r="E10" t="s">
        <v>122</v>
      </c>
      <c r="G10" s="20">
        <f>B4*B6*'Notional Analysis'!C8</f>
        <v>24421250</v>
      </c>
    </row>
    <row r="11" spans="1:9" x14ac:dyDescent="0.2">
      <c r="A11" t="s">
        <v>108</v>
      </c>
      <c r="B11" s="20">
        <f>D4+H4</f>
        <v>30146473.153166667</v>
      </c>
      <c r="C11" s="28">
        <f>B11</f>
        <v>30146473.153166667</v>
      </c>
      <c r="E11" t="s">
        <v>123</v>
      </c>
      <c r="G11" s="54">
        <f>D4+H4</f>
        <v>30146473.153166667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-5725223.1531666666</v>
      </c>
    </row>
    <row r="13" spans="1:9" x14ac:dyDescent="0.2">
      <c r="C13" s="28"/>
      <c r="E13" t="s">
        <v>75</v>
      </c>
      <c r="F13" s="20">
        <f>B4*B6*'Notional Analysis'!C8</f>
        <v>24421250</v>
      </c>
    </row>
    <row r="14" spans="1:9" x14ac:dyDescent="0.2">
      <c r="A14" t="s">
        <v>109</v>
      </c>
      <c r="B14" s="20">
        <f>D4</f>
        <v>29238615.194833335</v>
      </c>
      <c r="C14" s="28">
        <f>B14</f>
        <v>29238615.194833335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24421250</v>
      </c>
      <c r="C15" s="59">
        <f>C10-E4+C12</f>
        <v>57710645</v>
      </c>
      <c r="F15" s="20"/>
      <c r="G15" s="20">
        <f>-F14+F13</f>
        <v>-34189750</v>
      </c>
    </row>
    <row r="16" spans="1:9" ht="13.5" thickBot="1" x14ac:dyDescent="0.25">
      <c r="A16" t="s">
        <v>117</v>
      </c>
      <c r="B16" s="20">
        <f>B15-B14</f>
        <v>-4817365.1948333345</v>
      </c>
      <c r="C16" s="60">
        <f>C15-C14</f>
        <v>28472029.805166665</v>
      </c>
      <c r="D16" s="61" t="s">
        <v>115</v>
      </c>
      <c r="F16" s="20"/>
      <c r="G16" s="17">
        <f>G12-G15</f>
        <v>28464526.846833333</v>
      </c>
      <c r="H16" s="20">
        <f>C16-G16</f>
        <v>7502.9583333320916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33289395</v>
      </c>
      <c r="C20" s="28"/>
      <c r="F20" s="20"/>
    </row>
    <row r="21" spans="1:6" x14ac:dyDescent="0.2">
      <c r="A21" t="s">
        <v>116</v>
      </c>
      <c r="B21" s="20">
        <f>-B14+B15-B19+B20</f>
        <v>28472029.805166665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E1" sqref="E1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topLeftCell="A15" workbookViewId="0">
      <selection activeCell="B39" sqref="B39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36878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8.75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36878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211030750</v>
      </c>
      <c r="D14" t="s">
        <v>6</v>
      </c>
      <c r="E14" s="27">
        <f>'50 NP'!J3</f>
        <v>50906250</v>
      </c>
    </row>
    <row r="15" spans="1:6" x14ac:dyDescent="0.2">
      <c r="A15" s="2" t="s">
        <v>8</v>
      </c>
      <c r="B15" s="27">
        <f>'50 NR'!K3</f>
        <v>10678641.916666666</v>
      </c>
      <c r="D15" t="s">
        <v>69</v>
      </c>
      <c r="E15" s="27">
        <f>'Hawaii Summary'!C18</f>
        <v>215836599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21103.075000000001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-15054560.158333331</v>
      </c>
    </row>
    <row r="19" spans="1:6" ht="13.5" thickBot="1" x14ac:dyDescent="0.25">
      <c r="B19" s="13">
        <f>SUM(B13:B18)</f>
        <v>251709391.91666666</v>
      </c>
      <c r="E19" s="35">
        <f>SUM(E13:E18)</f>
        <v>251709391.91666666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-15054560.158333343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-295443050</v>
      </c>
    </row>
    <row r="27" spans="1:6" x14ac:dyDescent="0.2">
      <c r="A27" t="s">
        <v>71</v>
      </c>
      <c r="C27" s="27">
        <f>IF(B16&lt;&gt;0,B16,-E15)</f>
        <v>-215836599</v>
      </c>
    </row>
    <row r="28" spans="1:6" x14ac:dyDescent="0.2">
      <c r="A28" t="s">
        <v>56</v>
      </c>
      <c r="C28" s="36">
        <f>'50 NR'!K4-'258 NP'!J4-'50 NP'!J4</f>
        <v>-728608.08333333326</v>
      </c>
    </row>
    <row r="29" spans="1:6" x14ac:dyDescent="0.2">
      <c r="A29" t="s">
        <v>59</v>
      </c>
      <c r="C29" s="27">
        <f>C25+C26+C27+C28</f>
        <v>-15033457.083333334</v>
      </c>
    </row>
    <row r="30" spans="1:6" x14ac:dyDescent="0.2">
      <c r="A30" t="s">
        <v>57</v>
      </c>
      <c r="C30" s="27">
        <f>E18</f>
        <v>-15054560.158333331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21103.075000000001</v>
      </c>
    </row>
    <row r="33" spans="1:4" x14ac:dyDescent="0.2">
      <c r="A33" t="s">
        <v>62</v>
      </c>
      <c r="C33" s="27">
        <f>C29-C30-C31-C32</f>
        <v>-2.6084308046847582E-9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251709391.91666666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50906250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21103.075000000001</v>
      </c>
    </row>
    <row r="41" spans="1:4" x14ac:dyDescent="0.2">
      <c r="A41" t="s">
        <v>140</v>
      </c>
      <c r="C41" s="36">
        <f>E15-B16</f>
        <v>215836599</v>
      </c>
    </row>
    <row r="42" spans="1:4" ht="13.5" thickBot="1" x14ac:dyDescent="0.25">
      <c r="C42" s="35">
        <f>C36-SUM(C38:C41)</f>
        <v>-15054560.158333331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251709391.91666666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21103.075000000001</v>
      </c>
    </row>
    <row r="48" spans="1:4" x14ac:dyDescent="0.2">
      <c r="A48" t="s">
        <v>16</v>
      </c>
      <c r="C48" s="5">
        <f>C45+C46-C47</f>
        <v>252688288.84166667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7631186.3230183339</v>
      </c>
    </row>
    <row r="51" spans="1:3" x14ac:dyDescent="0.2">
      <c r="A51" t="s">
        <v>19</v>
      </c>
      <c r="C51" s="14">
        <f>+C47</f>
        <v>21103.075000000001</v>
      </c>
    </row>
    <row r="52" spans="1:3" x14ac:dyDescent="0.2">
      <c r="A52" t="s">
        <v>20</v>
      </c>
      <c r="C52" s="12">
        <f>C51-C50</f>
        <v>-7610083.2480183337</v>
      </c>
    </row>
    <row r="53" spans="1:3" x14ac:dyDescent="0.2">
      <c r="A53" s="9" t="s">
        <v>21</v>
      </c>
      <c r="B53" s="10"/>
      <c r="C53" s="11">
        <f>C52/C49</f>
        <v>-251989511.52378586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-630165911.52378583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36878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177641.91666666669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87</v>
      </c>
      <c r="K3" s="17">
        <f>K1+K2</f>
        <v>10678641.916666666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177641.91666666669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36878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87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36878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906250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87</v>
      </c>
      <c r="J3" s="17">
        <f>J1+J2</f>
        <v>50906250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906250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36878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18094583.337499999</v>
      </c>
      <c r="H5" s="28">
        <v>1976250</v>
      </c>
      <c r="I5" s="45">
        <v>0.15</v>
      </c>
      <c r="J5" s="27">
        <f>B2-B5</f>
        <v>262</v>
      </c>
      <c r="K5">
        <f>'A Amort'!N5</f>
        <v>1991071.875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87332290.789093331</v>
      </c>
      <c r="H6" s="28">
        <v>3954146</v>
      </c>
      <c r="I6" s="45">
        <v>0.15</v>
      </c>
      <c r="J6" s="27">
        <f>B2-B6</f>
        <v>80</v>
      </c>
      <c r="K6" s="41">
        <f>'B_D Amort'!N5</f>
        <v>3985449.6558333333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29238615.194833335</v>
      </c>
      <c r="H7" s="28">
        <v>900355</v>
      </c>
      <c r="I7" s="45">
        <v>0.15</v>
      </c>
      <c r="J7" s="27">
        <f>B2-B7</f>
        <v>112</v>
      </c>
      <c r="K7" s="41">
        <f>'C Amort'!N5</f>
        <v>907857.95833333337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134665489.32142666</v>
      </c>
      <c r="H8" s="35">
        <f>SUM(H5:H7)</f>
        <v>6830751</v>
      </c>
      <c r="K8" s="35">
        <f>SUM(K5:K7)</f>
        <v>6884379.4891666668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8.75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82888400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99658804</v>
      </c>
    </row>
    <row r="17" spans="1:3" x14ac:dyDescent="0.2">
      <c r="A17" t="s">
        <v>80</v>
      </c>
      <c r="B17" s="28">
        <f>'C TRS'!B19</f>
        <v>0</v>
      </c>
      <c r="C17" s="28">
        <f>'C TRS'!B20</f>
        <v>33289395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215836599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36878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18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70833.337499999994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14821.875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18094583.337499999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1991071.875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18094583.337499999</v>
      </c>
      <c r="E4" s="28">
        <f>'Hawaii Summary'!H5</f>
        <v>1976250</v>
      </c>
      <c r="F4" s="45">
        <f>'Hawaii Summary'!I5</f>
        <v>0.15</v>
      </c>
      <c r="G4" s="28">
        <f>'Hawaii Summary'!J5</f>
        <v>262</v>
      </c>
      <c r="H4" s="28">
        <f>'Hawaii Summary'!K5</f>
        <v>1991071.875</v>
      </c>
      <c r="I4" s="41"/>
    </row>
    <row r="6" spans="1:9" x14ac:dyDescent="0.2">
      <c r="A6" t="s">
        <v>75</v>
      </c>
      <c r="B6" s="48">
        <f>'Hawaii Summary'!B11</f>
        <v>8.75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59206000</v>
      </c>
      <c r="C10" s="28">
        <f>B4*B7*'Notional Analysis'!C8</f>
        <v>142094400</v>
      </c>
      <c r="E10" t="s">
        <v>122</v>
      </c>
      <c r="G10" s="20">
        <f>B4*B6*'Notional Analysis'!C8</f>
        <v>59206000</v>
      </c>
    </row>
    <row r="11" spans="1:9" x14ac:dyDescent="0.2">
      <c r="A11" t="s">
        <v>108</v>
      </c>
      <c r="B11" s="20">
        <f>D4+H4</f>
        <v>20085655.212499999</v>
      </c>
      <c r="C11" s="28">
        <f>B11</f>
        <v>20085655.212499999</v>
      </c>
      <c r="E11" t="s">
        <v>123</v>
      </c>
      <c r="G11" s="54">
        <f>D4+H4</f>
        <v>20085655.212499999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39120344.787500001</v>
      </c>
    </row>
    <row r="13" spans="1:9" x14ac:dyDescent="0.2">
      <c r="C13" s="28"/>
      <c r="E13" t="s">
        <v>75</v>
      </c>
      <c r="F13" s="20">
        <f>B4*B6*'Notional Analysis'!C8</f>
        <v>59206000</v>
      </c>
    </row>
    <row r="14" spans="1:9" x14ac:dyDescent="0.2">
      <c r="A14" t="s">
        <v>109</v>
      </c>
      <c r="B14" s="20">
        <f>D4</f>
        <v>18094583.337499999</v>
      </c>
      <c r="C14" s="28">
        <f>B14</f>
        <v>18094583.337499999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57229750</v>
      </c>
      <c r="C15" s="59">
        <f>C10-E4+C12</f>
        <v>140118150</v>
      </c>
      <c r="F15" s="20"/>
      <c r="G15" s="20">
        <f>-F14+F13</f>
        <v>-82888400</v>
      </c>
    </row>
    <row r="16" spans="1:9" ht="13.5" thickBot="1" x14ac:dyDescent="0.25">
      <c r="A16" t="s">
        <v>117</v>
      </c>
      <c r="B16" s="20">
        <f>B15-B14</f>
        <v>39135166.662500001</v>
      </c>
      <c r="C16" s="60">
        <f>C15-C14</f>
        <v>122023566.66249999</v>
      </c>
      <c r="D16" s="61" t="s">
        <v>115</v>
      </c>
      <c r="F16" s="20"/>
      <c r="G16" s="17">
        <f>G12-G15</f>
        <v>122008744.78749999</v>
      </c>
      <c r="H16" s="20">
        <f>C16-G16</f>
        <v>14821.875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82888400</v>
      </c>
      <c r="C20" s="28"/>
    </row>
    <row r="21" spans="1:3" x14ac:dyDescent="0.2">
      <c r="A21" t="s">
        <v>116</v>
      </c>
      <c r="B21" s="20">
        <f>B16-B19+B20</f>
        <v>122023566.66249999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36878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19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360786.78909333335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31303.655833333334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87332290.789093331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3985449.6558333333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2023-09-18T08:04:36Z</dcterms:modified>
</cp:coreProperties>
</file>