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CEB29-DF62-4555-BD75-48B9A5870C9C}" xr6:coauthVersionLast="47" xr6:coauthVersionMax="47" xr10:uidLastSave="{00000000-0000-0000-0000-000000000000}"/>
  <bookViews>
    <workbookView xWindow="-120" yWindow="-120" windowWidth="23280" windowHeight="12480" tabRatio="793"/>
  </bookViews>
  <sheets>
    <sheet name="Summary" sheetId="13" r:id="rId1"/>
    <sheet name="Credit Analysis" sheetId="2" r:id="rId2"/>
    <sheet name="50 NR" sheetId="3" state="hidden" r:id="rId3"/>
    <sheet name="258 NP" sheetId="5" state="hidden" r:id="rId4"/>
    <sheet name="50 NP" sheetId="4" state="hidden" r:id="rId5"/>
    <sheet name="Hawaii Summary" sheetId="6" r:id="rId6"/>
    <sheet name="A Amort" sheetId="8" state="hidden" r:id="rId7"/>
    <sheet name="A TRS" sheetId="12" state="hidden" r:id="rId8"/>
    <sheet name="B_D Amort" sheetId="9" state="hidden" r:id="rId9"/>
    <sheet name="B_D TRS" sheetId="10" state="hidden" r:id="rId10"/>
    <sheet name="C Amort" sheetId="7" state="hidden" r:id="rId11"/>
    <sheet name="C TRS" sheetId="11" state="hidden" r:id="rId12"/>
    <sheet name="Notional Analysis" sheetId="1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<sst xmlns="http://schemas.openxmlformats.org/spreadsheetml/2006/main" count="373" uniqueCount="159">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</sst>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C74003D9-FD65-9545-AF91-087ED6A24EE2}"/>
            </a:ext>
          </a:extLst>
        </xdr:cNvPr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1" t="s">
        <v>158</v>
      </c>
      <c r="C2" s="91"/>
      <c r="D2" s="91"/>
      <c r="E2" s="91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36861</v>
      </c>
      <c r="D5" s="82" t="s">
        <v>148</v>
      </c>
      <c r="E5" s="83">
        <f>+C5-1</f>
        <v>36860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59">
        <v>-282260116.20000005</v>
      </c>
      <c r="D12" s="59">
        <v>0</v>
      </c>
      <c r="E12" s="59">
        <f>+C12-D12</f>
        <v>-282260116.20000005</v>
      </c>
      <c r="F12" s="70"/>
    </row>
    <row r="13" spans="1:6" x14ac:dyDescent="0.2">
      <c r="A13" s="68"/>
      <c r="B13" s="69" t="s">
        <v>155</v>
      </c>
      <c r="C13" s="86">
        <f>+C15-C12</f>
        <v>25888417.200000048</v>
      </c>
      <c r="D13" s="86">
        <f>+D15-D12</f>
        <v>0</v>
      </c>
      <c r="E13" s="86">
        <f>+E15-E12</f>
        <v>25888417.200000048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-256371699</v>
      </c>
      <c r="D15" s="87">
        <v>0</v>
      </c>
      <c r="E15" s="87">
        <f>+C15-D15</f>
        <v>-256371699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+'Credit Analysis'!C55</f>
        <v>447326221.45778501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-109706911.95888889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87009481.556746662</v>
      </c>
      <c r="E4" s="28">
        <f>'Hawaii Summary'!H6</f>
        <v>3954146</v>
      </c>
      <c r="F4" s="45">
        <f>'Hawaii Summary'!I6</f>
        <v>0.15</v>
      </c>
      <c r="G4" s="27">
        <f>'Hawaii Summary'!J6</f>
        <v>63</v>
      </c>
      <c r="H4" s="41">
        <f>'Hawaii Summary'!K6</f>
        <v>3957441.1216666666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54978300</v>
      </c>
      <c r="C10" s="28">
        <f>B4*B7*'Notional Analysis'!C8</f>
        <v>177622200</v>
      </c>
      <c r="E10" t="s">
        <v>122</v>
      </c>
      <c r="G10" s="20">
        <f>B4*B6*'Notional Analysis'!C8</f>
        <v>54978300</v>
      </c>
    </row>
    <row r="11" spans="1:9" x14ac:dyDescent="0.2">
      <c r="A11" t="s">
        <v>108</v>
      </c>
      <c r="B11" s="20">
        <f>D4+H4</f>
        <v>90966922.678413332</v>
      </c>
      <c r="C11" s="28">
        <f>B11</f>
        <v>90966922.678413332</v>
      </c>
      <c r="E11" t="s">
        <v>123</v>
      </c>
      <c r="G11" s="54">
        <f>D4+H4</f>
        <v>90966922.678413332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-35988622.678413332</v>
      </c>
    </row>
    <row r="13" spans="1:9" x14ac:dyDescent="0.2">
      <c r="C13" s="28"/>
      <c r="E13" t="s">
        <v>75</v>
      </c>
      <c r="F13" s="20">
        <f>B4*B6*'Notional Analysis'!C8</f>
        <v>54978300</v>
      </c>
    </row>
    <row r="14" spans="1:9" x14ac:dyDescent="0.2">
      <c r="A14" t="s">
        <v>109</v>
      </c>
      <c r="B14" s="20">
        <f>D4</f>
        <v>87009481.556746662</v>
      </c>
      <c r="C14" s="28">
        <f>B14</f>
        <v>87009481.556746662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54978300</v>
      </c>
      <c r="C15" s="59">
        <f>C10-E4+C12</f>
        <v>173668054</v>
      </c>
      <c r="F15" s="20"/>
      <c r="G15" s="20">
        <f>-F14+F13</f>
        <v>-122643900</v>
      </c>
    </row>
    <row r="16" spans="1:9" ht="13.5" thickBot="1" x14ac:dyDescent="0.25">
      <c r="A16" t="s">
        <v>117</v>
      </c>
      <c r="B16" s="20">
        <f>B15-B14</f>
        <v>-32031181.556746662</v>
      </c>
      <c r="C16" s="60">
        <f>C15-C14</f>
        <v>86658572.443253338</v>
      </c>
      <c r="D16" s="61" t="s">
        <v>115</v>
      </c>
      <c r="F16" s="20"/>
      <c r="G16" s="17">
        <f>G12-G15</f>
        <v>86655277.321586668</v>
      </c>
      <c r="H16" s="20">
        <f>C16-G16</f>
        <v>3295.1216666698456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118689754</v>
      </c>
      <c r="C20" s="28"/>
    </row>
    <row r="21" spans="1:3" x14ac:dyDescent="0.2">
      <c r="A21" t="s">
        <v>116</v>
      </c>
      <c r="B21" s="20">
        <f>-B14+B15-B19+B20</f>
        <v>86658572.443253338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36861</v>
      </c>
      <c r="J1" s="1" t="s">
        <v>86</v>
      </c>
    </row>
    <row r="2" spans="1:15" x14ac:dyDescent="0.2">
      <c r="D2" t="s">
        <v>87</v>
      </c>
      <c r="E2" s="27">
        <f>H1-H2</f>
        <v>3</v>
      </c>
      <c r="F2"/>
      <c r="G2" s="41" t="s">
        <v>99</v>
      </c>
      <c r="H2" s="25">
        <f>VLOOKUP(H1,C_Debt,1)</f>
        <v>36858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19068.029225000002</v>
      </c>
      <c r="F4" s="41">
        <f>VLOOKUP($H$1+30,C_Debt,5)</f>
        <v>190680.29225000003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1125.4437499999999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29130563.029224999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901480.44374999998</v>
      </c>
    </row>
    <row r="6" spans="1:15" ht="13.5" thickTop="1" x14ac:dyDescent="0.2">
      <c r="E6" s="27"/>
      <c r="J6" s="1" t="s">
        <v>34</v>
      </c>
      <c r="K6" s="24">
        <f>PMT(K4/12,K5,-K3)</f>
        <v>28740.604619660302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29130563.029224999</v>
      </c>
      <c r="E4" s="28">
        <f>'Hawaii Summary'!H7</f>
        <v>900355</v>
      </c>
      <c r="F4" s="45">
        <f>'Hawaii Summary'!I7</f>
        <v>0.15</v>
      </c>
      <c r="G4" s="27">
        <f>'Hawaii Summary'!J7</f>
        <v>95</v>
      </c>
      <c r="H4" s="28">
        <f>'Hawaii Summary'!K7</f>
        <v>901480.44374999998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18141500</v>
      </c>
      <c r="C10" s="28">
        <f>B4*B7*'Notional Analysis'!C8</f>
        <v>58611000</v>
      </c>
      <c r="E10" t="s">
        <v>122</v>
      </c>
      <c r="G10" s="20">
        <f>B4*B6*'Notional Analysis'!C8</f>
        <v>18141500</v>
      </c>
    </row>
    <row r="11" spans="1:9" x14ac:dyDescent="0.2">
      <c r="A11" t="s">
        <v>108</v>
      </c>
      <c r="B11" s="20">
        <f>D4+H4</f>
        <v>30032043.472975001</v>
      </c>
      <c r="C11" s="28">
        <f>B11</f>
        <v>30032043.472975001</v>
      </c>
      <c r="E11" t="s">
        <v>123</v>
      </c>
      <c r="G11" s="54">
        <f>D4+H4</f>
        <v>30032043.472975001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-11890543.472975001</v>
      </c>
    </row>
    <row r="13" spans="1:9" x14ac:dyDescent="0.2">
      <c r="C13" s="28"/>
      <c r="E13" t="s">
        <v>75</v>
      </c>
      <c r="F13" s="20">
        <f>B4*B6*'Notional Analysis'!C8</f>
        <v>18141500</v>
      </c>
    </row>
    <row r="14" spans="1:9" x14ac:dyDescent="0.2">
      <c r="A14" t="s">
        <v>109</v>
      </c>
      <c r="B14" s="20">
        <f>D4</f>
        <v>29130563.029224999</v>
      </c>
      <c r="C14" s="28">
        <f>B14</f>
        <v>29130563.029224999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18141500</v>
      </c>
      <c r="C15" s="59">
        <f>C10-E4+C12</f>
        <v>57710645</v>
      </c>
      <c r="F15" s="20"/>
      <c r="G15" s="20">
        <f>-F14+F13</f>
        <v>-40469500</v>
      </c>
    </row>
    <row r="16" spans="1:9" ht="13.5" thickBot="1" x14ac:dyDescent="0.25">
      <c r="A16" t="s">
        <v>117</v>
      </c>
      <c r="B16" s="20">
        <f>B15-B14</f>
        <v>-10989063.029224999</v>
      </c>
      <c r="C16" s="60">
        <f>C15-C14</f>
        <v>28580081.970775001</v>
      </c>
      <c r="D16" s="61" t="s">
        <v>115</v>
      </c>
      <c r="F16" s="20"/>
      <c r="G16" s="17">
        <f>G12-G15</f>
        <v>28578956.527024999</v>
      </c>
      <c r="H16" s="20">
        <f>C16-G16</f>
        <v>1125.4437500014901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39569145</v>
      </c>
      <c r="C20" s="28"/>
      <c r="F20" s="20"/>
    </row>
    <row r="21" spans="1:6" x14ac:dyDescent="0.2">
      <c r="A21" t="s">
        <v>116</v>
      </c>
      <c r="B21" s="20">
        <f>-B14+B15-B19+B20</f>
        <v>28580081.970775001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topLeftCell="A34" workbookViewId="0">
      <selection activeCell="E45" sqref="E45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4" t="s">
        <v>3</v>
      </c>
      <c r="C13" s="94"/>
      <c r="E13" s="94" t="s">
        <v>4</v>
      </c>
      <c r="F13" s="9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2" t="s">
        <v>12</v>
      </c>
      <c r="D21" s="92"/>
      <c r="E21" s="9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2" t="s">
        <v>12</v>
      </c>
      <c r="D42" s="92"/>
      <c r="E42" s="9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8" sqref="B8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36861</v>
      </c>
    </row>
    <row r="4" spans="1:6" x14ac:dyDescent="0.2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6.5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5" t="s">
        <v>49</v>
      </c>
      <c r="B10" s="95"/>
      <c r="C10" s="95"/>
      <c r="D10" s="95"/>
      <c r="E10" s="95"/>
    </row>
    <row r="11" spans="1:6" x14ac:dyDescent="0.2">
      <c r="B11" s="32" t="s">
        <v>48</v>
      </c>
      <c r="C11" s="33">
        <f>B3</f>
        <v>36861</v>
      </c>
    </row>
    <row r="12" spans="1:6" ht="13.5" thickBot="1" x14ac:dyDescent="0.25">
      <c r="A12" s="94" t="s">
        <v>3</v>
      </c>
      <c r="B12" s="94"/>
      <c r="D12" s="94" t="s">
        <v>4</v>
      </c>
      <c r="E12" s="94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156765700</v>
      </c>
      <c r="D14" t="s">
        <v>6</v>
      </c>
      <c r="E14" s="27">
        <f>'50 NP'!J3</f>
        <v>50729166.666666664</v>
      </c>
    </row>
    <row r="15" spans="1:6" x14ac:dyDescent="0.2">
      <c r="A15" s="2" t="s">
        <v>8</v>
      </c>
      <c r="B15" s="27">
        <f>'50 NR'!K3</f>
        <v>10643930.277777778</v>
      </c>
      <c r="D15" t="s">
        <v>69</v>
      </c>
      <c r="E15" s="27">
        <f>'Hawaii Summary'!C18</f>
        <v>256371699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15676.570000000002</v>
      </c>
    </row>
    <row r="17" spans="1:6" x14ac:dyDescent="0.2">
      <c r="D17" t="s">
        <v>10</v>
      </c>
      <c r="E17" s="27">
        <f>'Notional Analysis'!F38</f>
        <v>30000000</v>
      </c>
    </row>
    <row r="18" spans="1:6" x14ac:dyDescent="0.2">
      <c r="D18" t="s">
        <v>11</v>
      </c>
      <c r="E18" s="27">
        <f>B19-SUM(E13:E17)</f>
        <v>-139706911.95888889</v>
      </c>
    </row>
    <row r="19" spans="1:6" ht="13.5" thickBot="1" x14ac:dyDescent="0.25">
      <c r="B19" s="13">
        <f>SUM(B13:B18)</f>
        <v>197409630.27777779</v>
      </c>
      <c r="E19" s="35">
        <f>SUM(E13:E18)</f>
        <v>197409630.27777779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2" t="s">
        <v>51</v>
      </c>
      <c r="B21" s="92"/>
      <c r="C21" s="92"/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-349708100</v>
      </c>
    </row>
    <row r="27" spans="1:6" x14ac:dyDescent="0.2">
      <c r="A27" t="s">
        <v>71</v>
      </c>
      <c r="C27" s="27">
        <f>IF(B16&lt;&gt;0,B16,-E15)</f>
        <v>-256371699</v>
      </c>
    </row>
    <row r="28" spans="1:6" x14ac:dyDescent="0.2">
      <c r="A28" t="s">
        <v>56</v>
      </c>
      <c r="C28" s="36">
        <f>'50 NR'!K4-'258 NP'!J4-'50 NP'!J4</f>
        <v>-586236.38888888876</v>
      </c>
    </row>
    <row r="29" spans="1:6" x14ac:dyDescent="0.2">
      <c r="A29" t="s">
        <v>59</v>
      </c>
      <c r="C29" s="27">
        <f>C25+C26+C27+C28</f>
        <v>-109691235.3888889</v>
      </c>
    </row>
    <row r="30" spans="1:6" x14ac:dyDescent="0.2">
      <c r="A30" t="s">
        <v>57</v>
      </c>
      <c r="C30" s="27">
        <f>E18</f>
        <v>-139706911.95888889</v>
      </c>
    </row>
    <row r="31" spans="1:6" x14ac:dyDescent="0.2">
      <c r="A31" t="s">
        <v>61</v>
      </c>
      <c r="C31" s="27">
        <f>E17</f>
        <v>30000000</v>
      </c>
    </row>
    <row r="32" spans="1:6" x14ac:dyDescent="0.2">
      <c r="A32" t="s">
        <v>58</v>
      </c>
      <c r="C32" s="36">
        <f>E16</f>
        <v>15676.570000000002</v>
      </c>
    </row>
    <row r="33" spans="1:4" x14ac:dyDescent="0.2">
      <c r="A33" t="s">
        <v>62</v>
      </c>
      <c r="C33" s="27">
        <f>C29-C30-C31-C32</f>
        <v>-7.1540853241458535E-9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2" t="s">
        <v>72</v>
      </c>
      <c r="B35" s="92"/>
      <c r="C35" s="92"/>
    </row>
    <row r="36" spans="1:4" x14ac:dyDescent="0.2">
      <c r="A36" t="s">
        <v>137</v>
      </c>
      <c r="C36" s="27">
        <f>B19</f>
        <v>197409630.27777779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50729166.666666664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15676.570000000002</v>
      </c>
    </row>
    <row r="41" spans="1:4" x14ac:dyDescent="0.2">
      <c r="A41" t="s">
        <v>140</v>
      </c>
      <c r="C41" s="36">
        <f>E15-B16</f>
        <v>256371699</v>
      </c>
    </row>
    <row r="42" spans="1:4" ht="13.5" thickBot="1" x14ac:dyDescent="0.25">
      <c r="C42" s="35">
        <f>C36-SUM(C38:C41)</f>
        <v>-109706911.95888889</v>
      </c>
    </row>
    <row r="43" spans="1:4" ht="13.5" thickTop="1" x14ac:dyDescent="0.2">
      <c r="C43" s="27"/>
    </row>
    <row r="44" spans="1:4" ht="13.5" thickBot="1" x14ac:dyDescent="0.25">
      <c r="A44" s="92" t="s">
        <v>12</v>
      </c>
      <c r="B44" s="92"/>
      <c r="C44" s="92"/>
    </row>
    <row r="45" spans="1:4" x14ac:dyDescent="0.2">
      <c r="A45" t="s">
        <v>13</v>
      </c>
      <c r="C45" s="12">
        <f>+E19</f>
        <v>197409630.27777779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30015676.57</v>
      </c>
    </row>
    <row r="48" spans="1:4" x14ac:dyDescent="0.2">
      <c r="A48" t="s">
        <v>16</v>
      </c>
      <c r="C48" s="5">
        <f>C45+C46-C47</f>
        <v>168393953.7077778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5085497.4019748894</v>
      </c>
    </row>
    <row r="51" spans="1:3" x14ac:dyDescent="0.2">
      <c r="A51" t="s">
        <v>19</v>
      </c>
      <c r="C51" s="14">
        <f>+C47</f>
        <v>30015676.57</v>
      </c>
    </row>
    <row r="52" spans="1:3" x14ac:dyDescent="0.2">
      <c r="A52" t="s">
        <v>20</v>
      </c>
      <c r="C52" s="12">
        <f>C51-C50</f>
        <v>24930179.16802511</v>
      </c>
    </row>
    <row r="53" spans="1:3" x14ac:dyDescent="0.2">
      <c r="A53" s="9" t="s">
        <v>21</v>
      </c>
      <c r="B53" s="10"/>
      <c r="C53" s="11">
        <f>C52/C49</f>
        <v>825502621.45778501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447326221.45778501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5" t="s">
        <v>30</v>
      </c>
      <c r="B1" s="95"/>
      <c r="E1" t="s">
        <v>88</v>
      </c>
      <c r="F1" s="25">
        <f>'Credit Analysis'!B3</f>
        <v>36861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142930.27777777781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70</v>
      </c>
      <c r="K3" s="17">
        <f>K1+K2</f>
        <v>10643930.277777778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142930.27777777781</v>
      </c>
    </row>
    <row r="5" spans="1:11" x14ac:dyDescent="0.2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5" t="s">
        <v>41</v>
      </c>
      <c r="B1" s="95"/>
      <c r="E1" t="s">
        <v>88</v>
      </c>
      <c r="F1" s="25">
        <f>'Credit Analysis'!B3</f>
        <v>36861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70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5" t="s">
        <v>39</v>
      </c>
      <c r="B1" s="95"/>
      <c r="E1" t="s">
        <v>88</v>
      </c>
      <c r="F1" s="25">
        <f>'Credit Analysis'!B3</f>
        <v>36861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729166.66666666663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70</v>
      </c>
      <c r="J3" s="17">
        <f>J1+J2</f>
        <v>50729166.666666664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729166.66666666663</v>
      </c>
    </row>
    <row r="5" spans="1:10" x14ac:dyDescent="0.2">
      <c r="A5" t="s">
        <v>34</v>
      </c>
      <c r="B5" s="41">
        <f>PMT(B3/2,B4,-B2)</f>
        <v>6088067.1162854237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36861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18027685.185416665</v>
      </c>
      <c r="H5" s="28">
        <v>1976250</v>
      </c>
      <c r="I5" s="45">
        <v>0.15</v>
      </c>
      <c r="J5" s="27">
        <f>B2-B5</f>
        <v>245</v>
      </c>
      <c r="K5">
        <f>'A Amort'!N5</f>
        <v>1977073.4375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87009481.556746662</v>
      </c>
      <c r="H6" s="28">
        <v>3954146</v>
      </c>
      <c r="I6" s="45">
        <v>0.15</v>
      </c>
      <c r="J6" s="27">
        <f>B2-B6</f>
        <v>63</v>
      </c>
      <c r="K6" s="41">
        <f>'B_D Amort'!N5</f>
        <v>3957441.1216666666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29130563.029224999</v>
      </c>
      <c r="H7" s="28">
        <v>900355</v>
      </c>
      <c r="I7" s="45">
        <v>0.15</v>
      </c>
      <c r="J7" s="27">
        <f>B2-B7</f>
        <v>95</v>
      </c>
      <c r="K7" s="41">
        <f>'C Amort'!N5</f>
        <v>901480.44374999998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134167729.77138832</v>
      </c>
      <c r="H8" s="35">
        <f>SUM(H5:H7)</f>
        <v>6830751</v>
      </c>
      <c r="K8" s="35">
        <f>SUM(K5:K7)</f>
        <v>6835995.0029166657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6.5</v>
      </c>
    </row>
    <row r="13" spans="1:11" x14ac:dyDescent="0.2">
      <c r="A13" s="95" t="s">
        <v>120</v>
      </c>
      <c r="B13" s="95"/>
      <c r="C13" s="95"/>
      <c r="D13" s="9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98112800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118689754</v>
      </c>
    </row>
    <row r="17" spans="1:3" x14ac:dyDescent="0.2">
      <c r="A17" t="s">
        <v>80</v>
      </c>
      <c r="B17" s="28">
        <f>'C TRS'!B19</f>
        <v>0</v>
      </c>
      <c r="C17" s="28">
        <f>'C TRS'!B20</f>
        <v>39569145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256371699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36861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1</v>
      </c>
      <c r="F2"/>
      <c r="G2" s="41" t="s">
        <v>99</v>
      </c>
      <c r="H2" s="25">
        <f>VLOOKUP(H1,A_Debt,1)</f>
        <v>36860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3935.1854166666667</v>
      </c>
      <c r="F4" s="41">
        <f>VLOOKUP($H$1+30,A_Debt,5)</f>
        <v>118055.5625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823.4375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18027685.185416665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1977073.4375</v>
      </c>
    </row>
    <row r="6" spans="1:15" ht="13.5" thickTop="1" x14ac:dyDescent="0.2">
      <c r="E6" s="27"/>
      <c r="J6" s="1" t="s">
        <v>34</v>
      </c>
      <c r="K6" s="24">
        <f>PMT(K4/12,K5,-K3)</f>
        <v>57686.972211215965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18027685.185416665</v>
      </c>
      <c r="E4" s="28">
        <f>'Hawaii Summary'!H5</f>
        <v>1976250</v>
      </c>
      <c r="F4" s="45">
        <f>'Hawaii Summary'!I5</f>
        <v>0.15</v>
      </c>
      <c r="G4" s="28">
        <f>'Hawaii Summary'!J5</f>
        <v>245</v>
      </c>
      <c r="H4" s="28">
        <f>'Hawaii Summary'!K5</f>
        <v>1977073.4375</v>
      </c>
      <c r="I4" s="41"/>
    </row>
    <row r="6" spans="1:9" x14ac:dyDescent="0.2">
      <c r="A6" t="s">
        <v>75</v>
      </c>
      <c r="B6" s="48">
        <f>'Hawaii Summary'!B11</f>
        <v>6.5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">
      <c r="A10" t="s">
        <v>106</v>
      </c>
      <c r="B10" s="28">
        <f>B4*'Notional Analysis'!C8*'B_D TRS'!B6</f>
        <v>43981600</v>
      </c>
      <c r="C10" s="28">
        <f>B4*B7*'Notional Analysis'!C8</f>
        <v>142094400</v>
      </c>
      <c r="E10" t="s">
        <v>122</v>
      </c>
      <c r="G10" s="20">
        <f>B4*B6*'Notional Analysis'!C8</f>
        <v>43981600</v>
      </c>
    </row>
    <row r="11" spans="1:9" x14ac:dyDescent="0.2">
      <c r="A11" t="s">
        <v>108</v>
      </c>
      <c r="B11" s="20">
        <f>D4+H4</f>
        <v>20004758.622916665</v>
      </c>
      <c r="C11" s="28">
        <f>B11</f>
        <v>20004758.622916665</v>
      </c>
      <c r="E11" t="s">
        <v>123</v>
      </c>
      <c r="G11" s="54">
        <f>D4+H4</f>
        <v>20004758.622916665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23976841.377083335</v>
      </c>
    </row>
    <row r="13" spans="1:9" x14ac:dyDescent="0.2">
      <c r="C13" s="28"/>
      <c r="E13" t="s">
        <v>75</v>
      </c>
      <c r="F13" s="20">
        <f>B4*B6*'Notional Analysis'!C8</f>
        <v>43981600</v>
      </c>
    </row>
    <row r="14" spans="1:9" x14ac:dyDescent="0.2">
      <c r="A14" t="s">
        <v>109</v>
      </c>
      <c r="B14" s="20">
        <f>D4</f>
        <v>18027685.185416665</v>
      </c>
      <c r="C14" s="28">
        <f>B14</f>
        <v>18027685.185416665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42005350</v>
      </c>
      <c r="C15" s="59">
        <f>C10-E4+C12</f>
        <v>140118150</v>
      </c>
      <c r="F15" s="20"/>
      <c r="G15" s="20">
        <f>-F14+F13</f>
        <v>-98112800</v>
      </c>
    </row>
    <row r="16" spans="1:9" ht="13.5" thickBot="1" x14ac:dyDescent="0.25">
      <c r="A16" t="s">
        <v>117</v>
      </c>
      <c r="B16" s="20">
        <f>B15-B14</f>
        <v>23977664.814583335</v>
      </c>
      <c r="C16" s="60">
        <f>C15-C14</f>
        <v>122090464.81458333</v>
      </c>
      <c r="D16" s="61" t="s">
        <v>115</v>
      </c>
      <c r="F16" s="20"/>
      <c r="G16" s="17">
        <f>G12-G15</f>
        <v>122089641.37708333</v>
      </c>
      <c r="H16" s="20">
        <f>C16-G16</f>
        <v>823.4375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98112800</v>
      </c>
      <c r="C20" s="28"/>
    </row>
    <row r="21" spans="1:3" x14ac:dyDescent="0.2">
      <c r="A21" t="s">
        <v>116</v>
      </c>
      <c r="B21" s="20">
        <f>B16-B19+B20</f>
        <v>122090464.81458333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36861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</v>
      </c>
      <c r="F2"/>
      <c r="G2" s="41" t="s">
        <v>99</v>
      </c>
      <c r="H2" s="25">
        <f>VLOOKUP(H1,BD_Debt,1)</f>
        <v>36859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37977.556746666669</v>
      </c>
      <c r="F4" s="41">
        <f>VLOOKUP($H$1+30,BD_Debt,5)</f>
        <v>569663.35120000003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3295.1216666666669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87009481.556746662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3957441.1216666666</v>
      </c>
    </row>
    <row r="6" spans="1:15" ht="13.5" thickTop="1" x14ac:dyDescent="0.2">
      <c r="E6" s="27"/>
      <c r="J6" s="1" t="s">
        <v>34</v>
      </c>
      <c r="K6" s="24">
        <f>PMT(K4/12,K5,-K3)</f>
        <v>128721.89226982737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50 NR</vt:lpstr>
      <vt:lpstr>258 NP</vt:lpstr>
      <vt:lpstr>50 NP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2000-11-07T19:50:20Z</cp:lastPrinted>
  <dcterms:created xsi:type="dcterms:W3CDTF">2000-10-03T19:16:39Z</dcterms:created>
  <dcterms:modified xsi:type="dcterms:W3CDTF">2023-09-18T08:06:20Z</dcterms:modified>
</cp:coreProperties>
</file>