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F50143-6207-40D0-B1DA-DA07B8A8B9CC}" xr6:coauthVersionLast="47" xr6:coauthVersionMax="47" xr10:uidLastSave="{00000000-0000-0000-0000-000000000000}"/>
  <bookViews>
    <workbookView xWindow="-120" yWindow="-120" windowWidth="23280" windowHeight="1248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<sst xmlns="http://schemas.openxmlformats.org/spreadsheetml/2006/main" count="373" uniqueCount="159">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</sst>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DEF757A-B621-1E58-5FAC-AD249F537F28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36889</v>
      </c>
      <c r="D5" s="82" t="s">
        <v>148</v>
      </c>
      <c r="E5" s="83">
        <f>+C5-1</f>
        <v>36888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-203441866.19999999</v>
      </c>
      <c r="D12" s="59">
        <v>0</v>
      </c>
      <c r="E12" s="59">
        <f>+C12-D12</f>
        <v>-203441866.19999999</v>
      </c>
      <c r="F12" s="70"/>
    </row>
    <row r="13" spans="1:6" x14ac:dyDescent="0.2">
      <c r="A13" s="68"/>
      <c r="B13" s="69" t="s">
        <v>155</v>
      </c>
      <c r="C13" s="86">
        <f>+C15-C12</f>
        <v>6755850</v>
      </c>
      <c r="D13" s="86">
        <f>+D15-D12</f>
        <v>0</v>
      </c>
      <c r="E13" s="86">
        <f>+E15-E12</f>
        <v>6755850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-196686016.19999999</v>
      </c>
      <c r="D15" s="87">
        <v>0</v>
      </c>
      <c r="E15" s="87">
        <f>+C15-D15</f>
        <v>-196686016.19999999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355309606.61088991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29638557.458415538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91</v>
      </c>
      <c r="H4" s="41">
        <f>'Hawaii Summary'!K6</f>
        <v>3954146</v>
      </c>
      <c r="I4" s="41"/>
    </row>
    <row r="6" spans="1:9" x14ac:dyDescent="0.2">
      <c r="A6" t="s">
        <v>75</v>
      </c>
      <c r="B6" s="48">
        <f>'Hawaii Summary'!B11</f>
        <v>9.8130000000000006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83000316.600000009</v>
      </c>
      <c r="C10" s="28">
        <f>B4*B7*'Notional Analysis'!C8</f>
        <v>177622200</v>
      </c>
      <c r="E10" t="s">
        <v>122</v>
      </c>
      <c r="G10" s="20">
        <f>B4*B6*'Notional Analysis'!C8</f>
        <v>83000316.600000009</v>
      </c>
    </row>
    <row r="11" spans="1:9" x14ac:dyDescent="0.2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-7925333.3999999911</v>
      </c>
    </row>
    <row r="13" spans="1:9" x14ac:dyDescent="0.2">
      <c r="C13" s="28"/>
      <c r="E13" t="s">
        <v>75</v>
      </c>
      <c r="F13" s="20">
        <f>B4*B6*'Notional Analysis'!C8</f>
        <v>83000316.600000009</v>
      </c>
    </row>
    <row r="14" spans="1:9" x14ac:dyDescent="0.2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83000316.600000009</v>
      </c>
      <c r="C15" s="59">
        <f>C10-E4+C12</f>
        <v>173668054</v>
      </c>
      <c r="F15" s="20"/>
      <c r="G15" s="20">
        <f>-F14+F13</f>
        <v>-94621883.399999991</v>
      </c>
    </row>
    <row r="16" spans="1:9" ht="13.5" thickBot="1" x14ac:dyDescent="0.25">
      <c r="A16" t="s">
        <v>117</v>
      </c>
      <c r="B16" s="20">
        <f>B15-B14</f>
        <v>-3971187.3999999911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90667737.399999991</v>
      </c>
      <c r="C20" s="28"/>
    </row>
    <row r="21" spans="1:3" x14ac:dyDescent="0.2">
      <c r="A21" t="s">
        <v>116</v>
      </c>
      <c r="B21" s="20">
        <f>-B14+B15-B19+B20</f>
        <v>86696550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36889</v>
      </c>
      <c r="J1" s="1" t="s">
        <v>86</v>
      </c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VLOOKUP(H1,C_Debt,1)</f>
        <v>36888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6372.1827944444458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29117867.182794444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29117867.182794444</v>
      </c>
      <c r="E4" s="28">
        <f>'Hawaii Summary'!H7</f>
        <v>900355</v>
      </c>
      <c r="F4" s="45">
        <f>'Hawaii Summary'!I7</f>
        <v>0.15</v>
      </c>
      <c r="G4" s="27">
        <f>'Hawaii Summary'!J7</f>
        <v>123</v>
      </c>
      <c r="H4" s="28">
        <f>'Hawaii Summary'!K7</f>
        <v>900730.1479166667</v>
      </c>
      <c r="I4" s="41"/>
    </row>
    <row r="6" spans="1:9" x14ac:dyDescent="0.2">
      <c r="A6" t="s">
        <v>75</v>
      </c>
      <c r="B6" s="48">
        <f>'Hawaii Summary'!B11</f>
        <v>9.8130000000000006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27388083</v>
      </c>
      <c r="C10" s="28">
        <f>B4*B7*'Notional Analysis'!C8</f>
        <v>58611000</v>
      </c>
      <c r="E10" t="s">
        <v>122</v>
      </c>
      <c r="G10" s="20">
        <f>B4*B6*'Notional Analysis'!C8</f>
        <v>27388083</v>
      </c>
    </row>
    <row r="11" spans="1:9" x14ac:dyDescent="0.2">
      <c r="A11" t="s">
        <v>108</v>
      </c>
      <c r="B11" s="20">
        <f>D4+H4</f>
        <v>30018597.330711111</v>
      </c>
      <c r="C11" s="28">
        <f>B11</f>
        <v>30018597.330711111</v>
      </c>
      <c r="E11" t="s">
        <v>123</v>
      </c>
      <c r="G11" s="54">
        <f>D4+H4</f>
        <v>30018597.330711111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-2630514.3307111114</v>
      </c>
    </row>
    <row r="13" spans="1:9" x14ac:dyDescent="0.2">
      <c r="C13" s="28"/>
      <c r="E13" t="s">
        <v>75</v>
      </c>
      <c r="F13" s="20">
        <f>B4*B6*'Notional Analysis'!C8</f>
        <v>27388083</v>
      </c>
    </row>
    <row r="14" spans="1:9" x14ac:dyDescent="0.2">
      <c r="A14" t="s">
        <v>109</v>
      </c>
      <c r="B14" s="20">
        <f>D4</f>
        <v>29117867.182794444</v>
      </c>
      <c r="C14" s="28">
        <f>B14</f>
        <v>29117867.182794444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27388083</v>
      </c>
      <c r="C15" s="59">
        <f>C10-E4+C12</f>
        <v>57710645</v>
      </c>
      <c r="F15" s="20"/>
      <c r="G15" s="20">
        <f>-F14+F13</f>
        <v>-31222917</v>
      </c>
    </row>
    <row r="16" spans="1:9" ht="13.5" thickBot="1" x14ac:dyDescent="0.25">
      <c r="A16" t="s">
        <v>117</v>
      </c>
      <c r="B16" s="20">
        <f>B15-B14</f>
        <v>-1729784.1827944443</v>
      </c>
      <c r="C16" s="60">
        <f>C15-C14</f>
        <v>28592777.817205556</v>
      </c>
      <c r="D16" s="61" t="s">
        <v>115</v>
      </c>
      <c r="F16" s="20"/>
      <c r="G16" s="17">
        <f>G12-G15</f>
        <v>28592402.669288889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30322562</v>
      </c>
      <c r="C20" s="28"/>
      <c r="F20" s="20"/>
    </row>
    <row r="21" spans="1:6" x14ac:dyDescent="0.2">
      <c r="A21" t="s">
        <v>116</v>
      </c>
      <c r="B21" s="20">
        <f>-B14+B15-B19+B20</f>
        <v>28592777.817205556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36889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9.8130000000000006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36889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236667971.40000001</v>
      </c>
      <c r="D14" t="s">
        <v>6</v>
      </c>
      <c r="E14" s="27">
        <f>'50 NP'!J3</f>
        <v>51020833.333333336</v>
      </c>
    </row>
    <row r="15" spans="1:6" x14ac:dyDescent="0.2">
      <c r="A15" s="2" t="s">
        <v>8</v>
      </c>
      <c r="B15" s="27">
        <f>'50 NR'!K3</f>
        <v>10701102.388888888</v>
      </c>
      <c r="D15" t="s">
        <v>69</v>
      </c>
      <c r="E15" s="27">
        <f>'Hawaii Summary'!C18</f>
        <v>196686016.19999999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23666.797140000002</v>
      </c>
    </row>
    <row r="17" spans="1:6" x14ac:dyDescent="0.2">
      <c r="D17" t="s">
        <v>10</v>
      </c>
      <c r="E17" s="27">
        <f>IF(E21&gt;30000000,30000000,IF(E21&lt;0,0,+E21))</f>
        <v>29638557.458415542</v>
      </c>
    </row>
    <row r="18" spans="1:6" x14ac:dyDescent="0.2">
      <c r="D18" t="s">
        <v>11</v>
      </c>
      <c r="E18" s="27">
        <f>B19-SUM(E13:E17)</f>
        <v>0</v>
      </c>
    </row>
    <row r="19" spans="1:6" ht="13.5" thickBot="1" x14ac:dyDescent="0.25">
      <c r="B19" s="13">
        <f>SUM(B13:B18)</f>
        <v>277369073.78888887</v>
      </c>
      <c r="E19" s="35">
        <f>SUM(E13:E18)</f>
        <v>277369073.78888887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29638557.458415542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-269805828.59999996</v>
      </c>
    </row>
    <row r="27" spans="1:6" x14ac:dyDescent="0.2">
      <c r="A27" t="s">
        <v>71</v>
      </c>
      <c r="C27" s="27">
        <f>IF(B16&lt;&gt;0,B16,-E15)</f>
        <v>-196686016.19999999</v>
      </c>
    </row>
    <row r="28" spans="1:6" x14ac:dyDescent="0.2">
      <c r="A28" t="s">
        <v>56</v>
      </c>
      <c r="C28" s="36">
        <f>'50 NR'!K4-'258 NP'!J4-'50 NP'!J4</f>
        <v>-820730.9444444445</v>
      </c>
    </row>
    <row r="29" spans="1:6" x14ac:dyDescent="0.2">
      <c r="A29" t="s">
        <v>59</v>
      </c>
      <c r="C29" s="27">
        <f>C25+C26+C27+C28</f>
        <v>29662224.255555604</v>
      </c>
    </row>
    <row r="30" spans="1:6" x14ac:dyDescent="0.2">
      <c r="A30" t="s">
        <v>57</v>
      </c>
      <c r="C30" s="27">
        <f>E18</f>
        <v>0</v>
      </c>
    </row>
    <row r="31" spans="1:6" x14ac:dyDescent="0.2">
      <c r="A31" t="s">
        <v>61</v>
      </c>
      <c r="C31" s="27">
        <f>E17</f>
        <v>29638557.458415542</v>
      </c>
    </row>
    <row r="32" spans="1:6" x14ac:dyDescent="0.2">
      <c r="A32" t="s">
        <v>58</v>
      </c>
      <c r="C32" s="36">
        <f>E16</f>
        <v>23666.797140000002</v>
      </c>
    </row>
    <row r="33" spans="1:4" x14ac:dyDescent="0.2">
      <c r="A33" t="s">
        <v>62</v>
      </c>
      <c r="C33" s="27">
        <f>C29-C30-C31-C32</f>
        <v>6.1852915678173304E-8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277369073.78888887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51020833.333333336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23666.797140000002</v>
      </c>
    </row>
    <row r="41" spans="1:4" x14ac:dyDescent="0.2">
      <c r="A41" t="s">
        <v>140</v>
      </c>
      <c r="C41" s="36">
        <f>E15-B16</f>
        <v>196686016.19999999</v>
      </c>
    </row>
    <row r="42" spans="1:4" ht="13.5" thickBot="1" x14ac:dyDescent="0.25">
      <c r="C42" s="35">
        <f>C36-SUM(C38:C41)</f>
        <v>29638557.458415538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277369073.78888887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29662224.25555554</v>
      </c>
    </row>
    <row r="48" spans="1:4" x14ac:dyDescent="0.2">
      <c r="A48" t="s">
        <v>16</v>
      </c>
      <c r="C48" s="5">
        <f>C45+C46-C47</f>
        <v>248706849.53333333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7510946.8559066672</v>
      </c>
    </row>
    <row r="51" spans="1:3" x14ac:dyDescent="0.2">
      <c r="A51" t="s">
        <v>19</v>
      </c>
      <c r="C51" s="14">
        <f>+C47</f>
        <v>29662224.25555554</v>
      </c>
    </row>
    <row r="52" spans="1:3" x14ac:dyDescent="0.2">
      <c r="A52" t="s">
        <v>20</v>
      </c>
      <c r="C52" s="12">
        <f>C51-C50</f>
        <v>22151277.399648875</v>
      </c>
    </row>
    <row r="53" spans="1:3" x14ac:dyDescent="0.2">
      <c r="A53" s="9" t="s">
        <v>21</v>
      </c>
      <c r="B53" s="10"/>
      <c r="C53" s="11">
        <f>C52/C49</f>
        <v>733486006.61088991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355309606.61088991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36889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200102.38888888893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98</v>
      </c>
      <c r="K3" s="17">
        <f>K1+K2</f>
        <v>10701102.388888888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200102.38888888893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36889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98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36889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1020833.3333333334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98</v>
      </c>
      <c r="J3" s="17">
        <f>J1+J2</f>
        <v>51020833.333333336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1020833.3333333334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36889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18137870.377083335</v>
      </c>
      <c r="H5" s="28">
        <v>1976250</v>
      </c>
      <c r="I5" s="45">
        <v>0.15</v>
      </c>
      <c r="J5" s="27">
        <f>B2-B5</f>
        <v>273</v>
      </c>
      <c r="K5">
        <f>'A Amort'!N5</f>
        <v>2000129.6875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91</v>
      </c>
      <c r="K6" s="41">
        <f>'B_D Amort'!N5</f>
        <v>3954146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29117867.182794444</v>
      </c>
      <c r="H7" s="28">
        <v>900355</v>
      </c>
      <c r="I7" s="45">
        <v>0.15</v>
      </c>
      <c r="J7" s="27">
        <f>B2-B7</f>
        <v>123</v>
      </c>
      <c r="K7" s="41">
        <f>'C Amort'!N5</f>
        <v>900730.1479166667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134227241.55987778</v>
      </c>
      <c r="H8" s="35">
        <f>SUM(H5:H7)</f>
        <v>6830751</v>
      </c>
      <c r="K8" s="35">
        <f>SUM(K5:K7)</f>
        <v>6855005.8354166672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9.8130000000000006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75695716.799999997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90667737.399999991</v>
      </c>
    </row>
    <row r="17" spans="1:3" x14ac:dyDescent="0.2">
      <c r="A17" t="s">
        <v>80</v>
      </c>
      <c r="B17" s="28">
        <f>'C TRS'!B19</f>
        <v>0</v>
      </c>
      <c r="C17" s="28">
        <f>'C TRS'!B20</f>
        <v>30322562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196686016.19999999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36889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114120.37708333334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18137870.377083335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18137870.377083335</v>
      </c>
      <c r="E4" s="28">
        <f>'Hawaii Summary'!H5</f>
        <v>1976250</v>
      </c>
      <c r="F4" s="45">
        <f>'Hawaii Summary'!I5</f>
        <v>0.15</v>
      </c>
      <c r="G4" s="28">
        <f>'Hawaii Summary'!J5</f>
        <v>273</v>
      </c>
      <c r="H4" s="28">
        <f>'Hawaii Summary'!K5</f>
        <v>2000129.6875</v>
      </c>
      <c r="I4" s="41"/>
    </row>
    <row r="6" spans="1:9" x14ac:dyDescent="0.2">
      <c r="A6" t="s">
        <v>75</v>
      </c>
      <c r="B6" s="48">
        <f>'Hawaii Summary'!B11</f>
        <v>9.8130000000000006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66398683.200000003</v>
      </c>
      <c r="C10" s="28">
        <f>B4*B7*'Notional Analysis'!C8</f>
        <v>142094400</v>
      </c>
      <c r="E10" t="s">
        <v>122</v>
      </c>
      <c r="G10" s="20">
        <f>B4*B6*'Notional Analysis'!C8</f>
        <v>66398683.200000003</v>
      </c>
    </row>
    <row r="11" spans="1:9" x14ac:dyDescent="0.2">
      <c r="A11" t="s">
        <v>108</v>
      </c>
      <c r="B11" s="20">
        <f>D4+H4</f>
        <v>20138000.064583335</v>
      </c>
      <c r="C11" s="28">
        <f>B11</f>
        <v>20138000.064583335</v>
      </c>
      <c r="E11" t="s">
        <v>123</v>
      </c>
      <c r="G11" s="54">
        <f>D4+H4</f>
        <v>20138000.064583335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46260683.135416672</v>
      </c>
    </row>
    <row r="13" spans="1:9" x14ac:dyDescent="0.2">
      <c r="C13" s="28"/>
      <c r="E13" t="s">
        <v>75</v>
      </c>
      <c r="F13" s="20">
        <f>B4*B6*'Notional Analysis'!C8</f>
        <v>66398683.200000003</v>
      </c>
    </row>
    <row r="14" spans="1:9" x14ac:dyDescent="0.2">
      <c r="A14" t="s">
        <v>109</v>
      </c>
      <c r="B14" s="20">
        <f>D4</f>
        <v>18137870.377083335</v>
      </c>
      <c r="C14" s="28">
        <f>B14</f>
        <v>18137870.377083335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64422433.200000003</v>
      </c>
      <c r="C15" s="59">
        <f>C10-E4+C12</f>
        <v>140118150</v>
      </c>
      <c r="F15" s="20"/>
      <c r="G15" s="20">
        <f>-F14+F13</f>
        <v>-75695716.799999997</v>
      </c>
    </row>
    <row r="16" spans="1:9" ht="13.5" thickBot="1" x14ac:dyDescent="0.25">
      <c r="A16" t="s">
        <v>117</v>
      </c>
      <c r="B16" s="20">
        <f>B15-B14</f>
        <v>46284562.822916672</v>
      </c>
      <c r="C16" s="60">
        <f>C15-C14</f>
        <v>121980279.62291667</v>
      </c>
      <c r="D16" s="61" t="s">
        <v>115</v>
      </c>
      <c r="F16" s="20"/>
      <c r="G16" s="17">
        <f>G12-G15</f>
        <v>121956399.93541667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75695716.799999997</v>
      </c>
      <c r="C20" s="28"/>
    </row>
    <row r="21" spans="1:3" x14ac:dyDescent="0.2">
      <c r="A21" t="s">
        <v>116</v>
      </c>
      <c r="B21" s="20">
        <f>B16-B19+B20</f>
        <v>121980279.62291667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36889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VLOOKUP(H1,BD_Debt,1)</f>
        <v>36889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2023-09-18T08:14:37Z</dcterms:modified>
</cp:coreProperties>
</file>