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0BE5B3-85F6-4DB7-AE4A-F85C79D69E85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  <sheet name="Shares" sheetId="8" r:id="rId7"/>
    <sheet name="MPR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Prices'!$A$6:$B$341</definedName>
    <definedName name="Loan">Amort!$A$42:$I$52</definedName>
    <definedName name="LoanPeriod">Amort!$B$42:$I$52</definedName>
    <definedName name="MPRR">'MPR Raptor'!$E$3:$CN$103</definedName>
    <definedName name="Note">Amort!$A$10:$I$20</definedName>
    <definedName name="NotePeriod">Amort!$B$10:$I$20</definedName>
    <definedName name="Prices">'Stock Prices'!$A$6:$C$341</definedName>
    <definedName name="_xlnm.Print_Area" localSheetId="0">Summary!$A$1:$F$25</definedName>
    <definedName name="Privates">#REF!</definedName>
    <definedName name="wtten">'Stock Prices'!$H$5:$H$375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3" i="6"/>
  <c r="B44" i="6"/>
  <c r="F44" i="6"/>
  <c r="B49" i="6"/>
  <c r="B50" i="6"/>
  <c r="F50" i="6"/>
  <c r="B54" i="6"/>
  <c r="B55" i="6"/>
  <c r="B56" i="6"/>
  <c r="F56" i="6"/>
  <c r="B60" i="6"/>
  <c r="B62" i="6"/>
  <c r="B66" i="6"/>
  <c r="B67" i="6"/>
  <c r="B68" i="6"/>
  <c r="B69" i="6"/>
  <c r="B73" i="6"/>
  <c r="D74" i="6"/>
  <c r="D75" i="6"/>
  <c r="B76" i="6"/>
  <c r="D76" i="6"/>
  <c r="D77" i="6"/>
  <c r="K6" i="3"/>
  <c r="N6" i="3"/>
  <c r="P6" i="3"/>
  <c r="X6" i="3"/>
  <c r="Y6" i="3"/>
  <c r="I10" i="3"/>
  <c r="J10" i="3"/>
  <c r="K10" i="3"/>
  <c r="L10" i="3"/>
  <c r="N10" i="3"/>
  <c r="P10" i="3"/>
  <c r="Q10" i="3"/>
  <c r="S10" i="3"/>
  <c r="X10" i="3"/>
  <c r="Y10" i="3"/>
  <c r="Z10" i="3"/>
  <c r="H11" i="3"/>
  <c r="I11" i="3"/>
  <c r="J11" i="3"/>
  <c r="K11" i="3"/>
  <c r="L11" i="3"/>
  <c r="N11" i="3"/>
  <c r="P11" i="3"/>
  <c r="Q11" i="3"/>
  <c r="S11" i="3"/>
  <c r="X11" i="3"/>
  <c r="Y11" i="3"/>
  <c r="Z11" i="3"/>
  <c r="E13" i="3"/>
  <c r="I13" i="3"/>
  <c r="L13" i="3"/>
  <c r="M13" i="3"/>
  <c r="N13" i="3"/>
  <c r="O13" i="3"/>
  <c r="P13" i="3"/>
  <c r="S13" i="3"/>
  <c r="V13" i="3"/>
  <c r="W13" i="3"/>
  <c r="X13" i="3"/>
  <c r="Y13" i="3"/>
  <c r="M15" i="3"/>
  <c r="M16" i="3"/>
  <c r="M17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I24" i="4"/>
  <c r="E25" i="4"/>
  <c r="P25" i="4"/>
  <c r="E26" i="4"/>
  <c r="E28" i="4"/>
  <c r="I28" i="4"/>
  <c r="E29" i="4"/>
  <c r="I29" i="4"/>
  <c r="E30" i="4"/>
  <c r="I30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I37" i="4"/>
  <c r="M37" i="4"/>
  <c r="M38" i="4"/>
  <c r="M39" i="4"/>
  <c r="N39" i="4"/>
  <c r="M40" i="4"/>
  <c r="N40" i="4"/>
  <c r="P44" i="4"/>
  <c r="P45" i="4"/>
  <c r="M46" i="4"/>
  <c r="O46" i="4"/>
  <c r="P46" i="4"/>
  <c r="P47" i="4"/>
  <c r="P48" i="4"/>
  <c r="P49" i="4"/>
  <c r="P50" i="4"/>
  <c r="P51" i="4"/>
  <c r="P52" i="4"/>
  <c r="P53" i="4"/>
  <c r="D2" i="8"/>
  <c r="F2" i="8"/>
  <c r="D3" i="8"/>
  <c r="E3" i="8"/>
  <c r="D4" i="8"/>
  <c r="E4" i="8"/>
  <c r="D5" i="8"/>
  <c r="E5" i="8"/>
  <c r="D7" i="8"/>
  <c r="D8" i="8"/>
  <c r="D9" i="8"/>
  <c r="B10" i="8"/>
  <c r="D11" i="8"/>
  <c r="E11" i="8"/>
  <c r="B14" i="8"/>
  <c r="B17" i="8"/>
  <c r="C17" i="8"/>
  <c r="D17" i="8"/>
  <c r="D18" i="8"/>
  <c r="E18" i="8"/>
  <c r="D19" i="8"/>
  <c r="D20" i="8"/>
  <c r="E20" i="8"/>
  <c r="F20" i="8"/>
  <c r="D21" i="8"/>
  <c r="E21" i="8"/>
  <c r="B23" i="8"/>
  <c r="C23" i="8"/>
  <c r="D23" i="8"/>
  <c r="D24" i="8"/>
  <c r="E24" i="8"/>
  <c r="D25" i="8"/>
  <c r="D26" i="8"/>
  <c r="E26" i="8"/>
  <c r="F26" i="8"/>
  <c r="D27" i="8"/>
  <c r="E27" i="8"/>
  <c r="D28" i="8"/>
  <c r="B30" i="8"/>
  <c r="D30" i="8"/>
  <c r="B43" i="2"/>
  <c r="B94" i="2"/>
  <c r="B122" i="2"/>
  <c r="A343" i="2"/>
  <c r="C343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gmckillo</author>
  </authors>
  <commentList>
    <comment ref="D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comments4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<sst xmlns="http://schemas.openxmlformats.org/spreadsheetml/2006/main" count="1102" uniqueCount="509">
  <si>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</si>
  <si>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</si>
  <si>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</si>
  <si>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</si>
  <si>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</si>
  <si>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</si>
  <si>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</si>
  <si>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</si>
  <si>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</si>
  <si>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</si>
  <si>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</si>
  <si>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</si>
  <si>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</si>
  <si>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</si>
  <si>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</si>
  <si>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</si>
  <si>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</si>
  <si>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</si>
  <si>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</si>
  <si>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</si>
  <si>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</si>
  <si>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</si>
  <si>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</si>
  <si>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</si>
  <si>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</si>
  <si>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</si>
  <si>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</si>
  <si>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</si>
  <si>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</si>
  <si>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</si>
  <si>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</si>
  <si>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</si>
  <si>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</si>
  <si>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</si>
  <si>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</si>
  <si>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</si>
  <si>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</si>
  <si>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</si>
  <si>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</si>
  <si>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</si>
  <si>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</si>
  <si>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</si>
  <si>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</si>
  <si>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</si>
  <si>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</si>
  <si>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</si>
  <si>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</si>
  <si>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</si>
  <si>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</si>
  <si>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</si>
  <si>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</si>
  <si>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</si>
  <si>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</si>
  <si>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</si>
  <si>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</si>
  <si>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</si>
  <si>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</si>
  <si>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</si>
  <si>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</si>
  <si>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</si>
  <si>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</si>
  <si>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</si>
  <si>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</si>
  <si>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</si>
  <si>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</si>
  <si>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</si>
  <si>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</si>
  <si>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</si>
  <si>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</si>
  <si>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</si>
  <si>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</si>
  <si>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</si>
  <si>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</si>
  <si>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</si>
  <si>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</si>
  <si>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</si>
  <si>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</si>
  <si>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</si>
  <si>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</si>
  <si>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</si>
  <si>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</si>
  <si>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</si>
  <si>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</si>
  <si>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</si>
  <si>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</si>
  <si>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</si>
  <si>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</si>
  <si>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</si>
  <si>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</si>
  <si>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</si>
  <si>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</si>
  <si>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</si>
  <si>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</si>
  <si>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</si>
  <si>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</si>
  <si>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</si>
  <si>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</si>
  <si>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</si>
  <si>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</si>
  <si>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</si>
  <si>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</si>
  <si>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</si>
  <si>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</si>
  <si>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</si>
  <si>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</si>
  <si>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</si>
  <si>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</si>
  <si>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</si>
  <si>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</si>
  <si>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</si>
  <si>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</si>
  <si>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</si>
  <si>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</si>
  <si>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</si>
  <si>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</si>
  <si>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</si>
  <si>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</si>
  <si>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</si>
  <si>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</si>
  <si>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</si>
  <si>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</si>
  <si>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</si>
  <si>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</si>
  <si>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</si>
  <si>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</si>
  <si>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</si>
  <si>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</si>
  <si>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</si>
  <si>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</si>
  <si>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</si>
  <si>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</si>
  <si>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</si>
  <si>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</si>
  <si>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</si>
  <si>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</si>
  <si>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</si>
  <si>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</si>
  <si>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</si>
  <si>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</si>
  <si>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</si>
  <si>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</si>
  <si>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</si>
  <si>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</si>
  <si>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</si>
  <si>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</si>
  <si>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</si>
  <si>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</si>
  <si>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</si>
  <si>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</si>
  <si>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</si>
  <si>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</si>
  <si>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</si>
  <si>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</si>
  <si>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</si>
  <si>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</si>
  <si>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</si>
  <si>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</si>
  <si>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</si>
  <si>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</si>
  <si>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</si>
  <si>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</si>
  <si>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</si>
  <si>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</si>
  <si>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</si>
  <si>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</si>
  <si>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</si>
  <si>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</si>
  <si>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</si>
  <si>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</si>
  <si>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</si>
  <si>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</si>
  <si>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</si>
  <si>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</si>
  <si>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</si>
  <si>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</si>
  <si>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</si>
  <si>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</si>
  <si>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</si>
  <si>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</si>
  <si>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</si>
  <si>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</si>
  <si>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</si>
  <si>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</si>
  <si>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</si>
  <si>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</si>
  <si>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</si>
  <si>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</si>
  <si>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</si>
  <si>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</si>
  <si>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</si>
  <si>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</si>
  <si>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</si>
  <si>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</si>
  <si>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</si>
  <si>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</si>
  <si>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</si>
  <si>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</si>
  <si>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</si>
  <si>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</si>
  <si>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</si>
  <si>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</si>
  <si>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</si>
  <si>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</si>
  <si>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</si>
  <si>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</si>
  <si>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</si>
  <si>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</si>
  <si>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</si>
  <si>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</si>
  <si>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</si>
  <si>
    <t>Hanover Compressor</t>
  </si>
  <si>
    <t>Collar</t>
  </si>
  <si>
    <t>Cap</t>
  </si>
  <si>
    <t>Floor</t>
  </si>
  <si>
    <t>Hanover</t>
  </si>
  <si>
    <t>Compressor</t>
  </si>
  <si>
    <t>HC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</si>
  <si>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</si>
  <si>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</si>
  <si>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</si>
  <si>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</si>
  <si>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</si>
  <si>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</si>
  <si>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Realized Gains</t>
  </si>
  <si>
    <t>check</t>
  </si>
  <si>
    <t>Remaining Notional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</si>
  <si>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</si>
  <si>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</si>
  <si>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</si>
  <si>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</si>
  <si>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</si>
  <si>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</si>
  <si>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</si>
  <si>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</si>
  <si>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</si>
  <si>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</si>
  <si>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</si>
  <si>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</si>
  <si>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</si>
  <si>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</si>
  <si>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</si>
  <si>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</si>
  <si>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</si>
  <si>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</si>
  <si>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</si>
  <si>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</si>
  <si>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</si>
  <si>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</si>
  <si>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</si>
  <si>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</si>
  <si>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</si>
  <si>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</si>
  <si>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</si>
  <si>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</si>
  <si>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</si>
  <si>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</si>
  <si>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</si>
  <si>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</si>
  <si>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</si>
  <si>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</si>
  <si>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</si>
  <si>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</si>
  <si>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</si>
  <si>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</si>
  <si>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</si>
  <si>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</si>
  <si>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</si>
  <si>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</si>
  <si>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</si>
  <si>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</si>
  <si>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</si>
  <si>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</si>
  <si>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</si>
  <si>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</si>
  <si>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</si>
  <si>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</si>
  <si>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</si>
  <si>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</si>
  <si>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</si>
  <si>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</si>
  <si>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</si>
  <si>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</si>
  <si>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</si>
  <si>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</si>
  <si>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</si>
  <si>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</si>
  <si>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</si>
  <si>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</si>
  <si>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</si>
  <si>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</si>
  <si>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</si>
  <si>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</si>
  <si>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</si>
  <si>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</si>
  <si>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</si>
  <si>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</si>
  <si>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</si>
  <si>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</si>
  <si>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</si>
  <si>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</si>
  <si>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</si>
  <si>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</si>
  <si>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</si>
  <si>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</si>
  <si>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</si>
  <si>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</si>
  <si>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Invasion Energy Raptor I</t>
  </si>
  <si>
    <t xml:space="preserve"> 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</si>
  <si>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</si>
  <si>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</si>
  <si>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</si>
  <si>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</si>
  <si>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</si>
  <si>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</si>
  <si>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</si>
  <si>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Canada Raptor Total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</si>
  <si>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</si>
  <si>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</si>
  <si>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</si>
  <si>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</si>
  <si>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</si>
  <si>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</si>
  <si>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</si>
  <si>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Public</t>
  </si>
  <si>
    <t>N</t>
  </si>
  <si>
    <t>Enron Raptor I - EBS Public Total</t>
  </si>
  <si>
    <t>EBS Raptor Total</t>
  </si>
  <si>
    <t>Enron Raptor I - Priv. Equity Partnerships</t>
  </si>
  <si>
    <t>Energy Capital Resources Raptor</t>
  </si>
  <si>
    <t>Pruett/Thompson</t>
  </si>
  <si>
    <t>713-345-7109/713-853-3019</t>
  </si>
  <si>
    <t>Ameritex Raptor I</t>
  </si>
  <si>
    <t>Energy Capital Resources</t>
  </si>
  <si>
    <t>Partnership</t>
  </si>
  <si>
    <t>3-3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</si>
  <si>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</si>
  <si>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</si>
  <si>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</si>
  <si>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</si>
  <si>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</si>
  <si>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</si>
  <si>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</si>
  <si>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Pruett/Josey</t>
  </si>
  <si>
    <t>713-345-7109/713-853-0321</t>
  </si>
  <si>
    <t>Vastar Raptor I</t>
  </si>
  <si>
    <t>98-122</t>
  </si>
  <si>
    <t>Vastar Exposure Raptor I</t>
  </si>
  <si>
    <t>Enron Raptor I - Priv. Equity Partnerships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</si>
  <si>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</si>
  <si>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</si>
  <si>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</si>
  <si>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</si>
  <si>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</si>
  <si>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</si>
  <si>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</si>
  <si>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</si>
  <si>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</si>
  <si>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</si>
  <si>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</si>
  <si>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</si>
  <si>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B. Burnett</t>
  </si>
  <si>
    <t>713-853-7766</t>
  </si>
  <si>
    <t>Oconto Falls Common Raptor I</t>
  </si>
  <si>
    <t>Condor - Paper</t>
  </si>
  <si>
    <t>2655-3310</t>
  </si>
  <si>
    <t>Oconto Falls IPC Raptor I</t>
  </si>
  <si>
    <t>2655-3847</t>
  </si>
  <si>
    <t>Paper Raptor Total</t>
  </si>
  <si>
    <t>Enron Raptor I - US Structured Credit-Book</t>
  </si>
  <si>
    <t>Portfolio Raptor</t>
  </si>
  <si>
    <t>CTG</t>
  </si>
  <si>
    <t>Not Available</t>
  </si>
  <si>
    <t>Merlin Credit Derivative Raptor I</t>
  </si>
  <si>
    <t>Other</t>
  </si>
  <si>
    <t>Financing</t>
  </si>
  <si>
    <t>4182-5518</t>
  </si>
  <si>
    <t>Enron Raptor I - US Structured Credit-Book Total</t>
  </si>
  <si>
    <t>Portfolio Raptor Total</t>
  </si>
  <si>
    <t>Enron Raptor I - US Public</t>
  </si>
  <si>
    <t>Principal Investing Raptor</t>
  </si>
  <si>
    <t>M. L. Miller</t>
  </si>
  <si>
    <t>713-345-5272</t>
  </si>
  <si>
    <t>Active Power Raptor I</t>
  </si>
  <si>
    <t>US;ACPW</t>
  </si>
  <si>
    <t>Condor - Principal Investing</t>
  </si>
  <si>
    <t>5942-7905</t>
  </si>
  <si>
    <t>Enron Raptor I - US Public Total</t>
  </si>
  <si>
    <t>Principal Investing Raptor Total</t>
  </si>
  <si>
    <t>Enron Raptor I - EGF SLP - Priv. Equity Partnerships</t>
  </si>
  <si>
    <t>Producer EGF Raptor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</si>
  <si>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</si>
  <si>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</si>
  <si>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</si>
  <si>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</si>
  <si>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</si>
  <si>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Byargeon</t>
  </si>
  <si>
    <t>713-853-0650</t>
  </si>
  <si>
    <t>US;HC</t>
  </si>
  <si>
    <t>Neyman</t>
  </si>
  <si>
    <t>713-853-6940</t>
  </si>
  <si>
    <t>DevX Energy Common EGF Raptor I</t>
  </si>
  <si>
    <t>US;DVXE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</si>
  <si>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</si>
  <si>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</si>
  <si>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</si>
  <si>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</si>
  <si>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</si>
  <si>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</si>
  <si>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</si>
  <si>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US Private</t>
  </si>
  <si>
    <t>Special Assets - Non-Performing Raptor</t>
  </si>
  <si>
    <t>Heartland Steel Common Raptor I</t>
  </si>
  <si>
    <t>Special Assets - Non-Performing</t>
  </si>
  <si>
    <t xml:space="preserve">Private </t>
  </si>
  <si>
    <t>126-153</t>
  </si>
  <si>
    <t>Heartland Steel Common Condor Raptor I</t>
  </si>
  <si>
    <t>Steel</t>
  </si>
  <si>
    <t>126-153-Condor</t>
  </si>
  <si>
    <t>Enron Raptor I - US Private Total</t>
  </si>
  <si>
    <t>DevX Energy Common Raptor I</t>
  </si>
  <si>
    <t>82-847</t>
  </si>
  <si>
    <t>Ecogas Loan Raptor I</t>
  </si>
  <si>
    <t>2914-4028</t>
  </si>
  <si>
    <t>Enron Raptor I - US Structured Credit-Book RA</t>
  </si>
  <si>
    <t>Heartland Contingent Construction Loan Raptor I</t>
  </si>
  <si>
    <t>126-226</t>
  </si>
  <si>
    <t>Hughes Rawls Loan Raptor I</t>
  </si>
  <si>
    <t>56-1886</t>
  </si>
  <si>
    <t>Hughes Rawls Note Raptor I</t>
  </si>
  <si>
    <t>56-5447</t>
  </si>
  <si>
    <t>Industrial Holdings Raptor I</t>
  </si>
  <si>
    <t>1314-1547</t>
  </si>
  <si>
    <t>Enron Raptor I - US Structured Credit-Book RA Total</t>
  </si>
  <si>
    <t>Enron Raptor I - Warrants - Private</t>
  </si>
  <si>
    <t>Heartland Steel Warrants Raptor I</t>
  </si>
  <si>
    <t/>
  </si>
  <si>
    <t>126-2040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</si>
  <si>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</si>
  <si>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</si>
  <si>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</si>
  <si>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</si>
  <si>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</si>
  <si>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</si>
  <si>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</si>
  <si>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</si>
  <si>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Special Assets - Non-Performing Raptor Total</t>
  </si>
  <si>
    <t>Enron Raptor I - Convertible - Private</t>
  </si>
  <si>
    <t>Special Assets - Performing Raptor</t>
  </si>
  <si>
    <t>Venoco Convertible Raptor I</t>
  </si>
  <si>
    <t>Condor - Special Assets - Performing</t>
  </si>
  <si>
    <t>Convertible</t>
  </si>
  <si>
    <t>Convertible Preferred</t>
  </si>
  <si>
    <t>1090-1203</t>
  </si>
  <si>
    <t>Enron Raptor I - Convertible - Private Total</t>
  </si>
  <si>
    <t>Amerada Hess Exposure Raptor I</t>
  </si>
  <si>
    <t>Special Assets - Performing</t>
  </si>
  <si>
    <t>1587-1861</t>
  </si>
  <si>
    <t>City Forest IPC Raptor I</t>
  </si>
  <si>
    <t>LTD. Partnership</t>
  </si>
  <si>
    <t>21-2320</t>
  </si>
  <si>
    <t>WB Oil &amp; Gas Raptor I</t>
  </si>
  <si>
    <t>588-639</t>
  </si>
  <si>
    <t>Paradigm Common Raptor I</t>
  </si>
  <si>
    <t>US;PGEO</t>
  </si>
  <si>
    <t>75-10364</t>
  </si>
  <si>
    <t>53-64</t>
  </si>
  <si>
    <t>US;CESI</t>
  </si>
  <si>
    <t>614-665</t>
  </si>
  <si>
    <t>480-2948</t>
  </si>
  <si>
    <t>614-5501</t>
  </si>
  <si>
    <t>Special Assets - Performing Raptor Total</t>
  </si>
  <si>
    <t>Grand Total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</si>
  <si>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</si>
  <si>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</si>
  <si>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</si>
  <si>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</si>
  <si>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</si>
  <si>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</si>
  <si>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</si>
  <si>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</si>
  <si>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RAPTOR II</t>
  </si>
  <si>
    <t>Basic Energy Preferred Raptor I</t>
  </si>
  <si>
    <t>Enron 60%</t>
  </si>
  <si>
    <t>Chewco 36.12%</t>
  </si>
  <si>
    <t>Hornbeck-Leevac Warrants Raptor I</t>
  </si>
  <si>
    <t>Prior YTD</t>
  </si>
  <si>
    <t>Current QTR</t>
  </si>
  <si>
    <t>MRP did not have 12/29 transaction</t>
  </si>
  <si>
    <t>Catalytica Common Raptor I</t>
  </si>
  <si>
    <t>LSI Preferred (AIM) Raptor I</t>
  </si>
  <si>
    <t>LSI Warrants (AIM) Raptor I</t>
  </si>
  <si>
    <t>$ Equivalents</t>
  </si>
  <si>
    <t>Share Equivalents</t>
  </si>
  <si>
    <t>ENE Stock Price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</si>
  <si>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</si>
  <si>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</si>
  <si>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</si>
  <si>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</si>
  <si>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</si>
  <si>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</si>
  <si>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</si>
  <si>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Origanal Shares</t>
  </si>
  <si>
    <t>Origanal Discount</t>
  </si>
  <si>
    <t>Amortization</t>
  </si>
  <si>
    <t>Balance</t>
  </si>
  <si>
    <t>Shares Available</t>
  </si>
  <si>
    <t>Balance Sheet</t>
  </si>
  <si>
    <t>Reserve for Shares</t>
  </si>
  <si>
    <t>Raptor II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</si>
</sst>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1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  <font>
      <sz val="10"/>
      <color indexed="9"/>
      <name val="Arial"/>
      <family val="2"/>
    </font>
    <font>
      <b/>
      <sz val="11"/>
      <name val="Arial"/>
    </font>
    <font>
      <i/>
      <sz val="10"/>
      <name val="Arial"/>
    </font>
    <font>
      <sz val="10"/>
      <name val="Arial"/>
    </font>
    <font>
      <i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3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0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179" fontId="3" fillId="0" borderId="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44" fontId="0" fillId="0" borderId="0" xfId="2" applyNumberFormat="1" applyFont="1"/>
    <xf numFmtId="44" fontId="0" fillId="0" borderId="3" xfId="3" applyNumberFormat="1" applyFont="1" applyBorder="1"/>
    <xf numFmtId="0" fontId="27" fillId="2" borderId="9" xfId="0" applyFont="1" applyFill="1" applyBorder="1" applyAlignment="1">
      <alignment horizontal="left"/>
    </xf>
    <xf numFmtId="0" fontId="27" fillId="2" borderId="31" xfId="0" applyFont="1" applyFill="1" applyBorder="1" applyAlignment="1">
      <alignment horizontal="left"/>
    </xf>
    <xf numFmtId="43" fontId="28" fillId="2" borderId="9" xfId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39" fontId="28" fillId="2" borderId="32" xfId="2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14" fontId="28" fillId="2" borderId="9" xfId="2" applyNumberFormat="1" applyFont="1" applyFill="1" applyBorder="1" applyAlignment="1">
      <alignment horizontal="center"/>
    </xf>
    <xf numFmtId="165" fontId="28" fillId="2" borderId="9" xfId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27" fillId="2" borderId="33" xfId="0" applyFont="1" applyFill="1" applyBorder="1" applyAlignment="1">
      <alignment horizontal="left"/>
    </xf>
    <xf numFmtId="43" fontId="28" fillId="2" borderId="0" xfId="1" applyFont="1" applyFill="1" applyBorder="1" applyAlignment="1">
      <alignment horizontal="center"/>
    </xf>
    <xf numFmtId="39" fontId="28" fillId="2" borderId="0" xfId="2" applyNumberFormat="1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39" fontId="28" fillId="2" borderId="34" xfId="2" applyNumberFormat="1" applyFont="1" applyFill="1" applyBorder="1" applyAlignment="1">
      <alignment horizontal="center"/>
    </xf>
    <xf numFmtId="14" fontId="28" fillId="2" borderId="0" xfId="2" applyNumberFormat="1" applyFont="1" applyFill="1" applyBorder="1" applyAlignment="1">
      <alignment horizontal="center"/>
    </xf>
    <xf numFmtId="39" fontId="28" fillId="2" borderId="0" xfId="2" quotePrefix="1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165" fontId="28" fillId="2" borderId="0" xfId="1" applyNumberFormat="1" applyFont="1" applyFill="1" applyBorder="1" applyAlignment="1">
      <alignment horizontal="center"/>
    </xf>
    <xf numFmtId="0" fontId="27" fillId="2" borderId="5" xfId="0" applyFont="1" applyFill="1" applyBorder="1" applyAlignment="1">
      <alignment horizontal="left"/>
    </xf>
    <xf numFmtId="0" fontId="27" fillId="2" borderId="20" xfId="0" applyFont="1" applyFill="1" applyBorder="1" applyAlignment="1">
      <alignment horizontal="left"/>
    </xf>
    <xf numFmtId="43" fontId="28" fillId="2" borderId="5" xfId="1" applyFont="1" applyFill="1" applyBorder="1" applyAlignment="1">
      <alignment horizontal="center"/>
    </xf>
    <xf numFmtId="39" fontId="28" fillId="2" borderId="5" xfId="2" applyNumberFormat="1" applyFont="1" applyFill="1" applyBorder="1" applyAlignment="1">
      <alignment horizontal="center"/>
    </xf>
    <xf numFmtId="14" fontId="28" fillId="2" borderId="5" xfId="2" applyNumberFormat="1" applyFont="1" applyFill="1" applyBorder="1" applyAlignment="1">
      <alignment horizontal="center"/>
    </xf>
    <xf numFmtId="14" fontId="28" fillId="2" borderId="35" xfId="2" applyNumberFormat="1" applyFont="1" applyFill="1" applyBorder="1" applyAlignment="1">
      <alignment horizontal="center"/>
    </xf>
    <xf numFmtId="44" fontId="28" fillId="2" borderId="5" xfId="2" applyFont="1" applyFill="1" applyBorder="1" applyAlignment="1">
      <alignment horizontal="center"/>
    </xf>
    <xf numFmtId="44" fontId="28" fillId="2" borderId="36" xfId="2" applyFont="1" applyFill="1" applyBorder="1" applyAlignment="1">
      <alignment horizontal="center"/>
    </xf>
    <xf numFmtId="44" fontId="28" fillId="2" borderId="37" xfId="2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165" fontId="28" fillId="2" borderId="5" xfId="1" applyNumberFormat="1" applyFont="1" applyFill="1" applyBorder="1" applyAlignment="1">
      <alignment horizontal="center"/>
    </xf>
    <xf numFmtId="0" fontId="0" fillId="0" borderId="33" xfId="0" applyFill="1" applyBorder="1" applyAlignment="1">
      <alignment horizontal="left"/>
    </xf>
    <xf numFmtId="41" fontId="26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44" fontId="29" fillId="0" borderId="34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165" fontId="29" fillId="0" borderId="0" xfId="1" applyNumberFormat="1" applyFont="1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44" fontId="10" fillId="0" borderId="35" xfId="2" applyFont="1" applyFill="1" applyBorder="1" applyAlignment="1">
      <alignment vertical="center"/>
    </xf>
    <xf numFmtId="44" fontId="10" fillId="0" borderId="36" xfId="2" applyFont="1" applyFill="1" applyBorder="1" applyAlignment="1">
      <alignment vertical="center"/>
    </xf>
    <xf numFmtId="44" fontId="10" fillId="0" borderId="37" xfId="2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165" fontId="10" fillId="0" borderId="5" xfId="1" applyNumberFormat="1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44" fontId="4" fillId="0" borderId="35" xfId="2" applyFont="1" applyFill="1" applyBorder="1" applyAlignment="1">
      <alignment vertical="center"/>
    </xf>
    <xf numFmtId="44" fontId="4" fillId="0" borderId="36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41" fontId="4" fillId="0" borderId="38" xfId="1" applyNumberFormat="1" applyFont="1" applyFill="1" applyBorder="1" applyAlignment="1">
      <alignment vertical="center"/>
    </xf>
    <xf numFmtId="43" fontId="4" fillId="0" borderId="38" xfId="1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37" fontId="4" fillId="0" borderId="38" xfId="1" applyNumberFormat="1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37" fontId="4" fillId="0" borderId="38" xfId="2" applyNumberFormat="1" applyFont="1" applyFill="1" applyBorder="1" applyAlignment="1">
      <alignment vertical="center"/>
    </xf>
    <xf numFmtId="43" fontId="4" fillId="0" borderId="38" xfId="1" applyNumberFormat="1" applyFont="1" applyFill="1" applyBorder="1" applyAlignment="1">
      <alignment vertical="center"/>
    </xf>
    <xf numFmtId="0" fontId="4" fillId="0" borderId="38" xfId="0" applyFont="1" applyFill="1" applyBorder="1" applyAlignment="1">
      <alignment vertical="center"/>
    </xf>
    <xf numFmtId="165" fontId="4" fillId="0" borderId="38" xfId="1" applyNumberFormat="1" applyFont="1" applyFill="1" applyBorder="1" applyAlignment="1">
      <alignment vertical="center"/>
    </xf>
    <xf numFmtId="44" fontId="4" fillId="0" borderId="38" xfId="2" applyNumberFormat="1" applyFont="1" applyFill="1" applyBorder="1" applyAlignment="1">
      <alignment vertical="center"/>
    </xf>
    <xf numFmtId="39" fontId="4" fillId="0" borderId="38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0" fontId="0" fillId="0" borderId="0" xfId="0" applyFill="1" applyBorder="1" applyAlignment="1">
      <alignment horizontal="right"/>
    </xf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8" xfId="1" applyNumberFormat="1" applyFont="1" applyFill="1" applyBorder="1" applyAlignment="1">
      <alignment vertical="center"/>
    </xf>
    <xf numFmtId="167" fontId="21" fillId="0" borderId="17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44" fontId="0" fillId="0" borderId="3" xfId="2" applyFont="1" applyBorder="1" applyAlignment="1">
      <alignment horizontal="center"/>
    </xf>
    <xf numFmtId="165" fontId="0" fillId="0" borderId="3" xfId="1" applyNumberFormat="1" applyFont="1" applyBorder="1"/>
    <xf numFmtId="165" fontId="0" fillId="0" borderId="7" xfId="0" applyNumberFormat="1" applyBorder="1"/>
    <xf numFmtId="169" fontId="0" fillId="0" borderId="0" xfId="3" applyNumberFormat="1" applyFont="1"/>
    <xf numFmtId="43" fontId="0" fillId="0" borderId="0" xfId="2" applyNumberFormat="1" applyFont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44" fontId="28" fillId="2" borderId="8" xfId="2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44" fontId="28" fillId="2" borderId="10" xfId="2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E18" sqref="E18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69" t="s">
        <v>198</v>
      </c>
      <c r="C2" s="269"/>
      <c r="D2" s="269"/>
      <c r="E2" s="269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5" t="s">
        <v>0</v>
      </c>
      <c r="C4" s="66"/>
      <c r="D4" s="64"/>
      <c r="E4" s="64"/>
      <c r="F4" s="63"/>
    </row>
    <row r="5" spans="1:6" x14ac:dyDescent="0.25">
      <c r="A5" s="62"/>
      <c r="B5" s="64" t="s">
        <v>13</v>
      </c>
      <c r="C5" s="66">
        <f>+'MPR Raptor'!U3</f>
        <v>36962</v>
      </c>
      <c r="D5" s="67" t="s">
        <v>18</v>
      </c>
      <c r="E5" s="68">
        <f>+C5-1</f>
        <v>36961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5" t="s">
        <v>118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69"/>
      <c r="D11" s="69"/>
      <c r="E11" s="69"/>
      <c r="F11" s="63"/>
    </row>
    <row r="12" spans="1:6" x14ac:dyDescent="0.25">
      <c r="A12" s="62"/>
      <c r="B12" s="64" t="s">
        <v>9</v>
      </c>
      <c r="C12" s="70">
        <f>+'Daily Position'!P13</f>
        <v>-25884163.5</v>
      </c>
      <c r="D12" s="70">
        <f>+'Daily Position'!O13</f>
        <v>0</v>
      </c>
      <c r="E12" s="70">
        <f>+C12-D12</f>
        <v>-25884163.5</v>
      </c>
      <c r="F12" s="63"/>
    </row>
    <row r="13" spans="1:6" x14ac:dyDescent="0.25">
      <c r="A13" s="62"/>
      <c r="B13" s="64" t="s">
        <v>10</v>
      </c>
      <c r="C13" s="56">
        <f>+C15-C12</f>
        <v>-5468859.1600000039</v>
      </c>
      <c r="D13" s="56">
        <f>+D15-D12</f>
        <v>0</v>
      </c>
      <c r="E13" s="56">
        <f>+E15-E12</f>
        <v>-5468859.1600000039</v>
      </c>
      <c r="F13" s="63"/>
    </row>
    <row r="14" spans="1:6" x14ac:dyDescent="0.25">
      <c r="A14" s="62"/>
      <c r="B14" s="64"/>
      <c r="C14" s="70"/>
      <c r="D14" s="70"/>
      <c r="E14" s="70"/>
      <c r="F14" s="63"/>
    </row>
    <row r="15" spans="1:6" ht="16.5" thickBot="1" x14ac:dyDescent="0.3">
      <c r="A15" s="62"/>
      <c r="B15" s="64" t="s">
        <v>11</v>
      </c>
      <c r="C15" s="57">
        <f>+'Daily Position'!N13</f>
        <v>-31353022.660000004</v>
      </c>
      <c r="D15" s="57">
        <f>+'Daily Position'!M13</f>
        <v>0</v>
      </c>
      <c r="E15" s="57">
        <f>+C15-D15</f>
        <v>-31353022.660000004</v>
      </c>
      <c r="F15" s="63"/>
    </row>
    <row r="16" spans="1:6" ht="16.5" thickTop="1" x14ac:dyDescent="0.25">
      <c r="A16" s="62"/>
      <c r="B16" s="64"/>
      <c r="C16" s="70"/>
      <c r="D16" s="70"/>
      <c r="E16" s="70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0">
        <f>IF(+Financials!P25&lt;0,"No Capacity Available",+Financials!P25)</f>
        <v>45704604.503311276</v>
      </c>
      <c r="D18" s="64"/>
      <c r="E18" s="64"/>
      <c r="F18" s="63"/>
    </row>
    <row r="19" spans="1:6" x14ac:dyDescent="0.25">
      <c r="A19" s="62"/>
      <c r="B19" s="64"/>
      <c r="C19" s="70"/>
      <c r="D19" s="64"/>
      <c r="E19" s="64"/>
      <c r="F19" s="63"/>
    </row>
    <row r="20" spans="1:6" x14ac:dyDescent="0.25">
      <c r="A20" s="62"/>
      <c r="B20" s="64"/>
      <c r="C20" s="70"/>
      <c r="D20" s="64"/>
      <c r="E20" s="64"/>
      <c r="F20" s="63"/>
    </row>
    <row r="21" spans="1:6" x14ac:dyDescent="0.25">
      <c r="A21" s="62"/>
      <c r="B21" s="64" t="s">
        <v>2</v>
      </c>
      <c r="C21" s="70">
        <f>+Financials!I37</f>
        <v>163591881.33663929</v>
      </c>
      <c r="D21" s="64"/>
      <c r="E21" s="64"/>
      <c r="F21" s="63"/>
    </row>
    <row r="22" spans="1:6" x14ac:dyDescent="0.25">
      <c r="A22" s="62"/>
      <c r="B22" s="64"/>
      <c r="C22" s="70"/>
      <c r="D22" s="131"/>
      <c r="E22" s="64"/>
      <c r="F22" s="63"/>
    </row>
    <row r="23" spans="1:6" x14ac:dyDescent="0.25">
      <c r="A23" s="62"/>
      <c r="B23" s="64"/>
      <c r="C23" s="70"/>
      <c r="D23" s="64"/>
      <c r="E23" s="64"/>
      <c r="F23" s="63"/>
    </row>
    <row r="24" spans="1:6" x14ac:dyDescent="0.25">
      <c r="A24" s="62"/>
      <c r="B24" s="71" t="s">
        <v>123</v>
      </c>
      <c r="C24" s="70">
        <f>1500000000-'Daily Position'!I13</f>
        <v>986904280</v>
      </c>
      <c r="D24" s="64"/>
      <c r="E24" s="64"/>
      <c r="F24" s="63"/>
    </row>
    <row r="25" spans="1:6" ht="16.5" thickBot="1" x14ac:dyDescent="0.3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A1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5" sqref="E15"/>
    </sheetView>
  </sheetViews>
  <sheetFormatPr defaultRowHeight="15.75" x14ac:dyDescent="0.25"/>
  <cols>
    <col min="1" max="1" width="23.125" customWidth="1"/>
    <col min="2" max="2" width="7.875" style="149" customWidth="1"/>
    <col min="3" max="3" width="10.875" style="149" customWidth="1"/>
    <col min="4" max="4" width="6.5" style="76" customWidth="1"/>
    <col min="5" max="5" width="12.125" style="4" bestFit="1" customWidth="1"/>
    <col min="6" max="6" width="5.875" style="76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4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  <col min="23" max="23" width="11.75" bestFit="1" customWidth="1"/>
    <col min="25" max="25" width="12.75" bestFit="1" customWidth="1"/>
    <col min="26" max="26" width="13.75" customWidth="1"/>
  </cols>
  <sheetData>
    <row r="1" spans="1:27" s="78" customFormat="1" x14ac:dyDescent="0.25">
      <c r="A1" s="78" t="s">
        <v>125</v>
      </c>
      <c r="B1" s="147" t="s">
        <v>126</v>
      </c>
      <c r="C1" s="147" t="s">
        <v>127</v>
      </c>
      <c r="D1" s="78" t="s">
        <v>129</v>
      </c>
      <c r="E1" s="80"/>
      <c r="F1" s="78" t="s">
        <v>131</v>
      </c>
      <c r="G1" s="81" t="s">
        <v>132</v>
      </c>
      <c r="H1" s="272" t="s">
        <v>133</v>
      </c>
      <c r="I1" s="273"/>
      <c r="J1" s="78" t="s">
        <v>134</v>
      </c>
      <c r="K1" s="147"/>
      <c r="L1" s="85" t="s">
        <v>136</v>
      </c>
      <c r="M1" s="89" t="s">
        <v>137</v>
      </c>
      <c r="N1" s="86" t="s">
        <v>138</v>
      </c>
      <c r="O1" s="270" t="s">
        <v>139</v>
      </c>
      <c r="P1" s="271"/>
      <c r="Q1" s="85" t="s">
        <v>139</v>
      </c>
      <c r="R1" s="89"/>
      <c r="S1" s="86"/>
      <c r="V1" s="270" t="s">
        <v>485</v>
      </c>
      <c r="W1" s="271"/>
      <c r="X1" s="270" t="s">
        <v>486</v>
      </c>
      <c r="Y1" s="271"/>
    </row>
    <row r="2" spans="1:27" s="79" customFormat="1" ht="15" customHeight="1" thickBot="1" x14ac:dyDescent="0.3">
      <c r="A2" s="82" t="s">
        <v>140</v>
      </c>
      <c r="B2" s="148" t="s">
        <v>1</v>
      </c>
      <c r="C2" s="148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2" t="s">
        <v>135</v>
      </c>
      <c r="J2" s="82" t="s">
        <v>174</v>
      </c>
      <c r="K2" s="148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174</v>
      </c>
      <c r="R2" s="82" t="s">
        <v>187</v>
      </c>
      <c r="S2" s="88" t="s">
        <v>163</v>
      </c>
      <c r="V2" s="262" t="s">
        <v>5</v>
      </c>
      <c r="W2" s="88" t="s">
        <v>7</v>
      </c>
      <c r="X2" s="262" t="s">
        <v>5</v>
      </c>
      <c r="Y2" s="88" t="s">
        <v>7</v>
      </c>
    </row>
    <row r="3" spans="1:27" x14ac:dyDescent="0.25">
      <c r="A3" s="127" t="s">
        <v>480</v>
      </c>
      <c r="J3" s="2"/>
      <c r="L3" s="4"/>
      <c r="M3" s="4"/>
      <c r="N3" s="5"/>
      <c r="P3" s="4"/>
      <c r="Q3" s="4"/>
      <c r="R3" s="4"/>
      <c r="V3" s="263"/>
      <c r="W3" s="79"/>
      <c r="X3" s="263"/>
      <c r="Y3" s="79"/>
    </row>
    <row r="4" spans="1:27" x14ac:dyDescent="0.25">
      <c r="A4" s="129" t="s">
        <v>201</v>
      </c>
      <c r="J4" s="4"/>
      <c r="L4" s="4"/>
      <c r="M4" s="4"/>
      <c r="N4" s="5"/>
      <c r="P4" s="4"/>
      <c r="Q4" s="4"/>
      <c r="R4" s="137"/>
      <c r="S4" s="130"/>
      <c r="V4" s="4"/>
      <c r="W4" s="5"/>
      <c r="X4" s="4"/>
      <c r="Y4" s="4"/>
    </row>
    <row r="5" spans="1:27" x14ac:dyDescent="0.25">
      <c r="A5" s="129" t="s">
        <v>203</v>
      </c>
      <c r="J5" s="4"/>
      <c r="L5" s="4"/>
      <c r="M5" s="4"/>
      <c r="N5" s="5"/>
      <c r="P5" s="4"/>
      <c r="Q5" s="4"/>
      <c r="R5" s="137"/>
      <c r="S5" s="130"/>
      <c r="V5" s="4"/>
      <c r="W5" s="5"/>
      <c r="X5" s="4"/>
      <c r="Y5" s="4"/>
    </row>
    <row r="6" spans="1:27" x14ac:dyDescent="0.25">
      <c r="A6" s="129" t="s">
        <v>202</v>
      </c>
      <c r="B6" s="149">
        <v>36791</v>
      </c>
      <c r="C6" s="149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4">
        <f>+Summary!C5</f>
        <v>36962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7"/>
      <c r="S6" s="130"/>
      <c r="V6" s="4">
        <v>0</v>
      </c>
      <c r="W6" s="5">
        <v>0</v>
      </c>
      <c r="X6" s="4">
        <f>+M6-V6</f>
        <v>0</v>
      </c>
      <c r="Y6" s="4">
        <f>+N6-W6</f>
        <v>0</v>
      </c>
    </row>
    <row r="7" spans="1:27" x14ac:dyDescent="0.25">
      <c r="A7" s="129" t="s">
        <v>210</v>
      </c>
      <c r="B7" s="149">
        <v>36888</v>
      </c>
      <c r="C7" s="149">
        <v>37801</v>
      </c>
      <c r="D7" s="76" t="s">
        <v>211</v>
      </c>
      <c r="E7" s="4">
        <v>0</v>
      </c>
      <c r="F7" s="76" t="s">
        <v>212</v>
      </c>
      <c r="G7" s="2">
        <v>92.677999999999997</v>
      </c>
      <c r="V7" s="4"/>
      <c r="W7" s="5"/>
      <c r="X7" s="4"/>
      <c r="Y7" s="4"/>
    </row>
    <row r="8" spans="1:27" x14ac:dyDescent="0.25">
      <c r="A8" s="129"/>
      <c r="B8" s="149">
        <v>36888</v>
      </c>
      <c r="C8" s="149">
        <v>37801</v>
      </c>
      <c r="D8" s="76" t="s">
        <v>211</v>
      </c>
      <c r="F8" s="76" t="s">
        <v>213</v>
      </c>
      <c r="G8" s="2">
        <v>34.875</v>
      </c>
      <c r="V8" s="4"/>
      <c r="W8" s="5"/>
      <c r="X8" s="4"/>
      <c r="Y8" s="4"/>
    </row>
    <row r="9" spans="1:27" x14ac:dyDescent="0.25">
      <c r="A9" s="129"/>
      <c r="B9" s="149">
        <v>36888</v>
      </c>
      <c r="C9" s="149">
        <v>37801</v>
      </c>
      <c r="D9" s="76" t="s">
        <v>15</v>
      </c>
      <c r="F9" s="76" t="s">
        <v>15</v>
      </c>
      <c r="G9" s="2">
        <v>44.875</v>
      </c>
      <c r="J9" s="4"/>
      <c r="L9" s="4"/>
      <c r="M9" s="4"/>
      <c r="N9" s="5"/>
      <c r="P9" s="4"/>
      <c r="Q9" s="4"/>
      <c r="R9" s="137"/>
      <c r="S9" s="130"/>
      <c r="V9" s="4"/>
      <c r="W9" s="5"/>
      <c r="X9" s="4"/>
      <c r="Y9" s="4"/>
    </row>
    <row r="10" spans="1:27" x14ac:dyDescent="0.25">
      <c r="A10" s="255" t="s">
        <v>482</v>
      </c>
      <c r="H10" s="3">
        <v>3314340</v>
      </c>
      <c r="I10" s="4">
        <f>+H10*($G$9-$G$8)</f>
        <v>33143400</v>
      </c>
      <c r="J10" s="155">
        <f>VLOOKUP(K10,Prices,3)</f>
        <v>38.97</v>
      </c>
      <c r="K10" s="144">
        <f>+Summary!C5</f>
        <v>36962</v>
      </c>
      <c r="L10" s="4">
        <f>IF(J10&gt;$G$7,(+$G$7-$G$9)*H10,IF(J10&lt;$G$8,(+$G$8-$G$9)*H10,(+J10-$G$9)*H10))</f>
        <v>-19571177.700000003</v>
      </c>
      <c r="M10" s="4">
        <v>0</v>
      </c>
      <c r="N10" s="5">
        <f>+L10+M10</f>
        <v>-19571177.700000003</v>
      </c>
      <c r="O10">
        <v>0</v>
      </c>
      <c r="P10" s="4">
        <f>IF(Q10&gt;$G$7,(+$G$7-$G$9)*H10,IF(Q10&lt;$G$8,(+$G$8-$G$9)*H10,(+Q10-$G$9)*H10))</f>
        <v>-16157407.5</v>
      </c>
      <c r="Q10" s="2">
        <f>+VLOOKUP(+Summary!$E$5,Prices,3)</f>
        <v>40</v>
      </c>
      <c r="R10" s="137"/>
      <c r="S10" s="130">
        <f>+N10-'MPR Raptor'!AH76</f>
        <v>0</v>
      </c>
      <c r="V10" s="5">
        <v>0</v>
      </c>
      <c r="W10" s="5">
        <v>-1035731.25</v>
      </c>
      <c r="X10" s="4">
        <f>+M10-V10</f>
        <v>0</v>
      </c>
      <c r="Y10" s="4">
        <f>+N10-W10</f>
        <v>-18535446.450000003</v>
      </c>
      <c r="Z10" s="5">
        <f>+Y10-'MPR Raptor'!AH76</f>
        <v>1035731.25</v>
      </c>
      <c r="AA10" t="s">
        <v>487</v>
      </c>
    </row>
    <row r="11" spans="1:27" x14ac:dyDescent="0.25">
      <c r="A11" s="255" t="s">
        <v>483</v>
      </c>
      <c r="H11" s="3">
        <f>5309572-H10</f>
        <v>1995232</v>
      </c>
      <c r="I11" s="4">
        <f>+H11*($G$9-$G$8)</f>
        <v>19952320</v>
      </c>
      <c r="J11" s="155">
        <f>+J10</f>
        <v>38.97</v>
      </c>
      <c r="K11" s="144">
        <f>+K10</f>
        <v>36962</v>
      </c>
      <c r="L11" s="4">
        <f>IF(J11&gt;$G$7,(+$G$7-$G$9)*H11,IF(J11&lt;$G$8,(+$G$8-$G$9)*H11,(+J11-$G$9)*H11))</f>
        <v>-11781844.960000003</v>
      </c>
      <c r="M11" s="4">
        <v>0</v>
      </c>
      <c r="N11" s="5">
        <f>+L11+M11</f>
        <v>-11781844.960000003</v>
      </c>
      <c r="O11">
        <v>0</v>
      </c>
      <c r="P11" s="4">
        <f>IF(Q11&gt;$G$7,(+$G$7-$G$9)*H11,IF(Q11&lt;$G$8,(+$G$8-$G$9)*H11,(+Q11-$G$9)*H11))</f>
        <v>-9726756</v>
      </c>
      <c r="Q11" s="2">
        <f>+Q10</f>
        <v>40</v>
      </c>
      <c r="R11" s="137"/>
      <c r="S11" s="130">
        <f>+N11-'MPR Raptor'!AH38</f>
        <v>0</v>
      </c>
      <c r="V11" s="5">
        <v>0</v>
      </c>
      <c r="W11" s="5">
        <v>-623510</v>
      </c>
      <c r="X11" s="4">
        <f>+M11-V11</f>
        <v>0</v>
      </c>
      <c r="Y11" s="4">
        <f>+N11-W11</f>
        <v>-11158334.960000003</v>
      </c>
      <c r="Z11" s="5">
        <f>+Y11-'MPR Raptor'!AH38</f>
        <v>623510.00000000559</v>
      </c>
      <c r="AA11" t="s">
        <v>487</v>
      </c>
    </row>
    <row r="12" spans="1:27" x14ac:dyDescent="0.25">
      <c r="A12" t="s">
        <v>197</v>
      </c>
    </row>
    <row r="13" spans="1:27" ht="16.5" thickBot="1" x14ac:dyDescent="0.3">
      <c r="B13" s="150" t="s">
        <v>17</v>
      </c>
      <c r="E13" s="77">
        <f>SUM(E3:E12)</f>
        <v>0</v>
      </c>
      <c r="I13" s="143">
        <f>SUM(I3:I12)</f>
        <v>513095720</v>
      </c>
      <c r="L13" s="77">
        <f>SUM(L3:L12)</f>
        <v>-31353022.660000004</v>
      </c>
      <c r="M13" s="77">
        <f>SUM(M3:M12)</f>
        <v>0</v>
      </c>
      <c r="N13" s="77">
        <f>SUM(N3:N12)</f>
        <v>-31353022.660000004</v>
      </c>
      <c r="O13" s="77">
        <f>SUM(O3:O12)</f>
        <v>0</v>
      </c>
      <c r="P13" s="77">
        <f>SUM(P3:P12)</f>
        <v>-25884163.5</v>
      </c>
      <c r="Q13" s="131"/>
      <c r="R13" s="131"/>
      <c r="S13" s="77">
        <f>SUM(S3:S12)</f>
        <v>0</v>
      </c>
      <c r="V13" s="77">
        <f>SUM(V3:V12)</f>
        <v>0</v>
      </c>
      <c r="W13" s="77">
        <f>SUM(W3:W12)</f>
        <v>-1659241.25</v>
      </c>
      <c r="X13" s="77">
        <f>SUM(X3:X12)</f>
        <v>0</v>
      </c>
      <c r="Y13" s="77">
        <f>SUM(Y3:Y12)</f>
        <v>-29693781.410000004</v>
      </c>
    </row>
    <row r="14" spans="1:27" ht="16.5" thickTop="1" x14ac:dyDescent="0.25"/>
    <row r="15" spans="1:27" x14ac:dyDescent="0.25">
      <c r="M15" s="2">
        <f>SUMIF(M3:M12,"&lt;0",M3:M12)</f>
        <v>0</v>
      </c>
      <c r="N15" t="s">
        <v>222</v>
      </c>
      <c r="S15" s="5"/>
    </row>
    <row r="16" spans="1:27" x14ac:dyDescent="0.25">
      <c r="M16" s="2">
        <f>SUMIF(M3:M12,"&gt;0",M3:M12)</f>
        <v>0</v>
      </c>
      <c r="N16" t="s">
        <v>223</v>
      </c>
      <c r="S16" s="135"/>
    </row>
    <row r="17" spans="13:19" x14ac:dyDescent="0.25">
      <c r="M17" s="135">
        <f>+M15+M16-M13</f>
        <v>0</v>
      </c>
      <c r="N17" t="s">
        <v>224</v>
      </c>
      <c r="S17" s="136"/>
    </row>
  </sheetData>
  <mergeCells count="4">
    <mergeCell ref="O1:P1"/>
    <mergeCell ref="H1:I1"/>
    <mergeCell ref="V1:W1"/>
    <mergeCell ref="X1:Y1"/>
  </mergeCells>
  <phoneticPr fontId="0" type="noConversion"/>
  <pageMargins left="0.75" right="0.75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4"/>
  <sheetViews>
    <sheetView workbookViewId="0">
      <pane ySplit="5" topLeftCell="A108" activePane="bottomLeft" state="frozen"/>
      <selection pane="bottomLeft" activeCell="C125" sqref="C125"/>
    </sheetView>
  </sheetViews>
  <sheetFormatPr defaultRowHeight="15.75" x14ac:dyDescent="0.25"/>
  <cols>
    <col min="1" max="1" width="10" style="1" bestFit="1" customWidth="1"/>
    <col min="2" max="2" width="9.75" style="125" bestFit="1" customWidth="1"/>
    <col min="3" max="3" width="10.25" style="125" bestFit="1" customWidth="1"/>
  </cols>
  <sheetData>
    <row r="1" spans="1:3" x14ac:dyDescent="0.25">
      <c r="A1" s="145" t="s">
        <v>156</v>
      </c>
      <c r="B1" s="123"/>
    </row>
    <row r="2" spans="1:3" x14ac:dyDescent="0.25">
      <c r="B2" s="124"/>
    </row>
    <row r="3" spans="1:3" x14ac:dyDescent="0.25">
      <c r="B3" s="124"/>
      <c r="C3" s="154" t="s">
        <v>214</v>
      </c>
    </row>
    <row r="4" spans="1:3" x14ac:dyDescent="0.25">
      <c r="A4" s="123"/>
      <c r="B4" s="153" t="s">
        <v>4</v>
      </c>
      <c r="C4" s="154" t="s">
        <v>215</v>
      </c>
    </row>
    <row r="5" spans="1:3" x14ac:dyDescent="0.25">
      <c r="A5" s="146" t="s">
        <v>1</v>
      </c>
      <c r="B5" s="153" t="s">
        <v>12</v>
      </c>
      <c r="C5" s="154" t="s">
        <v>216</v>
      </c>
    </row>
    <row r="6" spans="1:3" x14ac:dyDescent="0.25">
      <c r="A6" s="1">
        <v>36789</v>
      </c>
      <c r="B6" s="125">
        <v>82.171999999999997</v>
      </c>
    </row>
    <row r="7" spans="1:3" x14ac:dyDescent="0.25">
      <c r="A7" s="1">
        <v>36790</v>
      </c>
      <c r="B7" s="125">
        <v>80.75</v>
      </c>
    </row>
    <row r="8" spans="1:3" x14ac:dyDescent="0.25">
      <c r="A8" s="1">
        <v>36791</v>
      </c>
      <c r="B8" s="125">
        <v>83</v>
      </c>
    </row>
    <row r="9" spans="1:3" x14ac:dyDescent="0.25">
      <c r="A9" s="1">
        <v>36794</v>
      </c>
      <c r="B9" s="125">
        <v>84.438000000000002</v>
      </c>
    </row>
    <row r="10" spans="1:3" x14ac:dyDescent="0.25">
      <c r="A10" s="1">
        <v>36795</v>
      </c>
      <c r="B10" s="125">
        <v>85.5</v>
      </c>
    </row>
    <row r="11" spans="1:3" x14ac:dyDescent="0.25">
      <c r="A11" s="1">
        <v>36796</v>
      </c>
      <c r="B11" s="125">
        <v>87.453000000000003</v>
      </c>
    </row>
    <row r="12" spans="1:3" x14ac:dyDescent="0.25">
      <c r="A12" s="1">
        <v>36797</v>
      </c>
      <c r="B12" s="125">
        <v>89.25</v>
      </c>
    </row>
    <row r="13" spans="1:3" x14ac:dyDescent="0.25">
      <c r="A13" s="1">
        <v>36798</v>
      </c>
      <c r="B13" s="125">
        <v>87.641000000000005</v>
      </c>
    </row>
    <row r="14" spans="1:3" x14ac:dyDescent="0.25">
      <c r="A14" s="1">
        <v>36801</v>
      </c>
      <c r="B14" s="125">
        <v>86.438000000000002</v>
      </c>
    </row>
    <row r="15" spans="1:3" x14ac:dyDescent="0.25">
      <c r="A15" s="1">
        <v>36802</v>
      </c>
      <c r="B15" s="125">
        <v>85.563000000000002</v>
      </c>
    </row>
    <row r="16" spans="1:3" x14ac:dyDescent="0.25">
      <c r="A16" s="1">
        <v>36803</v>
      </c>
      <c r="B16" s="125">
        <v>83.063000000000002</v>
      </c>
    </row>
    <row r="17" spans="1:2" x14ac:dyDescent="0.25">
      <c r="A17" s="1">
        <v>36804</v>
      </c>
      <c r="B17" s="125">
        <v>83</v>
      </c>
    </row>
    <row r="18" spans="1:2" x14ac:dyDescent="0.25">
      <c r="A18" s="1">
        <v>36805</v>
      </c>
      <c r="B18" s="125">
        <v>81.625</v>
      </c>
    </row>
    <row r="19" spans="1:2" x14ac:dyDescent="0.25">
      <c r="A19" s="1">
        <v>36808</v>
      </c>
      <c r="B19" s="125">
        <v>83</v>
      </c>
    </row>
    <row r="20" spans="1:2" x14ac:dyDescent="0.25">
      <c r="A20" s="1">
        <v>36809</v>
      </c>
      <c r="B20" s="125">
        <v>81.688000000000002</v>
      </c>
    </row>
    <row r="21" spans="1:2" x14ac:dyDescent="0.25">
      <c r="A21" s="1">
        <v>36810</v>
      </c>
      <c r="B21" s="125">
        <v>82.813000000000002</v>
      </c>
    </row>
    <row r="22" spans="1:2" x14ac:dyDescent="0.25">
      <c r="A22" s="1">
        <v>36811</v>
      </c>
      <c r="B22" s="125">
        <v>79.875</v>
      </c>
    </row>
    <row r="23" spans="1:2" x14ac:dyDescent="0.25">
      <c r="A23" s="1">
        <v>36812</v>
      </c>
      <c r="B23" s="125">
        <v>79.5</v>
      </c>
    </row>
    <row r="24" spans="1:2" x14ac:dyDescent="0.25">
      <c r="A24" s="144">
        <v>36815</v>
      </c>
      <c r="B24" s="125">
        <v>80</v>
      </c>
    </row>
    <row r="25" spans="1:2" x14ac:dyDescent="0.25">
      <c r="A25" s="144">
        <v>36816</v>
      </c>
      <c r="B25" s="125">
        <v>79.188000000000002</v>
      </c>
    </row>
    <row r="26" spans="1:2" x14ac:dyDescent="0.25">
      <c r="A26" s="144">
        <v>36817</v>
      </c>
      <c r="B26" s="125">
        <v>78.75</v>
      </c>
    </row>
    <row r="27" spans="1:2" x14ac:dyDescent="0.25">
      <c r="A27" s="144">
        <v>36818</v>
      </c>
      <c r="B27" s="125">
        <v>79</v>
      </c>
    </row>
    <row r="28" spans="1:2" x14ac:dyDescent="0.25">
      <c r="A28" s="144">
        <v>36819</v>
      </c>
      <c r="B28" s="125">
        <v>80.5</v>
      </c>
    </row>
    <row r="29" spans="1:2" x14ac:dyDescent="0.25">
      <c r="A29" s="144">
        <v>36822</v>
      </c>
      <c r="B29" s="125">
        <v>82</v>
      </c>
    </row>
    <row r="30" spans="1:2" x14ac:dyDescent="0.25">
      <c r="A30" s="144">
        <v>36823</v>
      </c>
      <c r="B30" s="125">
        <v>80.1875</v>
      </c>
    </row>
    <row r="31" spans="1:2" x14ac:dyDescent="0.25">
      <c r="A31" s="144">
        <v>36824</v>
      </c>
      <c r="B31" s="125">
        <v>76.125</v>
      </c>
    </row>
    <row r="32" spans="1:2" x14ac:dyDescent="0.25">
      <c r="A32" s="144">
        <v>36825</v>
      </c>
      <c r="B32" s="125">
        <v>77.5</v>
      </c>
    </row>
    <row r="33" spans="1:2" x14ac:dyDescent="0.25">
      <c r="A33" s="144">
        <v>36826</v>
      </c>
      <c r="B33" s="125">
        <v>78.875</v>
      </c>
    </row>
    <row r="34" spans="1:2" x14ac:dyDescent="0.25">
      <c r="A34" s="144">
        <v>36829</v>
      </c>
      <c r="B34" s="125">
        <v>80.688000000000002</v>
      </c>
    </row>
    <row r="35" spans="1:2" x14ac:dyDescent="0.25">
      <c r="A35" s="144">
        <v>36830</v>
      </c>
      <c r="B35" s="125">
        <v>82.063000000000002</v>
      </c>
    </row>
    <row r="36" spans="1:2" x14ac:dyDescent="0.25">
      <c r="A36" s="144">
        <v>36831</v>
      </c>
      <c r="B36" s="125">
        <v>83.25</v>
      </c>
    </row>
    <row r="37" spans="1:2" x14ac:dyDescent="0.25">
      <c r="A37" s="144">
        <v>36832</v>
      </c>
      <c r="B37" s="125">
        <v>81.75</v>
      </c>
    </row>
    <row r="38" spans="1:2" x14ac:dyDescent="0.25">
      <c r="A38" s="144">
        <v>36833</v>
      </c>
      <c r="B38" s="125">
        <v>77.375</v>
      </c>
    </row>
    <row r="39" spans="1:2" x14ac:dyDescent="0.25">
      <c r="A39" s="144">
        <v>36836</v>
      </c>
      <c r="B39" s="125">
        <v>81.563000000000002</v>
      </c>
    </row>
    <row r="40" spans="1:2" x14ac:dyDescent="0.25">
      <c r="A40" s="144">
        <v>36837</v>
      </c>
      <c r="B40" s="125">
        <v>81.813000000000002</v>
      </c>
    </row>
    <row r="41" spans="1:2" x14ac:dyDescent="0.25">
      <c r="A41" s="144">
        <v>36838</v>
      </c>
      <c r="B41" s="125">
        <v>82.125</v>
      </c>
    </row>
    <row r="42" spans="1:2" x14ac:dyDescent="0.25">
      <c r="A42" s="144">
        <v>36839</v>
      </c>
      <c r="B42" s="125">
        <v>82.938000000000002</v>
      </c>
    </row>
    <row r="43" spans="1:2" x14ac:dyDescent="0.25">
      <c r="A43" s="144">
        <v>36840</v>
      </c>
      <c r="B43" s="125">
        <f>82+0.9375</f>
        <v>82.9375</v>
      </c>
    </row>
    <row r="44" spans="1:2" x14ac:dyDescent="0.25">
      <c r="A44" s="144">
        <v>36843</v>
      </c>
      <c r="B44" s="125">
        <v>79.438000000000002</v>
      </c>
    </row>
    <row r="45" spans="1:2" x14ac:dyDescent="0.25">
      <c r="A45" s="144">
        <v>36844</v>
      </c>
      <c r="B45" s="125">
        <v>79.563000000000002</v>
      </c>
    </row>
    <row r="46" spans="1:2" x14ac:dyDescent="0.25">
      <c r="A46" s="144">
        <v>36845</v>
      </c>
      <c r="B46" s="125">
        <v>80.375</v>
      </c>
    </row>
    <row r="47" spans="1:2" x14ac:dyDescent="0.25">
      <c r="A47" s="144">
        <v>36846</v>
      </c>
      <c r="B47" s="125">
        <v>81.25</v>
      </c>
    </row>
    <row r="48" spans="1:2" x14ac:dyDescent="0.25">
      <c r="A48" s="144">
        <v>36847</v>
      </c>
      <c r="B48" s="125">
        <v>81.5</v>
      </c>
    </row>
    <row r="49" spans="1:2" x14ac:dyDescent="0.25">
      <c r="A49" s="144">
        <v>36850</v>
      </c>
      <c r="B49" s="125">
        <v>80.25</v>
      </c>
    </row>
    <row r="50" spans="1:2" x14ac:dyDescent="0.25">
      <c r="A50" s="144">
        <v>36851</v>
      </c>
      <c r="B50" s="125">
        <v>80.375</v>
      </c>
    </row>
    <row r="51" spans="1:2" x14ac:dyDescent="0.25">
      <c r="A51" s="144">
        <v>36852</v>
      </c>
      <c r="B51" s="125">
        <v>75.563000000000002</v>
      </c>
    </row>
    <row r="52" spans="1:2" x14ac:dyDescent="0.25">
      <c r="A52" s="144">
        <v>36854</v>
      </c>
      <c r="B52" s="125">
        <v>77.75</v>
      </c>
    </row>
    <row r="53" spans="1:2" x14ac:dyDescent="0.25">
      <c r="A53" s="144">
        <v>36857</v>
      </c>
      <c r="B53" s="125">
        <v>78.875</v>
      </c>
    </row>
    <row r="54" spans="1:2" x14ac:dyDescent="0.25">
      <c r="A54" s="144">
        <v>36858</v>
      </c>
      <c r="B54" s="125">
        <v>78.438000000000002</v>
      </c>
    </row>
    <row r="55" spans="1:2" x14ac:dyDescent="0.25">
      <c r="A55" s="144">
        <v>36859</v>
      </c>
      <c r="B55" s="125">
        <v>70.25</v>
      </c>
    </row>
    <row r="56" spans="1:2" x14ac:dyDescent="0.25">
      <c r="A56" s="144">
        <v>36860</v>
      </c>
      <c r="B56" s="125">
        <v>64.75</v>
      </c>
    </row>
    <row r="57" spans="1:2" x14ac:dyDescent="0.25">
      <c r="A57" s="144">
        <v>36861</v>
      </c>
      <c r="B57" s="125">
        <v>65.5</v>
      </c>
    </row>
    <row r="58" spans="1:2" x14ac:dyDescent="0.25">
      <c r="A58" s="144">
        <v>36864</v>
      </c>
      <c r="B58" s="125">
        <v>65.938000000000002</v>
      </c>
    </row>
    <row r="59" spans="1:2" x14ac:dyDescent="0.25">
      <c r="A59" s="144">
        <v>36865</v>
      </c>
      <c r="B59" s="125">
        <v>68.25</v>
      </c>
    </row>
    <row r="60" spans="1:2" x14ac:dyDescent="0.25">
      <c r="A60" s="144">
        <v>36866</v>
      </c>
      <c r="B60" s="125">
        <v>71.938000000000002</v>
      </c>
    </row>
    <row r="61" spans="1:2" x14ac:dyDescent="0.25">
      <c r="A61" s="144">
        <v>36867</v>
      </c>
      <c r="B61" s="125">
        <v>72.875</v>
      </c>
    </row>
    <row r="62" spans="1:2" x14ac:dyDescent="0.25">
      <c r="A62" s="144">
        <v>36868</v>
      </c>
      <c r="B62" s="125">
        <v>73.063000000000002</v>
      </c>
    </row>
    <row r="63" spans="1:2" x14ac:dyDescent="0.25">
      <c r="A63" s="144">
        <v>36871</v>
      </c>
      <c r="B63" s="125">
        <v>76.5</v>
      </c>
    </row>
    <row r="64" spans="1:2" x14ac:dyDescent="0.25">
      <c r="A64" s="144">
        <v>36872</v>
      </c>
      <c r="B64" s="125">
        <v>77.188000000000002</v>
      </c>
    </row>
    <row r="65" spans="1:3" x14ac:dyDescent="0.25">
      <c r="A65" s="144">
        <v>36873</v>
      </c>
      <c r="B65" s="125">
        <v>74.5</v>
      </c>
    </row>
    <row r="66" spans="1:3" x14ac:dyDescent="0.25">
      <c r="A66" s="144">
        <v>36874</v>
      </c>
      <c r="B66" s="125">
        <v>76.5</v>
      </c>
    </row>
    <row r="67" spans="1:3" x14ac:dyDescent="0.25">
      <c r="A67" s="144">
        <v>36875</v>
      </c>
      <c r="B67" s="125">
        <v>77.563000000000002</v>
      </c>
    </row>
    <row r="68" spans="1:3" x14ac:dyDescent="0.25">
      <c r="A68" s="144">
        <v>36878</v>
      </c>
      <c r="B68" s="125">
        <v>79.563000000000002</v>
      </c>
    </row>
    <row r="69" spans="1:3" x14ac:dyDescent="0.25">
      <c r="A69" s="144">
        <v>36879</v>
      </c>
      <c r="B69" s="125">
        <v>79.75</v>
      </c>
    </row>
    <row r="70" spans="1:3" x14ac:dyDescent="0.25">
      <c r="A70" s="144">
        <v>36880</v>
      </c>
      <c r="B70" s="125">
        <v>79.75</v>
      </c>
    </row>
    <row r="71" spans="1:3" x14ac:dyDescent="0.25">
      <c r="A71" s="144">
        <v>36881</v>
      </c>
      <c r="B71" s="125">
        <v>79.313000000000002</v>
      </c>
    </row>
    <row r="72" spans="1:3" x14ac:dyDescent="0.25">
      <c r="A72" s="144">
        <v>36882</v>
      </c>
      <c r="B72" s="125">
        <v>81.188000000000002</v>
      </c>
    </row>
    <row r="73" spans="1:3" x14ac:dyDescent="0.25">
      <c r="A73" s="144">
        <v>36886</v>
      </c>
      <c r="B73" s="125">
        <v>83.5</v>
      </c>
    </row>
    <row r="74" spans="1:3" x14ac:dyDescent="0.25">
      <c r="A74" s="144">
        <v>36887</v>
      </c>
      <c r="B74" s="125">
        <v>82.813000000000002</v>
      </c>
    </row>
    <row r="75" spans="1:3" x14ac:dyDescent="0.25">
      <c r="A75" s="144">
        <v>36888</v>
      </c>
      <c r="B75" s="125">
        <v>84.625</v>
      </c>
      <c r="C75" s="125">
        <v>44.875</v>
      </c>
    </row>
    <row r="76" spans="1:3" x14ac:dyDescent="0.25">
      <c r="A76" s="144">
        <v>36889</v>
      </c>
      <c r="B76" s="125">
        <v>83.125</v>
      </c>
      <c r="C76" s="125">
        <v>44.5625</v>
      </c>
    </row>
    <row r="77" spans="1:3" x14ac:dyDescent="0.25">
      <c r="A77" s="144">
        <v>36893</v>
      </c>
      <c r="B77" s="125">
        <v>79.875</v>
      </c>
      <c r="C77" s="125">
        <v>41.75</v>
      </c>
    </row>
    <row r="78" spans="1:3" x14ac:dyDescent="0.25">
      <c r="A78" s="144">
        <v>36894</v>
      </c>
      <c r="B78" s="125">
        <v>75.063000000000002</v>
      </c>
      <c r="C78" s="125">
        <v>39.75</v>
      </c>
    </row>
    <row r="79" spans="1:3" x14ac:dyDescent="0.25">
      <c r="A79" s="144">
        <v>36895</v>
      </c>
      <c r="B79" s="125">
        <v>72</v>
      </c>
      <c r="C79" s="125">
        <v>37.75</v>
      </c>
    </row>
    <row r="80" spans="1:3" x14ac:dyDescent="0.25">
      <c r="A80" s="144">
        <v>36896</v>
      </c>
      <c r="B80" s="125">
        <v>71.375</v>
      </c>
      <c r="C80" s="125">
        <v>37.813000000000002</v>
      </c>
    </row>
    <row r="81" spans="1:3" x14ac:dyDescent="0.25">
      <c r="A81" s="144">
        <v>36899</v>
      </c>
      <c r="B81" s="125">
        <v>71.25</v>
      </c>
      <c r="C81" s="125">
        <v>38.188000000000002</v>
      </c>
    </row>
    <row r="82" spans="1:3" x14ac:dyDescent="0.25">
      <c r="A82" s="144">
        <v>36900</v>
      </c>
      <c r="B82" s="125">
        <v>68.625</v>
      </c>
      <c r="C82" s="125">
        <v>38</v>
      </c>
    </row>
    <row r="83" spans="1:3" x14ac:dyDescent="0.25">
      <c r="A83" s="144">
        <v>36901</v>
      </c>
      <c r="B83" s="125">
        <v>68.938000000000002</v>
      </c>
      <c r="C83" s="125">
        <v>38.375</v>
      </c>
    </row>
    <row r="84" spans="1:3" x14ac:dyDescent="0.25">
      <c r="A84" s="144">
        <v>36902</v>
      </c>
      <c r="B84" s="125">
        <v>69.438000000000002</v>
      </c>
      <c r="C84" s="125">
        <v>38.313000000000002</v>
      </c>
    </row>
    <row r="85" spans="1:3" x14ac:dyDescent="0.25">
      <c r="A85" s="144">
        <v>36903</v>
      </c>
      <c r="B85" s="125">
        <v>70.438000000000002</v>
      </c>
      <c r="C85" s="125">
        <v>36.688000000000002</v>
      </c>
    </row>
    <row r="86" spans="1:3" x14ac:dyDescent="0.25">
      <c r="A86" s="144">
        <v>36907</v>
      </c>
      <c r="B86" s="125">
        <v>68.438000000000002</v>
      </c>
      <c r="C86" s="125">
        <v>35.9375</v>
      </c>
    </row>
    <row r="87" spans="1:3" x14ac:dyDescent="0.25">
      <c r="A87" s="144">
        <v>36908</v>
      </c>
      <c r="B87" s="125">
        <v>71.125</v>
      </c>
      <c r="C87" s="125">
        <v>34.875</v>
      </c>
    </row>
    <row r="88" spans="1:3" x14ac:dyDescent="0.25">
      <c r="A88" s="144">
        <v>36909</v>
      </c>
      <c r="B88" s="125">
        <v>72.063000000000002</v>
      </c>
      <c r="C88" s="125">
        <v>33.8125</v>
      </c>
    </row>
    <row r="89" spans="1:3" x14ac:dyDescent="0.25">
      <c r="A89" s="144">
        <v>36913</v>
      </c>
      <c r="B89" s="125">
        <v>75.0625</v>
      </c>
      <c r="C89" s="125">
        <v>34.0625</v>
      </c>
    </row>
    <row r="90" spans="1:3" x14ac:dyDescent="0.25">
      <c r="A90" s="144">
        <v>36914</v>
      </c>
      <c r="B90" s="125">
        <v>78.563000000000002</v>
      </c>
      <c r="C90" s="125">
        <v>35.625</v>
      </c>
    </row>
    <row r="91" spans="1:3" x14ac:dyDescent="0.25">
      <c r="A91" s="144">
        <v>36915</v>
      </c>
      <c r="B91" s="125">
        <v>79.75</v>
      </c>
      <c r="C91" s="125">
        <v>35.75</v>
      </c>
    </row>
    <row r="92" spans="1:3" x14ac:dyDescent="0.25">
      <c r="A92" s="144">
        <v>36916</v>
      </c>
      <c r="B92" s="125">
        <v>82</v>
      </c>
      <c r="C92" s="125">
        <v>36.375</v>
      </c>
    </row>
    <row r="93" spans="1:3" x14ac:dyDescent="0.25">
      <c r="A93" s="144">
        <v>36917</v>
      </c>
      <c r="B93" s="125">
        <v>82</v>
      </c>
      <c r="C93" s="125">
        <v>37.1875</v>
      </c>
    </row>
    <row r="94" spans="1:3" x14ac:dyDescent="0.25">
      <c r="A94" s="144">
        <v>36920</v>
      </c>
      <c r="B94" s="125">
        <f>80.77</f>
        <v>80.77</v>
      </c>
      <c r="C94" s="125">
        <v>37.49</v>
      </c>
    </row>
    <row r="95" spans="1:3" x14ac:dyDescent="0.25">
      <c r="A95" s="144">
        <v>36921</v>
      </c>
      <c r="B95" s="125">
        <v>78.5</v>
      </c>
      <c r="C95" s="125">
        <v>37.69</v>
      </c>
    </row>
    <row r="96" spans="1:3" x14ac:dyDescent="0.25">
      <c r="A96" s="144">
        <v>36922</v>
      </c>
      <c r="B96" s="125">
        <v>80</v>
      </c>
      <c r="C96" s="125">
        <v>38.369999999999997</v>
      </c>
    </row>
    <row r="97" spans="1:3" x14ac:dyDescent="0.25">
      <c r="A97" s="144">
        <v>36923</v>
      </c>
      <c r="B97" s="125">
        <v>78.790000000000006</v>
      </c>
      <c r="C97" s="125">
        <v>38.25</v>
      </c>
    </row>
    <row r="98" spans="1:3" x14ac:dyDescent="0.25">
      <c r="A98" s="144">
        <v>36924</v>
      </c>
      <c r="B98" s="125">
        <v>79.98</v>
      </c>
      <c r="C98" s="125">
        <v>38.74</v>
      </c>
    </row>
    <row r="99" spans="1:3" x14ac:dyDescent="0.25">
      <c r="A99" s="144">
        <v>36927</v>
      </c>
      <c r="B99" s="125">
        <v>81.81</v>
      </c>
      <c r="C99" s="125">
        <v>36.86</v>
      </c>
    </row>
    <row r="100" spans="1:3" x14ac:dyDescent="0.25">
      <c r="A100" s="144">
        <v>36928</v>
      </c>
      <c r="B100" s="125">
        <v>80.150000000000006</v>
      </c>
      <c r="C100" s="125">
        <v>37.950000000000003</v>
      </c>
    </row>
    <row r="101" spans="1:3" x14ac:dyDescent="0.25">
      <c r="A101" s="144">
        <v>36929</v>
      </c>
      <c r="B101" s="125">
        <v>80.349999999999994</v>
      </c>
      <c r="C101" s="125">
        <v>38</v>
      </c>
    </row>
    <row r="102" spans="1:3" x14ac:dyDescent="0.25">
      <c r="A102" s="144">
        <v>36930</v>
      </c>
      <c r="B102" s="125">
        <v>80</v>
      </c>
      <c r="C102" s="125">
        <v>37.74</v>
      </c>
    </row>
    <row r="103" spans="1:3" x14ac:dyDescent="0.25">
      <c r="A103" s="144">
        <v>36931</v>
      </c>
      <c r="B103" s="125">
        <v>80.2</v>
      </c>
      <c r="C103" s="125">
        <v>38.450000000000003</v>
      </c>
    </row>
    <row r="104" spans="1:3" x14ac:dyDescent="0.25">
      <c r="A104" s="144">
        <v>36934</v>
      </c>
      <c r="B104" s="125">
        <v>79.8</v>
      </c>
      <c r="C104" s="125">
        <v>38.46</v>
      </c>
    </row>
    <row r="105" spans="1:3" x14ac:dyDescent="0.25">
      <c r="A105" s="144">
        <v>36935</v>
      </c>
      <c r="B105" s="125">
        <v>81.150000000000006</v>
      </c>
      <c r="C105" s="125">
        <v>38.9</v>
      </c>
    </row>
    <row r="106" spans="1:3" x14ac:dyDescent="0.25">
      <c r="A106" s="144">
        <v>36936</v>
      </c>
      <c r="B106" s="125">
        <v>80</v>
      </c>
      <c r="C106" s="125">
        <v>39.49</v>
      </c>
    </row>
    <row r="107" spans="1:3" x14ac:dyDescent="0.25">
      <c r="A107" s="144">
        <v>36937</v>
      </c>
      <c r="B107" s="125">
        <v>77.900000000000006</v>
      </c>
      <c r="C107" s="125">
        <v>39.57</v>
      </c>
    </row>
    <row r="108" spans="1:3" x14ac:dyDescent="0.25">
      <c r="A108" s="144">
        <v>36938</v>
      </c>
      <c r="B108" s="125">
        <v>76.19</v>
      </c>
      <c r="C108" s="125">
        <v>38.92</v>
      </c>
    </row>
    <row r="109" spans="1:3" x14ac:dyDescent="0.25">
      <c r="A109" s="144">
        <v>36942</v>
      </c>
      <c r="B109" s="125">
        <v>75.09</v>
      </c>
      <c r="C109" s="125">
        <v>38.43</v>
      </c>
    </row>
    <row r="110" spans="1:3" x14ac:dyDescent="0.25">
      <c r="A110" s="144">
        <v>36943</v>
      </c>
      <c r="B110" s="125">
        <v>73.09</v>
      </c>
      <c r="C110" s="125">
        <v>38.200000000000003</v>
      </c>
    </row>
    <row r="111" spans="1:3" x14ac:dyDescent="0.25">
      <c r="A111" s="144">
        <v>36944</v>
      </c>
      <c r="B111" s="125">
        <v>72.150000000000006</v>
      </c>
      <c r="C111" s="125">
        <v>37.21</v>
      </c>
    </row>
    <row r="112" spans="1:3" x14ac:dyDescent="0.25">
      <c r="A112" s="144">
        <v>36945</v>
      </c>
      <c r="B112" s="125">
        <v>71</v>
      </c>
      <c r="C112" s="125">
        <v>36.97</v>
      </c>
    </row>
    <row r="113" spans="1:3" x14ac:dyDescent="0.25">
      <c r="A113" s="144">
        <v>36948</v>
      </c>
      <c r="B113" s="125">
        <v>70.56</v>
      </c>
      <c r="C113" s="125">
        <v>37.69</v>
      </c>
    </row>
    <row r="114" spans="1:3" x14ac:dyDescent="0.25">
      <c r="A114" s="144">
        <v>36949</v>
      </c>
      <c r="B114" s="125">
        <v>70.040000000000006</v>
      </c>
      <c r="C114" s="125">
        <v>37.729999999999997</v>
      </c>
    </row>
    <row r="115" spans="1:3" x14ac:dyDescent="0.25">
      <c r="A115" s="144">
        <v>36950</v>
      </c>
      <c r="B115" s="125">
        <v>68.5</v>
      </c>
      <c r="C115" s="125">
        <v>37.5</v>
      </c>
    </row>
    <row r="116" spans="1:3" x14ac:dyDescent="0.25">
      <c r="A116" s="144">
        <v>36951</v>
      </c>
      <c r="B116" s="125">
        <v>68.680000000000007</v>
      </c>
      <c r="C116" s="125">
        <v>37.42</v>
      </c>
    </row>
    <row r="117" spans="1:3" x14ac:dyDescent="0.25">
      <c r="A117" s="144">
        <v>36952</v>
      </c>
      <c r="B117" s="125">
        <v>70.19</v>
      </c>
      <c r="C117" s="125">
        <v>38.520000000000003</v>
      </c>
    </row>
    <row r="118" spans="1:3" x14ac:dyDescent="0.25">
      <c r="A118" s="144">
        <v>36955</v>
      </c>
      <c r="B118" s="125">
        <v>70.11</v>
      </c>
      <c r="C118" s="125">
        <v>38.65</v>
      </c>
    </row>
    <row r="119" spans="1:3" x14ac:dyDescent="0.25">
      <c r="A119" s="144">
        <v>36956</v>
      </c>
      <c r="B119" s="125">
        <v>68.87</v>
      </c>
      <c r="C119" s="125">
        <v>38.340000000000003</v>
      </c>
    </row>
    <row r="120" spans="1:3" x14ac:dyDescent="0.25">
      <c r="A120" s="144">
        <v>36957</v>
      </c>
      <c r="B120" s="125">
        <v>70</v>
      </c>
      <c r="C120" s="125">
        <v>40.5</v>
      </c>
    </row>
    <row r="121" spans="1:3" x14ac:dyDescent="0.25">
      <c r="A121" s="144">
        <v>36958</v>
      </c>
      <c r="B121" s="125">
        <v>70.59</v>
      </c>
      <c r="C121" s="125">
        <v>40.5</v>
      </c>
    </row>
    <row r="122" spans="1:3" x14ac:dyDescent="0.25">
      <c r="A122" s="144">
        <v>36959</v>
      </c>
      <c r="B122" s="125">
        <f>68.84</f>
        <v>68.84</v>
      </c>
      <c r="C122" s="125">
        <v>40</v>
      </c>
    </row>
    <row r="123" spans="1:3" x14ac:dyDescent="0.25">
      <c r="A123" s="144">
        <v>36962</v>
      </c>
      <c r="B123" s="125">
        <v>61.27</v>
      </c>
      <c r="C123" s="125">
        <v>38.97</v>
      </c>
    </row>
    <row r="224" ht="14.25" customHeight="1" x14ac:dyDescent="0.25"/>
    <row r="341" spans="1:3" x14ac:dyDescent="0.25">
      <c r="A341" s="1" t="s">
        <v>162</v>
      </c>
    </row>
    <row r="343" spans="1:3" x14ac:dyDescent="0.25">
      <c r="A343" s="144">
        <f>+'MPR Raptor'!U3</f>
        <v>36962</v>
      </c>
      <c r="C343" s="125">
        <f>INDEX(MPRR, MATCH("Hanover Compressor Common Raptor II",'MPR Raptor'!$E$3:$E$140,), MATCH("Per Share",'MPR Raptor'!$E$3:$CM$3,))</f>
        <v>38.97</v>
      </c>
    </row>
    <row r="344" spans="1:3" x14ac:dyDescent="0.25">
      <c r="B344"/>
    </row>
    <row r="345" spans="1:3" x14ac:dyDescent="0.25">
      <c r="B345"/>
    </row>
    <row r="346" spans="1:3" x14ac:dyDescent="0.25">
      <c r="B346"/>
    </row>
    <row r="347" spans="1:3" x14ac:dyDescent="0.25">
      <c r="B347"/>
    </row>
    <row r="348" spans="1:3" x14ac:dyDescent="0.25">
      <c r="B348"/>
    </row>
    <row r="349" spans="1:3" x14ac:dyDescent="0.25">
      <c r="B349"/>
    </row>
    <row r="350" spans="1:3" x14ac:dyDescent="0.25">
      <c r="B350"/>
    </row>
    <row r="351" spans="1:3" x14ac:dyDescent="0.25">
      <c r="B351"/>
    </row>
    <row r="352" spans="1:3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F13" workbookViewId="0">
      <selection activeCell="M16" sqref="M16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84</v>
      </c>
    </row>
    <row r="2" spans="1:18" x14ac:dyDescent="0.25">
      <c r="A2" s="7" t="s">
        <v>199</v>
      </c>
      <c r="H2" s="274">
        <f>+Summary!C5</f>
        <v>36962</v>
      </c>
      <c r="I2" s="274"/>
      <c r="J2" s="96"/>
      <c r="L2" s="274">
        <f>H2</f>
        <v>36962</v>
      </c>
      <c r="M2" s="274"/>
      <c r="N2" s="274"/>
      <c r="O2" s="274"/>
      <c r="P2" s="274"/>
    </row>
    <row r="3" spans="1:18" ht="16.5" thickBot="1" x14ac:dyDescent="0.3">
      <c r="A3" s="1">
        <v>36706</v>
      </c>
      <c r="H3" s="275" t="s">
        <v>97</v>
      </c>
      <c r="I3" s="275"/>
      <c r="J3" s="97"/>
      <c r="L3" s="275" t="s">
        <v>97</v>
      </c>
      <c r="M3" s="275"/>
      <c r="N3" s="275"/>
      <c r="O3" s="275"/>
      <c r="P3" s="275"/>
    </row>
    <row r="4" spans="1:18" x14ac:dyDescent="0.25">
      <c r="A4" s="276" t="s">
        <v>200</v>
      </c>
      <c r="B4" s="276"/>
      <c r="C4" s="276"/>
      <c r="D4" s="276"/>
      <c r="E4" s="276"/>
      <c r="F4" s="276"/>
      <c r="H4" s="117" t="s">
        <v>98</v>
      </c>
      <c r="I4" s="118"/>
      <c r="J4" s="13"/>
    </row>
    <row r="5" spans="1:18" ht="16.5" thickBot="1" x14ac:dyDescent="0.3">
      <c r="A5" s="280" t="s">
        <v>30</v>
      </c>
      <c r="B5" s="280"/>
      <c r="D5" s="280" t="s">
        <v>31</v>
      </c>
      <c r="E5" s="280"/>
      <c r="H5" s="119" t="s">
        <v>99</v>
      </c>
      <c r="I5" s="126">
        <f>+VLOOKUP(+Summary!C5,ene,2)</f>
        <v>61.27</v>
      </c>
      <c r="J5" s="13"/>
      <c r="L5" s="276" t="s">
        <v>119</v>
      </c>
      <c r="M5" s="276"/>
      <c r="N5" s="276"/>
      <c r="O5" s="276"/>
      <c r="P5" s="276"/>
      <c r="Q5" s="97"/>
    </row>
    <row r="6" spans="1:18" x14ac:dyDescent="0.25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+'Cash-Int-Trans'!F44</f>
        <v>7.2925000000000004E-2</v>
      </c>
      <c r="J6" s="13"/>
      <c r="L6" s="93" t="s">
        <v>142</v>
      </c>
      <c r="M6" s="98">
        <f>H2</f>
        <v>36962</v>
      </c>
      <c r="N6" s="99"/>
      <c r="O6" s="99"/>
      <c r="P6" s="99"/>
      <c r="Q6" s="100"/>
    </row>
    <row r="7" spans="1:18" ht="16.5" thickBot="1" x14ac:dyDescent="0.3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277" t="s">
        <v>157</v>
      </c>
      <c r="I7" s="278"/>
      <c r="J7" s="13"/>
      <c r="L7" s="280" t="s">
        <v>30</v>
      </c>
      <c r="M7" s="280"/>
      <c r="O7" s="280" t="s">
        <v>31</v>
      </c>
      <c r="P7" s="280"/>
    </row>
    <row r="8" spans="1:18" x14ac:dyDescent="0.25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35344294.469037414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25">
      <c r="D10" s="7" t="s">
        <v>4</v>
      </c>
      <c r="E10" s="7">
        <v>1000</v>
      </c>
      <c r="H10" s="281" t="s">
        <v>101</v>
      </c>
      <c r="I10" s="281"/>
      <c r="J10" s="13"/>
      <c r="L10" s="7" t="s">
        <v>38</v>
      </c>
      <c r="M10" s="7">
        <f>B8+I15+I20</f>
        <v>327850524.63551033</v>
      </c>
      <c r="N10" s="18"/>
      <c r="O10" s="7" t="s">
        <v>117</v>
      </c>
      <c r="P10" s="7">
        <f>IF(I21&gt;0,0,-I21)</f>
        <v>31353022.660000004</v>
      </c>
    </row>
    <row r="11" spans="1:18" ht="16.5" thickBot="1" x14ac:dyDescent="0.3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36962</v>
      </c>
      <c r="J11" s="13"/>
      <c r="L11" s="7" t="s">
        <v>42</v>
      </c>
      <c r="M11" s="7">
        <f>+Amort!B28</f>
        <v>709722.22222222225</v>
      </c>
      <c r="O11" s="7" t="s">
        <v>209</v>
      </c>
      <c r="P11" s="7">
        <f>IF(I19&lt;0,-I19,0)</f>
        <v>0</v>
      </c>
      <c r="R11" s="3"/>
    </row>
    <row r="12" spans="1:18" ht="16.5" thickTop="1" x14ac:dyDescent="0.25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427070626.20462036</v>
      </c>
    </row>
    <row r="13" spans="1:18" x14ac:dyDescent="0.25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2464127.8023707885</v>
      </c>
      <c r="J13" s="29"/>
      <c r="L13" s="7" t="s">
        <v>208</v>
      </c>
      <c r="M13" s="7">
        <f>IF(I19&gt;0,I19,0)</f>
        <v>137491352.94999999</v>
      </c>
      <c r="O13" s="7" t="s">
        <v>40</v>
      </c>
      <c r="P13" s="7">
        <f>IF(+I24+I36+'Cash-Int-Trans'!D77-'Cash-Int-Trans'!D76&gt;'Cash-Int-Trans'!D77,'Cash-Int-Trans'!D77,IF(+I24+I36+'Cash-Int-Trans'!D77&lt;0,0,+I24+I36+'Cash-Int-Trans'!D77-'Cash-Int-Trans'!D76))</f>
        <v>31161841.09589041</v>
      </c>
      <c r="Q13" s="107" t="s">
        <v>151</v>
      </c>
    </row>
    <row r="14" spans="1:18" x14ac:dyDescent="0.25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190</v>
      </c>
      <c r="I14" s="16">
        <f>+Amort!B29</f>
        <v>2488888.888888889</v>
      </c>
      <c r="J14" s="13"/>
      <c r="L14" s="7" t="s">
        <v>122</v>
      </c>
      <c r="M14" s="7">
        <f>IF(I21&gt;0,I21,0)</f>
        <v>0</v>
      </c>
      <c r="O14" s="7" t="s">
        <v>4</v>
      </c>
      <c r="P14" s="7">
        <f>M15-SUM(P8:P13)</f>
        <v>61810404.316259086</v>
      </c>
    </row>
    <row r="15" spans="1:18" ht="16.5" thickBot="1" x14ac:dyDescent="0.3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189</v>
      </c>
      <c r="I15" s="16">
        <f>-B17*A35/(3*365)</f>
        <v>43700734.246575341</v>
      </c>
      <c r="J15" s="33" t="s">
        <v>56</v>
      </c>
      <c r="L15" s="91" t="s">
        <v>7</v>
      </c>
      <c r="M15" s="12">
        <f>SUM(M8:M14)</f>
        <v>551395894.27676988</v>
      </c>
      <c r="N15" s="20"/>
      <c r="O15" s="91" t="s">
        <v>7</v>
      </c>
      <c r="P15" s="12">
        <f>SUM(P8:P14)</f>
        <v>551395894.27676988</v>
      </c>
      <c r="Q15" s="106" t="s">
        <v>150</v>
      </c>
    </row>
    <row r="16" spans="1:18" ht="16.5" thickTop="1" x14ac:dyDescent="0.25">
      <c r="A16" s="7" t="s">
        <v>50</v>
      </c>
      <c r="B16" s="7">
        <f>SUM(B14:B15)</f>
        <v>536923062.5</v>
      </c>
      <c r="H16" s="13" t="s">
        <v>181</v>
      </c>
      <c r="I16" s="40">
        <f>-'Cash-Int-Trans'!B60</f>
        <v>-20337037.204620373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62583124.733214632</v>
      </c>
      <c r="Q17" s="16"/>
    </row>
    <row r="18" spans="1:20" ht="16.5" thickBot="1" x14ac:dyDescent="0.3">
      <c r="A18" s="7" t="s">
        <v>55</v>
      </c>
      <c r="B18" s="12">
        <f>B16+B17</f>
        <v>350000000</v>
      </c>
      <c r="C18" s="18" t="s">
        <v>39</v>
      </c>
      <c r="I18" s="7"/>
      <c r="L18" s="139" t="s">
        <v>47</v>
      </c>
      <c r="M18" s="138"/>
      <c r="N18" s="138"/>
      <c r="O18" s="138"/>
      <c r="P18" s="138"/>
      <c r="Q18" s="106"/>
    </row>
    <row r="19" spans="1:20" ht="16.5" thickTop="1" x14ac:dyDescent="0.25">
      <c r="H19" s="7" t="s">
        <v>205</v>
      </c>
      <c r="I19" s="7">
        <f>IF(I5&lt;78.875,(78.875-I5)*(D14+D15),IF(I5&gt;111.8633,(111.8633-I5)*(+D14+D15),0))</f>
        <v>137491352.94999999</v>
      </c>
      <c r="L19" s="140" t="s">
        <v>217</v>
      </c>
      <c r="M19" s="7">
        <f>+E9+I34</f>
        <v>31100000</v>
      </c>
      <c r="N19" s="7" t="s">
        <v>218</v>
      </c>
      <c r="P19" s="7">
        <f>+M19/0.0302</f>
        <v>1029801324.5033113</v>
      </c>
      <c r="T19" s="141"/>
    </row>
    <row r="20" spans="1:20" ht="16.5" thickBot="1" x14ac:dyDescent="0.3">
      <c r="A20" s="282" t="s">
        <v>59</v>
      </c>
      <c r="B20" s="282"/>
      <c r="C20" s="282"/>
      <c r="D20" s="282"/>
      <c r="E20" s="282"/>
      <c r="H20" s="7" t="s">
        <v>507</v>
      </c>
      <c r="I20" s="14">
        <f>-Shares!D30</f>
        <v>-65850209.61106503</v>
      </c>
      <c r="M20" s="92"/>
      <c r="N20" s="103" t="s">
        <v>219</v>
      </c>
      <c r="O20" s="92"/>
      <c r="P20" s="27">
        <f>-B11</f>
        <v>-471001000</v>
      </c>
    </row>
    <row r="21" spans="1:20" x14ac:dyDescent="0.25">
      <c r="A21" s="279" t="s">
        <v>49</v>
      </c>
      <c r="B21" s="279"/>
      <c r="E21" s="7">
        <f>B11</f>
        <v>471001000</v>
      </c>
      <c r="F21" s="34" t="s">
        <v>43</v>
      </c>
      <c r="H21" s="7" t="s">
        <v>115</v>
      </c>
      <c r="I21" s="7">
        <f>+'Daily Position'!L13</f>
        <v>-31353022.660000004</v>
      </c>
      <c r="J21" s="13"/>
      <c r="M21" s="92"/>
      <c r="N21" s="103" t="s">
        <v>220</v>
      </c>
      <c r="O21" s="92"/>
      <c r="P21" s="13">
        <f>+P19+P20</f>
        <v>558800324.50331128</v>
      </c>
    </row>
    <row r="22" spans="1:20" x14ac:dyDescent="0.25">
      <c r="A22" s="7" t="s">
        <v>61</v>
      </c>
      <c r="B22" s="7" t="s">
        <v>14</v>
      </c>
      <c r="D22" s="7">
        <v>7427536</v>
      </c>
      <c r="H22" s="7" t="s">
        <v>116</v>
      </c>
      <c r="I22" s="27">
        <f>+'Daily Position'!M13</f>
        <v>0</v>
      </c>
      <c r="K22" s="7"/>
      <c r="N22" s="7" t="s">
        <v>221</v>
      </c>
      <c r="P22" s="7">
        <f>-'Daily Position'!I13</f>
        <v>-513095720</v>
      </c>
    </row>
    <row r="23" spans="1:20" x14ac:dyDescent="0.25">
      <c r="A23" s="7" t="s">
        <v>64</v>
      </c>
      <c r="B23" s="7" t="s">
        <v>65</v>
      </c>
      <c r="D23" s="26">
        <v>57.5</v>
      </c>
      <c r="E23" s="27">
        <f>D22*D23</f>
        <v>427083320</v>
      </c>
      <c r="H23"/>
      <c r="I23" s="36">
        <f>SUM(I19:I22)</f>
        <v>40288120.678934954</v>
      </c>
      <c r="J23" s="13"/>
      <c r="K23" s="7"/>
      <c r="N23" s="7" t="s">
        <v>222</v>
      </c>
      <c r="P23" s="156">
        <f>+'Daily Position'!M15</f>
        <v>0</v>
      </c>
    </row>
    <row r="24" spans="1:20" ht="16.5" thickBot="1" x14ac:dyDescent="0.3">
      <c r="A24" s="7" t="s">
        <v>67</v>
      </c>
      <c r="E24" s="7">
        <f>SUM(E21:E23)</f>
        <v>898084320</v>
      </c>
      <c r="H24" s="37" t="s">
        <v>62</v>
      </c>
      <c r="I24" s="101">
        <f>I23+I17</f>
        <v>102871245.41214958</v>
      </c>
      <c r="J24" s="39" t="s">
        <v>63</v>
      </c>
      <c r="P24" s="13"/>
      <c r="Q24" s="107"/>
    </row>
    <row r="25" spans="1:20" ht="16.5" thickTop="1" x14ac:dyDescent="0.25">
      <c r="A25" s="7" t="s">
        <v>68</v>
      </c>
      <c r="E25" s="27">
        <f>E6</f>
        <v>41000000</v>
      </c>
      <c r="F25" s="15" t="s">
        <v>34</v>
      </c>
      <c r="H25" s="13"/>
      <c r="I25" s="16"/>
      <c r="J25" s="13"/>
      <c r="N25" s="7" t="s">
        <v>225</v>
      </c>
      <c r="P25" s="7">
        <f>+P21+P22+P23</f>
        <v>45704604.503311276</v>
      </c>
      <c r="Q25" s="107"/>
    </row>
    <row r="26" spans="1:20" x14ac:dyDescent="0.25">
      <c r="E26" s="7">
        <f>E24-E25</f>
        <v>857084320</v>
      </c>
      <c r="H26" s="138" t="s">
        <v>102</v>
      </c>
      <c r="I26" s="138"/>
      <c r="J26" s="13"/>
      <c r="L26" s="13"/>
      <c r="M26" s="13"/>
      <c r="N26" s="13"/>
      <c r="O26" s="13"/>
      <c r="P26" s="13"/>
    </row>
    <row r="27" spans="1:20" x14ac:dyDescent="0.25">
      <c r="A27" s="7" t="s">
        <v>51</v>
      </c>
      <c r="E27" s="30">
        <v>3.0200000000000001E-2</v>
      </c>
      <c r="H27" s="13" t="s">
        <v>69</v>
      </c>
      <c r="I27" s="16"/>
      <c r="J27" s="13"/>
      <c r="K27" s="7"/>
    </row>
    <row r="28" spans="1:20" x14ac:dyDescent="0.25">
      <c r="A28" s="7" t="s">
        <v>54</v>
      </c>
      <c r="E28" s="7">
        <f>E26*E27</f>
        <v>25883946.464000002</v>
      </c>
      <c r="H28" s="13" t="s">
        <v>71</v>
      </c>
      <c r="I28" s="16">
        <f>E9</f>
        <v>30000000</v>
      </c>
      <c r="J28" s="19" t="s">
        <v>41</v>
      </c>
    </row>
    <row r="29" spans="1:20" x14ac:dyDescent="0.25">
      <c r="A29" s="7" t="s">
        <v>57</v>
      </c>
      <c r="E29" s="7">
        <f>E9</f>
        <v>30000000</v>
      </c>
      <c r="F29" s="19" t="s">
        <v>41</v>
      </c>
      <c r="H29" s="13" t="s">
        <v>73</v>
      </c>
      <c r="I29" s="40">
        <f>-B17</f>
        <v>186923062.5</v>
      </c>
      <c r="J29" s="41" t="s">
        <v>53</v>
      </c>
      <c r="L29" s="55" t="s">
        <v>66</v>
      </c>
      <c r="M29" s="55"/>
    </row>
    <row r="30" spans="1:20" x14ac:dyDescent="0.25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 t="s">
        <v>74</v>
      </c>
      <c r="I30" s="16">
        <f>SUM(I28:I29)</f>
        <v>216923062.5</v>
      </c>
      <c r="J30" s="13"/>
      <c r="L30" s="7" t="s">
        <v>160</v>
      </c>
    </row>
    <row r="31" spans="1:20" x14ac:dyDescent="0.25">
      <c r="H31" s="13"/>
      <c r="I31" s="16"/>
      <c r="J31" s="13"/>
      <c r="L31" s="7" t="s">
        <v>70</v>
      </c>
      <c r="M31" s="7">
        <f>E9+'Cash-Int-Trans'!B13</f>
        <v>31100000</v>
      </c>
    </row>
    <row r="32" spans="1:20" ht="16.5" thickBot="1" x14ac:dyDescent="0.3">
      <c r="A32" s="44" t="s">
        <v>144</v>
      </c>
      <c r="B32" s="45"/>
      <c r="H32" s="13" t="s">
        <v>206</v>
      </c>
      <c r="I32" s="16">
        <f>I24</f>
        <v>102871245.41214958</v>
      </c>
      <c r="J32" s="39" t="s">
        <v>63</v>
      </c>
      <c r="L32" s="7" t="s">
        <v>72</v>
      </c>
      <c r="M32" s="27">
        <f>E10</f>
        <v>1000</v>
      </c>
    </row>
    <row r="33" spans="1:17" x14ac:dyDescent="0.25">
      <c r="A33" s="46">
        <v>36706</v>
      </c>
      <c r="B33" s="13" t="s">
        <v>80</v>
      </c>
      <c r="H33" s="13" t="s">
        <v>207</v>
      </c>
      <c r="I33" s="16">
        <f>(D14+D15-Shares!B30)*(I5-E15)</f>
        <v>-48646389.439999983</v>
      </c>
      <c r="J33" s="39"/>
      <c r="M33" s="7">
        <f>SUM(M31:M32)</f>
        <v>31101000</v>
      </c>
    </row>
    <row r="34" spans="1:17" x14ac:dyDescent="0.25">
      <c r="A34" s="49">
        <f>+Summary!C5</f>
        <v>36962</v>
      </c>
      <c r="B34" s="13" t="s">
        <v>81</v>
      </c>
      <c r="C34"/>
      <c r="H34" s="7" t="s">
        <v>159</v>
      </c>
      <c r="I34" s="14">
        <f>+'Cash-Int-Trans'!B13</f>
        <v>1100000</v>
      </c>
      <c r="L34" s="7" t="s">
        <v>75</v>
      </c>
      <c r="M34" s="7">
        <f>I24</f>
        <v>102871245.41214958</v>
      </c>
    </row>
    <row r="35" spans="1:17" ht="16.5" thickBot="1" x14ac:dyDescent="0.3">
      <c r="A35" s="50">
        <f>A34-A33</f>
        <v>256</v>
      </c>
      <c r="B35" s="13" t="s">
        <v>82</v>
      </c>
      <c r="C35"/>
      <c r="H35" s="13" t="s">
        <v>145</v>
      </c>
      <c r="I35" s="16">
        <f>-I29-Shares!D24-Shares!D26</f>
        <v>-67656037.135510266</v>
      </c>
      <c r="J35" s="33" t="s">
        <v>56</v>
      </c>
      <c r="L35" s="7" t="s">
        <v>76</v>
      </c>
      <c r="M35" s="27">
        <f>I36</f>
        <v>-41000000</v>
      </c>
    </row>
    <row r="36" spans="1:17" x14ac:dyDescent="0.25">
      <c r="A36"/>
      <c r="B36"/>
      <c r="C36"/>
      <c r="H36" s="13" t="s">
        <v>146</v>
      </c>
      <c r="I36" s="16">
        <f>+'Cash-Int-Trans'!B12</f>
        <v>-41000000</v>
      </c>
      <c r="J36" s="42"/>
      <c r="L36" s="7" t="s">
        <v>77</v>
      </c>
      <c r="M36" s="7">
        <f>SUM(M33:M35)</f>
        <v>92972245.412149578</v>
      </c>
    </row>
    <row r="37" spans="1:17" ht="16.5" customHeight="1" thickBot="1" x14ac:dyDescent="0.3">
      <c r="A37"/>
      <c r="B37"/>
      <c r="C37"/>
      <c r="D37"/>
      <c r="E37"/>
      <c r="H37" s="37" t="s">
        <v>103</v>
      </c>
      <c r="I37" s="38">
        <f>SUM(I30:I36)</f>
        <v>163591881.33663929</v>
      </c>
      <c r="J37" s="13"/>
      <c r="L37" s="7" t="s">
        <v>152</v>
      </c>
      <c r="M37" s="7">
        <f>P13</f>
        <v>31161841.09589041</v>
      </c>
    </row>
    <row r="38" spans="1:17" ht="15.75" customHeight="1" thickTop="1" x14ac:dyDescent="0.25">
      <c r="A38"/>
      <c r="B38"/>
      <c r="C38"/>
      <c r="D38"/>
      <c r="E38"/>
      <c r="H38" s="7" t="s">
        <v>204</v>
      </c>
      <c r="K38" s="7"/>
      <c r="L38" s="7" t="s">
        <v>153</v>
      </c>
      <c r="M38" s="27">
        <f>P14</f>
        <v>61810404.316259086</v>
      </c>
    </row>
    <row r="39" spans="1:17" ht="15.75" customHeight="1" x14ac:dyDescent="0.25">
      <c r="A39"/>
      <c r="B39"/>
      <c r="C39"/>
      <c r="D39"/>
      <c r="E39"/>
      <c r="K39" s="7"/>
      <c r="M39" s="7">
        <f>M36-M37-M38</f>
        <v>8.1956386566162109E-8</v>
      </c>
      <c r="N39" s="43" t="str">
        <f>IF(ROUND(M39,0)=0,"OK","Not OK")</f>
        <v>OK</v>
      </c>
    </row>
    <row r="40" spans="1:17" ht="16.5" customHeight="1" x14ac:dyDescent="0.25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7" x14ac:dyDescent="0.25">
      <c r="A41"/>
      <c r="B41"/>
      <c r="C41"/>
      <c r="D41"/>
      <c r="E41"/>
      <c r="I41" s="7"/>
    </row>
    <row r="42" spans="1:17" x14ac:dyDescent="0.25">
      <c r="A42"/>
      <c r="B42"/>
      <c r="C42"/>
      <c r="D42"/>
      <c r="E42"/>
      <c r="I42" s="7"/>
    </row>
    <row r="43" spans="1:17" x14ac:dyDescent="0.25">
      <c r="A43"/>
      <c r="B43"/>
      <c r="C43"/>
      <c r="D43"/>
      <c r="E43"/>
      <c r="I43" s="7"/>
      <c r="L43" s="139" t="s">
        <v>47</v>
      </c>
      <c r="M43" s="138"/>
      <c r="N43" s="138"/>
      <c r="O43" s="138"/>
      <c r="P43" s="138"/>
      <c r="Q43" s="16"/>
    </row>
    <row r="44" spans="1:17" x14ac:dyDescent="0.25">
      <c r="A44"/>
      <c r="B44"/>
      <c r="C44"/>
      <c r="D44"/>
      <c r="E44"/>
      <c r="F44" s="7"/>
      <c r="H44" s="8"/>
      <c r="L44" s="140" t="s">
        <v>49</v>
      </c>
      <c r="M44" s="140"/>
      <c r="P44" s="7">
        <f>M15</f>
        <v>551395894.27676988</v>
      </c>
      <c r="Q44" s="106" t="s">
        <v>150</v>
      </c>
    </row>
    <row r="45" spans="1:17" x14ac:dyDescent="0.25">
      <c r="A45"/>
      <c r="B45"/>
      <c r="C45"/>
      <c r="D45"/>
      <c r="E45"/>
      <c r="F45" s="7"/>
      <c r="I45" s="7"/>
      <c r="L45" s="7" t="s">
        <v>188</v>
      </c>
      <c r="M45" s="92"/>
      <c r="N45" s="92"/>
      <c r="O45" s="92"/>
      <c r="P45" s="7">
        <f>+M45+O45</f>
        <v>0</v>
      </c>
    </row>
    <row r="46" spans="1:17" x14ac:dyDescent="0.25">
      <c r="A46"/>
      <c r="B46"/>
      <c r="C46"/>
      <c r="D46"/>
      <c r="E46"/>
      <c r="F46" s="7"/>
      <c r="I46" s="7"/>
      <c r="L46" s="7" t="s">
        <v>149</v>
      </c>
      <c r="M46" s="92">
        <f>+'Daily Position'!I13-M45</f>
        <v>513095720</v>
      </c>
      <c r="N46" s="92"/>
      <c r="O46" s="92">
        <f>-P10</f>
        <v>-31353022.660000004</v>
      </c>
      <c r="P46" s="27">
        <f>+M46+O46</f>
        <v>481742697.33999997</v>
      </c>
    </row>
    <row r="47" spans="1:17" x14ac:dyDescent="0.25">
      <c r="A47"/>
      <c r="B47"/>
      <c r="C47"/>
      <c r="D47"/>
      <c r="E47"/>
      <c r="F47" s="7"/>
      <c r="I47" s="7"/>
      <c r="L47" s="7" t="s">
        <v>148</v>
      </c>
      <c r="P47" s="7">
        <f>+P44+P45+P46</f>
        <v>1033138591.6167698</v>
      </c>
    </row>
    <row r="48" spans="1:17" x14ac:dyDescent="0.25">
      <c r="A48"/>
      <c r="B48"/>
      <c r="C48"/>
      <c r="D48"/>
      <c r="E48"/>
      <c r="F48" s="7"/>
      <c r="I48" s="7"/>
      <c r="L48" s="7" t="s">
        <v>51</v>
      </c>
      <c r="P48" s="30">
        <f>E27</f>
        <v>3.0200000000000001E-2</v>
      </c>
    </row>
    <row r="49" spans="1:17" x14ac:dyDescent="0.25">
      <c r="A49"/>
      <c r="B49"/>
      <c r="C49"/>
      <c r="D49"/>
      <c r="E49"/>
      <c r="F49" s="7"/>
      <c r="I49" s="7"/>
      <c r="L49" s="7" t="s">
        <v>54</v>
      </c>
      <c r="P49" s="7">
        <f>P47*P48</f>
        <v>31200785.46682645</v>
      </c>
    </row>
    <row r="50" spans="1:17" x14ac:dyDescent="0.25">
      <c r="A50"/>
      <c r="B50"/>
      <c r="C50"/>
      <c r="D50"/>
      <c r="E50"/>
      <c r="F50" s="7"/>
      <c r="I50" s="7"/>
      <c r="L50" s="7" t="s">
        <v>57</v>
      </c>
      <c r="P50" s="7">
        <f>P13</f>
        <v>31161841.09589041</v>
      </c>
      <c r="Q50" s="107" t="s">
        <v>151</v>
      </c>
    </row>
    <row r="51" spans="1:17" x14ac:dyDescent="0.25">
      <c r="A51"/>
      <c r="B51"/>
      <c r="C51"/>
      <c r="D51"/>
      <c r="E51"/>
      <c r="F51" s="7"/>
      <c r="I51" s="7"/>
      <c r="L51" s="35" t="s">
        <v>58</v>
      </c>
      <c r="M51" s="36"/>
      <c r="N51" s="36"/>
      <c r="O51" s="36"/>
      <c r="P51" s="108" t="str">
        <f>IF(P50&gt;=P49,"Test Passed","Test Failed")</f>
        <v>Test Failed</v>
      </c>
      <c r="Q51" s="107"/>
    </row>
    <row r="52" spans="1:17" x14ac:dyDescent="0.25">
      <c r="A52"/>
      <c r="B52"/>
      <c r="C52"/>
      <c r="D52"/>
      <c r="E52"/>
      <c r="F52" s="7"/>
      <c r="I52" s="7"/>
      <c r="L52" s="13" t="s">
        <v>60</v>
      </c>
      <c r="M52" s="13"/>
      <c r="N52" s="13"/>
      <c r="O52" s="13"/>
      <c r="P52" s="13">
        <f>P50-P49</f>
        <v>-38944.370936039835</v>
      </c>
    </row>
    <row r="53" spans="1:17" x14ac:dyDescent="0.25">
      <c r="A53"/>
      <c r="B53"/>
      <c r="C53"/>
      <c r="D53"/>
      <c r="E53"/>
      <c r="F53" s="7"/>
      <c r="I53" s="7"/>
      <c r="L53" s="37" t="s">
        <v>112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B54"/>
      <c r="C54"/>
      <c r="D54"/>
      <c r="E54"/>
      <c r="F54" s="7"/>
      <c r="I54" s="7"/>
    </row>
    <row r="55" spans="1:17" x14ac:dyDescent="0.25">
      <c r="A55"/>
      <c r="B55"/>
      <c r="C55"/>
      <c r="D55"/>
      <c r="E55"/>
      <c r="I55" s="7"/>
    </row>
    <row r="56" spans="1:17" x14ac:dyDescent="0.25">
      <c r="A56"/>
      <c r="B56"/>
      <c r="C56"/>
      <c r="D56"/>
      <c r="E56"/>
    </row>
    <row r="57" spans="1:17" x14ac:dyDescent="0.25">
      <c r="A57"/>
      <c r="B57"/>
      <c r="C57"/>
      <c r="D57"/>
      <c r="E57"/>
    </row>
    <row r="58" spans="1:17" x14ac:dyDescent="0.25">
      <c r="A58"/>
      <c r="B58"/>
      <c r="C58"/>
      <c r="D58"/>
      <c r="E58"/>
    </row>
    <row r="59" spans="1:17" x14ac:dyDescent="0.25">
      <c r="A59"/>
      <c r="B59"/>
      <c r="C59"/>
      <c r="D59"/>
      <c r="E59"/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4">
    <mergeCell ref="A21:B21"/>
    <mergeCell ref="L7:M7"/>
    <mergeCell ref="O7:P7"/>
    <mergeCell ref="H10:I10"/>
    <mergeCell ref="A4:F4"/>
    <mergeCell ref="A5:B5"/>
    <mergeCell ref="D5:E5"/>
    <mergeCell ref="A20:E20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7"/>
  <sheetViews>
    <sheetView showGridLines="0" topLeftCell="A9" workbookViewId="0">
      <selection activeCell="B25" sqref="B25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7" ht="16.5" thickBot="1" x14ac:dyDescent="0.3">
      <c r="A1" s="283" t="s">
        <v>109</v>
      </c>
      <c r="B1" s="283"/>
    </row>
    <row r="3" spans="1:7" x14ac:dyDescent="0.25">
      <c r="A3" s="13" t="s">
        <v>121</v>
      </c>
      <c r="B3" s="14"/>
      <c r="C3" s="7"/>
    </row>
    <row r="4" spans="1:7" x14ac:dyDescent="0.25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25">
      <c r="A5" s="7"/>
      <c r="B5" s="14"/>
      <c r="C5" s="7"/>
    </row>
    <row r="6" spans="1:7" ht="16.5" thickBot="1" x14ac:dyDescent="0.3">
      <c r="A6" s="7" t="s">
        <v>86</v>
      </c>
      <c r="B6" s="151">
        <f>SUM(B3:B5)</f>
        <v>34266411</v>
      </c>
      <c r="C6" s="29" t="s">
        <v>87</v>
      </c>
    </row>
    <row r="7" spans="1:7" ht="16.5" thickTop="1" x14ac:dyDescent="0.25">
      <c r="A7" s="7"/>
      <c r="B7" s="14"/>
      <c r="C7" s="7"/>
    </row>
    <row r="8" spans="1:7" x14ac:dyDescent="0.25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25">
      <c r="A9" s="7" t="s">
        <v>191</v>
      </c>
      <c r="B9" s="14">
        <f>-B8</f>
        <v>6733589</v>
      </c>
      <c r="C9" s="7"/>
      <c r="D9" s="1">
        <f>+D8</f>
        <v>36791</v>
      </c>
    </row>
    <row r="10" spans="1:7" x14ac:dyDescent="0.25">
      <c r="A10" s="7"/>
      <c r="B10" s="7"/>
      <c r="C10" s="7"/>
    </row>
    <row r="11" spans="1:7" x14ac:dyDescent="0.25">
      <c r="A11" s="7" t="s">
        <v>96</v>
      </c>
      <c r="B11" s="14"/>
      <c r="C11" s="7"/>
    </row>
    <row r="12" spans="1:7" x14ac:dyDescent="0.25">
      <c r="A12" s="7" t="s">
        <v>192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25">
      <c r="A13" s="7" t="s">
        <v>193</v>
      </c>
      <c r="B13" s="14">
        <v>1100000</v>
      </c>
      <c r="C13" s="7"/>
      <c r="D13" s="1">
        <v>36791</v>
      </c>
    </row>
    <row r="14" spans="1:7" x14ac:dyDescent="0.25">
      <c r="A14" s="7"/>
      <c r="B14" s="14"/>
      <c r="C14" s="7"/>
      <c r="D14" s="1"/>
    </row>
    <row r="15" spans="1:7" x14ac:dyDescent="0.25">
      <c r="A15" s="7" t="s">
        <v>196</v>
      </c>
      <c r="B15" s="14">
        <f>IF(Summary!$C$5&lt;'Cash-Int-Trans'!D15,0,-Amort!D11)</f>
        <v>-1779166.6666666667</v>
      </c>
      <c r="C15" s="7"/>
      <c r="D15" s="1">
        <v>36889</v>
      </c>
    </row>
    <row r="16" spans="1:7" x14ac:dyDescent="0.25">
      <c r="A16" s="7" t="s">
        <v>195</v>
      </c>
      <c r="B16" s="14">
        <f>-B15</f>
        <v>1779166.6666666667</v>
      </c>
      <c r="C16" s="7"/>
      <c r="D16" s="1">
        <f>+D15</f>
        <v>36889</v>
      </c>
    </row>
    <row r="17" spans="1:5" x14ac:dyDescent="0.25">
      <c r="A17" s="7"/>
      <c r="B17" s="14"/>
      <c r="C17" s="7"/>
    </row>
    <row r="18" spans="1:5" ht="16.5" thickBot="1" x14ac:dyDescent="0.3">
      <c r="A18" s="283" t="s">
        <v>104</v>
      </c>
      <c r="B18" s="283"/>
    </row>
    <row r="20" spans="1:5" x14ac:dyDescent="0.25">
      <c r="A20" t="s">
        <v>25</v>
      </c>
      <c r="B20" s="7">
        <f>+Financials!B6</f>
        <v>71001000</v>
      </c>
      <c r="D20" s="1">
        <v>36634</v>
      </c>
    </row>
    <row r="22" spans="1:5" x14ac:dyDescent="0.25">
      <c r="A22" t="s">
        <v>105</v>
      </c>
      <c r="B22" s="7">
        <f>+Financials!I24</f>
        <v>102871245.41214958</v>
      </c>
    </row>
    <row r="23" spans="1:5" x14ac:dyDescent="0.25">
      <c r="A23" t="s">
        <v>106</v>
      </c>
      <c r="B23" s="7">
        <f>-Financials!I15</f>
        <v>-43700734.246575341</v>
      </c>
    </row>
    <row r="24" spans="1:5" x14ac:dyDescent="0.25">
      <c r="A24" s="7" t="str">
        <f>+Financials!H21</f>
        <v>Unrealized Gains / (Losses)</v>
      </c>
      <c r="B24" s="7">
        <f>-Financials!I21-Financials!I19-Financials!I20</f>
        <v>-40288120.678934962</v>
      </c>
    </row>
    <row r="26" spans="1:5" x14ac:dyDescent="0.25">
      <c r="A26" t="s">
        <v>108</v>
      </c>
    </row>
    <row r="27" spans="1:5" x14ac:dyDescent="0.25">
      <c r="A27" t="s">
        <v>110</v>
      </c>
      <c r="B27" s="7">
        <f>+Financials!B7-Financials!M9</f>
        <v>0</v>
      </c>
    </row>
    <row r="28" spans="1:5" x14ac:dyDescent="0.25">
      <c r="A28" t="s">
        <v>42</v>
      </c>
      <c r="B28" s="7">
        <f>0-Financials!M11</f>
        <v>-709722.22222222225</v>
      </c>
    </row>
    <row r="29" spans="1:5" x14ac:dyDescent="0.25">
      <c r="A29" t="s">
        <v>111</v>
      </c>
      <c r="B29" s="7">
        <f>-Financials!E7+Financials!P12</f>
        <v>27070626.204620361</v>
      </c>
    </row>
    <row r="30" spans="1:5" x14ac:dyDescent="0.25">
      <c r="A30" t="s">
        <v>194</v>
      </c>
      <c r="B30" s="7">
        <f>-Financials!E6+Financials!P8+Financials!P9</f>
        <v>-41000000</v>
      </c>
      <c r="E30" s="7"/>
    </row>
    <row r="32" spans="1:5" x14ac:dyDescent="0.25">
      <c r="A32" t="s">
        <v>96</v>
      </c>
      <c r="B32" s="7">
        <f>+B12</f>
        <v>-41000000</v>
      </c>
    </row>
    <row r="33" spans="1:8" x14ac:dyDescent="0.25">
      <c r="A33" t="s">
        <v>120</v>
      </c>
      <c r="B33" s="7">
        <f>+B13</f>
        <v>1100000</v>
      </c>
    </row>
    <row r="35" spans="1:8" ht="16.5" thickBot="1" x14ac:dyDescent="0.3">
      <c r="A35" t="s">
        <v>27</v>
      </c>
      <c r="B35" s="12">
        <f>SUM(B20:B34)</f>
        <v>35344294.469037414</v>
      </c>
      <c r="D35" s="7">
        <f>+B20+B12+B13+B38+B16</f>
        <v>35344294.469037451</v>
      </c>
      <c r="E35" s="7"/>
    </row>
    <row r="36" spans="1:8" ht="16.5" thickTop="1" x14ac:dyDescent="0.25"/>
    <row r="37" spans="1:8" ht="16.5" thickBot="1" x14ac:dyDescent="0.3">
      <c r="A37" s="283" t="s">
        <v>154</v>
      </c>
      <c r="B37" s="283"/>
      <c r="C37" s="283"/>
      <c r="D37" s="283"/>
      <c r="E37" s="283"/>
      <c r="F37" s="283"/>
    </row>
    <row r="38" spans="1:8" x14ac:dyDescent="0.25">
      <c r="A38" s="109" t="s">
        <v>114</v>
      </c>
      <c r="B38" s="110">
        <f>+B44+B50+B56</f>
        <v>2464127.8023707885</v>
      </c>
    </row>
    <row r="39" spans="1:8" x14ac:dyDescent="0.25">
      <c r="A39" s="53"/>
      <c r="E39" s="132" t="s">
        <v>79</v>
      </c>
      <c r="F39" s="133"/>
    </row>
    <row r="40" spans="1:8" x14ac:dyDescent="0.25">
      <c r="A40" t="s">
        <v>1</v>
      </c>
      <c r="B40" s="1">
        <v>36705</v>
      </c>
      <c r="E40" s="1">
        <v>36692</v>
      </c>
      <c r="F40" s="48">
        <v>7.3999999999999996E-2</v>
      </c>
    </row>
    <row r="41" spans="1:8" x14ac:dyDescent="0.25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8" x14ac:dyDescent="0.25">
      <c r="A42" t="s">
        <v>1</v>
      </c>
      <c r="B42" s="1">
        <v>36791</v>
      </c>
      <c r="E42" s="1">
        <v>36753</v>
      </c>
      <c r="F42" s="48">
        <v>7.2400000000000006E-2</v>
      </c>
    </row>
    <row r="43" spans="1:8" x14ac:dyDescent="0.25">
      <c r="A43" t="s">
        <v>78</v>
      </c>
      <c r="B43" s="3">
        <f>+B42-B40</f>
        <v>86</v>
      </c>
      <c r="E43" s="1">
        <v>36784</v>
      </c>
      <c r="F43" s="48">
        <v>7.1999999999999995E-2</v>
      </c>
    </row>
    <row r="44" spans="1:8" x14ac:dyDescent="0.25">
      <c r="A44" t="s">
        <v>26</v>
      </c>
      <c r="B44" s="54">
        <f>+B41*(F44+0.0045)/360*B43</f>
        <v>1313232.5237500002</v>
      </c>
      <c r="E44" s="51" t="s">
        <v>83</v>
      </c>
      <c r="F44" s="52">
        <f>AVERAGE(F40:F43)</f>
        <v>7.2925000000000004E-2</v>
      </c>
    </row>
    <row r="45" spans="1:8" x14ac:dyDescent="0.25">
      <c r="B45" s="54"/>
      <c r="E45" s="51"/>
      <c r="F45" s="52"/>
    </row>
    <row r="46" spans="1:8" x14ac:dyDescent="0.25">
      <c r="A46" t="s">
        <v>1</v>
      </c>
      <c r="B46" s="1">
        <v>36791</v>
      </c>
      <c r="E46" s="1">
        <v>36784</v>
      </c>
      <c r="F46" s="48">
        <v>7.1999999999999995E-2</v>
      </c>
      <c r="G46" s="1">
        <v>36906</v>
      </c>
      <c r="H46" s="48"/>
    </row>
    <row r="47" spans="1:8" x14ac:dyDescent="0.25">
      <c r="A47" t="s">
        <v>25</v>
      </c>
      <c r="B47" s="7">
        <v>32414232.52375</v>
      </c>
      <c r="E47" s="1">
        <v>36814</v>
      </c>
      <c r="F47" s="48">
        <v>7.1800000000000003E-2</v>
      </c>
      <c r="G47" s="1">
        <v>36937</v>
      </c>
    </row>
    <row r="48" spans="1:8" x14ac:dyDescent="0.25">
      <c r="A48" t="s">
        <v>1</v>
      </c>
      <c r="B48" s="1">
        <v>36889</v>
      </c>
      <c r="E48" s="1">
        <v>36845</v>
      </c>
      <c r="F48" s="48">
        <v>7.1300000000000002E-2</v>
      </c>
      <c r="G48" s="1">
        <v>36965</v>
      </c>
    </row>
    <row r="49" spans="1:8" x14ac:dyDescent="0.25">
      <c r="A49" t="s">
        <v>78</v>
      </c>
      <c r="B49" s="3">
        <f>+B48-B46</f>
        <v>98</v>
      </c>
      <c r="E49" s="1">
        <v>36875</v>
      </c>
      <c r="F49" s="48">
        <v>6.88E-2</v>
      </c>
      <c r="G49" s="1">
        <v>36996</v>
      </c>
    </row>
    <row r="50" spans="1:8" x14ac:dyDescent="0.25">
      <c r="A50" t="s">
        <v>26</v>
      </c>
      <c r="B50" s="54">
        <f>+B47*(F50+0.0045)/360*B49</f>
        <v>665981.92103761958</v>
      </c>
      <c r="E50" s="51" t="s">
        <v>83</v>
      </c>
      <c r="F50" s="52">
        <f>AVERAGE(F46:F49,H46:H49)</f>
        <v>7.0974999999999996E-2</v>
      </c>
    </row>
    <row r="51" spans="1:8" x14ac:dyDescent="0.25">
      <c r="B51" s="54"/>
      <c r="E51" s="51"/>
      <c r="F51" s="52"/>
    </row>
    <row r="52" spans="1:8" x14ac:dyDescent="0.25">
      <c r="A52" t="s">
        <v>1</v>
      </c>
      <c r="B52" s="1">
        <v>36889</v>
      </c>
      <c r="E52" s="1">
        <v>36875</v>
      </c>
      <c r="F52" s="48">
        <v>6.88E-2</v>
      </c>
      <c r="G52" s="1">
        <v>36996</v>
      </c>
      <c r="H52" s="48"/>
    </row>
    <row r="53" spans="1:8" x14ac:dyDescent="0.25">
      <c r="A53" t="s">
        <v>25</v>
      </c>
      <c r="B53" s="7">
        <v>34859381.111454301</v>
      </c>
      <c r="E53" s="1">
        <v>36906</v>
      </c>
      <c r="F53" s="48">
        <v>5.9400000000000001E-2</v>
      </c>
      <c r="G53" s="1">
        <v>37026</v>
      </c>
    </row>
    <row r="54" spans="1:8" x14ac:dyDescent="0.25">
      <c r="A54" t="s">
        <v>1</v>
      </c>
      <c r="B54" s="1">
        <f>IF(Summary!$C$5&lt;'Cash-Int-Trans'!B52,+'Cash-Int-Trans'!B52,Summary!$C$5)</f>
        <v>36962</v>
      </c>
      <c r="E54" s="1">
        <v>36937</v>
      </c>
      <c r="F54" s="48"/>
      <c r="G54" s="1">
        <v>37057</v>
      </c>
    </row>
    <row r="55" spans="1:8" x14ac:dyDescent="0.25">
      <c r="A55" t="s">
        <v>78</v>
      </c>
      <c r="B55" s="3">
        <f>+B54-B52</f>
        <v>73</v>
      </c>
      <c r="E55" s="1">
        <v>36965</v>
      </c>
      <c r="F55" s="48"/>
      <c r="G55" s="1">
        <v>37087</v>
      </c>
    </row>
    <row r="56" spans="1:8" x14ac:dyDescent="0.25">
      <c r="A56" t="s">
        <v>26</v>
      </c>
      <c r="B56" s="54">
        <f>+B53*(F56+0.0045)/360*B55</f>
        <v>484913.35758316901</v>
      </c>
      <c r="E56" s="51" t="s">
        <v>83</v>
      </c>
      <c r="F56" s="52">
        <f>AVERAGE(F52:F55,H52:H55)</f>
        <v>6.4100000000000004E-2</v>
      </c>
    </row>
    <row r="57" spans="1:8" x14ac:dyDescent="0.25">
      <c r="B57" s="54"/>
      <c r="E57" s="51"/>
      <c r="F57" s="52"/>
    </row>
    <row r="58" spans="1:8" x14ac:dyDescent="0.25">
      <c r="B58" s="54"/>
      <c r="E58" s="51"/>
      <c r="F58" s="52"/>
    </row>
    <row r="59" spans="1:8" ht="16.5" thickBot="1" x14ac:dyDescent="0.3">
      <c r="A59" s="283" t="s">
        <v>170</v>
      </c>
      <c r="B59" s="283"/>
      <c r="C59" s="283"/>
      <c r="D59" s="283"/>
      <c r="E59" s="283"/>
      <c r="F59" s="283"/>
    </row>
    <row r="60" spans="1:8" x14ac:dyDescent="0.25">
      <c r="A60" s="109" t="s">
        <v>167</v>
      </c>
      <c r="B60" s="110">
        <f>+B62+B69</f>
        <v>20337037.204620373</v>
      </c>
    </row>
    <row r="61" spans="1:8" x14ac:dyDescent="0.25">
      <c r="A61" s="53"/>
    </row>
    <row r="62" spans="1:8" x14ac:dyDescent="0.25">
      <c r="A62" t="s">
        <v>171</v>
      </c>
      <c r="B62" s="3">
        <f>+Amort!B61</f>
        <v>20208724.925342593</v>
      </c>
      <c r="E62" s="284"/>
      <c r="F62" s="285"/>
    </row>
    <row r="63" spans="1:8" x14ac:dyDescent="0.25">
      <c r="B63" s="3"/>
      <c r="E63" s="132"/>
      <c r="F63" s="133"/>
    </row>
    <row r="64" spans="1:8" x14ac:dyDescent="0.25">
      <c r="A64" t="s">
        <v>178</v>
      </c>
      <c r="B64" s="7"/>
      <c r="E64" s="47"/>
      <c r="F64" s="48"/>
    </row>
    <row r="65" spans="1:6" x14ac:dyDescent="0.25">
      <c r="A65" t="s">
        <v>172</v>
      </c>
      <c r="B65" s="1">
        <v>36791</v>
      </c>
      <c r="E65" s="47"/>
      <c r="F65" s="48"/>
    </row>
    <row r="66" spans="1:6" x14ac:dyDescent="0.25">
      <c r="A66" t="s">
        <v>173</v>
      </c>
      <c r="B66" s="3">
        <f>+B9</f>
        <v>6733589</v>
      </c>
      <c r="E66" s="47"/>
      <c r="F66" s="48"/>
    </row>
    <row r="67" spans="1:6" x14ac:dyDescent="0.25">
      <c r="A67" t="s">
        <v>1</v>
      </c>
      <c r="B67" s="1">
        <f>IF(+Summary!C5&gt;Amort!A43,Amort!A43,Summary!C5)</f>
        <v>36889</v>
      </c>
    </row>
    <row r="68" spans="1:6" x14ac:dyDescent="0.25">
      <c r="A68" t="s">
        <v>78</v>
      </c>
      <c r="B68" s="3">
        <f>+B67-B65</f>
        <v>98</v>
      </c>
    </row>
    <row r="69" spans="1:6" x14ac:dyDescent="0.25">
      <c r="A69" t="s">
        <v>177</v>
      </c>
      <c r="B69" s="54">
        <f>+B66*0.07/360*B68</f>
        <v>128312.27927777779</v>
      </c>
    </row>
    <row r="71" spans="1:6" ht="16.5" thickBot="1" x14ac:dyDescent="0.3">
      <c r="A71" s="283" t="s">
        <v>182</v>
      </c>
      <c r="B71" s="283"/>
      <c r="C71" s="283"/>
      <c r="D71" s="283"/>
      <c r="E71" s="283"/>
      <c r="F71" s="283"/>
    </row>
    <row r="73" spans="1:6" x14ac:dyDescent="0.25">
      <c r="A73" t="s">
        <v>124</v>
      </c>
      <c r="B73" s="1">
        <f>+Summary!C5</f>
        <v>36962</v>
      </c>
    </row>
    <row r="74" spans="1:6" x14ac:dyDescent="0.25">
      <c r="A74" t="s">
        <v>183</v>
      </c>
      <c r="B74" s="1">
        <v>36706</v>
      </c>
      <c r="D74" s="4">
        <f>IF(B73&gt;(B74-1),30000000,0)</f>
        <v>30000000</v>
      </c>
    </row>
    <row r="75" spans="1:6" x14ac:dyDescent="0.25">
      <c r="A75" t="s">
        <v>184</v>
      </c>
      <c r="B75" s="1">
        <v>36791</v>
      </c>
      <c r="D75" s="4">
        <f>IF(B73&gt;(B75-1),1100000,0)</f>
        <v>1100000</v>
      </c>
    </row>
    <row r="76" spans="1:6" ht="18" x14ac:dyDescent="0.4">
      <c r="A76" t="s">
        <v>185</v>
      </c>
      <c r="B76" s="1">
        <f>+Summary!C5</f>
        <v>36962</v>
      </c>
      <c r="D76" s="134">
        <f>IF(B76&gt;B75,+(+B76-B75)/365*0.12*D75,0)</f>
        <v>61841.095890410958</v>
      </c>
    </row>
    <row r="77" spans="1:6" x14ac:dyDescent="0.25">
      <c r="A77" t="s">
        <v>186</v>
      </c>
      <c r="D77" s="5">
        <f>SUM(D74:D76)</f>
        <v>31161841.09589041</v>
      </c>
    </row>
  </sheetData>
  <mergeCells count="6">
    <mergeCell ref="A71:F71"/>
    <mergeCell ref="A1:B1"/>
    <mergeCell ref="A37:F37"/>
    <mergeCell ref="A59:F59"/>
    <mergeCell ref="E62:F62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topLeftCell="A27" workbookViewId="0">
      <selection activeCell="D50" sqref="D50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25">
      <c r="A1" s="6" t="s">
        <v>164</v>
      </c>
      <c r="B1" s="6"/>
      <c r="G1" s="8"/>
      <c r="H1" s="8"/>
    </row>
    <row r="2" spans="1:9" x14ac:dyDescent="0.25">
      <c r="B2" s="111" t="s">
        <v>155</v>
      </c>
    </row>
    <row r="3" spans="1:9" x14ac:dyDescent="0.25">
      <c r="A3" s="7" t="s">
        <v>20</v>
      </c>
      <c r="B3" s="112">
        <v>50000000</v>
      </c>
    </row>
    <row r="4" spans="1:9" x14ac:dyDescent="0.25">
      <c r="A4" s="7" t="s">
        <v>21</v>
      </c>
      <c r="B4" s="113">
        <v>7.0000000000000007E-2</v>
      </c>
    </row>
    <row r="5" spans="1:9" x14ac:dyDescent="0.25">
      <c r="A5" s="7" t="s">
        <v>22</v>
      </c>
      <c r="B5" s="114">
        <f>5*12</f>
        <v>60</v>
      </c>
    </row>
    <row r="6" spans="1:9" x14ac:dyDescent="0.25">
      <c r="A6" s="7" t="s">
        <v>23</v>
      </c>
      <c r="B6" s="115">
        <v>2</v>
      </c>
    </row>
    <row r="7" spans="1:9" x14ac:dyDescent="0.25">
      <c r="A7" s="7" t="s">
        <v>24</v>
      </c>
      <c r="B7" s="7">
        <v>0</v>
      </c>
    </row>
    <row r="9" spans="1:9" s="9" customFormat="1" ht="25.5" x14ac:dyDescent="0.2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168</v>
      </c>
    </row>
    <row r="10" spans="1:9" x14ac:dyDescent="0.25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25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25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25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25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25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25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25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25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25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25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5" thickTop="1" x14ac:dyDescent="0.25">
      <c r="A22" s="116"/>
      <c r="B22" s="116"/>
    </row>
    <row r="23" spans="1:9" s="103" customFormat="1" x14ac:dyDescent="0.25">
      <c r="A23" s="286">
        <f>+Summary!C5</f>
        <v>36962</v>
      </c>
      <c r="B23" s="286"/>
      <c r="E23" s="103" t="s">
        <v>91</v>
      </c>
      <c r="F23" s="103">
        <f>VLOOKUP(+A23,Amort,2)</f>
        <v>1</v>
      </c>
    </row>
    <row r="24" spans="1:9" s="103" customFormat="1" x14ac:dyDescent="0.25">
      <c r="A24" s="103" t="s">
        <v>88</v>
      </c>
      <c r="B24" s="103">
        <v>0</v>
      </c>
      <c r="E24" s="103" t="s">
        <v>1</v>
      </c>
      <c r="F24" s="116">
        <f>VLOOKUP(+A23,Amort,1)</f>
        <v>36889</v>
      </c>
    </row>
    <row r="25" spans="1:9" s="103" customFormat="1" x14ac:dyDescent="0.25">
      <c r="A25" s="103" t="s">
        <v>89</v>
      </c>
      <c r="B25" s="128">
        <f>VLOOKUP(+A23,Note,8)</f>
        <v>1779166.6666666667</v>
      </c>
      <c r="E25" s="103" t="s">
        <v>92</v>
      </c>
      <c r="F25" s="103">
        <f>VLOOKUP(+F23+1,NotePeriod,5)</f>
        <v>1769444.4444444445</v>
      </c>
    </row>
    <row r="26" spans="1:9" s="103" customFormat="1" x14ac:dyDescent="0.25">
      <c r="A26" s="116" t="s">
        <v>90</v>
      </c>
      <c r="B26" s="103">
        <f>+B24+B25</f>
        <v>1779166.6666666667</v>
      </c>
      <c r="E26" s="103" t="s">
        <v>93</v>
      </c>
      <c r="F26" s="116">
        <f>VLOOKUP(+F23+1,NotePeriod,8)</f>
        <v>37071</v>
      </c>
    </row>
    <row r="27" spans="1:9" s="103" customFormat="1" x14ac:dyDescent="0.25">
      <c r="A27" s="116" t="s">
        <v>94</v>
      </c>
      <c r="B27" s="103">
        <f>A23-F24</f>
        <v>73</v>
      </c>
      <c r="E27" s="116"/>
    </row>
    <row r="28" spans="1:9" s="103" customFormat="1" x14ac:dyDescent="0.25">
      <c r="A28" s="116" t="s">
        <v>28</v>
      </c>
      <c r="B28" s="103">
        <f>F25*B27/(F26-F24)</f>
        <v>709722.22222222225</v>
      </c>
    </row>
    <row r="29" spans="1:9" s="103" customFormat="1" x14ac:dyDescent="0.25">
      <c r="A29" s="116" t="s">
        <v>29</v>
      </c>
      <c r="B29" s="103">
        <f>+B25+B28</f>
        <v>2488888.888888889</v>
      </c>
    </row>
    <row r="30" spans="1:9" s="103" customFormat="1" x14ac:dyDescent="0.25"/>
    <row r="31" spans="1:9" s="103" customFormat="1" x14ac:dyDescent="0.25"/>
    <row r="32" spans="1:9" s="103" customFormat="1" x14ac:dyDescent="0.25"/>
    <row r="33" spans="1:9" s="103" customFormat="1" x14ac:dyDescent="0.25"/>
    <row r="34" spans="1:9" s="103" customFormat="1" x14ac:dyDescent="0.25"/>
    <row r="35" spans="1:9" s="103" customFormat="1" x14ac:dyDescent="0.25">
      <c r="A35" s="6" t="s">
        <v>165</v>
      </c>
      <c r="B35" s="6"/>
      <c r="C35" s="7"/>
      <c r="D35" s="7"/>
      <c r="E35" s="7"/>
      <c r="F35" s="7"/>
      <c r="G35" s="8"/>
      <c r="H35" s="102"/>
    </row>
    <row r="36" spans="1:9" s="103" customFormat="1" x14ac:dyDescent="0.25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25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25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25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25">
      <c r="A40" s="7"/>
      <c r="B40" s="7"/>
      <c r="C40" s="7"/>
      <c r="D40" s="7"/>
      <c r="E40" s="7"/>
      <c r="F40" s="7"/>
      <c r="G40" s="7"/>
      <c r="H40" s="102"/>
    </row>
    <row r="41" spans="1:9" s="103" customFormat="1" ht="26.25" x14ac:dyDescent="0.25">
      <c r="A41" s="9"/>
      <c r="B41" s="11" t="s">
        <v>91</v>
      </c>
      <c r="C41" s="10" t="s">
        <v>25</v>
      </c>
      <c r="D41" s="10" t="s">
        <v>175</v>
      </c>
      <c r="E41" s="10" t="s">
        <v>20</v>
      </c>
      <c r="F41" s="10" t="s">
        <v>26</v>
      </c>
      <c r="G41" s="10" t="s">
        <v>27</v>
      </c>
      <c r="H41" s="10" t="s">
        <v>168</v>
      </c>
    </row>
    <row r="42" spans="1:9" s="103" customFormat="1" x14ac:dyDescent="0.25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25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25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25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25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25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25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25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25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25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25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5" thickBot="1" x14ac:dyDescent="0.3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5" thickTop="1" x14ac:dyDescent="0.25">
      <c r="A54" s="116"/>
      <c r="B54" s="116"/>
    </row>
    <row r="55" spans="1:9" s="103" customFormat="1" x14ac:dyDescent="0.25">
      <c r="A55" s="286">
        <f>+Summary!C5</f>
        <v>36962</v>
      </c>
      <c r="B55" s="286"/>
      <c r="E55" s="103" t="s">
        <v>91</v>
      </c>
      <c r="F55" s="103">
        <f>VLOOKUP(+A55,Note,2)</f>
        <v>1</v>
      </c>
    </row>
    <row r="56" spans="1:9" x14ac:dyDescent="0.25">
      <c r="A56" s="103"/>
      <c r="B56" s="103"/>
      <c r="C56" s="103"/>
      <c r="D56" s="103"/>
      <c r="E56" s="103" t="s">
        <v>1</v>
      </c>
      <c r="F56" s="116">
        <f>VLOOKUP(+A55,Note,1)</f>
        <v>36889</v>
      </c>
      <c r="G56" s="103"/>
    </row>
    <row r="57" spans="1:9" x14ac:dyDescent="0.25">
      <c r="A57" s="103" t="s">
        <v>169</v>
      </c>
      <c r="B57" s="128">
        <f>VLOOKUP(+A55,Loan,8)</f>
        <v>14233333.333333334</v>
      </c>
      <c r="C57" s="103"/>
      <c r="D57" s="103"/>
      <c r="E57" s="103" t="s">
        <v>92</v>
      </c>
      <c r="F57" s="103">
        <f>VLOOKUP(+F55+1,LoanPeriod,5)</f>
        <v>14897551.640351854</v>
      </c>
      <c r="G57" s="103"/>
    </row>
    <row r="58" spans="1:9" x14ac:dyDescent="0.25">
      <c r="A58" s="116" t="s">
        <v>7</v>
      </c>
      <c r="B58" s="103">
        <f>+B56+B57</f>
        <v>14233333.333333334</v>
      </c>
      <c r="C58" s="103"/>
      <c r="D58" s="103"/>
      <c r="E58" s="103" t="s">
        <v>93</v>
      </c>
      <c r="F58" s="116">
        <f>VLOOKUP(+F55+1,NotePeriod,8)</f>
        <v>37071</v>
      </c>
      <c r="G58" s="103"/>
    </row>
    <row r="59" spans="1:9" x14ac:dyDescent="0.25">
      <c r="A59" s="116" t="s">
        <v>94</v>
      </c>
      <c r="B59" s="103">
        <f>A55-F56</f>
        <v>73</v>
      </c>
      <c r="C59" s="103"/>
      <c r="D59" s="103"/>
      <c r="E59" s="116"/>
      <c r="F59" s="103"/>
      <c r="G59" s="103"/>
    </row>
    <row r="60" spans="1:9" x14ac:dyDescent="0.25">
      <c r="A60" s="116" t="s">
        <v>166</v>
      </c>
      <c r="B60" s="103">
        <f>F57*B59/(F58-F56)</f>
        <v>5975391.5920092603</v>
      </c>
      <c r="C60" s="103"/>
      <c r="D60" s="103"/>
      <c r="E60" s="103"/>
      <c r="F60" s="103"/>
      <c r="G60" s="103"/>
    </row>
    <row r="61" spans="1:9" x14ac:dyDescent="0.25">
      <c r="A61" s="116" t="s">
        <v>167</v>
      </c>
      <c r="B61" s="103">
        <f>+B57+B60</f>
        <v>20208724.925342593</v>
      </c>
      <c r="C61" s="103"/>
      <c r="D61" s="103"/>
      <c r="E61" s="103"/>
      <c r="F61" s="103"/>
      <c r="G61" s="103"/>
    </row>
    <row r="63" spans="1:9" x14ac:dyDescent="0.25">
      <c r="A63" s="7" t="s">
        <v>179</v>
      </c>
    </row>
    <row r="64" spans="1:9" x14ac:dyDescent="0.25">
      <c r="A64" s="1">
        <f>+'Cash-Int-Trans'!B65</f>
        <v>36791</v>
      </c>
      <c r="B64" s="7" t="s">
        <v>176</v>
      </c>
      <c r="E64" s="7">
        <f>+'Cash-Int-Trans'!B66</f>
        <v>6733589</v>
      </c>
    </row>
    <row r="65" spans="1:5" x14ac:dyDescent="0.25">
      <c r="A65" s="1">
        <f>+A64</f>
        <v>36791</v>
      </c>
      <c r="B65" s="7" t="s">
        <v>180</v>
      </c>
      <c r="C65" s="1"/>
      <c r="D65" s="1">
        <f>+'Cash-Int-Trans'!B67</f>
        <v>36889</v>
      </c>
      <c r="E65" s="152">
        <f>+'Cash-Int-Trans'!B69</f>
        <v>128312.27927777779</v>
      </c>
    </row>
    <row r="66" spans="1:5" x14ac:dyDescent="0.25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workbookViewId="0">
      <selection activeCell="E13" sqref="E13"/>
    </sheetView>
  </sheetViews>
  <sheetFormatPr defaultRowHeight="15.75" x14ac:dyDescent="0.25"/>
  <cols>
    <col min="1" max="1" width="25" customWidth="1"/>
    <col min="2" max="2" width="11.125" style="3" customWidth="1"/>
    <col min="4" max="4" width="14.75" customWidth="1"/>
    <col min="5" max="5" width="15.375" customWidth="1"/>
    <col min="6" max="6" width="14.5" customWidth="1"/>
  </cols>
  <sheetData>
    <row r="1" spans="1:6" x14ac:dyDescent="0.25">
      <c r="D1" s="264" t="s">
        <v>491</v>
      </c>
      <c r="E1" s="58" t="s">
        <v>492</v>
      </c>
    </row>
    <row r="2" spans="1:6" x14ac:dyDescent="0.25">
      <c r="A2" s="64" t="s">
        <v>493</v>
      </c>
      <c r="C2" s="135">
        <v>62.542744999999996</v>
      </c>
      <c r="D2" s="2">
        <f>+Financials!I5</f>
        <v>61.27</v>
      </c>
      <c r="F2" s="54">
        <f>+B30</f>
        <v>1306262</v>
      </c>
    </row>
    <row r="3" spans="1:6" x14ac:dyDescent="0.25">
      <c r="A3" t="s">
        <v>494</v>
      </c>
      <c r="B3" s="3">
        <v>50000000</v>
      </c>
      <c r="D3" s="5">
        <f>B3*D2</f>
        <v>3063500000</v>
      </c>
      <c r="E3" s="3">
        <f>ROUND(D3/D2+0.49,0)</f>
        <v>50000000</v>
      </c>
    </row>
    <row r="4" spans="1:6" x14ac:dyDescent="0.25">
      <c r="A4" t="s">
        <v>495</v>
      </c>
      <c r="D4" s="56">
        <f>1400000000+1027000000+500000</f>
        <v>2427500000</v>
      </c>
      <c r="E4" s="265">
        <f>ROUND(D4/D2+0.49,0)</f>
        <v>39619717</v>
      </c>
    </row>
    <row r="5" spans="1:6" x14ac:dyDescent="0.25">
      <c r="A5" t="s">
        <v>496</v>
      </c>
      <c r="D5" s="4">
        <f>D3-D4</f>
        <v>636000000</v>
      </c>
      <c r="E5" s="54">
        <f>E3-E4</f>
        <v>10380283</v>
      </c>
    </row>
    <row r="6" spans="1:6" x14ac:dyDescent="0.25">
      <c r="A6" t="s">
        <v>497</v>
      </c>
      <c r="D6" s="2"/>
    </row>
    <row r="7" spans="1:6" x14ac:dyDescent="0.25">
      <c r="A7" t="s">
        <v>498</v>
      </c>
      <c r="B7" s="3">
        <v>3876755</v>
      </c>
      <c r="D7" s="4">
        <f>+B7*D2</f>
        <v>237528778.85000002</v>
      </c>
      <c r="E7" s="3">
        <v>3876755</v>
      </c>
    </row>
    <row r="8" spans="1:6" x14ac:dyDescent="0.25">
      <c r="A8" t="s">
        <v>499</v>
      </c>
      <c r="B8" s="3">
        <v>7809790</v>
      </c>
      <c r="D8" s="4">
        <f>+B8*D2</f>
        <v>478505833.30000001</v>
      </c>
      <c r="E8" s="3">
        <v>7809790</v>
      </c>
    </row>
    <row r="9" spans="1:6" x14ac:dyDescent="0.25">
      <c r="A9" t="s">
        <v>500</v>
      </c>
      <c r="B9" s="3">
        <v>6326045</v>
      </c>
      <c r="D9" s="56">
        <f>+B9*D2</f>
        <v>387596777.15000004</v>
      </c>
      <c r="E9" s="265">
        <v>6326045</v>
      </c>
    </row>
    <row r="10" spans="1:6" x14ac:dyDescent="0.25">
      <c r="B10" s="3">
        <f>+B7+B8+B9</f>
        <v>18012590</v>
      </c>
      <c r="D10" s="2"/>
    </row>
    <row r="11" spans="1:6" ht="16.5" thickBot="1" x14ac:dyDescent="0.3">
      <c r="A11" t="s">
        <v>27</v>
      </c>
      <c r="D11" s="57">
        <f>D5-SUM(D7:D9)</f>
        <v>-467631389.30000019</v>
      </c>
      <c r="E11" s="266">
        <f>E5-SUM(E7:E9)</f>
        <v>-7632307</v>
      </c>
    </row>
    <row r="12" spans="1:6" ht="16.5" thickTop="1" x14ac:dyDescent="0.25">
      <c r="A12" s="3"/>
      <c r="D12" s="136"/>
      <c r="E12" s="54"/>
      <c r="F12" s="3"/>
    </row>
    <row r="13" spans="1:6" x14ac:dyDescent="0.25">
      <c r="D13" s="5"/>
      <c r="E13" s="135"/>
      <c r="F13" s="3"/>
    </row>
    <row r="14" spans="1:6" x14ac:dyDescent="0.25">
      <c r="A14" t="s">
        <v>508</v>
      </c>
      <c r="B14" s="3">
        <f>IF(E11&gt;0,B8,IF(B9&gt;-E11,E8,+B9+B8+E11))</f>
        <v>6503528</v>
      </c>
      <c r="D14" s="5"/>
      <c r="E14" s="54"/>
      <c r="F14" s="3"/>
    </row>
    <row r="17" spans="1:6" x14ac:dyDescent="0.25">
      <c r="A17" t="s">
        <v>501</v>
      </c>
      <c r="B17" s="3">
        <f>+Financials!D15</f>
        <v>7809790</v>
      </c>
      <c r="C17" s="2">
        <f>+Financials!E15</f>
        <v>68.75</v>
      </c>
      <c r="D17" s="4">
        <f>+Financials!B15</f>
        <v>536923062.5</v>
      </c>
    </row>
    <row r="18" spans="1:6" x14ac:dyDescent="0.25">
      <c r="A18" t="s">
        <v>502</v>
      </c>
      <c r="D18" s="4">
        <f>+Financials!B17</f>
        <v>-186923062.5</v>
      </c>
      <c r="E18" s="267">
        <f>-D18/D17</f>
        <v>0.34813751830598633</v>
      </c>
    </row>
    <row r="19" spans="1:6" x14ac:dyDescent="0.25">
      <c r="D19" s="4">
        <f>+D17+D18</f>
        <v>350000000</v>
      </c>
    </row>
    <row r="20" spans="1:6" x14ac:dyDescent="0.25">
      <c r="A20" t="s">
        <v>503</v>
      </c>
      <c r="D20" s="4">
        <f>+Financials!I15</f>
        <v>43700734.246575341</v>
      </c>
      <c r="E20" s="267">
        <f>(+Financials!H2-Financials!A3)/(3*365)</f>
        <v>0.23378995433789954</v>
      </c>
      <c r="F20">
        <f>+D18*E20+D20</f>
        <v>0</v>
      </c>
    </row>
    <row r="21" spans="1:6" x14ac:dyDescent="0.25">
      <c r="A21" t="s">
        <v>504</v>
      </c>
      <c r="D21" s="4">
        <f>+D19+D20</f>
        <v>393700734.24657536</v>
      </c>
      <c r="E21" s="267">
        <f>+D21/D17</f>
        <v>0.73325353620207989</v>
      </c>
    </row>
    <row r="22" spans="1:6" x14ac:dyDescent="0.25">
      <c r="D22" s="4"/>
    </row>
    <row r="23" spans="1:6" x14ac:dyDescent="0.25">
      <c r="A23" t="s">
        <v>505</v>
      </c>
      <c r="B23" s="3">
        <f>+B14</f>
        <v>6503528</v>
      </c>
      <c r="C23" s="2">
        <f>+C17</f>
        <v>68.75</v>
      </c>
      <c r="D23" s="4">
        <f>+B23*C23</f>
        <v>447117550</v>
      </c>
    </row>
    <row r="24" spans="1:6" x14ac:dyDescent="0.25">
      <c r="A24" t="s">
        <v>502</v>
      </c>
      <c r="D24" s="4">
        <f>D18/D17*D23</f>
        <v>-155658394.24805275</v>
      </c>
      <c r="E24" s="267">
        <f>-D24/D23</f>
        <v>0.34813751830598633</v>
      </c>
    </row>
    <row r="25" spans="1:6" x14ac:dyDescent="0.25">
      <c r="D25" s="4">
        <f>+D23+D24</f>
        <v>291459155.75194728</v>
      </c>
    </row>
    <row r="26" spans="1:6" x14ac:dyDescent="0.25">
      <c r="A26" t="s">
        <v>503</v>
      </c>
      <c r="D26" s="4">
        <f>-D24*E20</f>
        <v>36391368.883563012</v>
      </c>
      <c r="E26" s="267">
        <f>+E20</f>
        <v>0.23378995433789954</v>
      </c>
      <c r="F26">
        <f>+D24*E26+D26</f>
        <v>0</v>
      </c>
    </row>
    <row r="27" spans="1:6" x14ac:dyDescent="0.25">
      <c r="A27" t="s">
        <v>506</v>
      </c>
      <c r="D27" s="4">
        <f>+D25+D26</f>
        <v>327850524.63551033</v>
      </c>
      <c r="E27" s="267">
        <f>+D27/D23</f>
        <v>0.73325353620208</v>
      </c>
    </row>
    <row r="28" spans="1:6" x14ac:dyDescent="0.25">
      <c r="A28" t="s">
        <v>163</v>
      </c>
      <c r="D28" s="268">
        <f>+Financials!M10-D27</f>
        <v>0</v>
      </c>
      <c r="E28" s="267"/>
    </row>
    <row r="29" spans="1:6" x14ac:dyDescent="0.25">
      <c r="D29" s="4"/>
    </row>
    <row r="30" spans="1:6" x14ac:dyDescent="0.25">
      <c r="A30" t="s">
        <v>507</v>
      </c>
      <c r="B30" s="3">
        <f>+B17-B23</f>
        <v>1306262</v>
      </c>
      <c r="D30" s="4">
        <f>+D21-D27</f>
        <v>65850209.61106503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0"/>
  <sheetViews>
    <sheetView workbookViewId="0"/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9.625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3.5" hidden="1" customWidth="1"/>
    <col min="47" max="47" width="10.625" hidden="1" customWidth="1"/>
    <col min="48" max="48" width="14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2.625" hidden="1" customWidth="1"/>
    <col min="57" max="57" width="10.625" hidden="1" customWidth="1"/>
    <col min="58" max="58" width="12.75" hidden="1" customWidth="1"/>
    <col min="59" max="59" width="9.625" hidden="1" customWidth="1"/>
    <col min="60" max="60" width="13.5" hidden="1" customWidth="1"/>
    <col min="61" max="61" width="10.625" hidden="1" customWidth="1"/>
    <col min="62" max="62" width="13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0.75" hidden="1" customWidth="1"/>
    <col min="79" max="79" width="14.37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57"/>
      <c r="B1" s="157"/>
      <c r="C1" s="157"/>
      <c r="D1" s="157"/>
      <c r="E1" s="157"/>
      <c r="F1" s="157"/>
      <c r="G1" s="157"/>
      <c r="H1" s="157"/>
      <c r="I1" s="158"/>
      <c r="J1" s="159" t="s">
        <v>226</v>
      </c>
      <c r="K1" s="159" t="s">
        <v>227</v>
      </c>
      <c r="L1" s="160"/>
      <c r="M1" s="159"/>
      <c r="N1" s="161"/>
      <c r="O1" s="160" t="s">
        <v>228</v>
      </c>
      <c r="P1" s="160" t="s">
        <v>229</v>
      </c>
      <c r="Q1" s="160" t="s">
        <v>230</v>
      </c>
      <c r="R1" s="292" t="s">
        <v>231</v>
      </c>
      <c r="S1" s="292"/>
      <c r="T1" s="292"/>
      <c r="U1" s="162" t="s">
        <v>228</v>
      </c>
      <c r="V1" s="160" t="s">
        <v>4</v>
      </c>
      <c r="W1" s="160"/>
      <c r="X1" s="163"/>
      <c r="Y1" s="160"/>
      <c r="Z1" s="163"/>
      <c r="AA1" s="163"/>
      <c r="AB1" s="163"/>
      <c r="AC1" s="162" t="s">
        <v>232</v>
      </c>
      <c r="AD1" s="290" t="s">
        <v>233</v>
      </c>
      <c r="AE1" s="290"/>
      <c r="AF1" s="290"/>
      <c r="AG1" s="290"/>
      <c r="AH1" s="290"/>
      <c r="AI1" s="290"/>
      <c r="AJ1" s="290"/>
      <c r="AK1" s="290"/>
      <c r="AL1" s="164"/>
      <c r="AM1" s="163"/>
      <c r="AN1" s="164"/>
      <c r="AO1" s="163"/>
      <c r="AP1" s="163"/>
      <c r="AQ1" s="163" t="s">
        <v>234</v>
      </c>
      <c r="AR1" s="161"/>
      <c r="AS1" s="160" t="s">
        <v>228</v>
      </c>
      <c r="AT1" s="290" t="s">
        <v>235</v>
      </c>
      <c r="AU1" s="290"/>
      <c r="AV1" s="290"/>
      <c r="AW1" s="290"/>
      <c r="AX1" s="290"/>
      <c r="AY1" s="290"/>
      <c r="AZ1" s="290"/>
      <c r="BA1" s="290"/>
      <c r="BB1" s="163" t="s">
        <v>226</v>
      </c>
      <c r="BC1" s="163" t="s">
        <v>227</v>
      </c>
      <c r="BD1" s="290" t="s">
        <v>236</v>
      </c>
      <c r="BE1" s="290"/>
      <c r="BF1" s="290"/>
      <c r="BG1" s="290"/>
      <c r="BH1" s="290"/>
      <c r="BI1" s="290"/>
      <c r="BJ1" s="290"/>
      <c r="BK1" s="290"/>
      <c r="BL1" s="163" t="s">
        <v>227</v>
      </c>
      <c r="BM1" s="163" t="s">
        <v>237</v>
      </c>
      <c r="BN1" s="163" t="s">
        <v>238</v>
      </c>
      <c r="BO1" s="163" t="s">
        <v>239</v>
      </c>
      <c r="BP1" s="163"/>
      <c r="BQ1" s="160"/>
      <c r="BR1" s="159"/>
      <c r="BS1" s="163"/>
      <c r="BT1" s="163" t="s">
        <v>240</v>
      </c>
      <c r="BU1" s="165" t="s">
        <v>241</v>
      </c>
      <c r="BV1" s="163"/>
      <c r="BW1" s="163" t="s">
        <v>240</v>
      </c>
      <c r="BX1" s="163" t="s">
        <v>242</v>
      </c>
      <c r="BY1" s="160"/>
      <c r="BZ1" s="160"/>
      <c r="CA1" s="160"/>
      <c r="CB1" s="160"/>
      <c r="CC1" s="160"/>
      <c r="CD1" s="160"/>
      <c r="CE1" s="160"/>
      <c r="CF1" s="160"/>
      <c r="CG1" s="287" t="s">
        <v>243</v>
      </c>
      <c r="CH1" s="287"/>
      <c r="CI1" s="287"/>
      <c r="CJ1" s="287"/>
      <c r="CK1" s="159" t="s">
        <v>244</v>
      </c>
      <c r="CL1" s="159" t="s">
        <v>245</v>
      </c>
    </row>
    <row r="2" spans="1:90" x14ac:dyDescent="0.25">
      <c r="A2" s="166"/>
      <c r="B2" s="166"/>
      <c r="C2" s="166" t="s">
        <v>246</v>
      </c>
      <c r="D2" s="166"/>
      <c r="E2" s="166"/>
      <c r="F2" s="166"/>
      <c r="G2" s="166"/>
      <c r="H2" s="166" t="s">
        <v>247</v>
      </c>
      <c r="I2" s="167"/>
      <c r="J2" s="168" t="s">
        <v>248</v>
      </c>
      <c r="K2" s="168" t="s">
        <v>248</v>
      </c>
      <c r="L2" s="169"/>
      <c r="M2" s="168" t="s">
        <v>249</v>
      </c>
      <c r="N2" s="170"/>
      <c r="O2" s="169" t="s">
        <v>135</v>
      </c>
      <c r="P2" s="169" t="s">
        <v>250</v>
      </c>
      <c r="Q2" s="169" t="s">
        <v>250</v>
      </c>
      <c r="R2" s="169"/>
      <c r="S2" s="169"/>
      <c r="T2" s="169"/>
      <c r="U2" s="171" t="s">
        <v>135</v>
      </c>
      <c r="V2" s="169" t="s">
        <v>251</v>
      </c>
      <c r="W2" s="169" t="s">
        <v>252</v>
      </c>
      <c r="X2" s="169" t="s">
        <v>253</v>
      </c>
      <c r="Y2" s="169" t="s">
        <v>55</v>
      </c>
      <c r="Z2" s="169" t="s">
        <v>252</v>
      </c>
      <c r="AA2" s="169" t="s">
        <v>253</v>
      </c>
      <c r="AB2" s="169" t="s">
        <v>55</v>
      </c>
      <c r="AC2" s="171" t="s">
        <v>228</v>
      </c>
      <c r="AD2" s="288" t="s">
        <v>254</v>
      </c>
      <c r="AE2" s="288"/>
      <c r="AF2" s="288"/>
      <c r="AG2" s="288"/>
      <c r="AH2" s="289" t="s">
        <v>255</v>
      </c>
      <c r="AI2" s="290"/>
      <c r="AJ2" s="290"/>
      <c r="AK2" s="291"/>
      <c r="AL2" s="172">
        <v>36525</v>
      </c>
      <c r="AM2" s="173" t="s">
        <v>256</v>
      </c>
      <c r="AN2" s="169" t="s">
        <v>257</v>
      </c>
      <c r="AO2" s="169" t="s">
        <v>258</v>
      </c>
      <c r="AP2" s="169" t="s">
        <v>259</v>
      </c>
      <c r="AQ2" s="169" t="s">
        <v>260</v>
      </c>
      <c r="AR2" s="170" t="s">
        <v>261</v>
      </c>
      <c r="AS2" s="169" t="s">
        <v>135</v>
      </c>
      <c r="AT2" s="288" t="s">
        <v>262</v>
      </c>
      <c r="AU2" s="288"/>
      <c r="AV2" s="288"/>
      <c r="AW2" s="288"/>
      <c r="AX2" s="288" t="s">
        <v>257</v>
      </c>
      <c r="AY2" s="288"/>
      <c r="AZ2" s="288"/>
      <c r="BA2" s="288"/>
      <c r="BB2" s="169" t="s">
        <v>260</v>
      </c>
      <c r="BC2" s="169" t="s">
        <v>260</v>
      </c>
      <c r="BD2" s="288" t="s">
        <v>262</v>
      </c>
      <c r="BE2" s="288"/>
      <c r="BF2" s="288"/>
      <c r="BG2" s="288"/>
      <c r="BH2" s="288" t="s">
        <v>257</v>
      </c>
      <c r="BI2" s="288"/>
      <c r="BJ2" s="288"/>
      <c r="BK2" s="288"/>
      <c r="BL2" s="169" t="s">
        <v>259</v>
      </c>
      <c r="BM2" s="169" t="s">
        <v>263</v>
      </c>
      <c r="BN2" s="169" t="s">
        <v>264</v>
      </c>
      <c r="BO2" s="169" t="s">
        <v>265</v>
      </c>
      <c r="BP2" s="174" t="s">
        <v>227</v>
      </c>
      <c r="BQ2" s="169" t="s">
        <v>266</v>
      </c>
      <c r="BR2" s="168" t="s">
        <v>19</v>
      </c>
      <c r="BS2" s="169" t="s">
        <v>267</v>
      </c>
      <c r="BT2" s="169" t="s">
        <v>245</v>
      </c>
      <c r="BU2" s="175" t="s">
        <v>268</v>
      </c>
      <c r="BV2" s="174" t="s">
        <v>269</v>
      </c>
      <c r="BW2" s="169" t="s">
        <v>260</v>
      </c>
      <c r="BX2" s="169" t="s">
        <v>260</v>
      </c>
      <c r="BY2" s="169" t="s">
        <v>254</v>
      </c>
      <c r="BZ2" s="169" t="s">
        <v>262</v>
      </c>
      <c r="CA2" s="169" t="s">
        <v>255</v>
      </c>
      <c r="CB2" s="169" t="s">
        <v>257</v>
      </c>
      <c r="CC2" s="169" t="s">
        <v>254</v>
      </c>
      <c r="CD2" s="169" t="s">
        <v>262</v>
      </c>
      <c r="CE2" s="169" t="s">
        <v>255</v>
      </c>
      <c r="CF2" s="169" t="s">
        <v>257</v>
      </c>
      <c r="CG2" s="288" t="s">
        <v>270</v>
      </c>
      <c r="CH2" s="288"/>
      <c r="CI2" s="288"/>
      <c r="CJ2" s="288"/>
      <c r="CK2" s="168" t="s">
        <v>271</v>
      </c>
      <c r="CL2" s="168" t="s">
        <v>244</v>
      </c>
    </row>
    <row r="3" spans="1:90" x14ac:dyDescent="0.25">
      <c r="A3" s="176" t="s">
        <v>272</v>
      </c>
      <c r="B3" s="176" t="s">
        <v>273</v>
      </c>
      <c r="C3" s="176" t="s">
        <v>274</v>
      </c>
      <c r="D3" s="176" t="s">
        <v>275</v>
      </c>
      <c r="E3" s="176" t="s">
        <v>252</v>
      </c>
      <c r="F3" s="176" t="s">
        <v>140</v>
      </c>
      <c r="G3" s="176" t="s">
        <v>249</v>
      </c>
      <c r="H3" s="176" t="s">
        <v>276</v>
      </c>
      <c r="I3" s="177" t="s">
        <v>267</v>
      </c>
      <c r="J3" s="178" t="s">
        <v>277</v>
      </c>
      <c r="K3" s="178" t="s">
        <v>277</v>
      </c>
      <c r="L3" s="179" t="s">
        <v>258</v>
      </c>
      <c r="M3" s="178" t="s">
        <v>278</v>
      </c>
      <c r="N3" s="178" t="s">
        <v>261</v>
      </c>
      <c r="O3" s="179" t="s">
        <v>279</v>
      </c>
      <c r="P3" s="179" t="s">
        <v>279</v>
      </c>
      <c r="Q3" s="179" t="s">
        <v>279</v>
      </c>
      <c r="R3" s="180" t="s">
        <v>280</v>
      </c>
      <c r="S3" s="180" t="s">
        <v>280</v>
      </c>
      <c r="T3" s="180" t="s">
        <v>280</v>
      </c>
      <c r="U3" s="181">
        <v>36962</v>
      </c>
      <c r="V3" s="180" t="s">
        <v>281</v>
      </c>
      <c r="W3" s="180" t="s">
        <v>7</v>
      </c>
      <c r="X3" s="180" t="s">
        <v>7</v>
      </c>
      <c r="Y3" s="180" t="s">
        <v>7</v>
      </c>
      <c r="Z3" s="180" t="s">
        <v>282</v>
      </c>
      <c r="AA3" s="180" t="s">
        <v>282</v>
      </c>
      <c r="AB3" s="180" t="s">
        <v>282</v>
      </c>
      <c r="AC3" s="181" t="s">
        <v>135</v>
      </c>
      <c r="AD3" s="182" t="s">
        <v>283</v>
      </c>
      <c r="AE3" s="182" t="s">
        <v>284</v>
      </c>
      <c r="AF3" s="182" t="s">
        <v>285</v>
      </c>
      <c r="AG3" s="182" t="s">
        <v>286</v>
      </c>
      <c r="AH3" s="183" t="s">
        <v>283</v>
      </c>
      <c r="AI3" s="182" t="s">
        <v>284</v>
      </c>
      <c r="AJ3" s="182" t="s">
        <v>285</v>
      </c>
      <c r="AK3" s="184" t="s">
        <v>286</v>
      </c>
      <c r="AL3" s="182" t="s">
        <v>287</v>
      </c>
      <c r="AM3" s="180" t="s">
        <v>288</v>
      </c>
      <c r="AN3" s="180" t="s">
        <v>289</v>
      </c>
      <c r="AO3" s="180" t="s">
        <v>290</v>
      </c>
      <c r="AP3" s="180" t="s">
        <v>288</v>
      </c>
      <c r="AQ3" s="180" t="s">
        <v>291</v>
      </c>
      <c r="AR3" s="185" t="s">
        <v>290</v>
      </c>
      <c r="AS3" s="179" t="s">
        <v>292</v>
      </c>
      <c r="AT3" s="182" t="s">
        <v>283</v>
      </c>
      <c r="AU3" s="182" t="s">
        <v>284</v>
      </c>
      <c r="AV3" s="182" t="s">
        <v>285</v>
      </c>
      <c r="AW3" s="182" t="s">
        <v>286</v>
      </c>
      <c r="AX3" s="182" t="s">
        <v>283</v>
      </c>
      <c r="AY3" s="182" t="s">
        <v>284</v>
      </c>
      <c r="AZ3" s="182" t="s">
        <v>285</v>
      </c>
      <c r="BA3" s="182" t="s">
        <v>286</v>
      </c>
      <c r="BB3" s="179" t="s">
        <v>279</v>
      </c>
      <c r="BC3" s="179" t="s">
        <v>279</v>
      </c>
      <c r="BD3" s="182" t="s">
        <v>283</v>
      </c>
      <c r="BE3" s="182" t="s">
        <v>284</v>
      </c>
      <c r="BF3" s="182" t="s">
        <v>285</v>
      </c>
      <c r="BG3" s="182" t="s">
        <v>286</v>
      </c>
      <c r="BH3" s="182" t="s">
        <v>283</v>
      </c>
      <c r="BI3" s="182" t="s">
        <v>284</v>
      </c>
      <c r="BJ3" s="182" t="s">
        <v>285</v>
      </c>
      <c r="BK3" s="182" t="s">
        <v>286</v>
      </c>
      <c r="BL3" s="180" t="s">
        <v>288</v>
      </c>
      <c r="BM3" s="180" t="s">
        <v>293</v>
      </c>
      <c r="BN3" s="180" t="s">
        <v>294</v>
      </c>
      <c r="BO3" s="180" t="s">
        <v>295</v>
      </c>
      <c r="BP3" s="182" t="s">
        <v>285</v>
      </c>
      <c r="BQ3" s="179" t="s">
        <v>279</v>
      </c>
      <c r="BR3" s="178" t="s">
        <v>296</v>
      </c>
      <c r="BS3" s="179" t="s">
        <v>276</v>
      </c>
      <c r="BT3" s="179" t="s">
        <v>289</v>
      </c>
      <c r="BU3" s="186" t="s">
        <v>297</v>
      </c>
      <c r="BV3" s="182" t="s">
        <v>298</v>
      </c>
      <c r="BW3" s="179" t="s">
        <v>299</v>
      </c>
      <c r="BX3" s="179" t="s">
        <v>299</v>
      </c>
      <c r="BY3" s="179" t="s">
        <v>300</v>
      </c>
      <c r="BZ3" s="179" t="s">
        <v>300</v>
      </c>
      <c r="CA3" s="179" t="s">
        <v>300</v>
      </c>
      <c r="CB3" s="179" t="s">
        <v>300</v>
      </c>
      <c r="CC3" s="179" t="s">
        <v>301</v>
      </c>
      <c r="CD3" s="179" t="s">
        <v>301</v>
      </c>
      <c r="CE3" s="179" t="s">
        <v>301</v>
      </c>
      <c r="CF3" s="179" t="s">
        <v>301</v>
      </c>
      <c r="CG3" s="182" t="s">
        <v>283</v>
      </c>
      <c r="CH3" s="182" t="s">
        <v>284</v>
      </c>
      <c r="CI3" s="182" t="s">
        <v>285</v>
      </c>
      <c r="CJ3" s="182" t="s">
        <v>286</v>
      </c>
      <c r="CK3" s="178" t="s">
        <v>278</v>
      </c>
      <c r="CL3" s="178" t="s">
        <v>278</v>
      </c>
    </row>
    <row r="4" spans="1:90" outlineLevel="3" x14ac:dyDescent="0.25">
      <c r="A4" s="129" t="s">
        <v>302</v>
      </c>
      <c r="B4" s="129" t="s">
        <v>303</v>
      </c>
      <c r="C4" s="129" t="s">
        <v>304</v>
      </c>
      <c r="D4" s="129" t="s">
        <v>305</v>
      </c>
      <c r="E4" s="129" t="s">
        <v>306</v>
      </c>
      <c r="F4" s="129" t="s">
        <v>307</v>
      </c>
      <c r="G4" s="129" t="s">
        <v>308</v>
      </c>
      <c r="H4" s="129" t="s">
        <v>309</v>
      </c>
      <c r="I4" s="187" t="s">
        <v>310</v>
      </c>
      <c r="J4" s="188">
        <v>1</v>
      </c>
      <c r="K4" s="189">
        <v>1</v>
      </c>
      <c r="L4" s="190">
        <v>0</v>
      </c>
      <c r="M4" s="191">
        <v>0</v>
      </c>
      <c r="N4" s="191">
        <v>1</v>
      </c>
      <c r="O4" s="190">
        <v>5540833.9500000002</v>
      </c>
      <c r="P4" s="192">
        <v>5540833.9500000002</v>
      </c>
      <c r="Q4" s="193">
        <v>0</v>
      </c>
      <c r="R4" s="193" t="s">
        <v>311</v>
      </c>
      <c r="S4" s="254">
        <v>1</v>
      </c>
      <c r="T4" s="193">
        <v>0</v>
      </c>
      <c r="U4" s="194">
        <v>5540833.9500000002</v>
      </c>
      <c r="V4" s="190" t="s">
        <v>312</v>
      </c>
      <c r="W4" s="190">
        <v>0</v>
      </c>
      <c r="X4" s="190">
        <v>0</v>
      </c>
      <c r="Y4" s="190">
        <v>0</v>
      </c>
      <c r="Z4" s="190">
        <v>0</v>
      </c>
      <c r="AA4" s="190">
        <v>0</v>
      </c>
      <c r="AB4" s="190">
        <v>0</v>
      </c>
      <c r="AC4" s="194">
        <v>5540833.9500000002</v>
      </c>
      <c r="AD4" s="190">
        <v>0</v>
      </c>
      <c r="AE4" s="190">
        <v>0</v>
      </c>
      <c r="AF4" s="190">
        <v>0</v>
      </c>
      <c r="AG4" s="190">
        <v>0</v>
      </c>
      <c r="AH4" s="195">
        <v>0</v>
      </c>
      <c r="AI4" s="190">
        <v>0</v>
      </c>
      <c r="AJ4" s="190">
        <v>0</v>
      </c>
      <c r="AK4" s="196">
        <v>0</v>
      </c>
      <c r="AL4" s="197">
        <v>0</v>
      </c>
      <c r="AM4" s="190">
        <v>5407002.8799999999</v>
      </c>
      <c r="AN4" s="191">
        <v>0</v>
      </c>
      <c r="AO4" s="197">
        <v>0</v>
      </c>
      <c r="AP4" s="190">
        <v>5407002.8799999999</v>
      </c>
      <c r="AQ4" s="198">
        <v>1</v>
      </c>
      <c r="AR4" s="190">
        <v>5540833.9500000002</v>
      </c>
      <c r="AS4" s="190">
        <v>5540833.9500000002</v>
      </c>
      <c r="AT4" s="190">
        <v>0</v>
      </c>
      <c r="AU4" s="190">
        <v>0</v>
      </c>
      <c r="AV4" s="190">
        <v>0</v>
      </c>
      <c r="AW4" s="190">
        <v>0</v>
      </c>
      <c r="AX4" s="190">
        <v>0</v>
      </c>
      <c r="AY4" s="190">
        <v>0</v>
      </c>
      <c r="AZ4" s="190">
        <v>0</v>
      </c>
      <c r="BA4" s="190">
        <v>0</v>
      </c>
      <c r="BB4" s="190" t="s">
        <v>307</v>
      </c>
      <c r="BC4" s="190" t="s">
        <v>307</v>
      </c>
      <c r="BD4" s="190">
        <v>0</v>
      </c>
      <c r="BE4" s="190">
        <v>0</v>
      </c>
      <c r="BF4" s="190">
        <v>0</v>
      </c>
      <c r="BG4" s="190">
        <v>0</v>
      </c>
      <c r="BH4" s="190">
        <v>0</v>
      </c>
      <c r="BI4" s="190">
        <v>0</v>
      </c>
      <c r="BJ4" s="190">
        <v>0</v>
      </c>
      <c r="BK4" s="190">
        <v>0</v>
      </c>
      <c r="BL4" s="190">
        <v>5407002.8799999999</v>
      </c>
      <c r="BM4" s="190" t="s">
        <v>313</v>
      </c>
      <c r="BN4" s="190">
        <v>0</v>
      </c>
      <c r="BO4" s="190" t="b">
        <v>0</v>
      </c>
      <c r="BP4" s="190">
        <v>0</v>
      </c>
      <c r="BQ4" s="199">
        <v>0</v>
      </c>
      <c r="BR4" s="191">
        <v>0</v>
      </c>
      <c r="BS4" s="200">
        <v>77</v>
      </c>
      <c r="BT4" s="191">
        <v>0</v>
      </c>
      <c r="BU4" s="201">
        <v>0</v>
      </c>
      <c r="BV4" s="191">
        <v>95</v>
      </c>
      <c r="BW4" s="202">
        <v>0</v>
      </c>
      <c r="BX4" s="202">
        <v>0</v>
      </c>
      <c r="BY4" s="190">
        <v>0</v>
      </c>
      <c r="BZ4" s="190">
        <v>0</v>
      </c>
      <c r="CA4" s="190">
        <v>133831.07</v>
      </c>
      <c r="CB4" s="190">
        <v>133831.07</v>
      </c>
      <c r="CC4" s="190">
        <v>0</v>
      </c>
      <c r="CD4" s="190">
        <v>0</v>
      </c>
      <c r="CE4" s="190">
        <v>0</v>
      </c>
      <c r="CF4" s="190">
        <v>0</v>
      </c>
      <c r="CG4" s="190">
        <v>0</v>
      </c>
      <c r="CH4" s="190">
        <v>0</v>
      </c>
      <c r="CI4" s="190">
        <v>0</v>
      </c>
      <c r="CJ4" s="190">
        <v>0</v>
      </c>
      <c r="CK4" s="191">
        <v>0</v>
      </c>
      <c r="CL4" s="191">
        <v>0</v>
      </c>
    </row>
    <row r="5" spans="1:90" s="221" customFormat="1" ht="20.100000000000001" customHeight="1" outlineLevel="2" x14ac:dyDescent="0.25">
      <c r="A5" s="203" t="s">
        <v>314</v>
      </c>
      <c r="B5" s="204"/>
      <c r="C5" s="204"/>
      <c r="D5" s="204"/>
      <c r="E5" s="204"/>
      <c r="F5" s="204"/>
      <c r="G5" s="204"/>
      <c r="H5" s="204"/>
      <c r="I5" s="205"/>
      <c r="J5" s="206"/>
      <c r="K5" s="207"/>
      <c r="L5" s="208"/>
      <c r="M5" s="209"/>
      <c r="N5" s="209"/>
      <c r="O5" s="208"/>
      <c r="P5" s="210"/>
      <c r="Q5" s="211"/>
      <c r="R5" s="211">
        <v>0</v>
      </c>
      <c r="S5" s="256">
        <v>1</v>
      </c>
      <c r="T5" s="211">
        <v>0</v>
      </c>
      <c r="U5" s="212">
        <v>5540833.9500000002</v>
      </c>
      <c r="V5" s="208"/>
      <c r="W5" s="208">
        <v>0</v>
      </c>
      <c r="X5" s="208">
        <v>0</v>
      </c>
      <c r="Y5" s="208">
        <v>0</v>
      </c>
      <c r="Z5" s="208">
        <v>0</v>
      </c>
      <c r="AA5" s="208">
        <v>0</v>
      </c>
      <c r="AB5" s="208">
        <v>0</v>
      </c>
      <c r="AC5" s="212">
        <v>5540833.9500000002</v>
      </c>
      <c r="AD5" s="208">
        <v>0</v>
      </c>
      <c r="AE5" s="208">
        <v>0</v>
      </c>
      <c r="AF5" s="208">
        <v>0</v>
      </c>
      <c r="AG5" s="208">
        <v>0</v>
      </c>
      <c r="AH5" s="213">
        <v>0</v>
      </c>
      <c r="AI5" s="208">
        <v>0</v>
      </c>
      <c r="AJ5" s="208">
        <v>0</v>
      </c>
      <c r="AK5" s="214">
        <v>0</v>
      </c>
      <c r="AL5" s="215"/>
      <c r="AM5" s="208">
        <v>5407002.8799999999</v>
      </c>
      <c r="AN5" s="209"/>
      <c r="AO5" s="215"/>
      <c r="AP5" s="208">
        <v>5407002.8799999999</v>
      </c>
      <c r="AQ5" s="216"/>
      <c r="AR5" s="208"/>
      <c r="AS5" s="208"/>
      <c r="AT5" s="208">
        <v>0</v>
      </c>
      <c r="AU5" s="208">
        <v>0</v>
      </c>
      <c r="AV5" s="208">
        <v>0</v>
      </c>
      <c r="AW5" s="208">
        <v>0</v>
      </c>
      <c r="AX5" s="208">
        <v>0</v>
      </c>
      <c r="AY5" s="208">
        <v>0</v>
      </c>
      <c r="AZ5" s="208">
        <v>0</v>
      </c>
      <c r="BA5" s="208">
        <v>0</v>
      </c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17"/>
      <c r="BR5" s="209"/>
      <c r="BS5" s="218"/>
      <c r="BT5" s="209"/>
      <c r="BU5" s="219"/>
      <c r="BV5" s="209"/>
      <c r="BW5" s="220"/>
      <c r="BX5" s="220"/>
      <c r="BY5" s="208"/>
      <c r="BZ5" s="208"/>
      <c r="CA5" s="208">
        <v>133831.07</v>
      </c>
      <c r="CB5" s="208"/>
      <c r="CC5" s="208"/>
      <c r="CD5" s="208"/>
      <c r="CE5" s="208"/>
      <c r="CF5" s="208"/>
      <c r="CG5" s="208"/>
      <c r="CH5" s="208"/>
      <c r="CI5" s="208"/>
      <c r="CJ5" s="208"/>
      <c r="CK5" s="209"/>
      <c r="CL5" s="209"/>
    </row>
    <row r="6" spans="1:90" s="236" customFormat="1" ht="30" customHeight="1" outlineLevel="1" x14ac:dyDescent="0.25">
      <c r="A6" s="204"/>
      <c r="B6" s="203" t="s">
        <v>315</v>
      </c>
      <c r="C6" s="204"/>
      <c r="D6" s="204"/>
      <c r="E6" s="204"/>
      <c r="F6" s="204"/>
      <c r="G6" s="204"/>
      <c r="H6" s="204"/>
      <c r="I6" s="205"/>
      <c r="J6" s="222"/>
      <c r="K6" s="222"/>
      <c r="L6" s="223"/>
      <c r="M6" s="224"/>
      <c r="N6" s="224"/>
      <c r="O6" s="223"/>
      <c r="P6" s="225"/>
      <c r="Q6" s="226"/>
      <c r="R6" s="226">
        <v>0</v>
      </c>
      <c r="S6" s="257">
        <v>1</v>
      </c>
      <c r="T6" s="226">
        <v>0</v>
      </c>
      <c r="U6" s="227">
        <v>5540833.9500000002</v>
      </c>
      <c r="V6" s="223"/>
      <c r="W6" s="223">
        <v>0</v>
      </c>
      <c r="X6" s="223">
        <v>0</v>
      </c>
      <c r="Y6" s="223">
        <v>0</v>
      </c>
      <c r="Z6" s="223">
        <v>0</v>
      </c>
      <c r="AA6" s="223">
        <v>0</v>
      </c>
      <c r="AB6" s="223">
        <v>0</v>
      </c>
      <c r="AC6" s="227">
        <v>5540833.9500000002</v>
      </c>
      <c r="AD6" s="223">
        <v>0</v>
      </c>
      <c r="AE6" s="223">
        <v>0</v>
      </c>
      <c r="AF6" s="223">
        <v>0</v>
      </c>
      <c r="AG6" s="223">
        <v>0</v>
      </c>
      <c r="AH6" s="228">
        <v>0</v>
      </c>
      <c r="AI6" s="223">
        <v>0</v>
      </c>
      <c r="AJ6" s="223">
        <v>0</v>
      </c>
      <c r="AK6" s="229">
        <v>0</v>
      </c>
      <c r="AL6" s="230"/>
      <c r="AM6" s="223">
        <v>5407002.8799999999</v>
      </c>
      <c r="AN6" s="224"/>
      <c r="AO6" s="230"/>
      <c r="AP6" s="223">
        <v>5407002.8799999999</v>
      </c>
      <c r="AQ6" s="231"/>
      <c r="AR6" s="223"/>
      <c r="AS6" s="223"/>
      <c r="AT6" s="223">
        <v>0</v>
      </c>
      <c r="AU6" s="223">
        <v>0</v>
      </c>
      <c r="AV6" s="223">
        <v>0</v>
      </c>
      <c r="AW6" s="223">
        <v>0</v>
      </c>
      <c r="AX6" s="223">
        <v>0</v>
      </c>
      <c r="AY6" s="223">
        <v>0</v>
      </c>
      <c r="AZ6" s="223">
        <v>0</v>
      </c>
      <c r="BA6" s="223">
        <v>0</v>
      </c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3"/>
      <c r="BN6" s="223"/>
      <c r="BO6" s="223"/>
      <c r="BP6" s="223"/>
      <c r="BQ6" s="232"/>
      <c r="BR6" s="224"/>
      <c r="BS6" s="233"/>
      <c r="BT6" s="224"/>
      <c r="BU6" s="234"/>
      <c r="BV6" s="224"/>
      <c r="BW6" s="235"/>
      <c r="BX6" s="235"/>
      <c r="BY6" s="223"/>
      <c r="BZ6" s="223"/>
      <c r="CA6" s="223">
        <v>133831.07</v>
      </c>
      <c r="CB6" s="223"/>
      <c r="CC6" s="223"/>
      <c r="CD6" s="223"/>
      <c r="CE6" s="223"/>
      <c r="CF6" s="223"/>
      <c r="CG6" s="223"/>
      <c r="CH6" s="223"/>
      <c r="CI6" s="223"/>
      <c r="CJ6" s="223"/>
      <c r="CK6" s="224"/>
      <c r="CL6" s="224"/>
    </row>
    <row r="7" spans="1:90" outlineLevel="3" x14ac:dyDescent="0.25">
      <c r="A7" s="129" t="s">
        <v>316</v>
      </c>
      <c r="B7" s="129" t="s">
        <v>317</v>
      </c>
      <c r="C7" s="129" t="s">
        <v>318</v>
      </c>
      <c r="D7" s="129" t="s">
        <v>319</v>
      </c>
      <c r="E7" s="129" t="s">
        <v>320</v>
      </c>
      <c r="F7" s="129" t="s">
        <v>321</v>
      </c>
      <c r="G7" s="129" t="s">
        <v>322</v>
      </c>
      <c r="H7" s="129" t="s">
        <v>323</v>
      </c>
      <c r="I7" s="187" t="s">
        <v>310</v>
      </c>
      <c r="J7" s="189">
        <v>1092426</v>
      </c>
      <c r="K7" s="189">
        <v>1092426</v>
      </c>
      <c r="L7" s="191">
        <v>0</v>
      </c>
      <c r="M7" s="191">
        <v>0</v>
      </c>
      <c r="N7" s="191">
        <v>1</v>
      </c>
      <c r="O7" s="190">
        <v>10.3125</v>
      </c>
      <c r="P7" s="192">
        <v>13.9375</v>
      </c>
      <c r="Q7" s="192">
        <v>-3.625</v>
      </c>
      <c r="R7" s="193">
        <v>0</v>
      </c>
      <c r="S7" s="254">
        <v>1</v>
      </c>
      <c r="T7" s="193">
        <v>0</v>
      </c>
      <c r="U7" s="194">
        <v>11265643.125</v>
      </c>
      <c r="V7" s="190" t="s">
        <v>312</v>
      </c>
      <c r="W7" s="190">
        <v>0</v>
      </c>
      <c r="X7" s="190">
        <v>0</v>
      </c>
      <c r="Y7" s="190">
        <v>0</v>
      </c>
      <c r="Z7" s="190">
        <v>0</v>
      </c>
      <c r="AA7" s="190">
        <v>0</v>
      </c>
      <c r="AB7" s="190">
        <v>0</v>
      </c>
      <c r="AC7" s="194">
        <v>15225687.375</v>
      </c>
      <c r="AD7" s="190">
        <v>-3960044.25</v>
      </c>
      <c r="AE7" s="190">
        <v>0</v>
      </c>
      <c r="AF7" s="190">
        <v>3960044.25</v>
      </c>
      <c r="AG7" s="190">
        <v>0</v>
      </c>
      <c r="AH7" s="195">
        <v>-15629533.141666666</v>
      </c>
      <c r="AI7" s="190">
        <v>0</v>
      </c>
      <c r="AJ7" s="190">
        <v>15629533.141666666</v>
      </c>
      <c r="AK7" s="196">
        <v>0</v>
      </c>
      <c r="AL7" s="197">
        <v>0</v>
      </c>
      <c r="AM7" s="190">
        <v>26925615.25</v>
      </c>
      <c r="AN7" s="191">
        <v>0</v>
      </c>
      <c r="AO7" s="197">
        <v>0</v>
      </c>
      <c r="AP7" s="190">
        <v>104012148.25</v>
      </c>
      <c r="AQ7" s="198">
        <v>1</v>
      </c>
      <c r="AR7" s="190">
        <v>11265643.125</v>
      </c>
      <c r="AS7" s="190">
        <v>10.3125</v>
      </c>
      <c r="AT7" s="190">
        <v>-5189023.5</v>
      </c>
      <c r="AU7" s="190">
        <v>0</v>
      </c>
      <c r="AV7" s="190">
        <v>5189023.5</v>
      </c>
      <c r="AW7" s="190">
        <v>0</v>
      </c>
      <c r="AX7" s="190">
        <v>-15629533.141666666</v>
      </c>
      <c r="AY7" s="190">
        <v>0</v>
      </c>
      <c r="AZ7" s="190">
        <v>15629533.141666666</v>
      </c>
      <c r="BA7" s="190">
        <v>0</v>
      </c>
      <c r="BB7" s="190">
        <v>10.3125</v>
      </c>
      <c r="BC7" s="190">
        <v>13.9375</v>
      </c>
      <c r="BD7" s="190">
        <v>-1228979.25</v>
      </c>
      <c r="BE7" s="190">
        <v>0</v>
      </c>
      <c r="BF7" s="190">
        <v>1228979.25</v>
      </c>
      <c r="BG7" s="190">
        <v>0</v>
      </c>
      <c r="BH7" s="190">
        <v>-11669488.891666666</v>
      </c>
      <c r="BI7" s="190">
        <v>0</v>
      </c>
      <c r="BJ7" s="190">
        <v>11669488.891666666</v>
      </c>
      <c r="BK7" s="190">
        <v>0</v>
      </c>
      <c r="BL7" s="190">
        <v>104012148.25</v>
      </c>
      <c r="BM7" s="190" t="s">
        <v>324</v>
      </c>
      <c r="BN7" s="190">
        <v>0</v>
      </c>
      <c r="BO7" s="190" t="b">
        <v>0</v>
      </c>
      <c r="BP7" s="190">
        <v>11669488.891666666</v>
      </c>
      <c r="BQ7" s="192">
        <v>3</v>
      </c>
      <c r="BR7" s="191">
        <v>3277278</v>
      </c>
      <c r="BS7" s="200">
        <v>58</v>
      </c>
      <c r="BT7" s="191">
        <v>-3960044.25</v>
      </c>
      <c r="BU7" s="201">
        <v>0</v>
      </c>
      <c r="BV7" s="191">
        <v>47</v>
      </c>
      <c r="BW7" s="202">
        <v>10.3125</v>
      </c>
      <c r="BX7" s="202">
        <v>0</v>
      </c>
      <c r="BY7" s="190">
        <v>0</v>
      </c>
      <c r="BZ7" s="190">
        <v>0</v>
      </c>
      <c r="CA7" s="190">
        <v>-30438.983333333301</v>
      </c>
      <c r="CB7" s="190">
        <v>-30438.983333333301</v>
      </c>
      <c r="CC7" s="190">
        <v>0</v>
      </c>
      <c r="CD7" s="190">
        <v>0</v>
      </c>
      <c r="CE7" s="190">
        <v>0</v>
      </c>
      <c r="CF7" s="190">
        <v>0</v>
      </c>
      <c r="CG7" s="190">
        <v>-11669488.891666666</v>
      </c>
      <c r="CH7" s="190">
        <v>0</v>
      </c>
      <c r="CI7" s="190">
        <v>11669488.891666666</v>
      </c>
      <c r="CJ7" s="190">
        <v>0</v>
      </c>
      <c r="CK7" s="191">
        <v>0</v>
      </c>
      <c r="CL7" s="191">
        <v>0</v>
      </c>
    </row>
    <row r="8" spans="1:90" s="221" customFormat="1" ht="20.100000000000001" customHeight="1" outlineLevel="2" x14ac:dyDescent="0.25">
      <c r="A8" s="204" t="s">
        <v>325</v>
      </c>
      <c r="B8" s="204"/>
      <c r="C8" s="204"/>
      <c r="D8" s="204"/>
      <c r="E8" s="204"/>
      <c r="F8" s="204"/>
      <c r="G8" s="204"/>
      <c r="H8" s="204"/>
      <c r="I8" s="205"/>
      <c r="J8" s="207"/>
      <c r="K8" s="207"/>
      <c r="L8" s="209"/>
      <c r="M8" s="209"/>
      <c r="N8" s="209"/>
      <c r="O8" s="208"/>
      <c r="P8" s="210"/>
      <c r="Q8" s="210"/>
      <c r="R8" s="211">
        <v>0</v>
      </c>
      <c r="S8" s="256">
        <v>1</v>
      </c>
      <c r="T8" s="211">
        <v>0</v>
      </c>
      <c r="U8" s="212">
        <v>11265643.125</v>
      </c>
      <c r="V8" s="208"/>
      <c r="W8" s="208">
        <v>0</v>
      </c>
      <c r="X8" s="208">
        <v>0</v>
      </c>
      <c r="Y8" s="208">
        <v>0</v>
      </c>
      <c r="Z8" s="208">
        <v>0</v>
      </c>
      <c r="AA8" s="208">
        <v>0</v>
      </c>
      <c r="AB8" s="208">
        <v>0</v>
      </c>
      <c r="AC8" s="212">
        <v>15225687.375</v>
      </c>
      <c r="AD8" s="208">
        <v>-3960044.25</v>
      </c>
      <c r="AE8" s="208">
        <v>0</v>
      </c>
      <c r="AF8" s="208">
        <v>3960044.25</v>
      </c>
      <c r="AG8" s="208">
        <v>0</v>
      </c>
      <c r="AH8" s="213">
        <v>-15629533.141666666</v>
      </c>
      <c r="AI8" s="208">
        <v>0</v>
      </c>
      <c r="AJ8" s="208">
        <v>15629533.141666666</v>
      </c>
      <c r="AK8" s="214">
        <v>0</v>
      </c>
      <c r="AL8" s="215"/>
      <c r="AM8" s="208">
        <v>26925615.25</v>
      </c>
      <c r="AN8" s="209"/>
      <c r="AO8" s="215"/>
      <c r="AP8" s="208">
        <v>104012148.25</v>
      </c>
      <c r="AQ8" s="216"/>
      <c r="AR8" s="208"/>
      <c r="AS8" s="208"/>
      <c r="AT8" s="208">
        <v>-5189023.5</v>
      </c>
      <c r="AU8" s="208">
        <v>0</v>
      </c>
      <c r="AV8" s="208">
        <v>5189023.5</v>
      </c>
      <c r="AW8" s="208">
        <v>0</v>
      </c>
      <c r="AX8" s="208">
        <v>-15629533.141666666</v>
      </c>
      <c r="AY8" s="208">
        <v>0</v>
      </c>
      <c r="AZ8" s="208">
        <v>15629533.141666666</v>
      </c>
      <c r="BA8" s="208">
        <v>0</v>
      </c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10"/>
      <c r="BR8" s="209"/>
      <c r="BS8" s="218"/>
      <c r="BT8" s="209"/>
      <c r="BU8" s="219"/>
      <c r="BV8" s="209"/>
      <c r="BW8" s="220"/>
      <c r="BX8" s="220"/>
      <c r="BY8" s="208"/>
      <c r="BZ8" s="208"/>
      <c r="CA8" s="208">
        <v>-30438.983333333301</v>
      </c>
      <c r="CB8" s="208"/>
      <c r="CC8" s="208"/>
      <c r="CD8" s="208"/>
      <c r="CE8" s="208"/>
      <c r="CF8" s="208"/>
      <c r="CG8" s="208"/>
      <c r="CH8" s="208"/>
      <c r="CI8" s="208"/>
      <c r="CJ8" s="208"/>
      <c r="CK8" s="209"/>
      <c r="CL8" s="209"/>
    </row>
    <row r="9" spans="1:90" s="236" customFormat="1" ht="30" customHeight="1" outlineLevel="1" x14ac:dyDescent="0.25">
      <c r="A9" s="204"/>
      <c r="B9" s="204" t="s">
        <v>326</v>
      </c>
      <c r="C9" s="204"/>
      <c r="D9" s="204"/>
      <c r="E9" s="204"/>
      <c r="F9" s="204"/>
      <c r="G9" s="204"/>
      <c r="H9" s="204"/>
      <c r="I9" s="205"/>
      <c r="J9" s="222"/>
      <c r="K9" s="222"/>
      <c r="L9" s="224"/>
      <c r="M9" s="224"/>
      <c r="N9" s="224"/>
      <c r="O9" s="223"/>
      <c r="P9" s="225"/>
      <c r="Q9" s="225"/>
      <c r="R9" s="226">
        <v>0</v>
      </c>
      <c r="S9" s="257">
        <v>1</v>
      </c>
      <c r="T9" s="226">
        <v>0</v>
      </c>
      <c r="U9" s="227">
        <v>11265643.125</v>
      </c>
      <c r="V9" s="223"/>
      <c r="W9" s="223">
        <v>0</v>
      </c>
      <c r="X9" s="223">
        <v>0</v>
      </c>
      <c r="Y9" s="223">
        <v>0</v>
      </c>
      <c r="Z9" s="223">
        <v>0</v>
      </c>
      <c r="AA9" s="223">
        <v>0</v>
      </c>
      <c r="AB9" s="223">
        <v>0</v>
      </c>
      <c r="AC9" s="227">
        <v>15225687.375</v>
      </c>
      <c r="AD9" s="223">
        <v>-3960044.25</v>
      </c>
      <c r="AE9" s="223">
        <v>0</v>
      </c>
      <c r="AF9" s="223">
        <v>3960044.25</v>
      </c>
      <c r="AG9" s="223">
        <v>0</v>
      </c>
      <c r="AH9" s="228">
        <v>-15629533.141666666</v>
      </c>
      <c r="AI9" s="223">
        <v>0</v>
      </c>
      <c r="AJ9" s="223">
        <v>15629533.141666666</v>
      </c>
      <c r="AK9" s="229">
        <v>0</v>
      </c>
      <c r="AL9" s="230"/>
      <c r="AM9" s="223">
        <v>26925615.25</v>
      </c>
      <c r="AN9" s="224"/>
      <c r="AO9" s="230"/>
      <c r="AP9" s="223">
        <v>104012148.25</v>
      </c>
      <c r="AQ9" s="231"/>
      <c r="AR9" s="223"/>
      <c r="AS9" s="223"/>
      <c r="AT9" s="223">
        <v>-5189023.5</v>
      </c>
      <c r="AU9" s="223">
        <v>0</v>
      </c>
      <c r="AV9" s="223">
        <v>5189023.5</v>
      </c>
      <c r="AW9" s="223">
        <v>0</v>
      </c>
      <c r="AX9" s="223">
        <v>-15629533.141666666</v>
      </c>
      <c r="AY9" s="223">
        <v>0</v>
      </c>
      <c r="AZ9" s="223">
        <v>15629533.141666666</v>
      </c>
      <c r="BA9" s="223">
        <v>0</v>
      </c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3"/>
      <c r="BN9" s="223"/>
      <c r="BO9" s="223"/>
      <c r="BP9" s="223"/>
      <c r="BQ9" s="225"/>
      <c r="BR9" s="224"/>
      <c r="BS9" s="233"/>
      <c r="BT9" s="224"/>
      <c r="BU9" s="234"/>
      <c r="BV9" s="224"/>
      <c r="BW9" s="235"/>
      <c r="BX9" s="235"/>
      <c r="BY9" s="223"/>
      <c r="BZ9" s="223"/>
      <c r="CA9" s="223">
        <v>-30438.983333333301</v>
      </c>
      <c r="CB9" s="223"/>
      <c r="CC9" s="223"/>
      <c r="CD9" s="223"/>
      <c r="CE9" s="223"/>
      <c r="CF9" s="223"/>
      <c r="CG9" s="223"/>
      <c r="CH9" s="223"/>
      <c r="CI9" s="223"/>
      <c r="CJ9" s="223"/>
      <c r="CK9" s="224"/>
      <c r="CL9" s="224"/>
    </row>
    <row r="10" spans="1:90" outlineLevel="3" x14ac:dyDescent="0.25">
      <c r="A10" s="129" t="s">
        <v>327</v>
      </c>
      <c r="B10" s="129" t="s">
        <v>328</v>
      </c>
      <c r="C10" s="129" t="s">
        <v>342</v>
      </c>
      <c r="D10" s="129" t="s">
        <v>343</v>
      </c>
      <c r="E10" s="129" t="s">
        <v>331</v>
      </c>
      <c r="F10" s="129" t="s">
        <v>307</v>
      </c>
      <c r="G10" s="129" t="s">
        <v>332</v>
      </c>
      <c r="H10" s="129" t="s">
        <v>309</v>
      </c>
      <c r="I10" s="187" t="s">
        <v>333</v>
      </c>
      <c r="J10" s="189">
        <v>1</v>
      </c>
      <c r="K10" s="189">
        <v>1</v>
      </c>
      <c r="L10" s="191">
        <v>0</v>
      </c>
      <c r="M10" s="191">
        <v>0</v>
      </c>
      <c r="N10" s="191">
        <v>0</v>
      </c>
      <c r="O10" s="190">
        <v>4731610.54</v>
      </c>
      <c r="P10" s="191">
        <v>4731610.54</v>
      </c>
      <c r="Q10" s="191">
        <v>0</v>
      </c>
      <c r="R10" s="193" t="s">
        <v>334</v>
      </c>
      <c r="S10" s="254">
        <v>1</v>
      </c>
      <c r="T10" s="193">
        <v>0</v>
      </c>
      <c r="U10" s="194">
        <v>4731610.54</v>
      </c>
      <c r="V10" s="190" t="s">
        <v>312</v>
      </c>
      <c r="W10" s="190">
        <v>0</v>
      </c>
      <c r="X10" s="190">
        <v>0</v>
      </c>
      <c r="Y10" s="190">
        <v>0</v>
      </c>
      <c r="Z10" s="190">
        <v>0</v>
      </c>
      <c r="AA10" s="190">
        <v>0</v>
      </c>
      <c r="AB10" s="190">
        <v>0</v>
      </c>
      <c r="AC10" s="194">
        <v>4731610.54</v>
      </c>
      <c r="AD10" s="190">
        <v>0</v>
      </c>
      <c r="AE10" s="190">
        <v>0</v>
      </c>
      <c r="AF10" s="190">
        <v>0</v>
      </c>
      <c r="AG10" s="190">
        <v>0</v>
      </c>
      <c r="AH10" s="195">
        <v>0</v>
      </c>
      <c r="AI10" s="190">
        <v>0</v>
      </c>
      <c r="AJ10" s="190">
        <v>0</v>
      </c>
      <c r="AK10" s="196">
        <v>0</v>
      </c>
      <c r="AL10" s="197">
        <v>0</v>
      </c>
      <c r="AM10" s="190">
        <v>4663184</v>
      </c>
      <c r="AN10" s="191">
        <v>0</v>
      </c>
      <c r="AO10" s="197">
        <v>0</v>
      </c>
      <c r="AP10" s="190">
        <v>4663184</v>
      </c>
      <c r="AQ10" s="198">
        <v>1</v>
      </c>
      <c r="AR10" s="190">
        <v>0</v>
      </c>
      <c r="AS10" s="190">
        <v>4731610.54</v>
      </c>
      <c r="AT10" s="190">
        <v>0</v>
      </c>
      <c r="AU10" s="190">
        <v>0</v>
      </c>
      <c r="AV10" s="190">
        <v>0</v>
      </c>
      <c r="AW10" s="190">
        <v>0</v>
      </c>
      <c r="AX10" s="190">
        <v>0</v>
      </c>
      <c r="AY10" s="190">
        <v>0</v>
      </c>
      <c r="AZ10" s="190">
        <v>0</v>
      </c>
      <c r="BA10" s="190">
        <v>0</v>
      </c>
      <c r="BB10" s="190" t="s">
        <v>307</v>
      </c>
      <c r="BC10" s="190" t="s">
        <v>307</v>
      </c>
      <c r="BD10" s="190">
        <v>0</v>
      </c>
      <c r="BE10" s="190">
        <v>0</v>
      </c>
      <c r="BF10" s="190">
        <v>0</v>
      </c>
      <c r="BG10" s="190">
        <v>0</v>
      </c>
      <c r="BH10" s="190">
        <v>0</v>
      </c>
      <c r="BI10" s="190">
        <v>0</v>
      </c>
      <c r="BJ10" s="190">
        <v>0</v>
      </c>
      <c r="BK10" s="190">
        <v>0</v>
      </c>
      <c r="BL10" s="190">
        <v>4663184</v>
      </c>
      <c r="BM10" s="190" t="s">
        <v>313</v>
      </c>
      <c r="BN10" s="190">
        <v>0</v>
      </c>
      <c r="BO10" s="190" t="b">
        <v>0</v>
      </c>
      <c r="BP10" s="190">
        <v>0</v>
      </c>
      <c r="BQ10" s="192">
        <v>0</v>
      </c>
      <c r="BR10" s="191">
        <v>0</v>
      </c>
      <c r="BS10" s="200">
        <v>79</v>
      </c>
      <c r="BT10" s="191">
        <v>0</v>
      </c>
      <c r="BU10" s="201">
        <v>0</v>
      </c>
      <c r="BV10" s="191">
        <v>116</v>
      </c>
      <c r="BW10" s="202">
        <v>0</v>
      </c>
      <c r="BX10" s="202">
        <v>0</v>
      </c>
      <c r="BY10" s="190">
        <v>0</v>
      </c>
      <c r="BZ10" s="190">
        <v>0</v>
      </c>
      <c r="CA10" s="190">
        <v>68426.539999999994</v>
      </c>
      <c r="CB10" s="190">
        <v>68426.539999999994</v>
      </c>
      <c r="CC10" s="190">
        <v>0</v>
      </c>
      <c r="CD10" s="190">
        <v>0</v>
      </c>
      <c r="CE10" s="190">
        <v>0</v>
      </c>
      <c r="CF10" s="190">
        <v>0</v>
      </c>
      <c r="CG10" s="190">
        <v>0</v>
      </c>
      <c r="CH10" s="190">
        <v>0</v>
      </c>
      <c r="CI10" s="190">
        <v>0</v>
      </c>
      <c r="CJ10" s="190">
        <v>0</v>
      </c>
      <c r="CK10" s="191">
        <v>0</v>
      </c>
      <c r="CL10" s="191">
        <v>0</v>
      </c>
    </row>
    <row r="11" spans="1:90" outlineLevel="3" x14ac:dyDescent="0.25">
      <c r="A11" s="129" t="s">
        <v>327</v>
      </c>
      <c r="B11" s="129" t="s">
        <v>328</v>
      </c>
      <c r="C11" s="129" t="s">
        <v>329</v>
      </c>
      <c r="D11" s="129" t="s">
        <v>330</v>
      </c>
      <c r="E11" s="129" t="s">
        <v>335</v>
      </c>
      <c r="F11" s="129" t="s">
        <v>307</v>
      </c>
      <c r="G11" s="129" t="s">
        <v>336</v>
      </c>
      <c r="H11" s="129" t="s">
        <v>309</v>
      </c>
      <c r="I11" s="187" t="s">
        <v>333</v>
      </c>
      <c r="J11" s="189">
        <v>1</v>
      </c>
      <c r="K11" s="189">
        <v>1</v>
      </c>
      <c r="L11" s="191">
        <v>0</v>
      </c>
      <c r="M11" s="191">
        <v>0</v>
      </c>
      <c r="N11" s="191">
        <v>0</v>
      </c>
      <c r="O11" s="190">
        <v>21605090</v>
      </c>
      <c r="P11" s="191">
        <v>21605090</v>
      </c>
      <c r="Q11" s="191">
        <v>0</v>
      </c>
      <c r="R11" s="193" t="s">
        <v>337</v>
      </c>
      <c r="S11" s="258">
        <v>1</v>
      </c>
      <c r="T11" s="193">
        <v>0</v>
      </c>
      <c r="U11" s="194">
        <v>21605090</v>
      </c>
      <c r="V11" s="190" t="s">
        <v>312</v>
      </c>
      <c r="W11" s="190">
        <v>0</v>
      </c>
      <c r="X11" s="190">
        <v>0</v>
      </c>
      <c r="Y11" s="190">
        <v>0</v>
      </c>
      <c r="Z11" s="190">
        <v>0</v>
      </c>
      <c r="AA11" s="190">
        <v>0</v>
      </c>
      <c r="AB11" s="190">
        <v>0</v>
      </c>
      <c r="AC11" s="194">
        <v>21605090</v>
      </c>
      <c r="AD11" s="190">
        <v>0</v>
      </c>
      <c r="AE11" s="190">
        <v>0</v>
      </c>
      <c r="AF11" s="190">
        <v>0</v>
      </c>
      <c r="AG11" s="190">
        <v>0</v>
      </c>
      <c r="AH11" s="195">
        <v>0</v>
      </c>
      <c r="AI11" s="190">
        <v>0</v>
      </c>
      <c r="AJ11" s="190">
        <v>0</v>
      </c>
      <c r="AK11" s="196">
        <v>0</v>
      </c>
      <c r="AL11" s="197">
        <v>0</v>
      </c>
      <c r="AM11" s="190">
        <v>21605090</v>
      </c>
      <c r="AN11" s="191">
        <v>0</v>
      </c>
      <c r="AO11" s="197">
        <v>0</v>
      </c>
      <c r="AP11" s="190">
        <v>21605090</v>
      </c>
      <c r="AQ11" s="198">
        <v>1</v>
      </c>
      <c r="AR11" s="190">
        <v>0</v>
      </c>
      <c r="AS11" s="190">
        <v>21605090</v>
      </c>
      <c r="AT11" s="190">
        <v>0</v>
      </c>
      <c r="AU11" s="190">
        <v>0</v>
      </c>
      <c r="AV11" s="190">
        <v>0</v>
      </c>
      <c r="AW11" s="190">
        <v>0</v>
      </c>
      <c r="AX11" s="190">
        <v>0</v>
      </c>
      <c r="AY11" s="190">
        <v>0</v>
      </c>
      <c r="AZ11" s="190">
        <v>0</v>
      </c>
      <c r="BA11" s="190">
        <v>0</v>
      </c>
      <c r="BB11" s="190" t="s">
        <v>307</v>
      </c>
      <c r="BC11" s="190" t="s">
        <v>307</v>
      </c>
      <c r="BD11" s="190">
        <v>0</v>
      </c>
      <c r="BE11" s="190">
        <v>0</v>
      </c>
      <c r="BF11" s="190">
        <v>0</v>
      </c>
      <c r="BG11" s="190">
        <v>0</v>
      </c>
      <c r="BH11" s="190">
        <v>0</v>
      </c>
      <c r="BI11" s="190">
        <v>0</v>
      </c>
      <c r="BJ11" s="190">
        <v>0</v>
      </c>
      <c r="BK11" s="190">
        <v>0</v>
      </c>
      <c r="BL11" s="190">
        <v>21605090</v>
      </c>
      <c r="BM11" s="190" t="s">
        <v>313</v>
      </c>
      <c r="BN11" s="190">
        <v>0</v>
      </c>
      <c r="BO11" s="190" t="b">
        <v>0</v>
      </c>
      <c r="BP11" s="190">
        <v>0</v>
      </c>
      <c r="BQ11" s="192">
        <v>0</v>
      </c>
      <c r="BR11" s="191">
        <v>0</v>
      </c>
      <c r="BS11" s="200">
        <v>79</v>
      </c>
      <c r="BT11" s="191">
        <v>0</v>
      </c>
      <c r="BU11" s="201">
        <v>0</v>
      </c>
      <c r="BV11" s="191">
        <v>139</v>
      </c>
      <c r="BW11" s="202">
        <v>0</v>
      </c>
      <c r="BX11" s="202">
        <v>0</v>
      </c>
      <c r="BY11" s="190">
        <v>0</v>
      </c>
      <c r="BZ11" s="190">
        <v>0</v>
      </c>
      <c r="CA11" s="190">
        <v>0</v>
      </c>
      <c r="CB11" s="190">
        <v>0</v>
      </c>
      <c r="CC11" s="190">
        <v>0</v>
      </c>
      <c r="CD11" s="190">
        <v>0</v>
      </c>
      <c r="CE11" s="190">
        <v>0</v>
      </c>
      <c r="CF11" s="190">
        <v>0</v>
      </c>
      <c r="CG11" s="190">
        <v>0</v>
      </c>
      <c r="CH11" s="190">
        <v>0</v>
      </c>
      <c r="CI11" s="190">
        <v>0</v>
      </c>
      <c r="CJ11" s="190">
        <v>0</v>
      </c>
      <c r="CK11" s="191">
        <v>0</v>
      </c>
      <c r="CL11" s="191">
        <v>0</v>
      </c>
    </row>
    <row r="12" spans="1:90" outlineLevel="3" x14ac:dyDescent="0.25">
      <c r="A12" s="129" t="s">
        <v>327</v>
      </c>
      <c r="B12" s="129" t="s">
        <v>328</v>
      </c>
      <c r="C12" s="129" t="s">
        <v>329</v>
      </c>
      <c r="D12" s="129" t="s">
        <v>330</v>
      </c>
      <c r="E12" s="129" t="s">
        <v>338</v>
      </c>
      <c r="F12" s="129" t="s">
        <v>307</v>
      </c>
      <c r="G12" s="129" t="s">
        <v>336</v>
      </c>
      <c r="H12" s="129" t="s">
        <v>309</v>
      </c>
      <c r="I12" s="187" t="s">
        <v>333</v>
      </c>
      <c r="J12" s="189">
        <v>1</v>
      </c>
      <c r="K12" s="189">
        <v>1</v>
      </c>
      <c r="L12" s="191">
        <v>0</v>
      </c>
      <c r="M12" s="191">
        <v>0</v>
      </c>
      <c r="N12" s="191">
        <v>0</v>
      </c>
      <c r="O12" s="190">
        <v>1954995.27</v>
      </c>
      <c r="P12" s="191">
        <v>1954995.27</v>
      </c>
      <c r="Q12" s="191">
        <v>0</v>
      </c>
      <c r="R12" s="193" t="s">
        <v>337</v>
      </c>
      <c r="S12" s="258">
        <v>1</v>
      </c>
      <c r="T12" s="193">
        <v>0</v>
      </c>
      <c r="U12" s="194">
        <v>1954995.27</v>
      </c>
      <c r="V12" s="190" t="s">
        <v>312</v>
      </c>
      <c r="W12" s="190">
        <v>0</v>
      </c>
      <c r="X12" s="190">
        <v>0</v>
      </c>
      <c r="Y12" s="190">
        <v>0</v>
      </c>
      <c r="Z12" s="190">
        <v>0</v>
      </c>
      <c r="AA12" s="190">
        <v>0</v>
      </c>
      <c r="AB12" s="190">
        <v>0</v>
      </c>
      <c r="AC12" s="194">
        <v>1954995.27</v>
      </c>
      <c r="AD12" s="190">
        <v>0</v>
      </c>
      <c r="AE12" s="190">
        <v>0</v>
      </c>
      <c r="AF12" s="190">
        <v>0</v>
      </c>
      <c r="AG12" s="190">
        <v>0</v>
      </c>
      <c r="AH12" s="195">
        <v>0</v>
      </c>
      <c r="AI12" s="190">
        <v>0</v>
      </c>
      <c r="AJ12" s="190">
        <v>0</v>
      </c>
      <c r="AK12" s="196">
        <v>0</v>
      </c>
      <c r="AL12" s="197">
        <v>0</v>
      </c>
      <c r="AM12" s="190">
        <v>1954995.27</v>
      </c>
      <c r="AN12" s="191">
        <v>0</v>
      </c>
      <c r="AO12" s="197">
        <v>0</v>
      </c>
      <c r="AP12" s="190">
        <v>1954995.27</v>
      </c>
      <c r="AQ12" s="198">
        <v>1</v>
      </c>
      <c r="AR12" s="190">
        <v>0</v>
      </c>
      <c r="AS12" s="190">
        <v>1954995.27</v>
      </c>
      <c r="AT12" s="190">
        <v>0</v>
      </c>
      <c r="AU12" s="190">
        <v>0</v>
      </c>
      <c r="AV12" s="190">
        <v>0</v>
      </c>
      <c r="AW12" s="190">
        <v>0</v>
      </c>
      <c r="AX12" s="190">
        <v>0</v>
      </c>
      <c r="AY12" s="190">
        <v>0</v>
      </c>
      <c r="AZ12" s="190">
        <v>0</v>
      </c>
      <c r="BA12" s="190">
        <v>0</v>
      </c>
      <c r="BB12" s="190" t="s">
        <v>307</v>
      </c>
      <c r="BC12" s="190" t="s">
        <v>307</v>
      </c>
      <c r="BD12" s="190">
        <v>0</v>
      </c>
      <c r="BE12" s="190">
        <v>0</v>
      </c>
      <c r="BF12" s="190">
        <v>0</v>
      </c>
      <c r="BG12" s="190">
        <v>0</v>
      </c>
      <c r="BH12" s="190">
        <v>0</v>
      </c>
      <c r="BI12" s="190">
        <v>0</v>
      </c>
      <c r="BJ12" s="190">
        <v>0</v>
      </c>
      <c r="BK12" s="190">
        <v>0</v>
      </c>
      <c r="BL12" s="190">
        <v>1954995.27</v>
      </c>
      <c r="BM12" s="190" t="s">
        <v>313</v>
      </c>
      <c r="BN12" s="190">
        <v>0</v>
      </c>
      <c r="BO12" s="190" t="b">
        <v>0</v>
      </c>
      <c r="BP12" s="190">
        <v>0</v>
      </c>
      <c r="BQ12" s="192">
        <v>0</v>
      </c>
      <c r="BR12" s="191">
        <v>0</v>
      </c>
      <c r="BS12" s="200">
        <v>79</v>
      </c>
      <c r="BT12" s="191">
        <v>0</v>
      </c>
      <c r="BU12" s="201">
        <v>0</v>
      </c>
      <c r="BV12" s="191">
        <v>140</v>
      </c>
      <c r="BW12" s="202">
        <v>0</v>
      </c>
      <c r="BX12" s="202">
        <v>0</v>
      </c>
      <c r="BY12" s="190">
        <v>0</v>
      </c>
      <c r="BZ12" s="190">
        <v>0</v>
      </c>
      <c r="CA12" s="190">
        <v>0</v>
      </c>
      <c r="CB12" s="190">
        <v>0</v>
      </c>
      <c r="CC12" s="190">
        <v>0</v>
      </c>
      <c r="CD12" s="190">
        <v>0</v>
      </c>
      <c r="CE12" s="190">
        <v>0</v>
      </c>
      <c r="CF12" s="190">
        <v>0</v>
      </c>
      <c r="CG12" s="190">
        <v>0</v>
      </c>
      <c r="CH12" s="190">
        <v>0</v>
      </c>
      <c r="CI12" s="190">
        <v>0</v>
      </c>
      <c r="CJ12" s="190">
        <v>0</v>
      </c>
      <c r="CK12" s="191">
        <v>0</v>
      </c>
      <c r="CL12" s="191">
        <v>0</v>
      </c>
    </row>
    <row r="13" spans="1:90" outlineLevel="3" x14ac:dyDescent="0.25">
      <c r="A13" s="129" t="s">
        <v>327</v>
      </c>
      <c r="B13" s="129" t="s">
        <v>328</v>
      </c>
      <c r="C13" s="129" t="s">
        <v>329</v>
      </c>
      <c r="D13" s="129" t="s">
        <v>330</v>
      </c>
      <c r="E13" s="129" t="s">
        <v>339</v>
      </c>
      <c r="F13" s="129" t="s">
        <v>307</v>
      </c>
      <c r="G13" s="129" t="s">
        <v>336</v>
      </c>
      <c r="H13" s="129" t="s">
        <v>309</v>
      </c>
      <c r="I13" s="187" t="s">
        <v>333</v>
      </c>
      <c r="J13" s="189">
        <v>1</v>
      </c>
      <c r="K13" s="189">
        <v>1</v>
      </c>
      <c r="L13" s="191">
        <v>0</v>
      </c>
      <c r="M13" s="191">
        <v>0</v>
      </c>
      <c r="N13" s="191">
        <v>0</v>
      </c>
      <c r="O13" s="190">
        <v>9231875</v>
      </c>
      <c r="P13" s="191">
        <v>9231875</v>
      </c>
      <c r="Q13" s="191">
        <v>0</v>
      </c>
      <c r="R13" s="193" t="s">
        <v>340</v>
      </c>
      <c r="S13" s="258">
        <v>1</v>
      </c>
      <c r="T13" s="193">
        <v>0</v>
      </c>
      <c r="U13" s="194">
        <v>9231875</v>
      </c>
      <c r="V13" s="190" t="s">
        <v>312</v>
      </c>
      <c r="W13" s="190">
        <v>0</v>
      </c>
      <c r="X13" s="190">
        <v>0</v>
      </c>
      <c r="Y13" s="190">
        <v>0</v>
      </c>
      <c r="Z13" s="190">
        <v>0</v>
      </c>
      <c r="AA13" s="190">
        <v>0</v>
      </c>
      <c r="AB13" s="190">
        <v>0</v>
      </c>
      <c r="AC13" s="194">
        <v>9231875</v>
      </c>
      <c r="AD13" s="190">
        <v>0</v>
      </c>
      <c r="AE13" s="190">
        <v>0</v>
      </c>
      <c r="AF13" s="190">
        <v>0</v>
      </c>
      <c r="AG13" s="190">
        <v>0</v>
      </c>
      <c r="AH13" s="195">
        <v>0</v>
      </c>
      <c r="AI13" s="190">
        <v>0</v>
      </c>
      <c r="AJ13" s="190">
        <v>0</v>
      </c>
      <c r="AK13" s="196">
        <v>0</v>
      </c>
      <c r="AL13" s="197">
        <v>0</v>
      </c>
      <c r="AM13" s="190">
        <v>9231875</v>
      </c>
      <c r="AN13" s="191">
        <v>0</v>
      </c>
      <c r="AO13" s="197">
        <v>0</v>
      </c>
      <c r="AP13" s="190">
        <v>9231875</v>
      </c>
      <c r="AQ13" s="198">
        <v>1</v>
      </c>
      <c r="AR13" s="190">
        <v>0</v>
      </c>
      <c r="AS13" s="190">
        <v>9231875</v>
      </c>
      <c r="AT13" s="190">
        <v>0</v>
      </c>
      <c r="AU13" s="190">
        <v>0</v>
      </c>
      <c r="AV13" s="190">
        <v>0</v>
      </c>
      <c r="AW13" s="190">
        <v>0</v>
      </c>
      <c r="AX13" s="190">
        <v>0</v>
      </c>
      <c r="AY13" s="190">
        <v>0</v>
      </c>
      <c r="AZ13" s="190">
        <v>0</v>
      </c>
      <c r="BA13" s="190">
        <v>0</v>
      </c>
      <c r="BB13" s="190" t="s">
        <v>307</v>
      </c>
      <c r="BC13" s="190" t="s">
        <v>307</v>
      </c>
      <c r="BD13" s="190">
        <v>0</v>
      </c>
      <c r="BE13" s="190">
        <v>0</v>
      </c>
      <c r="BF13" s="190">
        <v>0</v>
      </c>
      <c r="BG13" s="190">
        <v>0</v>
      </c>
      <c r="BH13" s="190">
        <v>0</v>
      </c>
      <c r="BI13" s="190">
        <v>0</v>
      </c>
      <c r="BJ13" s="190">
        <v>0</v>
      </c>
      <c r="BK13" s="190">
        <v>0</v>
      </c>
      <c r="BL13" s="190">
        <v>9231875</v>
      </c>
      <c r="BM13" s="190" t="s">
        <v>313</v>
      </c>
      <c r="BN13" s="190">
        <v>0</v>
      </c>
      <c r="BO13" s="190" t="b">
        <v>0</v>
      </c>
      <c r="BP13" s="190">
        <v>0</v>
      </c>
      <c r="BQ13" s="192">
        <v>0</v>
      </c>
      <c r="BR13" s="191">
        <v>0</v>
      </c>
      <c r="BS13" s="200">
        <v>79</v>
      </c>
      <c r="BT13" s="191">
        <v>0</v>
      </c>
      <c r="BU13" s="201">
        <v>0</v>
      </c>
      <c r="BV13" s="191">
        <v>154</v>
      </c>
      <c r="BW13" s="202">
        <v>0</v>
      </c>
      <c r="BX13" s="202">
        <v>0</v>
      </c>
      <c r="BY13" s="190">
        <v>0</v>
      </c>
      <c r="BZ13" s="190">
        <v>0</v>
      </c>
      <c r="CA13" s="190">
        <v>0</v>
      </c>
      <c r="CB13" s="190">
        <v>0</v>
      </c>
      <c r="CC13" s="190">
        <v>0</v>
      </c>
      <c r="CD13" s="190">
        <v>0</v>
      </c>
      <c r="CE13" s="190">
        <v>0</v>
      </c>
      <c r="CF13" s="190">
        <v>0</v>
      </c>
      <c r="CG13" s="190">
        <v>0</v>
      </c>
      <c r="CH13" s="190">
        <v>0</v>
      </c>
      <c r="CI13" s="190">
        <v>0</v>
      </c>
      <c r="CJ13" s="190">
        <v>0</v>
      </c>
      <c r="CK13" s="191">
        <v>0</v>
      </c>
      <c r="CL13" s="191">
        <v>0</v>
      </c>
    </row>
    <row r="14" spans="1:90" outlineLevel="3" x14ac:dyDescent="0.25">
      <c r="A14" s="129" t="s">
        <v>327</v>
      </c>
      <c r="B14" s="129" t="s">
        <v>328</v>
      </c>
      <c r="C14" s="129" t="s">
        <v>329</v>
      </c>
      <c r="D14" s="129" t="s">
        <v>330</v>
      </c>
      <c r="E14" s="129" t="s">
        <v>341</v>
      </c>
      <c r="F14" s="129" t="s">
        <v>307</v>
      </c>
      <c r="G14" s="129" t="s">
        <v>336</v>
      </c>
      <c r="H14" s="129" t="s">
        <v>309</v>
      </c>
      <c r="I14" s="187" t="s">
        <v>333</v>
      </c>
      <c r="J14" s="189">
        <v>1</v>
      </c>
      <c r="K14" s="189">
        <v>1</v>
      </c>
      <c r="L14" s="191">
        <v>0</v>
      </c>
      <c r="M14" s="191">
        <v>0</v>
      </c>
      <c r="N14" s="191">
        <v>0</v>
      </c>
      <c r="O14" s="190">
        <v>1663862.85</v>
      </c>
      <c r="P14" s="191">
        <v>1663862.85</v>
      </c>
      <c r="Q14" s="191">
        <v>0</v>
      </c>
      <c r="R14" s="193" t="s">
        <v>340</v>
      </c>
      <c r="S14" s="258">
        <v>1</v>
      </c>
      <c r="T14" s="193">
        <v>0</v>
      </c>
      <c r="U14" s="194">
        <v>1663862.85</v>
      </c>
      <c r="V14" s="190" t="s">
        <v>312</v>
      </c>
      <c r="W14" s="190">
        <v>0</v>
      </c>
      <c r="X14" s="190">
        <v>0</v>
      </c>
      <c r="Y14" s="190">
        <v>0</v>
      </c>
      <c r="Z14" s="190">
        <v>0</v>
      </c>
      <c r="AA14" s="190">
        <v>0</v>
      </c>
      <c r="AB14" s="190">
        <v>0</v>
      </c>
      <c r="AC14" s="194">
        <v>1663862.85</v>
      </c>
      <c r="AD14" s="190">
        <v>0</v>
      </c>
      <c r="AE14" s="190">
        <v>0</v>
      </c>
      <c r="AF14" s="190">
        <v>0</v>
      </c>
      <c r="AG14" s="190">
        <v>0</v>
      </c>
      <c r="AH14" s="195">
        <v>0</v>
      </c>
      <c r="AI14" s="190">
        <v>0</v>
      </c>
      <c r="AJ14" s="190">
        <v>0</v>
      </c>
      <c r="AK14" s="196">
        <v>0</v>
      </c>
      <c r="AL14" s="197">
        <v>0</v>
      </c>
      <c r="AM14" s="190">
        <v>1663862.85</v>
      </c>
      <c r="AN14" s="191">
        <v>0</v>
      </c>
      <c r="AO14" s="197">
        <v>0</v>
      </c>
      <c r="AP14" s="190">
        <v>1663862.85</v>
      </c>
      <c r="AQ14" s="198">
        <v>1</v>
      </c>
      <c r="AR14" s="190">
        <v>0</v>
      </c>
      <c r="AS14" s="190">
        <v>1663862.85</v>
      </c>
      <c r="AT14" s="190">
        <v>0</v>
      </c>
      <c r="AU14" s="190">
        <v>0</v>
      </c>
      <c r="AV14" s="190">
        <v>0</v>
      </c>
      <c r="AW14" s="190">
        <v>0</v>
      </c>
      <c r="AX14" s="190">
        <v>0</v>
      </c>
      <c r="AY14" s="190">
        <v>0</v>
      </c>
      <c r="AZ14" s="190">
        <v>0</v>
      </c>
      <c r="BA14" s="190">
        <v>0</v>
      </c>
      <c r="BB14" s="190" t="s">
        <v>307</v>
      </c>
      <c r="BC14" s="190" t="s">
        <v>307</v>
      </c>
      <c r="BD14" s="190">
        <v>0</v>
      </c>
      <c r="BE14" s="190">
        <v>0</v>
      </c>
      <c r="BF14" s="190">
        <v>0</v>
      </c>
      <c r="BG14" s="190">
        <v>0</v>
      </c>
      <c r="BH14" s="190">
        <v>0</v>
      </c>
      <c r="BI14" s="190">
        <v>0</v>
      </c>
      <c r="BJ14" s="190">
        <v>0</v>
      </c>
      <c r="BK14" s="190">
        <v>0</v>
      </c>
      <c r="BL14" s="190">
        <v>1663862.85</v>
      </c>
      <c r="BM14" s="190" t="s">
        <v>313</v>
      </c>
      <c r="BN14" s="190">
        <v>0</v>
      </c>
      <c r="BO14" s="190" t="b">
        <v>0</v>
      </c>
      <c r="BP14" s="190">
        <v>0</v>
      </c>
      <c r="BQ14" s="192">
        <v>0</v>
      </c>
      <c r="BR14" s="191">
        <v>0</v>
      </c>
      <c r="BS14" s="200">
        <v>79</v>
      </c>
      <c r="BT14" s="191">
        <v>0</v>
      </c>
      <c r="BU14" s="201">
        <v>0</v>
      </c>
      <c r="BV14" s="191">
        <v>155</v>
      </c>
      <c r="BW14" s="202">
        <v>0</v>
      </c>
      <c r="BX14" s="202">
        <v>0</v>
      </c>
      <c r="BY14" s="190">
        <v>0</v>
      </c>
      <c r="BZ14" s="190">
        <v>0</v>
      </c>
      <c r="CA14" s="190">
        <v>0</v>
      </c>
      <c r="CB14" s="190">
        <v>0</v>
      </c>
      <c r="CC14" s="190">
        <v>0</v>
      </c>
      <c r="CD14" s="190">
        <v>0</v>
      </c>
      <c r="CE14" s="190">
        <v>0</v>
      </c>
      <c r="CF14" s="190">
        <v>0</v>
      </c>
      <c r="CG14" s="190">
        <v>0</v>
      </c>
      <c r="CH14" s="190">
        <v>0</v>
      </c>
      <c r="CI14" s="190">
        <v>0</v>
      </c>
      <c r="CJ14" s="190">
        <v>0</v>
      </c>
      <c r="CK14" s="191">
        <v>0</v>
      </c>
      <c r="CL14" s="191">
        <v>0</v>
      </c>
    </row>
    <row r="15" spans="1:90" outlineLevel="3" x14ac:dyDescent="0.25">
      <c r="A15" s="129" t="s">
        <v>327</v>
      </c>
      <c r="B15" s="129" t="s">
        <v>328</v>
      </c>
      <c r="C15" s="129" t="s">
        <v>342</v>
      </c>
      <c r="D15" s="129" t="s">
        <v>343</v>
      </c>
      <c r="E15" s="129" t="s">
        <v>344</v>
      </c>
      <c r="F15" s="129" t="s">
        <v>307</v>
      </c>
      <c r="G15" s="129" t="s">
        <v>332</v>
      </c>
      <c r="H15" s="129" t="s">
        <v>309</v>
      </c>
      <c r="I15" s="187" t="s">
        <v>333</v>
      </c>
      <c r="J15" s="189">
        <v>1</v>
      </c>
      <c r="K15" s="189">
        <v>1</v>
      </c>
      <c r="L15" s="191">
        <v>0</v>
      </c>
      <c r="M15" s="191">
        <v>0</v>
      </c>
      <c r="N15" s="191">
        <v>0</v>
      </c>
      <c r="O15" s="190">
        <v>200068.24</v>
      </c>
      <c r="P15" s="191">
        <v>200068.24</v>
      </c>
      <c r="Q15" s="191">
        <v>0</v>
      </c>
      <c r="R15" s="193" t="s">
        <v>345</v>
      </c>
      <c r="S15" s="258">
        <v>0.5</v>
      </c>
      <c r="T15" s="193">
        <v>0</v>
      </c>
      <c r="U15" s="194">
        <v>200068.24</v>
      </c>
      <c r="V15" s="190" t="s">
        <v>312</v>
      </c>
      <c r="W15" s="190">
        <v>0</v>
      </c>
      <c r="X15" s="190">
        <v>0</v>
      </c>
      <c r="Y15" s="190">
        <v>0</v>
      </c>
      <c r="Z15" s="190">
        <v>0</v>
      </c>
      <c r="AA15" s="190">
        <v>0</v>
      </c>
      <c r="AB15" s="190">
        <v>0</v>
      </c>
      <c r="AC15" s="194">
        <v>200068.24</v>
      </c>
      <c r="AD15" s="190">
        <v>0</v>
      </c>
      <c r="AE15" s="190">
        <v>0</v>
      </c>
      <c r="AF15" s="190">
        <v>0</v>
      </c>
      <c r="AG15" s="190">
        <v>0</v>
      </c>
      <c r="AH15" s="195">
        <v>0</v>
      </c>
      <c r="AI15" s="190">
        <v>0</v>
      </c>
      <c r="AJ15" s="190">
        <v>0</v>
      </c>
      <c r="AK15" s="196">
        <v>0</v>
      </c>
      <c r="AL15" s="197">
        <v>0</v>
      </c>
      <c r="AM15" s="190">
        <v>230788.38999999873</v>
      </c>
      <c r="AN15" s="191">
        <v>0</v>
      </c>
      <c r="AO15" s="197">
        <v>0</v>
      </c>
      <c r="AP15" s="190">
        <v>230788.38999999873</v>
      </c>
      <c r="AQ15" s="198">
        <v>1</v>
      </c>
      <c r="AR15" s="190">
        <v>0</v>
      </c>
      <c r="AS15" s="190">
        <v>200068.24</v>
      </c>
      <c r="AT15" s="190">
        <v>0</v>
      </c>
      <c r="AU15" s="190">
        <v>0</v>
      </c>
      <c r="AV15" s="190">
        <v>0</v>
      </c>
      <c r="AW15" s="190">
        <v>0</v>
      </c>
      <c r="AX15" s="190">
        <v>0</v>
      </c>
      <c r="AY15" s="190">
        <v>0</v>
      </c>
      <c r="AZ15" s="190">
        <v>0</v>
      </c>
      <c r="BA15" s="190">
        <v>0</v>
      </c>
      <c r="BB15" s="190" t="s">
        <v>307</v>
      </c>
      <c r="BC15" s="190" t="s">
        <v>307</v>
      </c>
      <c r="BD15" s="190">
        <v>0</v>
      </c>
      <c r="BE15" s="190">
        <v>0</v>
      </c>
      <c r="BF15" s="190">
        <v>0</v>
      </c>
      <c r="BG15" s="190">
        <v>0</v>
      </c>
      <c r="BH15" s="190">
        <v>0</v>
      </c>
      <c r="BI15" s="190">
        <v>0</v>
      </c>
      <c r="BJ15" s="190">
        <v>0</v>
      </c>
      <c r="BK15" s="190">
        <v>0</v>
      </c>
      <c r="BL15" s="190">
        <v>230788.38999999873</v>
      </c>
      <c r="BM15" s="190" t="s">
        <v>313</v>
      </c>
      <c r="BN15" s="190">
        <v>0</v>
      </c>
      <c r="BO15" s="190" t="b">
        <v>0</v>
      </c>
      <c r="BP15" s="190">
        <v>0</v>
      </c>
      <c r="BQ15" s="192">
        <v>0</v>
      </c>
      <c r="BR15" s="191">
        <v>0</v>
      </c>
      <c r="BS15" s="200">
        <v>79</v>
      </c>
      <c r="BT15" s="191">
        <v>0</v>
      </c>
      <c r="BU15" s="201">
        <v>0</v>
      </c>
      <c r="BV15" s="191">
        <v>157</v>
      </c>
      <c r="BW15" s="202">
        <v>0</v>
      </c>
      <c r="BX15" s="202">
        <v>0</v>
      </c>
      <c r="BY15" s="190">
        <v>0</v>
      </c>
      <c r="BZ15" s="190">
        <v>200068.24</v>
      </c>
      <c r="CA15" s="190">
        <v>-30720.149999999005</v>
      </c>
      <c r="CB15" s="190">
        <v>-30720.149999999005</v>
      </c>
      <c r="CC15" s="190">
        <v>0</v>
      </c>
      <c r="CD15" s="190">
        <v>0</v>
      </c>
      <c r="CE15" s="190">
        <v>0</v>
      </c>
      <c r="CF15" s="190">
        <v>0</v>
      </c>
      <c r="CG15" s="190">
        <v>0</v>
      </c>
      <c r="CH15" s="190">
        <v>0</v>
      </c>
      <c r="CI15" s="190">
        <v>0</v>
      </c>
      <c r="CJ15" s="190">
        <v>0</v>
      </c>
      <c r="CK15" s="191">
        <v>0</v>
      </c>
      <c r="CL15" s="191">
        <v>0</v>
      </c>
    </row>
    <row r="16" spans="1:90" outlineLevel="3" x14ac:dyDescent="0.25">
      <c r="A16" s="129" t="s">
        <v>327</v>
      </c>
      <c r="B16" s="129" t="s">
        <v>328</v>
      </c>
      <c r="C16" s="129" t="s">
        <v>342</v>
      </c>
      <c r="D16" s="129" t="s">
        <v>343</v>
      </c>
      <c r="E16" s="129" t="s">
        <v>346</v>
      </c>
      <c r="F16" s="129" t="s">
        <v>307</v>
      </c>
      <c r="G16" s="129" t="s">
        <v>332</v>
      </c>
      <c r="H16" s="129" t="s">
        <v>309</v>
      </c>
      <c r="I16" s="187" t="s">
        <v>333</v>
      </c>
      <c r="J16" s="189">
        <v>1</v>
      </c>
      <c r="K16" s="189">
        <v>1</v>
      </c>
      <c r="L16" s="191">
        <v>0</v>
      </c>
      <c r="M16" s="191">
        <v>0</v>
      </c>
      <c r="N16" s="191">
        <v>0</v>
      </c>
      <c r="O16" s="190">
        <v>162836.32999999999</v>
      </c>
      <c r="P16" s="191">
        <v>162836.32999999999</v>
      </c>
      <c r="Q16" s="191">
        <v>0</v>
      </c>
      <c r="R16" s="193" t="s">
        <v>345</v>
      </c>
      <c r="S16" s="258">
        <v>1</v>
      </c>
      <c r="T16" s="193">
        <v>0</v>
      </c>
      <c r="U16" s="194">
        <v>162836.32999999999</v>
      </c>
      <c r="V16" s="190" t="s">
        <v>312</v>
      </c>
      <c r="W16" s="190">
        <v>0</v>
      </c>
      <c r="X16" s="190">
        <v>0</v>
      </c>
      <c r="Y16" s="190">
        <v>0</v>
      </c>
      <c r="Z16" s="190">
        <v>0</v>
      </c>
      <c r="AA16" s="190">
        <v>0</v>
      </c>
      <c r="AB16" s="190">
        <v>0</v>
      </c>
      <c r="AC16" s="194">
        <v>162836.32999999999</v>
      </c>
      <c r="AD16" s="190">
        <v>0</v>
      </c>
      <c r="AE16" s="190">
        <v>0</v>
      </c>
      <c r="AF16" s="190">
        <v>0</v>
      </c>
      <c r="AG16" s="190">
        <v>0</v>
      </c>
      <c r="AH16" s="195">
        <v>0</v>
      </c>
      <c r="AI16" s="190">
        <v>0</v>
      </c>
      <c r="AJ16" s="190">
        <v>0</v>
      </c>
      <c r="AK16" s="196">
        <v>0</v>
      </c>
      <c r="AL16" s="197">
        <v>0</v>
      </c>
      <c r="AM16" s="190">
        <v>400561.36</v>
      </c>
      <c r="AN16" s="191">
        <v>0</v>
      </c>
      <c r="AO16" s="197">
        <v>0</v>
      </c>
      <c r="AP16" s="190">
        <v>400561.36</v>
      </c>
      <c r="AQ16" s="198">
        <v>1</v>
      </c>
      <c r="AR16" s="190">
        <v>0</v>
      </c>
      <c r="AS16" s="190">
        <v>162836.32999999999</v>
      </c>
      <c r="AT16" s="190">
        <v>0</v>
      </c>
      <c r="AU16" s="190">
        <v>0</v>
      </c>
      <c r="AV16" s="190">
        <v>0</v>
      </c>
      <c r="AW16" s="190">
        <v>0</v>
      </c>
      <c r="AX16" s="190">
        <v>0</v>
      </c>
      <c r="AY16" s="190">
        <v>0</v>
      </c>
      <c r="AZ16" s="190">
        <v>0</v>
      </c>
      <c r="BA16" s="190">
        <v>0</v>
      </c>
      <c r="BB16" s="190" t="s">
        <v>307</v>
      </c>
      <c r="BC16" s="190" t="s">
        <v>307</v>
      </c>
      <c r="BD16" s="190">
        <v>0</v>
      </c>
      <c r="BE16" s="190">
        <v>0</v>
      </c>
      <c r="BF16" s="190">
        <v>0</v>
      </c>
      <c r="BG16" s="190">
        <v>0</v>
      </c>
      <c r="BH16" s="190">
        <v>0</v>
      </c>
      <c r="BI16" s="190">
        <v>0</v>
      </c>
      <c r="BJ16" s="190">
        <v>0</v>
      </c>
      <c r="BK16" s="190">
        <v>0</v>
      </c>
      <c r="BL16" s="190">
        <v>400561.36</v>
      </c>
      <c r="BM16" s="190" t="s">
        <v>313</v>
      </c>
      <c r="BN16" s="190">
        <v>0</v>
      </c>
      <c r="BO16" s="190" t="b">
        <v>0</v>
      </c>
      <c r="BP16" s="190">
        <v>0</v>
      </c>
      <c r="BQ16" s="192">
        <v>0</v>
      </c>
      <c r="BR16" s="191">
        <v>0</v>
      </c>
      <c r="BS16" s="200">
        <v>79</v>
      </c>
      <c r="BT16" s="191">
        <v>0</v>
      </c>
      <c r="BU16" s="201">
        <v>0</v>
      </c>
      <c r="BV16" s="191">
        <v>158</v>
      </c>
      <c r="BW16" s="202">
        <v>0</v>
      </c>
      <c r="BX16" s="202">
        <v>0</v>
      </c>
      <c r="BY16" s="190">
        <v>0</v>
      </c>
      <c r="BZ16" s="190">
        <v>0</v>
      </c>
      <c r="CA16" s="190">
        <v>-237725.03</v>
      </c>
      <c r="CB16" s="190">
        <v>-237725.03</v>
      </c>
      <c r="CC16" s="190">
        <v>0</v>
      </c>
      <c r="CD16" s="190">
        <v>0</v>
      </c>
      <c r="CE16" s="190">
        <v>0</v>
      </c>
      <c r="CF16" s="190">
        <v>0</v>
      </c>
      <c r="CG16" s="190">
        <v>0</v>
      </c>
      <c r="CH16" s="190">
        <v>0</v>
      </c>
      <c r="CI16" s="190">
        <v>0</v>
      </c>
      <c r="CJ16" s="190">
        <v>0</v>
      </c>
      <c r="CK16" s="191">
        <v>0</v>
      </c>
      <c r="CL16" s="191">
        <v>0</v>
      </c>
    </row>
    <row r="17" spans="1:90" s="221" customFormat="1" ht="20.100000000000001" customHeight="1" outlineLevel="2" x14ac:dyDescent="0.25">
      <c r="A17" s="204" t="s">
        <v>347</v>
      </c>
      <c r="B17" s="204"/>
      <c r="C17" s="204"/>
      <c r="D17" s="204"/>
      <c r="E17" s="204"/>
      <c r="F17" s="204"/>
      <c r="G17" s="204"/>
      <c r="H17" s="204"/>
      <c r="I17" s="205"/>
      <c r="J17" s="207"/>
      <c r="K17" s="207"/>
      <c r="L17" s="209"/>
      <c r="M17" s="209"/>
      <c r="N17" s="209"/>
      <c r="O17" s="208"/>
      <c r="P17" s="209"/>
      <c r="Q17" s="209"/>
      <c r="R17" s="211">
        <v>0</v>
      </c>
      <c r="S17" s="259">
        <v>6.5</v>
      </c>
      <c r="T17" s="211">
        <v>0</v>
      </c>
      <c r="U17" s="212">
        <v>39550338.230000004</v>
      </c>
      <c r="V17" s="208"/>
      <c r="W17" s="208">
        <v>0</v>
      </c>
      <c r="X17" s="208">
        <v>0</v>
      </c>
      <c r="Y17" s="208">
        <v>0</v>
      </c>
      <c r="Z17" s="208">
        <v>0</v>
      </c>
      <c r="AA17" s="208">
        <v>0</v>
      </c>
      <c r="AB17" s="208">
        <v>0</v>
      </c>
      <c r="AC17" s="212">
        <v>39550338.230000004</v>
      </c>
      <c r="AD17" s="208">
        <v>0</v>
      </c>
      <c r="AE17" s="208">
        <v>0</v>
      </c>
      <c r="AF17" s="208">
        <v>0</v>
      </c>
      <c r="AG17" s="208">
        <v>0</v>
      </c>
      <c r="AH17" s="213">
        <v>0</v>
      </c>
      <c r="AI17" s="208">
        <v>0</v>
      </c>
      <c r="AJ17" s="208">
        <v>0</v>
      </c>
      <c r="AK17" s="214">
        <v>0</v>
      </c>
      <c r="AL17" s="215"/>
      <c r="AM17" s="208">
        <v>39750356.869999997</v>
      </c>
      <c r="AN17" s="209"/>
      <c r="AO17" s="215"/>
      <c r="AP17" s="208">
        <v>39750356.869999997</v>
      </c>
      <c r="AQ17" s="216"/>
      <c r="AR17" s="208"/>
      <c r="AS17" s="208"/>
      <c r="AT17" s="208">
        <v>0</v>
      </c>
      <c r="AU17" s="208">
        <v>0</v>
      </c>
      <c r="AV17" s="208">
        <v>0</v>
      </c>
      <c r="AW17" s="208">
        <v>0</v>
      </c>
      <c r="AX17" s="208">
        <v>0</v>
      </c>
      <c r="AY17" s="208">
        <v>0</v>
      </c>
      <c r="AZ17" s="208">
        <v>0</v>
      </c>
      <c r="BA17" s="208">
        <v>0</v>
      </c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208"/>
      <c r="BN17" s="208"/>
      <c r="BO17" s="208"/>
      <c r="BP17" s="208"/>
      <c r="BQ17" s="210"/>
      <c r="BR17" s="209"/>
      <c r="BS17" s="218"/>
      <c r="BT17" s="209"/>
      <c r="BU17" s="219"/>
      <c r="BV17" s="209"/>
      <c r="BW17" s="220"/>
      <c r="BX17" s="220"/>
      <c r="BY17" s="208"/>
      <c r="BZ17" s="208"/>
      <c r="CA17" s="208">
        <v>-200018.63999999902</v>
      </c>
      <c r="CB17" s="208"/>
      <c r="CC17" s="208"/>
      <c r="CD17" s="208"/>
      <c r="CE17" s="208"/>
      <c r="CF17" s="208"/>
      <c r="CG17" s="208"/>
      <c r="CH17" s="208"/>
      <c r="CI17" s="208"/>
      <c r="CJ17" s="208"/>
      <c r="CK17" s="209"/>
      <c r="CL17" s="209"/>
    </row>
    <row r="18" spans="1:90" s="236" customFormat="1" ht="30" customHeight="1" outlineLevel="1" x14ac:dyDescent="0.25">
      <c r="A18" s="204"/>
      <c r="B18" s="204" t="s">
        <v>348</v>
      </c>
      <c r="C18" s="204"/>
      <c r="D18" s="204"/>
      <c r="E18" s="204"/>
      <c r="F18" s="204"/>
      <c r="G18" s="204"/>
      <c r="H18" s="204"/>
      <c r="I18" s="205"/>
      <c r="J18" s="222"/>
      <c r="K18" s="222"/>
      <c r="L18" s="224"/>
      <c r="M18" s="224"/>
      <c r="N18" s="224"/>
      <c r="O18" s="223"/>
      <c r="P18" s="224"/>
      <c r="Q18" s="224"/>
      <c r="R18" s="226">
        <v>0</v>
      </c>
      <c r="S18" s="260">
        <v>6.5</v>
      </c>
      <c r="T18" s="226">
        <v>0</v>
      </c>
      <c r="U18" s="227">
        <v>39550338.230000004</v>
      </c>
      <c r="V18" s="223"/>
      <c r="W18" s="223">
        <v>0</v>
      </c>
      <c r="X18" s="223">
        <v>0</v>
      </c>
      <c r="Y18" s="223">
        <v>0</v>
      </c>
      <c r="Z18" s="223">
        <v>0</v>
      </c>
      <c r="AA18" s="223">
        <v>0</v>
      </c>
      <c r="AB18" s="223">
        <v>0</v>
      </c>
      <c r="AC18" s="227">
        <v>39550338.230000004</v>
      </c>
      <c r="AD18" s="223">
        <v>0</v>
      </c>
      <c r="AE18" s="223">
        <v>0</v>
      </c>
      <c r="AF18" s="223">
        <v>0</v>
      </c>
      <c r="AG18" s="223">
        <v>0</v>
      </c>
      <c r="AH18" s="228">
        <v>0</v>
      </c>
      <c r="AI18" s="223">
        <v>0</v>
      </c>
      <c r="AJ18" s="223">
        <v>0</v>
      </c>
      <c r="AK18" s="229">
        <v>0</v>
      </c>
      <c r="AL18" s="230"/>
      <c r="AM18" s="223">
        <v>39750356.869999997</v>
      </c>
      <c r="AN18" s="224"/>
      <c r="AO18" s="230"/>
      <c r="AP18" s="223">
        <v>39750356.869999997</v>
      </c>
      <c r="AQ18" s="231"/>
      <c r="AR18" s="223"/>
      <c r="AS18" s="223"/>
      <c r="AT18" s="223">
        <v>0</v>
      </c>
      <c r="AU18" s="223">
        <v>0</v>
      </c>
      <c r="AV18" s="223">
        <v>0</v>
      </c>
      <c r="AW18" s="223">
        <v>0</v>
      </c>
      <c r="AX18" s="223">
        <v>0</v>
      </c>
      <c r="AY18" s="223">
        <v>0</v>
      </c>
      <c r="AZ18" s="223">
        <v>0</v>
      </c>
      <c r="BA18" s="223">
        <v>0</v>
      </c>
      <c r="BB18" s="223"/>
      <c r="BC18" s="223"/>
      <c r="BD18" s="223"/>
      <c r="BE18" s="223"/>
      <c r="BF18" s="223"/>
      <c r="BG18" s="223"/>
      <c r="BH18" s="223"/>
      <c r="BI18" s="223"/>
      <c r="BJ18" s="223"/>
      <c r="BK18" s="223"/>
      <c r="BL18" s="223"/>
      <c r="BM18" s="223"/>
      <c r="BN18" s="223"/>
      <c r="BO18" s="223"/>
      <c r="BP18" s="223"/>
      <c r="BQ18" s="225"/>
      <c r="BR18" s="224"/>
      <c r="BS18" s="233"/>
      <c r="BT18" s="224"/>
      <c r="BU18" s="234"/>
      <c r="BV18" s="224"/>
      <c r="BW18" s="235"/>
      <c r="BX18" s="235"/>
      <c r="BY18" s="223"/>
      <c r="BZ18" s="223"/>
      <c r="CA18" s="223">
        <v>-200018.63999999902</v>
      </c>
      <c r="CB18" s="223"/>
      <c r="CC18" s="223"/>
      <c r="CD18" s="223"/>
      <c r="CE18" s="223"/>
      <c r="CF18" s="223"/>
      <c r="CG18" s="223"/>
      <c r="CH18" s="223"/>
      <c r="CI18" s="223"/>
      <c r="CJ18" s="223"/>
      <c r="CK18" s="224"/>
      <c r="CL18" s="224"/>
    </row>
    <row r="19" spans="1:90" outlineLevel="3" x14ac:dyDescent="0.25">
      <c r="A19" s="129" t="s">
        <v>349</v>
      </c>
      <c r="B19" s="129" t="s">
        <v>350</v>
      </c>
      <c r="C19" s="129" t="s">
        <v>351</v>
      </c>
      <c r="D19" s="129" t="s">
        <v>352</v>
      </c>
      <c r="E19" s="129" t="s">
        <v>353</v>
      </c>
      <c r="F19" s="129" t="s">
        <v>354</v>
      </c>
      <c r="G19" s="237" t="s">
        <v>355</v>
      </c>
      <c r="H19" s="237" t="s">
        <v>356</v>
      </c>
      <c r="I19" s="187" t="s">
        <v>356</v>
      </c>
      <c r="J19" s="189">
        <v>46956</v>
      </c>
      <c r="K19" s="189">
        <v>46956</v>
      </c>
      <c r="L19" s="191">
        <v>3.1900687713562734E-2</v>
      </c>
      <c r="M19" s="191">
        <v>0</v>
      </c>
      <c r="N19" s="191">
        <v>0.41101940432348938</v>
      </c>
      <c r="O19" s="190">
        <v>2.5504560589854601</v>
      </c>
      <c r="P19" s="191">
        <v>2.8586155579726116</v>
      </c>
      <c r="Q19" s="191">
        <v>-0.30815949898715145</v>
      </c>
      <c r="R19" s="193">
        <v>0</v>
      </c>
      <c r="S19" s="254">
        <v>0</v>
      </c>
      <c r="T19" s="193">
        <v>0</v>
      </c>
      <c r="U19" s="194">
        <v>119759.21470572127</v>
      </c>
      <c r="V19" s="190" t="s">
        <v>312</v>
      </c>
      <c r="W19" s="190">
        <v>0</v>
      </c>
      <c r="X19" s="190">
        <v>0</v>
      </c>
      <c r="Y19" s="190">
        <v>0</v>
      </c>
      <c r="Z19" s="190">
        <v>0</v>
      </c>
      <c r="AA19" s="190">
        <v>0</v>
      </c>
      <c r="AB19" s="190">
        <v>0</v>
      </c>
      <c r="AC19" s="194">
        <v>134229.15214016195</v>
      </c>
      <c r="AD19" s="190">
        <v>-14469.937434440682</v>
      </c>
      <c r="AE19" s="190">
        <v>0</v>
      </c>
      <c r="AF19" s="190">
        <v>14469.937434440682</v>
      </c>
      <c r="AG19" s="190">
        <v>0</v>
      </c>
      <c r="AH19" s="195">
        <v>-7723.2328670313291</v>
      </c>
      <c r="AI19" s="190">
        <v>0</v>
      </c>
      <c r="AJ19" s="190">
        <v>7723.2328670313291</v>
      </c>
      <c r="AK19" s="196">
        <v>0</v>
      </c>
      <c r="AL19" s="197">
        <v>0</v>
      </c>
      <c r="AM19" s="190">
        <v>127482.4475727526</v>
      </c>
      <c r="AN19" s="197">
        <v>0</v>
      </c>
      <c r="AO19" s="197">
        <v>26869.095917737552</v>
      </c>
      <c r="AP19" s="190">
        <v>84870.386027040266</v>
      </c>
      <c r="AQ19" s="198">
        <v>1</v>
      </c>
      <c r="AR19" s="190">
        <v>346190.64949260943</v>
      </c>
      <c r="AS19" s="190">
        <v>17.9375</v>
      </c>
      <c r="AT19" s="190">
        <v>16957.213207922716</v>
      </c>
      <c r="AU19" s="190">
        <v>0</v>
      </c>
      <c r="AV19" s="190">
        <v>-16957.213207922716</v>
      </c>
      <c r="AW19" s="190">
        <v>0</v>
      </c>
      <c r="AX19" s="190">
        <v>-7723.2328670313291</v>
      </c>
      <c r="AY19" s="190">
        <v>0</v>
      </c>
      <c r="AZ19" s="190">
        <v>7723.2328670313291</v>
      </c>
      <c r="BA19" s="190">
        <v>0</v>
      </c>
      <c r="BB19" s="190">
        <v>17.9375</v>
      </c>
      <c r="BC19" s="190">
        <v>18.625</v>
      </c>
      <c r="BD19" s="190">
        <v>31427.150642363398</v>
      </c>
      <c r="BE19" s="190">
        <v>0</v>
      </c>
      <c r="BF19" s="190">
        <v>-31427.150642363398</v>
      </c>
      <c r="BG19" s="190">
        <v>0</v>
      </c>
      <c r="BH19" s="190">
        <v>6746.7045674093533</v>
      </c>
      <c r="BI19" s="190">
        <v>0</v>
      </c>
      <c r="BJ19" s="190">
        <v>-6746.7045674093533</v>
      </c>
      <c r="BK19" s="190">
        <v>0</v>
      </c>
      <c r="BL19" s="190">
        <v>84870.386027040266</v>
      </c>
      <c r="BM19" s="190" t="s">
        <v>324</v>
      </c>
      <c r="BN19" s="190">
        <v>0</v>
      </c>
      <c r="BO19" s="190" t="b">
        <v>0</v>
      </c>
      <c r="BP19" s="190">
        <v>-6746.7045674093533</v>
      </c>
      <c r="BQ19" s="191">
        <v>0</v>
      </c>
      <c r="BR19" s="191">
        <v>0</v>
      </c>
      <c r="BS19" s="200">
        <v>42</v>
      </c>
      <c r="BT19" s="191">
        <v>0</v>
      </c>
      <c r="BU19" s="201">
        <v>19299.827149413766</v>
      </c>
      <c r="BV19" s="191">
        <v>202</v>
      </c>
      <c r="BW19" s="202">
        <v>17.9375</v>
      </c>
      <c r="BX19" s="202">
        <v>17.9375</v>
      </c>
      <c r="BY19" s="190">
        <v>0</v>
      </c>
      <c r="BZ19" s="190">
        <v>0</v>
      </c>
      <c r="CA19" s="190">
        <v>0</v>
      </c>
      <c r="CB19" s="190">
        <v>0</v>
      </c>
      <c r="CC19" s="190">
        <v>0</v>
      </c>
      <c r="CD19" s="190">
        <v>0</v>
      </c>
      <c r="CE19" s="190">
        <v>0</v>
      </c>
      <c r="CF19" s="190">
        <v>0</v>
      </c>
      <c r="CG19" s="190">
        <v>6746.7045674093533</v>
      </c>
      <c r="CH19" s="190">
        <v>0</v>
      </c>
      <c r="CI19" s="190">
        <v>-6746.7045674093533</v>
      </c>
      <c r="CJ19" s="190">
        <v>0</v>
      </c>
      <c r="CK19" s="191">
        <v>0</v>
      </c>
      <c r="CL19" s="191">
        <v>0</v>
      </c>
    </row>
    <row r="20" spans="1:90" s="221" customFormat="1" ht="20.100000000000001" customHeight="1" outlineLevel="2" x14ac:dyDescent="0.25">
      <c r="A20" s="204" t="s">
        <v>357</v>
      </c>
      <c r="B20" s="204"/>
      <c r="C20" s="204"/>
      <c r="D20" s="204"/>
      <c r="E20" s="204"/>
      <c r="F20" s="204"/>
      <c r="G20" s="238"/>
      <c r="H20" s="238"/>
      <c r="I20" s="205"/>
      <c r="J20" s="207"/>
      <c r="K20" s="207"/>
      <c r="L20" s="209"/>
      <c r="M20" s="209"/>
      <c r="N20" s="209"/>
      <c r="O20" s="208"/>
      <c r="P20" s="209"/>
      <c r="Q20" s="209"/>
      <c r="R20" s="211">
        <v>0</v>
      </c>
      <c r="S20" s="256">
        <v>0</v>
      </c>
      <c r="T20" s="211">
        <v>0</v>
      </c>
      <c r="U20" s="212">
        <v>119759.21470572127</v>
      </c>
      <c r="V20" s="208"/>
      <c r="W20" s="208">
        <v>0</v>
      </c>
      <c r="X20" s="208">
        <v>0</v>
      </c>
      <c r="Y20" s="208">
        <v>0</v>
      </c>
      <c r="Z20" s="208">
        <v>0</v>
      </c>
      <c r="AA20" s="208">
        <v>0</v>
      </c>
      <c r="AB20" s="208">
        <v>0</v>
      </c>
      <c r="AC20" s="212">
        <v>134229.15214016195</v>
      </c>
      <c r="AD20" s="208">
        <v>-14469.937434440682</v>
      </c>
      <c r="AE20" s="208">
        <v>0</v>
      </c>
      <c r="AF20" s="208">
        <v>14469.937434440682</v>
      </c>
      <c r="AG20" s="208">
        <v>0</v>
      </c>
      <c r="AH20" s="213">
        <v>-7723.2328670313291</v>
      </c>
      <c r="AI20" s="208">
        <v>0</v>
      </c>
      <c r="AJ20" s="208">
        <v>7723.2328670313291</v>
      </c>
      <c r="AK20" s="214">
        <v>0</v>
      </c>
      <c r="AL20" s="215"/>
      <c r="AM20" s="208">
        <v>127482.4475727526</v>
      </c>
      <c r="AN20" s="215"/>
      <c r="AO20" s="215"/>
      <c r="AP20" s="208">
        <v>84870.386027040266</v>
      </c>
      <c r="AQ20" s="216"/>
      <c r="AR20" s="208"/>
      <c r="AS20" s="208"/>
      <c r="AT20" s="208">
        <v>16957.213207922716</v>
      </c>
      <c r="AU20" s="208">
        <v>0</v>
      </c>
      <c r="AV20" s="208">
        <v>-16957.213207922716</v>
      </c>
      <c r="AW20" s="208">
        <v>0</v>
      </c>
      <c r="AX20" s="208">
        <v>-7723.2328670313291</v>
      </c>
      <c r="AY20" s="208">
        <v>0</v>
      </c>
      <c r="AZ20" s="208">
        <v>7723.2328670313291</v>
      </c>
      <c r="BA20" s="208">
        <v>0</v>
      </c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8"/>
      <c r="BN20" s="208"/>
      <c r="BO20" s="208"/>
      <c r="BP20" s="208"/>
      <c r="BQ20" s="209"/>
      <c r="BR20" s="209"/>
      <c r="BS20" s="218"/>
      <c r="BT20" s="209"/>
      <c r="BU20" s="219"/>
      <c r="BV20" s="209"/>
      <c r="BW20" s="220"/>
      <c r="BX20" s="220"/>
      <c r="BY20" s="208"/>
      <c r="BZ20" s="208"/>
      <c r="CA20" s="208">
        <v>0</v>
      </c>
      <c r="CB20" s="208"/>
      <c r="CC20" s="208"/>
      <c r="CD20" s="208"/>
      <c r="CE20" s="208"/>
      <c r="CF20" s="208"/>
      <c r="CG20" s="208"/>
      <c r="CH20" s="208"/>
      <c r="CI20" s="208"/>
      <c r="CJ20" s="208"/>
      <c r="CK20" s="209"/>
      <c r="CL20" s="209"/>
    </row>
    <row r="21" spans="1:90" s="236" customFormat="1" ht="30" customHeight="1" outlineLevel="1" x14ac:dyDescent="0.25">
      <c r="A21" s="204"/>
      <c r="B21" s="204" t="s">
        <v>358</v>
      </c>
      <c r="C21" s="204"/>
      <c r="D21" s="204"/>
      <c r="E21" s="204"/>
      <c r="F21" s="204"/>
      <c r="G21" s="238"/>
      <c r="H21" s="238"/>
      <c r="I21" s="205"/>
      <c r="J21" s="222"/>
      <c r="K21" s="222"/>
      <c r="L21" s="224"/>
      <c r="M21" s="224"/>
      <c r="N21" s="224"/>
      <c r="O21" s="223"/>
      <c r="P21" s="224"/>
      <c r="Q21" s="224"/>
      <c r="R21" s="226">
        <v>0</v>
      </c>
      <c r="S21" s="257">
        <v>0</v>
      </c>
      <c r="T21" s="226">
        <v>0</v>
      </c>
      <c r="U21" s="227">
        <v>119759.21470572127</v>
      </c>
      <c r="V21" s="223"/>
      <c r="W21" s="223">
        <v>0</v>
      </c>
      <c r="X21" s="223">
        <v>0</v>
      </c>
      <c r="Y21" s="223">
        <v>0</v>
      </c>
      <c r="Z21" s="223">
        <v>0</v>
      </c>
      <c r="AA21" s="223">
        <v>0</v>
      </c>
      <c r="AB21" s="223">
        <v>0</v>
      </c>
      <c r="AC21" s="227">
        <v>134229.15214016195</v>
      </c>
      <c r="AD21" s="223">
        <v>-14469.937434440682</v>
      </c>
      <c r="AE21" s="223">
        <v>0</v>
      </c>
      <c r="AF21" s="223">
        <v>14469.937434440682</v>
      </c>
      <c r="AG21" s="223">
        <v>0</v>
      </c>
      <c r="AH21" s="228">
        <v>-7723.2328670313291</v>
      </c>
      <c r="AI21" s="223">
        <v>0</v>
      </c>
      <c r="AJ21" s="223">
        <v>7723.2328670313291</v>
      </c>
      <c r="AK21" s="229">
        <v>0</v>
      </c>
      <c r="AL21" s="230"/>
      <c r="AM21" s="223">
        <v>127482.4475727526</v>
      </c>
      <c r="AN21" s="230"/>
      <c r="AO21" s="230"/>
      <c r="AP21" s="223">
        <v>84870.386027040266</v>
      </c>
      <c r="AQ21" s="231"/>
      <c r="AR21" s="223"/>
      <c r="AS21" s="223"/>
      <c r="AT21" s="223">
        <v>16957.213207922716</v>
      </c>
      <c r="AU21" s="223">
        <v>0</v>
      </c>
      <c r="AV21" s="223">
        <v>-16957.213207922716</v>
      </c>
      <c r="AW21" s="223">
        <v>0</v>
      </c>
      <c r="AX21" s="223">
        <v>-7723.2328670313291</v>
      </c>
      <c r="AY21" s="223">
        <v>0</v>
      </c>
      <c r="AZ21" s="223">
        <v>7723.2328670313291</v>
      </c>
      <c r="BA21" s="223">
        <v>0</v>
      </c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3"/>
      <c r="BM21" s="223"/>
      <c r="BN21" s="223"/>
      <c r="BO21" s="223"/>
      <c r="BP21" s="223"/>
      <c r="BQ21" s="224"/>
      <c r="BR21" s="224"/>
      <c r="BS21" s="233"/>
      <c r="BT21" s="224"/>
      <c r="BU21" s="234"/>
      <c r="BV21" s="224"/>
      <c r="BW21" s="235"/>
      <c r="BX21" s="235"/>
      <c r="BY21" s="223"/>
      <c r="BZ21" s="223"/>
      <c r="CA21" s="223">
        <v>0</v>
      </c>
      <c r="CB21" s="223"/>
      <c r="CC21" s="223"/>
      <c r="CD21" s="223"/>
      <c r="CE21" s="223"/>
      <c r="CF21" s="223"/>
      <c r="CG21" s="223"/>
      <c r="CH21" s="223"/>
      <c r="CI21" s="223"/>
      <c r="CJ21" s="223"/>
      <c r="CK21" s="224"/>
      <c r="CL21" s="224"/>
    </row>
    <row r="22" spans="1:90" outlineLevel="3" x14ac:dyDescent="0.25">
      <c r="A22" s="129" t="s">
        <v>327</v>
      </c>
      <c r="B22" s="129" t="s">
        <v>359</v>
      </c>
      <c r="C22" s="129" t="s">
        <v>360</v>
      </c>
      <c r="D22" s="129" t="s">
        <v>361</v>
      </c>
      <c r="E22" s="129" t="s">
        <v>362</v>
      </c>
      <c r="F22" s="129" t="s">
        <v>307</v>
      </c>
      <c r="G22" s="129" t="s">
        <v>363</v>
      </c>
      <c r="H22" s="129" t="s">
        <v>309</v>
      </c>
      <c r="I22" s="187" t="s">
        <v>333</v>
      </c>
      <c r="J22" s="189">
        <v>1</v>
      </c>
      <c r="K22" s="189">
        <v>1</v>
      </c>
      <c r="L22" s="191">
        <v>0</v>
      </c>
      <c r="M22" s="191">
        <v>0</v>
      </c>
      <c r="N22" s="191">
        <v>0</v>
      </c>
      <c r="O22" s="190">
        <v>1803840</v>
      </c>
      <c r="P22" s="191">
        <v>1803840</v>
      </c>
      <c r="Q22" s="191">
        <v>0</v>
      </c>
      <c r="R22" s="193" t="s">
        <v>364</v>
      </c>
      <c r="S22" s="258">
        <v>1</v>
      </c>
      <c r="T22" s="193">
        <v>0</v>
      </c>
      <c r="U22" s="194">
        <v>1803840</v>
      </c>
      <c r="V22" s="190" t="s">
        <v>312</v>
      </c>
      <c r="W22" s="190">
        <v>0</v>
      </c>
      <c r="X22" s="190">
        <v>0</v>
      </c>
      <c r="Y22" s="190">
        <v>0</v>
      </c>
      <c r="Z22" s="190">
        <v>0</v>
      </c>
      <c r="AA22" s="190">
        <v>0</v>
      </c>
      <c r="AB22" s="190">
        <v>0</v>
      </c>
      <c r="AC22" s="194">
        <v>1803840</v>
      </c>
      <c r="AD22" s="190">
        <v>0</v>
      </c>
      <c r="AE22" s="190">
        <v>0</v>
      </c>
      <c r="AF22" s="190">
        <v>0</v>
      </c>
      <c r="AG22" s="190">
        <v>0</v>
      </c>
      <c r="AH22" s="195">
        <v>0</v>
      </c>
      <c r="AI22" s="190">
        <v>0</v>
      </c>
      <c r="AJ22" s="190">
        <v>0</v>
      </c>
      <c r="AK22" s="196">
        <v>0</v>
      </c>
      <c r="AL22" s="197">
        <v>0</v>
      </c>
      <c r="AM22" s="190">
        <v>1803840</v>
      </c>
      <c r="AN22" s="191">
        <v>0</v>
      </c>
      <c r="AO22" s="197">
        <v>0</v>
      </c>
      <c r="AP22" s="190">
        <v>1803840</v>
      </c>
      <c r="AQ22" s="198">
        <v>1</v>
      </c>
      <c r="AR22" s="190">
        <v>0</v>
      </c>
      <c r="AS22" s="190">
        <v>1803840</v>
      </c>
      <c r="AT22" s="190">
        <v>0</v>
      </c>
      <c r="AU22" s="190">
        <v>0</v>
      </c>
      <c r="AV22" s="190">
        <v>0</v>
      </c>
      <c r="AW22" s="190">
        <v>0</v>
      </c>
      <c r="AX22" s="190">
        <v>0</v>
      </c>
      <c r="AY22" s="190">
        <v>0</v>
      </c>
      <c r="AZ22" s="190">
        <v>0</v>
      </c>
      <c r="BA22" s="190">
        <v>0</v>
      </c>
      <c r="BB22" s="190" t="s">
        <v>307</v>
      </c>
      <c r="BC22" s="190" t="s">
        <v>307</v>
      </c>
      <c r="BD22" s="190">
        <v>0</v>
      </c>
      <c r="BE22" s="190">
        <v>0</v>
      </c>
      <c r="BF22" s="190">
        <v>0</v>
      </c>
      <c r="BG22" s="190">
        <v>0</v>
      </c>
      <c r="BH22" s="190">
        <v>0</v>
      </c>
      <c r="BI22" s="190">
        <v>0</v>
      </c>
      <c r="BJ22" s="190">
        <v>0</v>
      </c>
      <c r="BK22" s="190">
        <v>0</v>
      </c>
      <c r="BL22" s="190">
        <v>1803840</v>
      </c>
      <c r="BM22" s="190" t="s">
        <v>313</v>
      </c>
      <c r="BN22" s="190">
        <v>0</v>
      </c>
      <c r="BO22" s="190" t="b">
        <v>0</v>
      </c>
      <c r="BP22" s="190">
        <v>0</v>
      </c>
      <c r="BQ22" s="192">
        <v>0</v>
      </c>
      <c r="BR22" s="191">
        <v>0</v>
      </c>
      <c r="BS22" s="200">
        <v>79</v>
      </c>
      <c r="BT22" s="191">
        <v>0</v>
      </c>
      <c r="BU22" s="201">
        <v>0</v>
      </c>
      <c r="BV22" s="191">
        <v>150</v>
      </c>
      <c r="BW22" s="202">
        <v>0</v>
      </c>
      <c r="BX22" s="202">
        <v>0</v>
      </c>
      <c r="BY22" s="190">
        <v>0</v>
      </c>
      <c r="BZ22" s="190">
        <v>0</v>
      </c>
      <c r="CA22" s="190">
        <v>0</v>
      </c>
      <c r="CB22" s="190">
        <v>0</v>
      </c>
      <c r="CC22" s="190">
        <v>0</v>
      </c>
      <c r="CD22" s="190">
        <v>0</v>
      </c>
      <c r="CE22" s="190">
        <v>0</v>
      </c>
      <c r="CF22" s="190">
        <v>0</v>
      </c>
      <c r="CG22" s="190">
        <v>0</v>
      </c>
      <c r="CH22" s="190">
        <v>0</v>
      </c>
      <c r="CI22" s="190">
        <v>0</v>
      </c>
      <c r="CJ22" s="190">
        <v>0</v>
      </c>
      <c r="CK22" s="191">
        <v>0</v>
      </c>
      <c r="CL22" s="191">
        <v>0</v>
      </c>
    </row>
    <row r="23" spans="1:90" outlineLevel="3" x14ac:dyDescent="0.25">
      <c r="A23" s="129" t="s">
        <v>327</v>
      </c>
      <c r="B23" s="129" t="s">
        <v>359</v>
      </c>
      <c r="C23" s="129" t="s">
        <v>360</v>
      </c>
      <c r="D23" s="129" t="s">
        <v>361</v>
      </c>
      <c r="E23" s="129" t="s">
        <v>365</v>
      </c>
      <c r="F23" s="129" t="s">
        <v>307</v>
      </c>
      <c r="G23" s="129" t="s">
        <v>363</v>
      </c>
      <c r="H23" s="129" t="s">
        <v>309</v>
      </c>
      <c r="I23" s="187" t="s">
        <v>333</v>
      </c>
      <c r="J23" s="189">
        <v>1</v>
      </c>
      <c r="K23" s="189">
        <v>1</v>
      </c>
      <c r="L23" s="191">
        <v>0</v>
      </c>
      <c r="M23" s="191">
        <v>0</v>
      </c>
      <c r="N23" s="191">
        <v>0</v>
      </c>
      <c r="O23" s="190">
        <v>2300803</v>
      </c>
      <c r="P23" s="191">
        <v>2300803</v>
      </c>
      <c r="Q23" s="191">
        <v>0</v>
      </c>
      <c r="R23" s="193" t="s">
        <v>366</v>
      </c>
      <c r="S23" s="258">
        <v>1</v>
      </c>
      <c r="T23" s="193">
        <v>0</v>
      </c>
      <c r="U23" s="194">
        <v>2300803</v>
      </c>
      <c r="V23" s="190" t="s">
        <v>312</v>
      </c>
      <c r="W23" s="190">
        <v>0</v>
      </c>
      <c r="X23" s="190">
        <v>0</v>
      </c>
      <c r="Y23" s="190">
        <v>0</v>
      </c>
      <c r="Z23" s="190">
        <v>0</v>
      </c>
      <c r="AA23" s="190">
        <v>0</v>
      </c>
      <c r="AB23" s="190">
        <v>0</v>
      </c>
      <c r="AC23" s="194">
        <v>2300803</v>
      </c>
      <c r="AD23" s="190">
        <v>0</v>
      </c>
      <c r="AE23" s="190">
        <v>0</v>
      </c>
      <c r="AF23" s="190">
        <v>0</v>
      </c>
      <c r="AG23" s="190">
        <v>0</v>
      </c>
      <c r="AH23" s="195">
        <v>0</v>
      </c>
      <c r="AI23" s="190">
        <v>0</v>
      </c>
      <c r="AJ23" s="190">
        <v>0</v>
      </c>
      <c r="AK23" s="196">
        <v>0</v>
      </c>
      <c r="AL23" s="197">
        <v>0</v>
      </c>
      <c r="AM23" s="190">
        <v>2300803</v>
      </c>
      <c r="AN23" s="191">
        <v>0</v>
      </c>
      <c r="AO23" s="197">
        <v>0</v>
      </c>
      <c r="AP23" s="190">
        <v>2300803</v>
      </c>
      <c r="AQ23" s="198">
        <v>1</v>
      </c>
      <c r="AR23" s="190">
        <v>0</v>
      </c>
      <c r="AS23" s="190">
        <v>2300803</v>
      </c>
      <c r="AT23" s="190">
        <v>0</v>
      </c>
      <c r="AU23" s="190">
        <v>0</v>
      </c>
      <c r="AV23" s="190">
        <v>0</v>
      </c>
      <c r="AW23" s="190">
        <v>0</v>
      </c>
      <c r="AX23" s="190">
        <v>0</v>
      </c>
      <c r="AY23" s="190">
        <v>0</v>
      </c>
      <c r="AZ23" s="190">
        <v>0</v>
      </c>
      <c r="BA23" s="190">
        <v>0</v>
      </c>
      <c r="BB23" s="190" t="s">
        <v>307</v>
      </c>
      <c r="BC23" s="190" t="s">
        <v>307</v>
      </c>
      <c r="BD23" s="190">
        <v>0</v>
      </c>
      <c r="BE23" s="190">
        <v>0</v>
      </c>
      <c r="BF23" s="190">
        <v>0</v>
      </c>
      <c r="BG23" s="190">
        <v>0</v>
      </c>
      <c r="BH23" s="190">
        <v>0</v>
      </c>
      <c r="BI23" s="190">
        <v>0</v>
      </c>
      <c r="BJ23" s="190">
        <v>0</v>
      </c>
      <c r="BK23" s="190">
        <v>0</v>
      </c>
      <c r="BL23" s="190">
        <v>2300803</v>
      </c>
      <c r="BM23" s="190" t="s">
        <v>313</v>
      </c>
      <c r="BN23" s="190">
        <v>0</v>
      </c>
      <c r="BO23" s="190" t="b">
        <v>0</v>
      </c>
      <c r="BP23" s="190">
        <v>0</v>
      </c>
      <c r="BQ23" s="192">
        <v>0</v>
      </c>
      <c r="BR23" s="191">
        <v>0</v>
      </c>
      <c r="BS23" s="200">
        <v>79</v>
      </c>
      <c r="BT23" s="191">
        <v>0</v>
      </c>
      <c r="BU23" s="201">
        <v>0</v>
      </c>
      <c r="BV23" s="191">
        <v>151</v>
      </c>
      <c r="BW23" s="202">
        <v>0</v>
      </c>
      <c r="BX23" s="202">
        <v>0</v>
      </c>
      <c r="BY23" s="190">
        <v>0</v>
      </c>
      <c r="BZ23" s="190">
        <v>0</v>
      </c>
      <c r="CA23" s="190">
        <v>0</v>
      </c>
      <c r="CB23" s="190">
        <v>0</v>
      </c>
      <c r="CC23" s="190">
        <v>0</v>
      </c>
      <c r="CD23" s="190">
        <v>0</v>
      </c>
      <c r="CE23" s="190">
        <v>0</v>
      </c>
      <c r="CF23" s="190">
        <v>0</v>
      </c>
      <c r="CG23" s="190">
        <v>0</v>
      </c>
      <c r="CH23" s="190">
        <v>0</v>
      </c>
      <c r="CI23" s="190">
        <v>0</v>
      </c>
      <c r="CJ23" s="190">
        <v>0</v>
      </c>
      <c r="CK23" s="191">
        <v>0</v>
      </c>
      <c r="CL23" s="191">
        <v>0</v>
      </c>
    </row>
    <row r="24" spans="1:90" s="221" customFormat="1" ht="20.100000000000001" customHeight="1" outlineLevel="2" x14ac:dyDescent="0.25">
      <c r="A24" s="204" t="s">
        <v>347</v>
      </c>
      <c r="B24" s="204"/>
      <c r="C24" s="204"/>
      <c r="D24" s="204"/>
      <c r="E24" s="204"/>
      <c r="F24" s="204"/>
      <c r="G24" s="204"/>
      <c r="H24" s="204"/>
      <c r="I24" s="205"/>
      <c r="J24" s="207"/>
      <c r="K24" s="207"/>
      <c r="L24" s="209"/>
      <c r="M24" s="209"/>
      <c r="N24" s="209"/>
      <c r="O24" s="208"/>
      <c r="P24" s="209"/>
      <c r="Q24" s="209"/>
      <c r="R24" s="211">
        <v>0</v>
      </c>
      <c r="S24" s="259">
        <v>2</v>
      </c>
      <c r="T24" s="211">
        <v>0</v>
      </c>
      <c r="U24" s="212">
        <v>4104643</v>
      </c>
      <c r="V24" s="208"/>
      <c r="W24" s="208">
        <v>0</v>
      </c>
      <c r="X24" s="208">
        <v>0</v>
      </c>
      <c r="Y24" s="208">
        <v>0</v>
      </c>
      <c r="Z24" s="208">
        <v>0</v>
      </c>
      <c r="AA24" s="208">
        <v>0</v>
      </c>
      <c r="AB24" s="208">
        <v>0</v>
      </c>
      <c r="AC24" s="212">
        <v>4104643</v>
      </c>
      <c r="AD24" s="208">
        <v>0</v>
      </c>
      <c r="AE24" s="208">
        <v>0</v>
      </c>
      <c r="AF24" s="208">
        <v>0</v>
      </c>
      <c r="AG24" s="208">
        <v>0</v>
      </c>
      <c r="AH24" s="213">
        <v>0</v>
      </c>
      <c r="AI24" s="208">
        <v>0</v>
      </c>
      <c r="AJ24" s="208">
        <v>0</v>
      </c>
      <c r="AK24" s="214">
        <v>0</v>
      </c>
      <c r="AL24" s="215"/>
      <c r="AM24" s="208">
        <v>4104643</v>
      </c>
      <c r="AN24" s="209"/>
      <c r="AO24" s="215"/>
      <c r="AP24" s="208">
        <v>4104643</v>
      </c>
      <c r="AQ24" s="216"/>
      <c r="AR24" s="208"/>
      <c r="AS24" s="208"/>
      <c r="AT24" s="208">
        <v>0</v>
      </c>
      <c r="AU24" s="208">
        <v>0</v>
      </c>
      <c r="AV24" s="208">
        <v>0</v>
      </c>
      <c r="AW24" s="208">
        <v>0</v>
      </c>
      <c r="AX24" s="208">
        <v>0</v>
      </c>
      <c r="AY24" s="208">
        <v>0</v>
      </c>
      <c r="AZ24" s="208">
        <v>0</v>
      </c>
      <c r="BA24" s="208">
        <v>0</v>
      </c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10"/>
      <c r="BR24" s="209"/>
      <c r="BS24" s="218"/>
      <c r="BT24" s="209"/>
      <c r="BU24" s="219"/>
      <c r="BV24" s="209"/>
      <c r="BW24" s="220"/>
      <c r="BX24" s="220"/>
      <c r="BY24" s="208"/>
      <c r="BZ24" s="208"/>
      <c r="CA24" s="208">
        <v>0</v>
      </c>
      <c r="CB24" s="208"/>
      <c r="CC24" s="208"/>
      <c r="CD24" s="208"/>
      <c r="CE24" s="208"/>
      <c r="CF24" s="208"/>
      <c r="CG24" s="208"/>
      <c r="CH24" s="208"/>
      <c r="CI24" s="208"/>
      <c r="CJ24" s="208"/>
      <c r="CK24" s="209"/>
      <c r="CL24" s="209"/>
    </row>
    <row r="25" spans="1:90" s="236" customFormat="1" ht="30" customHeight="1" outlineLevel="1" x14ac:dyDescent="0.25">
      <c r="A25" s="204"/>
      <c r="B25" s="204" t="s">
        <v>367</v>
      </c>
      <c r="C25" s="204"/>
      <c r="D25" s="204"/>
      <c r="E25" s="204"/>
      <c r="F25" s="204"/>
      <c r="G25" s="204"/>
      <c r="H25" s="204"/>
      <c r="I25" s="205"/>
      <c r="J25" s="222"/>
      <c r="K25" s="222"/>
      <c r="L25" s="224"/>
      <c r="M25" s="224"/>
      <c r="N25" s="224"/>
      <c r="O25" s="223"/>
      <c r="P25" s="224"/>
      <c r="Q25" s="224"/>
      <c r="R25" s="226">
        <v>0</v>
      </c>
      <c r="S25" s="260">
        <v>2</v>
      </c>
      <c r="T25" s="226">
        <v>0</v>
      </c>
      <c r="U25" s="227">
        <v>4104643</v>
      </c>
      <c r="V25" s="223"/>
      <c r="W25" s="223">
        <v>0</v>
      </c>
      <c r="X25" s="223">
        <v>0</v>
      </c>
      <c r="Y25" s="223">
        <v>0</v>
      </c>
      <c r="Z25" s="223">
        <v>0</v>
      </c>
      <c r="AA25" s="223">
        <v>0</v>
      </c>
      <c r="AB25" s="223">
        <v>0</v>
      </c>
      <c r="AC25" s="227">
        <v>4104643</v>
      </c>
      <c r="AD25" s="223">
        <v>0</v>
      </c>
      <c r="AE25" s="223">
        <v>0</v>
      </c>
      <c r="AF25" s="223">
        <v>0</v>
      </c>
      <c r="AG25" s="223">
        <v>0</v>
      </c>
      <c r="AH25" s="228">
        <v>0</v>
      </c>
      <c r="AI25" s="223">
        <v>0</v>
      </c>
      <c r="AJ25" s="223">
        <v>0</v>
      </c>
      <c r="AK25" s="229">
        <v>0</v>
      </c>
      <c r="AL25" s="230"/>
      <c r="AM25" s="223">
        <v>4104643</v>
      </c>
      <c r="AN25" s="224"/>
      <c r="AO25" s="230"/>
      <c r="AP25" s="223">
        <v>4104643</v>
      </c>
      <c r="AQ25" s="231"/>
      <c r="AR25" s="223"/>
      <c r="AS25" s="223"/>
      <c r="AT25" s="223">
        <v>0</v>
      </c>
      <c r="AU25" s="223">
        <v>0</v>
      </c>
      <c r="AV25" s="223">
        <v>0</v>
      </c>
      <c r="AW25" s="223">
        <v>0</v>
      </c>
      <c r="AX25" s="223">
        <v>0</v>
      </c>
      <c r="AY25" s="223">
        <v>0</v>
      </c>
      <c r="AZ25" s="223">
        <v>0</v>
      </c>
      <c r="BA25" s="223">
        <v>0</v>
      </c>
      <c r="BB25" s="223"/>
      <c r="BC25" s="223"/>
      <c r="BD25" s="223"/>
      <c r="BE25" s="223"/>
      <c r="BF25" s="223"/>
      <c r="BG25" s="223"/>
      <c r="BH25" s="223"/>
      <c r="BI25" s="223"/>
      <c r="BJ25" s="223"/>
      <c r="BK25" s="223"/>
      <c r="BL25" s="223"/>
      <c r="BM25" s="223"/>
      <c r="BN25" s="223"/>
      <c r="BO25" s="223"/>
      <c r="BP25" s="223"/>
      <c r="BQ25" s="225"/>
      <c r="BR25" s="224"/>
      <c r="BS25" s="233"/>
      <c r="BT25" s="224"/>
      <c r="BU25" s="234"/>
      <c r="BV25" s="224"/>
      <c r="BW25" s="235"/>
      <c r="BX25" s="235"/>
      <c r="BY25" s="223"/>
      <c r="BZ25" s="223"/>
      <c r="CA25" s="223">
        <v>0</v>
      </c>
      <c r="CB25" s="223"/>
      <c r="CC25" s="223"/>
      <c r="CD25" s="223"/>
      <c r="CE25" s="223"/>
      <c r="CF25" s="223"/>
      <c r="CG25" s="223"/>
      <c r="CH25" s="223"/>
      <c r="CI25" s="223"/>
      <c r="CJ25" s="223"/>
      <c r="CK25" s="224"/>
      <c r="CL25" s="224"/>
    </row>
    <row r="26" spans="1:90" outlineLevel="3" x14ac:dyDescent="0.25">
      <c r="A26" s="129" t="s">
        <v>368</v>
      </c>
      <c r="B26" s="129" t="s">
        <v>369</v>
      </c>
      <c r="C26" s="129" t="s">
        <v>370</v>
      </c>
      <c r="D26" s="129" t="s">
        <v>371</v>
      </c>
      <c r="E26" s="129" t="s">
        <v>372</v>
      </c>
      <c r="F26" s="129" t="s">
        <v>307</v>
      </c>
      <c r="G26" s="129" t="s">
        <v>373</v>
      </c>
      <c r="H26" s="129" t="s">
        <v>309</v>
      </c>
      <c r="I26" s="187" t="s">
        <v>374</v>
      </c>
      <c r="J26" s="189">
        <v>1</v>
      </c>
      <c r="K26" s="189">
        <v>1</v>
      </c>
      <c r="L26" s="191">
        <v>0</v>
      </c>
      <c r="M26" s="191">
        <v>0</v>
      </c>
      <c r="N26" s="191">
        <v>0</v>
      </c>
      <c r="O26" s="190">
        <v>30637565.036477998</v>
      </c>
      <c r="P26" s="191">
        <v>30637565.036477998</v>
      </c>
      <c r="Q26" s="191">
        <v>0</v>
      </c>
      <c r="R26" s="193" t="s">
        <v>375</v>
      </c>
      <c r="S26" s="258">
        <v>1</v>
      </c>
      <c r="T26" s="193">
        <v>0</v>
      </c>
      <c r="U26" s="194">
        <v>30637565.036477998</v>
      </c>
      <c r="V26" s="190" t="s">
        <v>312</v>
      </c>
      <c r="W26" s="190">
        <v>0</v>
      </c>
      <c r="X26" s="190">
        <v>0</v>
      </c>
      <c r="Y26" s="190">
        <v>0</v>
      </c>
      <c r="Z26" s="190">
        <v>0</v>
      </c>
      <c r="AA26" s="190">
        <v>0</v>
      </c>
      <c r="AB26" s="190">
        <v>0</v>
      </c>
      <c r="AC26" s="194">
        <v>30637565.036477998</v>
      </c>
      <c r="AD26" s="190">
        <v>0</v>
      </c>
      <c r="AE26" s="190">
        <v>0</v>
      </c>
      <c r="AF26" s="190">
        <v>0</v>
      </c>
      <c r="AG26" s="190">
        <v>0</v>
      </c>
      <c r="AH26" s="195">
        <v>-63109023.640000001</v>
      </c>
      <c r="AI26" s="190">
        <v>0</v>
      </c>
      <c r="AJ26" s="190">
        <v>63109023.640000001</v>
      </c>
      <c r="AK26" s="196">
        <v>0</v>
      </c>
      <c r="AL26" s="197">
        <v>0</v>
      </c>
      <c r="AM26" s="190">
        <v>93746588.676477998</v>
      </c>
      <c r="AN26" s="191">
        <v>0</v>
      </c>
      <c r="AO26" s="197">
        <v>0</v>
      </c>
      <c r="AP26" s="190">
        <v>30637565.036477998</v>
      </c>
      <c r="AQ26" s="198">
        <v>1</v>
      </c>
      <c r="AR26" s="190">
        <v>0</v>
      </c>
      <c r="AS26" s="190">
        <v>30637565.036477998</v>
      </c>
      <c r="AT26" s="190">
        <v>0</v>
      </c>
      <c r="AU26" s="190">
        <v>0</v>
      </c>
      <c r="AV26" s="190">
        <v>0</v>
      </c>
      <c r="AW26" s="190">
        <v>0</v>
      </c>
      <c r="AX26" s="190">
        <v>-63109023.640000001</v>
      </c>
      <c r="AY26" s="190">
        <v>0</v>
      </c>
      <c r="AZ26" s="190">
        <v>63109023.640000001</v>
      </c>
      <c r="BA26" s="190">
        <v>0</v>
      </c>
      <c r="BB26" s="190" t="s">
        <v>307</v>
      </c>
      <c r="BC26" s="190" t="s">
        <v>307</v>
      </c>
      <c r="BD26" s="190">
        <v>0</v>
      </c>
      <c r="BE26" s="190">
        <v>0</v>
      </c>
      <c r="BF26" s="190">
        <v>0</v>
      </c>
      <c r="BG26" s="190">
        <v>0</v>
      </c>
      <c r="BH26" s="190">
        <v>-63109023.640000001</v>
      </c>
      <c r="BI26" s="190">
        <v>0</v>
      </c>
      <c r="BJ26" s="190">
        <v>63109023.640000001</v>
      </c>
      <c r="BK26" s="190">
        <v>0</v>
      </c>
      <c r="BL26" s="190">
        <v>30637565.036477998</v>
      </c>
      <c r="BM26" s="190" t="s">
        <v>313</v>
      </c>
      <c r="BN26" s="190">
        <v>0</v>
      </c>
      <c r="BO26" s="190" t="b">
        <v>0</v>
      </c>
      <c r="BP26" s="190">
        <v>63109023.640000001</v>
      </c>
      <c r="BQ26" s="192">
        <v>0</v>
      </c>
      <c r="BR26" s="191">
        <v>0</v>
      </c>
      <c r="BS26" s="200">
        <v>80</v>
      </c>
      <c r="BT26" s="191">
        <v>0</v>
      </c>
      <c r="BU26" s="201">
        <v>0</v>
      </c>
      <c r="BV26" s="191">
        <v>171</v>
      </c>
      <c r="BW26" s="202">
        <v>0</v>
      </c>
      <c r="BX26" s="202">
        <v>0</v>
      </c>
      <c r="BY26" s="190">
        <v>0</v>
      </c>
      <c r="BZ26" s="190">
        <v>0</v>
      </c>
      <c r="CA26" s="190">
        <v>0</v>
      </c>
      <c r="CB26" s="190">
        <v>0</v>
      </c>
      <c r="CC26" s="190">
        <v>0</v>
      </c>
      <c r="CD26" s="190">
        <v>0</v>
      </c>
      <c r="CE26" s="190">
        <v>0</v>
      </c>
      <c r="CF26" s="190">
        <v>0</v>
      </c>
      <c r="CG26" s="190">
        <v>-63109023.640000001</v>
      </c>
      <c r="CH26" s="190">
        <v>0</v>
      </c>
      <c r="CI26" s="190">
        <v>63109023.640000001</v>
      </c>
      <c r="CJ26" s="190">
        <v>0</v>
      </c>
      <c r="CK26" s="191">
        <v>0</v>
      </c>
      <c r="CL26" s="191">
        <v>0</v>
      </c>
    </row>
    <row r="27" spans="1:90" s="221" customFormat="1" ht="20.100000000000001" customHeight="1" outlineLevel="2" x14ac:dyDescent="0.25">
      <c r="A27" s="204" t="s">
        <v>376</v>
      </c>
      <c r="B27" s="204"/>
      <c r="C27" s="204"/>
      <c r="D27" s="204"/>
      <c r="E27" s="204"/>
      <c r="F27" s="204"/>
      <c r="G27" s="204"/>
      <c r="H27" s="204"/>
      <c r="I27" s="205"/>
      <c r="J27" s="207"/>
      <c r="K27" s="207"/>
      <c r="L27" s="209"/>
      <c r="M27" s="209"/>
      <c r="N27" s="209"/>
      <c r="O27" s="208"/>
      <c r="P27" s="209"/>
      <c r="Q27" s="209"/>
      <c r="R27" s="211">
        <v>0</v>
      </c>
      <c r="S27" s="259">
        <v>1</v>
      </c>
      <c r="T27" s="211">
        <v>0</v>
      </c>
      <c r="U27" s="212">
        <v>30637565.036477998</v>
      </c>
      <c r="V27" s="208"/>
      <c r="W27" s="208">
        <v>0</v>
      </c>
      <c r="X27" s="208">
        <v>0</v>
      </c>
      <c r="Y27" s="208">
        <v>0</v>
      </c>
      <c r="Z27" s="208">
        <v>0</v>
      </c>
      <c r="AA27" s="208">
        <v>0</v>
      </c>
      <c r="AB27" s="208">
        <v>0</v>
      </c>
      <c r="AC27" s="212">
        <v>30637565.036477998</v>
      </c>
      <c r="AD27" s="208">
        <v>0</v>
      </c>
      <c r="AE27" s="208">
        <v>0</v>
      </c>
      <c r="AF27" s="208">
        <v>0</v>
      </c>
      <c r="AG27" s="208">
        <v>0</v>
      </c>
      <c r="AH27" s="213">
        <v>-63109023.640000001</v>
      </c>
      <c r="AI27" s="208">
        <v>0</v>
      </c>
      <c r="AJ27" s="208">
        <v>63109023.640000001</v>
      </c>
      <c r="AK27" s="214">
        <v>0</v>
      </c>
      <c r="AL27" s="215"/>
      <c r="AM27" s="208">
        <v>93746588.676477998</v>
      </c>
      <c r="AN27" s="209"/>
      <c r="AO27" s="215"/>
      <c r="AP27" s="208">
        <v>30637565.036477998</v>
      </c>
      <c r="AQ27" s="216"/>
      <c r="AR27" s="208"/>
      <c r="AS27" s="208"/>
      <c r="AT27" s="208">
        <v>0</v>
      </c>
      <c r="AU27" s="208">
        <v>0</v>
      </c>
      <c r="AV27" s="208">
        <v>0</v>
      </c>
      <c r="AW27" s="208">
        <v>0</v>
      </c>
      <c r="AX27" s="208">
        <v>-63109023.640000001</v>
      </c>
      <c r="AY27" s="208">
        <v>0</v>
      </c>
      <c r="AZ27" s="208">
        <v>63109023.640000001</v>
      </c>
      <c r="BA27" s="208">
        <v>0</v>
      </c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208"/>
      <c r="BN27" s="208"/>
      <c r="BO27" s="208"/>
      <c r="BP27" s="208"/>
      <c r="BQ27" s="210"/>
      <c r="BR27" s="209"/>
      <c r="BS27" s="218"/>
      <c r="BT27" s="209"/>
      <c r="BU27" s="219"/>
      <c r="BV27" s="209"/>
      <c r="BW27" s="220"/>
      <c r="BX27" s="220"/>
      <c r="BY27" s="208"/>
      <c r="BZ27" s="208"/>
      <c r="CA27" s="208">
        <v>0</v>
      </c>
      <c r="CB27" s="208"/>
      <c r="CC27" s="208"/>
      <c r="CD27" s="208"/>
      <c r="CE27" s="208"/>
      <c r="CF27" s="208"/>
      <c r="CG27" s="208"/>
      <c r="CH27" s="208"/>
      <c r="CI27" s="208"/>
      <c r="CJ27" s="208"/>
      <c r="CK27" s="209"/>
      <c r="CL27" s="209"/>
    </row>
    <row r="28" spans="1:90" s="236" customFormat="1" ht="30" customHeight="1" outlineLevel="1" x14ac:dyDescent="0.25">
      <c r="A28" s="204"/>
      <c r="B28" s="204" t="s">
        <v>377</v>
      </c>
      <c r="C28" s="204"/>
      <c r="D28" s="204"/>
      <c r="E28" s="204"/>
      <c r="F28" s="204"/>
      <c r="G28" s="204"/>
      <c r="H28" s="204"/>
      <c r="I28" s="205"/>
      <c r="J28" s="222"/>
      <c r="K28" s="222"/>
      <c r="L28" s="224"/>
      <c r="M28" s="224"/>
      <c r="N28" s="224"/>
      <c r="O28" s="223"/>
      <c r="P28" s="224"/>
      <c r="Q28" s="224"/>
      <c r="R28" s="226">
        <v>0</v>
      </c>
      <c r="S28" s="260">
        <v>1</v>
      </c>
      <c r="T28" s="226">
        <v>0</v>
      </c>
      <c r="U28" s="227">
        <v>30637565.036477998</v>
      </c>
      <c r="V28" s="223"/>
      <c r="W28" s="223">
        <v>0</v>
      </c>
      <c r="X28" s="223">
        <v>0</v>
      </c>
      <c r="Y28" s="223">
        <v>0</v>
      </c>
      <c r="Z28" s="223">
        <v>0</v>
      </c>
      <c r="AA28" s="223">
        <v>0</v>
      </c>
      <c r="AB28" s="223">
        <v>0</v>
      </c>
      <c r="AC28" s="227">
        <v>30637565.036477998</v>
      </c>
      <c r="AD28" s="223">
        <v>0</v>
      </c>
      <c r="AE28" s="223">
        <v>0</v>
      </c>
      <c r="AF28" s="223">
        <v>0</v>
      </c>
      <c r="AG28" s="223">
        <v>0</v>
      </c>
      <c r="AH28" s="228">
        <v>-63109023.640000001</v>
      </c>
      <c r="AI28" s="223">
        <v>0</v>
      </c>
      <c r="AJ28" s="223">
        <v>63109023.640000001</v>
      </c>
      <c r="AK28" s="229">
        <v>0</v>
      </c>
      <c r="AL28" s="230"/>
      <c r="AM28" s="223">
        <v>93746588.676477998</v>
      </c>
      <c r="AN28" s="224"/>
      <c r="AO28" s="230"/>
      <c r="AP28" s="223">
        <v>30637565.036477998</v>
      </c>
      <c r="AQ28" s="231"/>
      <c r="AR28" s="223"/>
      <c r="AS28" s="223"/>
      <c r="AT28" s="223">
        <v>0</v>
      </c>
      <c r="AU28" s="223">
        <v>0</v>
      </c>
      <c r="AV28" s="223">
        <v>0</v>
      </c>
      <c r="AW28" s="223">
        <v>0</v>
      </c>
      <c r="AX28" s="223">
        <v>-63109023.640000001</v>
      </c>
      <c r="AY28" s="223">
        <v>0</v>
      </c>
      <c r="AZ28" s="223">
        <v>63109023.640000001</v>
      </c>
      <c r="BA28" s="223">
        <v>0</v>
      </c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5"/>
      <c r="BR28" s="224"/>
      <c r="BS28" s="233"/>
      <c r="BT28" s="224"/>
      <c r="BU28" s="234"/>
      <c r="BV28" s="224"/>
      <c r="BW28" s="235"/>
      <c r="BX28" s="235"/>
      <c r="BY28" s="223"/>
      <c r="BZ28" s="223"/>
      <c r="CA28" s="223">
        <v>0</v>
      </c>
      <c r="CB28" s="223"/>
      <c r="CC28" s="223"/>
      <c r="CD28" s="223"/>
      <c r="CE28" s="223"/>
      <c r="CF28" s="223"/>
      <c r="CG28" s="223"/>
      <c r="CH28" s="223"/>
      <c r="CI28" s="223"/>
      <c r="CJ28" s="223"/>
      <c r="CK28" s="224"/>
      <c r="CL28" s="224"/>
    </row>
    <row r="29" spans="1:90" outlineLevel="3" x14ac:dyDescent="0.25">
      <c r="A29" s="129" t="s">
        <v>378</v>
      </c>
      <c r="B29" s="129" t="s">
        <v>379</v>
      </c>
      <c r="C29" s="129" t="s">
        <v>380</v>
      </c>
      <c r="D29" s="129" t="s">
        <v>381</v>
      </c>
      <c r="E29" s="129" t="s">
        <v>382</v>
      </c>
      <c r="F29" s="129" t="s">
        <v>383</v>
      </c>
      <c r="G29" s="129" t="s">
        <v>384</v>
      </c>
      <c r="H29" s="129" t="s">
        <v>323</v>
      </c>
      <c r="I29" s="187" t="s">
        <v>310</v>
      </c>
      <c r="J29" s="189">
        <v>1021107</v>
      </c>
      <c r="K29" s="189">
        <v>1021107</v>
      </c>
      <c r="L29" s="191">
        <v>0</v>
      </c>
      <c r="M29" s="191">
        <v>0</v>
      </c>
      <c r="N29" s="191">
        <v>1</v>
      </c>
      <c r="O29" s="190">
        <v>17.5625</v>
      </c>
      <c r="P29" s="192">
        <v>18.75</v>
      </c>
      <c r="Q29" s="192">
        <v>-1.1875</v>
      </c>
      <c r="R29" s="193" t="s">
        <v>385</v>
      </c>
      <c r="S29" s="254">
        <v>1</v>
      </c>
      <c r="T29" s="193">
        <v>0</v>
      </c>
      <c r="U29" s="194">
        <v>17933191.6875</v>
      </c>
      <c r="V29" s="190" t="s">
        <v>312</v>
      </c>
      <c r="W29" s="190">
        <v>0</v>
      </c>
      <c r="X29" s="190">
        <v>0</v>
      </c>
      <c r="Y29" s="190">
        <v>0</v>
      </c>
      <c r="Z29" s="190">
        <v>0</v>
      </c>
      <c r="AA29" s="190">
        <v>0</v>
      </c>
      <c r="AB29" s="190">
        <v>0</v>
      </c>
      <c r="AC29" s="194">
        <v>19145756.25</v>
      </c>
      <c r="AD29" s="190">
        <v>-1212564.5625</v>
      </c>
      <c r="AE29" s="190">
        <v>0</v>
      </c>
      <c r="AF29" s="190">
        <v>1212564.5625</v>
      </c>
      <c r="AG29" s="190">
        <v>0</v>
      </c>
      <c r="AH29" s="195">
        <v>-3617693.2649999997</v>
      </c>
      <c r="AI29" s="190">
        <v>0</v>
      </c>
      <c r="AJ29" s="190">
        <v>3617693.2649999997</v>
      </c>
      <c r="AK29" s="196">
        <v>0</v>
      </c>
      <c r="AL29" s="197">
        <v>0</v>
      </c>
      <c r="AM29" s="190">
        <v>28000652.0625</v>
      </c>
      <c r="AN29" s="191">
        <v>0</v>
      </c>
      <c r="AO29" s="197">
        <v>0</v>
      </c>
      <c r="AP29" s="190">
        <v>79135746</v>
      </c>
      <c r="AQ29" s="198">
        <v>1</v>
      </c>
      <c r="AR29" s="190">
        <v>17933191.6875</v>
      </c>
      <c r="AS29" s="190">
        <v>17.5625</v>
      </c>
      <c r="AT29" s="190">
        <v>-2361309.9375</v>
      </c>
      <c r="AU29" s="190">
        <v>0</v>
      </c>
      <c r="AV29" s="190">
        <v>2361309.9375</v>
      </c>
      <c r="AW29" s="190">
        <v>0</v>
      </c>
      <c r="AX29" s="190">
        <v>-3617693.2649999997</v>
      </c>
      <c r="AY29" s="190">
        <v>0</v>
      </c>
      <c r="AZ29" s="190">
        <v>3617693.2649999997</v>
      </c>
      <c r="BA29" s="190">
        <v>0</v>
      </c>
      <c r="BB29" s="190">
        <v>17.5625</v>
      </c>
      <c r="BC29" s="190">
        <v>18.75</v>
      </c>
      <c r="BD29" s="190">
        <v>-1148745.375</v>
      </c>
      <c r="BE29" s="190">
        <v>0</v>
      </c>
      <c r="BF29" s="190">
        <v>1148745.375</v>
      </c>
      <c r="BG29" s="190">
        <v>0</v>
      </c>
      <c r="BH29" s="190">
        <v>-2405128.7024999997</v>
      </c>
      <c r="BI29" s="190">
        <v>0</v>
      </c>
      <c r="BJ29" s="190">
        <v>2405128.7024999997</v>
      </c>
      <c r="BK29" s="190">
        <v>0</v>
      </c>
      <c r="BL29" s="190">
        <v>79135746</v>
      </c>
      <c r="BM29" s="190" t="s">
        <v>324</v>
      </c>
      <c r="BN29" s="190">
        <v>0</v>
      </c>
      <c r="BO29" s="190" t="b">
        <v>0</v>
      </c>
      <c r="BP29" s="190">
        <v>2405128.7024999997</v>
      </c>
      <c r="BQ29" s="192">
        <v>0</v>
      </c>
      <c r="BR29" s="191">
        <v>0</v>
      </c>
      <c r="BS29" s="200">
        <v>72</v>
      </c>
      <c r="BT29" s="191">
        <v>-1212564.5625</v>
      </c>
      <c r="BU29" s="201">
        <v>0</v>
      </c>
      <c r="BV29" s="191">
        <v>25</v>
      </c>
      <c r="BW29" s="202">
        <v>17.5625</v>
      </c>
      <c r="BX29" s="202">
        <v>0</v>
      </c>
      <c r="BY29" s="190">
        <v>0</v>
      </c>
      <c r="BZ29" s="190">
        <v>0</v>
      </c>
      <c r="CA29" s="190">
        <v>-6449767.1100000003</v>
      </c>
      <c r="CB29" s="190">
        <v>-6449767.1100000003</v>
      </c>
      <c r="CC29" s="190">
        <v>0</v>
      </c>
      <c r="CD29" s="190">
        <v>0</v>
      </c>
      <c r="CE29" s="190">
        <v>0</v>
      </c>
      <c r="CF29" s="190">
        <v>0</v>
      </c>
      <c r="CG29" s="190">
        <v>-2405128.7024999997</v>
      </c>
      <c r="CH29" s="190">
        <v>0</v>
      </c>
      <c r="CI29" s="190">
        <v>2405128.7024999997</v>
      </c>
      <c r="CJ29" s="190">
        <v>0</v>
      </c>
      <c r="CK29" s="191">
        <v>0</v>
      </c>
      <c r="CL29" s="191">
        <v>0</v>
      </c>
    </row>
    <row r="30" spans="1:90" s="221" customFormat="1" ht="20.100000000000001" customHeight="1" outlineLevel="2" x14ac:dyDescent="0.25">
      <c r="A30" s="204" t="s">
        <v>386</v>
      </c>
      <c r="B30" s="204"/>
      <c r="C30" s="204"/>
      <c r="D30" s="204"/>
      <c r="E30" s="204"/>
      <c r="F30" s="204"/>
      <c r="G30" s="204"/>
      <c r="H30" s="204"/>
      <c r="I30" s="205"/>
      <c r="J30" s="207"/>
      <c r="K30" s="207"/>
      <c r="L30" s="209"/>
      <c r="M30" s="209"/>
      <c r="N30" s="209"/>
      <c r="O30" s="208"/>
      <c r="P30" s="210"/>
      <c r="Q30" s="210"/>
      <c r="R30" s="211">
        <v>0</v>
      </c>
      <c r="S30" s="256">
        <v>1</v>
      </c>
      <c r="T30" s="211">
        <v>0</v>
      </c>
      <c r="U30" s="212">
        <v>17933191.6875</v>
      </c>
      <c r="V30" s="208"/>
      <c r="W30" s="208">
        <v>0</v>
      </c>
      <c r="X30" s="208">
        <v>0</v>
      </c>
      <c r="Y30" s="208">
        <v>0</v>
      </c>
      <c r="Z30" s="208">
        <v>0</v>
      </c>
      <c r="AA30" s="208">
        <v>0</v>
      </c>
      <c r="AB30" s="208">
        <v>0</v>
      </c>
      <c r="AC30" s="212">
        <v>19145756.25</v>
      </c>
      <c r="AD30" s="208">
        <v>-1212564.5625</v>
      </c>
      <c r="AE30" s="208">
        <v>0</v>
      </c>
      <c r="AF30" s="208">
        <v>1212564.5625</v>
      </c>
      <c r="AG30" s="208">
        <v>0</v>
      </c>
      <c r="AH30" s="213">
        <v>-3617693.2649999997</v>
      </c>
      <c r="AI30" s="208">
        <v>0</v>
      </c>
      <c r="AJ30" s="208">
        <v>3617693.2649999997</v>
      </c>
      <c r="AK30" s="214">
        <v>0</v>
      </c>
      <c r="AL30" s="215"/>
      <c r="AM30" s="208">
        <v>28000652.0625</v>
      </c>
      <c r="AN30" s="209"/>
      <c r="AO30" s="215"/>
      <c r="AP30" s="208">
        <v>79135746</v>
      </c>
      <c r="AQ30" s="216"/>
      <c r="AR30" s="208"/>
      <c r="AS30" s="208"/>
      <c r="AT30" s="208">
        <v>-2361309.9375</v>
      </c>
      <c r="AU30" s="208">
        <v>0</v>
      </c>
      <c r="AV30" s="208">
        <v>2361309.9375</v>
      </c>
      <c r="AW30" s="208">
        <v>0</v>
      </c>
      <c r="AX30" s="208">
        <v>-3617693.2649999997</v>
      </c>
      <c r="AY30" s="208">
        <v>0</v>
      </c>
      <c r="AZ30" s="208">
        <v>3617693.2649999997</v>
      </c>
      <c r="BA30" s="208">
        <v>0</v>
      </c>
      <c r="BB30" s="208"/>
      <c r="BC30" s="208"/>
      <c r="BD30" s="208"/>
      <c r="BE30" s="208"/>
      <c r="BF30" s="208"/>
      <c r="BG30" s="208"/>
      <c r="BH30" s="208"/>
      <c r="BI30" s="208"/>
      <c r="BJ30" s="208"/>
      <c r="BK30" s="208"/>
      <c r="BL30" s="208"/>
      <c r="BM30" s="208"/>
      <c r="BN30" s="208"/>
      <c r="BO30" s="208"/>
      <c r="BP30" s="208"/>
      <c r="BQ30" s="210"/>
      <c r="BR30" s="209"/>
      <c r="BS30" s="218"/>
      <c r="BT30" s="209"/>
      <c r="BU30" s="219"/>
      <c r="BV30" s="209"/>
      <c r="BW30" s="220"/>
      <c r="BX30" s="220"/>
      <c r="BY30" s="208"/>
      <c r="BZ30" s="208"/>
      <c r="CA30" s="208">
        <v>-6449767.1100000003</v>
      </c>
      <c r="CB30" s="208"/>
      <c r="CC30" s="208"/>
      <c r="CD30" s="208"/>
      <c r="CE30" s="208"/>
      <c r="CF30" s="208"/>
      <c r="CG30" s="208"/>
      <c r="CH30" s="208"/>
      <c r="CI30" s="208"/>
      <c r="CJ30" s="208"/>
      <c r="CK30" s="209"/>
      <c r="CL30" s="209"/>
    </row>
    <row r="31" spans="1:90" s="236" customFormat="1" ht="30" customHeight="1" outlineLevel="1" x14ac:dyDescent="0.25">
      <c r="A31" s="204"/>
      <c r="B31" s="204" t="s">
        <v>387</v>
      </c>
      <c r="C31" s="204"/>
      <c r="D31" s="204"/>
      <c r="E31" s="204"/>
      <c r="F31" s="204"/>
      <c r="G31" s="204"/>
      <c r="H31" s="204"/>
      <c r="I31" s="205"/>
      <c r="J31" s="222"/>
      <c r="K31" s="222"/>
      <c r="L31" s="224"/>
      <c r="M31" s="224"/>
      <c r="N31" s="224"/>
      <c r="O31" s="223"/>
      <c r="P31" s="225"/>
      <c r="Q31" s="225"/>
      <c r="R31" s="226">
        <v>0</v>
      </c>
      <c r="S31" s="257">
        <v>1</v>
      </c>
      <c r="T31" s="226">
        <v>0</v>
      </c>
      <c r="U31" s="227">
        <v>17933191.6875</v>
      </c>
      <c r="V31" s="223"/>
      <c r="W31" s="223">
        <v>0</v>
      </c>
      <c r="X31" s="223">
        <v>0</v>
      </c>
      <c r="Y31" s="223">
        <v>0</v>
      </c>
      <c r="Z31" s="223">
        <v>0</v>
      </c>
      <c r="AA31" s="223">
        <v>0</v>
      </c>
      <c r="AB31" s="223">
        <v>0</v>
      </c>
      <c r="AC31" s="227">
        <v>19145756.25</v>
      </c>
      <c r="AD31" s="223">
        <v>-1212564.5625</v>
      </c>
      <c r="AE31" s="223">
        <v>0</v>
      </c>
      <c r="AF31" s="223">
        <v>1212564.5625</v>
      </c>
      <c r="AG31" s="223">
        <v>0</v>
      </c>
      <c r="AH31" s="228">
        <v>-3617693.2649999997</v>
      </c>
      <c r="AI31" s="223">
        <v>0</v>
      </c>
      <c r="AJ31" s="223">
        <v>3617693.2649999997</v>
      </c>
      <c r="AK31" s="229">
        <v>0</v>
      </c>
      <c r="AL31" s="230"/>
      <c r="AM31" s="223">
        <v>28000652.0625</v>
      </c>
      <c r="AN31" s="224"/>
      <c r="AO31" s="230"/>
      <c r="AP31" s="223">
        <v>79135746</v>
      </c>
      <c r="AQ31" s="231"/>
      <c r="AR31" s="223"/>
      <c r="AS31" s="223"/>
      <c r="AT31" s="223">
        <v>-2361309.9375</v>
      </c>
      <c r="AU31" s="223">
        <v>0</v>
      </c>
      <c r="AV31" s="223">
        <v>2361309.9375</v>
      </c>
      <c r="AW31" s="223">
        <v>0</v>
      </c>
      <c r="AX31" s="223">
        <v>-3617693.2649999997</v>
      </c>
      <c r="AY31" s="223">
        <v>0</v>
      </c>
      <c r="AZ31" s="223">
        <v>3617693.2649999997</v>
      </c>
      <c r="BA31" s="223">
        <v>0</v>
      </c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5"/>
      <c r="BR31" s="224"/>
      <c r="BS31" s="233"/>
      <c r="BT31" s="224"/>
      <c r="BU31" s="234"/>
      <c r="BV31" s="224"/>
      <c r="BW31" s="235"/>
      <c r="BX31" s="235"/>
      <c r="BY31" s="223"/>
      <c r="BZ31" s="223"/>
      <c r="CA31" s="223">
        <v>-6449767.1100000003</v>
      </c>
      <c r="CB31" s="223"/>
      <c r="CC31" s="223"/>
      <c r="CD31" s="223"/>
      <c r="CE31" s="223"/>
      <c r="CF31" s="223"/>
      <c r="CG31" s="223"/>
      <c r="CH31" s="223"/>
      <c r="CI31" s="223"/>
      <c r="CJ31" s="223"/>
      <c r="CK31" s="224"/>
      <c r="CL31" s="224"/>
    </row>
    <row r="32" spans="1:90" outlineLevel="3" x14ac:dyDescent="0.25">
      <c r="A32" s="129" t="s">
        <v>388</v>
      </c>
      <c r="B32" s="129" t="s">
        <v>389</v>
      </c>
      <c r="C32" s="129" t="s">
        <v>390</v>
      </c>
      <c r="D32" s="129" t="s">
        <v>391</v>
      </c>
      <c r="E32" s="129" t="s">
        <v>392</v>
      </c>
      <c r="F32" s="129" t="s">
        <v>307</v>
      </c>
      <c r="G32" s="129" t="s">
        <v>355</v>
      </c>
      <c r="H32" s="129" t="s">
        <v>309</v>
      </c>
      <c r="I32" s="187" t="s">
        <v>333</v>
      </c>
      <c r="J32" s="189">
        <v>1</v>
      </c>
      <c r="K32" s="189">
        <v>1</v>
      </c>
      <c r="L32" s="191">
        <v>0</v>
      </c>
      <c r="M32" s="191">
        <v>0</v>
      </c>
      <c r="N32" s="191">
        <v>0</v>
      </c>
      <c r="O32" s="190">
        <v>2848429.66708</v>
      </c>
      <c r="P32" s="191">
        <v>2848429.66708</v>
      </c>
      <c r="Q32" s="191">
        <v>0</v>
      </c>
      <c r="R32" s="193">
        <v>0</v>
      </c>
      <c r="S32" s="254">
        <v>0</v>
      </c>
      <c r="T32" s="193">
        <v>0</v>
      </c>
      <c r="U32" s="194">
        <v>2848429.66708</v>
      </c>
      <c r="V32" s="190" t="s">
        <v>312</v>
      </c>
      <c r="W32" s="190">
        <v>0</v>
      </c>
      <c r="X32" s="190">
        <v>0</v>
      </c>
      <c r="Y32" s="190">
        <v>0</v>
      </c>
      <c r="Z32" s="190">
        <v>0</v>
      </c>
      <c r="AA32" s="190">
        <v>0</v>
      </c>
      <c r="AB32" s="190">
        <v>0</v>
      </c>
      <c r="AC32" s="194">
        <v>2848429.66708</v>
      </c>
      <c r="AD32" s="190">
        <v>0</v>
      </c>
      <c r="AE32" s="190">
        <v>0</v>
      </c>
      <c r="AF32" s="190">
        <v>0</v>
      </c>
      <c r="AG32" s="190">
        <v>0</v>
      </c>
      <c r="AH32" s="195">
        <v>0</v>
      </c>
      <c r="AI32" s="190">
        <v>0</v>
      </c>
      <c r="AJ32" s="190">
        <v>0</v>
      </c>
      <c r="AK32" s="196">
        <v>0</v>
      </c>
      <c r="AL32" s="197">
        <v>0</v>
      </c>
      <c r="AM32" s="190">
        <v>2807236.89</v>
      </c>
      <c r="AN32" s="191">
        <v>0</v>
      </c>
      <c r="AO32" s="197">
        <v>0</v>
      </c>
      <c r="AP32" s="190">
        <v>2807236.89</v>
      </c>
      <c r="AQ32" s="198">
        <v>1</v>
      </c>
      <c r="AR32" s="190">
        <v>0</v>
      </c>
      <c r="AS32" s="190">
        <v>2848429.66708</v>
      </c>
      <c r="AT32" s="190">
        <v>0</v>
      </c>
      <c r="AU32" s="190">
        <v>0</v>
      </c>
      <c r="AV32" s="190">
        <v>0</v>
      </c>
      <c r="AW32" s="190">
        <v>0</v>
      </c>
      <c r="AX32" s="190">
        <v>0</v>
      </c>
      <c r="AY32" s="190">
        <v>0</v>
      </c>
      <c r="AZ32" s="190">
        <v>0</v>
      </c>
      <c r="BA32" s="190">
        <v>0</v>
      </c>
      <c r="BB32" s="190" t="s">
        <v>307</v>
      </c>
      <c r="BC32" s="190" t="s">
        <v>307</v>
      </c>
      <c r="BD32" s="190">
        <v>0</v>
      </c>
      <c r="BE32" s="190">
        <v>0</v>
      </c>
      <c r="BF32" s="190">
        <v>0</v>
      </c>
      <c r="BG32" s="190">
        <v>0</v>
      </c>
      <c r="BH32" s="190">
        <v>0</v>
      </c>
      <c r="BI32" s="190">
        <v>0</v>
      </c>
      <c r="BJ32" s="190">
        <v>0</v>
      </c>
      <c r="BK32" s="190">
        <v>0</v>
      </c>
      <c r="BL32" s="190">
        <v>2807236.89</v>
      </c>
      <c r="BM32" s="190" t="s">
        <v>313</v>
      </c>
      <c r="BN32" s="190">
        <v>0</v>
      </c>
      <c r="BO32" s="190" t="b">
        <v>0</v>
      </c>
      <c r="BP32" s="190">
        <v>0</v>
      </c>
      <c r="BQ32" s="192">
        <v>0</v>
      </c>
      <c r="BR32" s="191">
        <v>0</v>
      </c>
      <c r="BS32" s="200">
        <v>39</v>
      </c>
      <c r="BT32" s="191">
        <v>0</v>
      </c>
      <c r="BU32" s="201">
        <v>0</v>
      </c>
      <c r="BV32" s="191">
        <v>188</v>
      </c>
      <c r="BW32" s="202">
        <v>0</v>
      </c>
      <c r="BX32" s="202">
        <v>0</v>
      </c>
      <c r="BY32" s="190">
        <v>0</v>
      </c>
      <c r="BZ32" s="190">
        <v>0</v>
      </c>
      <c r="CA32" s="190">
        <v>41192.77708</v>
      </c>
      <c r="CB32" s="190">
        <v>41192.77708</v>
      </c>
      <c r="CC32" s="190">
        <v>0</v>
      </c>
      <c r="CD32" s="190">
        <v>0</v>
      </c>
      <c r="CE32" s="190">
        <v>0</v>
      </c>
      <c r="CF32" s="190">
        <v>0</v>
      </c>
      <c r="CG32" s="190">
        <v>0</v>
      </c>
      <c r="CH32" s="190">
        <v>0</v>
      </c>
      <c r="CI32" s="190">
        <v>0</v>
      </c>
      <c r="CJ32" s="190">
        <v>0</v>
      </c>
      <c r="CK32" s="191">
        <v>0</v>
      </c>
      <c r="CL32" s="191">
        <v>0</v>
      </c>
    </row>
    <row r="33" spans="1:90" s="221" customFormat="1" ht="20.100000000000001" customHeight="1" outlineLevel="2" x14ac:dyDescent="0.25">
      <c r="A33" s="204" t="s">
        <v>393</v>
      </c>
      <c r="B33" s="204"/>
      <c r="C33" s="204"/>
      <c r="D33" s="204"/>
      <c r="E33" s="204"/>
      <c r="F33" s="204"/>
      <c r="G33" s="204"/>
      <c r="H33" s="204"/>
      <c r="I33" s="205"/>
      <c r="J33" s="207"/>
      <c r="K33" s="207"/>
      <c r="L33" s="209"/>
      <c r="M33" s="209"/>
      <c r="N33" s="209"/>
      <c r="O33" s="208"/>
      <c r="P33" s="209"/>
      <c r="Q33" s="209"/>
      <c r="R33" s="211">
        <v>0</v>
      </c>
      <c r="S33" s="256">
        <v>0</v>
      </c>
      <c r="T33" s="211">
        <v>0</v>
      </c>
      <c r="U33" s="212">
        <v>2848429.66708</v>
      </c>
      <c r="V33" s="208"/>
      <c r="W33" s="208">
        <v>0</v>
      </c>
      <c r="X33" s="208">
        <v>0</v>
      </c>
      <c r="Y33" s="208">
        <v>0</v>
      </c>
      <c r="Z33" s="208">
        <v>0</v>
      </c>
      <c r="AA33" s="208">
        <v>0</v>
      </c>
      <c r="AB33" s="208">
        <v>0</v>
      </c>
      <c r="AC33" s="212">
        <v>2848429.66708</v>
      </c>
      <c r="AD33" s="208">
        <v>0</v>
      </c>
      <c r="AE33" s="208">
        <v>0</v>
      </c>
      <c r="AF33" s="208">
        <v>0</v>
      </c>
      <c r="AG33" s="208">
        <v>0</v>
      </c>
      <c r="AH33" s="213">
        <v>0</v>
      </c>
      <c r="AI33" s="208">
        <v>0</v>
      </c>
      <c r="AJ33" s="208">
        <v>0</v>
      </c>
      <c r="AK33" s="214">
        <v>0</v>
      </c>
      <c r="AL33" s="215"/>
      <c r="AM33" s="208">
        <v>2807236.89</v>
      </c>
      <c r="AN33" s="209"/>
      <c r="AO33" s="215"/>
      <c r="AP33" s="208">
        <v>2807236.89</v>
      </c>
      <c r="AQ33" s="216"/>
      <c r="AR33" s="208"/>
      <c r="AS33" s="208"/>
      <c r="AT33" s="208">
        <v>0</v>
      </c>
      <c r="AU33" s="208">
        <v>0</v>
      </c>
      <c r="AV33" s="208">
        <v>0</v>
      </c>
      <c r="AW33" s="208">
        <v>0</v>
      </c>
      <c r="AX33" s="208">
        <v>0</v>
      </c>
      <c r="AY33" s="208">
        <v>0</v>
      </c>
      <c r="AZ33" s="208">
        <v>0</v>
      </c>
      <c r="BA33" s="208">
        <v>0</v>
      </c>
      <c r="BB33" s="208"/>
      <c r="BC33" s="208"/>
      <c r="BD33" s="208"/>
      <c r="BE33" s="208"/>
      <c r="BF33" s="208"/>
      <c r="BG33" s="208"/>
      <c r="BH33" s="208"/>
      <c r="BI33" s="208"/>
      <c r="BJ33" s="208"/>
      <c r="BK33" s="208"/>
      <c r="BL33" s="208"/>
      <c r="BM33" s="208"/>
      <c r="BN33" s="208"/>
      <c r="BO33" s="208"/>
      <c r="BP33" s="208"/>
      <c r="BQ33" s="210"/>
      <c r="BR33" s="209"/>
      <c r="BS33" s="218"/>
      <c r="BT33" s="209"/>
      <c r="BU33" s="219"/>
      <c r="BV33" s="209"/>
      <c r="BW33" s="220"/>
      <c r="BX33" s="220"/>
      <c r="BY33" s="208"/>
      <c r="BZ33" s="208"/>
      <c r="CA33" s="208">
        <v>41192.77708</v>
      </c>
      <c r="CB33" s="208"/>
      <c r="CC33" s="208"/>
      <c r="CD33" s="208"/>
      <c r="CE33" s="208"/>
      <c r="CF33" s="208"/>
      <c r="CG33" s="208"/>
      <c r="CH33" s="208"/>
      <c r="CI33" s="208"/>
      <c r="CJ33" s="208"/>
      <c r="CK33" s="209"/>
      <c r="CL33" s="209"/>
    </row>
    <row r="34" spans="1:90" outlineLevel="3" x14ac:dyDescent="0.25">
      <c r="A34" s="129" t="s">
        <v>394</v>
      </c>
      <c r="B34" s="129" t="s">
        <v>389</v>
      </c>
      <c r="C34" s="129" t="s">
        <v>398</v>
      </c>
      <c r="D34" s="129" t="s">
        <v>399</v>
      </c>
      <c r="E34" s="129" t="s">
        <v>400</v>
      </c>
      <c r="F34" s="129" t="s">
        <v>401</v>
      </c>
      <c r="G34" s="237" t="s">
        <v>355</v>
      </c>
      <c r="H34" s="237" t="s">
        <v>323</v>
      </c>
      <c r="I34" s="187" t="s">
        <v>310</v>
      </c>
      <c r="J34" s="189">
        <v>6101.0292000000045</v>
      </c>
      <c r="K34" s="189">
        <v>6101.0292000000045</v>
      </c>
      <c r="L34" s="191">
        <v>0</v>
      </c>
      <c r="M34" s="191">
        <v>0</v>
      </c>
      <c r="N34" s="191">
        <v>1</v>
      </c>
      <c r="O34" s="190">
        <v>8.3125</v>
      </c>
      <c r="P34" s="192">
        <v>8.1875</v>
      </c>
      <c r="Q34" s="192">
        <v>0.125</v>
      </c>
      <c r="R34" s="193">
        <v>0</v>
      </c>
      <c r="S34" s="254">
        <v>0</v>
      </c>
      <c r="T34" s="193">
        <v>0</v>
      </c>
      <c r="U34" s="194">
        <v>50714.80522500004</v>
      </c>
      <c r="V34" s="190" t="s">
        <v>312</v>
      </c>
      <c r="W34" s="190">
        <v>0</v>
      </c>
      <c r="X34" s="190">
        <v>0</v>
      </c>
      <c r="Y34" s="190">
        <v>0</v>
      </c>
      <c r="Z34" s="190">
        <v>0</v>
      </c>
      <c r="AA34" s="190">
        <v>0</v>
      </c>
      <c r="AB34" s="190">
        <v>0</v>
      </c>
      <c r="AC34" s="194">
        <v>49952.176575000034</v>
      </c>
      <c r="AD34" s="190">
        <v>762.62865000000602</v>
      </c>
      <c r="AE34" s="190">
        <v>0</v>
      </c>
      <c r="AF34" s="190">
        <v>-762.62865000000602</v>
      </c>
      <c r="AG34" s="190">
        <v>0</v>
      </c>
      <c r="AH34" s="195">
        <v>2669.2002750000029</v>
      </c>
      <c r="AI34" s="190">
        <v>0</v>
      </c>
      <c r="AJ34" s="190">
        <v>-2669.2002750000029</v>
      </c>
      <c r="AK34" s="196">
        <v>0</v>
      </c>
      <c r="AL34" s="197">
        <v>0</v>
      </c>
      <c r="AM34" s="190">
        <v>48045.604950000037</v>
      </c>
      <c r="AN34" s="197">
        <v>0</v>
      </c>
      <c r="AO34" s="197">
        <v>0</v>
      </c>
      <c r="AP34" s="190">
        <v>243059.55643199998</v>
      </c>
      <c r="AQ34" s="198">
        <v>1</v>
      </c>
      <c r="AR34" s="190">
        <v>50714.80522500004</v>
      </c>
      <c r="AS34" s="190">
        <v>8.3125</v>
      </c>
      <c r="AT34" s="190">
        <v>7244.9721750000099</v>
      </c>
      <c r="AU34" s="190">
        <v>0</v>
      </c>
      <c r="AV34" s="190">
        <v>-7244.9721750000099</v>
      </c>
      <c r="AW34" s="190">
        <v>0</v>
      </c>
      <c r="AX34" s="190">
        <v>2669.2002750000029</v>
      </c>
      <c r="AY34" s="190">
        <v>0</v>
      </c>
      <c r="AZ34" s="190">
        <v>-2669.2002750000029</v>
      </c>
      <c r="BA34" s="190">
        <v>0</v>
      </c>
      <c r="BB34" s="190">
        <v>8.3125</v>
      </c>
      <c r="BC34" s="190">
        <v>8.1875</v>
      </c>
      <c r="BD34" s="190">
        <v>6482.3435250000039</v>
      </c>
      <c r="BE34" s="190">
        <v>0</v>
      </c>
      <c r="BF34" s="190">
        <v>-6482.3435250000039</v>
      </c>
      <c r="BG34" s="190">
        <v>0</v>
      </c>
      <c r="BH34" s="190">
        <v>1906.5716249999969</v>
      </c>
      <c r="BI34" s="190">
        <v>0</v>
      </c>
      <c r="BJ34" s="190">
        <v>-1906.5716249999969</v>
      </c>
      <c r="BK34" s="190">
        <v>0</v>
      </c>
      <c r="BL34" s="190">
        <v>243059.55643199998</v>
      </c>
      <c r="BM34" s="190" t="s">
        <v>324</v>
      </c>
      <c r="BN34" s="190">
        <v>0</v>
      </c>
      <c r="BO34" s="190" t="b">
        <v>0</v>
      </c>
      <c r="BP34" s="190">
        <v>-1906.5716249999969</v>
      </c>
      <c r="BQ34" s="191">
        <v>0</v>
      </c>
      <c r="BR34" s="191">
        <v>0</v>
      </c>
      <c r="BS34" s="200">
        <v>41</v>
      </c>
      <c r="BT34" s="191">
        <v>762.62865000000602</v>
      </c>
      <c r="BU34" s="201">
        <v>6101.0292000000045</v>
      </c>
      <c r="BV34" s="191">
        <v>199</v>
      </c>
      <c r="BW34" s="202">
        <v>8.3125</v>
      </c>
      <c r="BX34" s="202">
        <v>0</v>
      </c>
      <c r="BY34" s="190">
        <v>0</v>
      </c>
      <c r="BZ34" s="190">
        <v>0</v>
      </c>
      <c r="CA34" s="190">
        <v>0</v>
      </c>
      <c r="CB34" s="190">
        <v>0</v>
      </c>
      <c r="CC34" s="190">
        <v>0</v>
      </c>
      <c r="CD34" s="190">
        <v>0</v>
      </c>
      <c r="CE34" s="190">
        <v>0</v>
      </c>
      <c r="CF34" s="190">
        <v>0</v>
      </c>
      <c r="CG34" s="190">
        <v>1906.5716249999969</v>
      </c>
      <c r="CH34" s="190">
        <v>0</v>
      </c>
      <c r="CI34" s="190">
        <v>-1906.5716249999969</v>
      </c>
      <c r="CJ34" s="190">
        <v>0</v>
      </c>
      <c r="CK34" s="191">
        <v>0</v>
      </c>
      <c r="CL34" s="191">
        <v>0</v>
      </c>
    </row>
    <row r="35" spans="1:90" s="221" customFormat="1" ht="20.100000000000001" customHeight="1" outlineLevel="2" x14ac:dyDescent="0.25">
      <c r="A35" s="204" t="s">
        <v>402</v>
      </c>
      <c r="B35" s="204"/>
      <c r="C35" s="204"/>
      <c r="D35" s="204"/>
      <c r="E35" s="204"/>
      <c r="F35" s="204"/>
      <c r="G35" s="238"/>
      <c r="H35" s="238"/>
      <c r="I35" s="205"/>
      <c r="J35" s="207"/>
      <c r="K35" s="207"/>
      <c r="L35" s="209"/>
      <c r="M35" s="209"/>
      <c r="N35" s="209"/>
      <c r="O35" s="208"/>
      <c r="P35" s="210"/>
      <c r="Q35" s="210"/>
      <c r="R35" s="211">
        <v>0</v>
      </c>
      <c r="S35" s="256">
        <v>0</v>
      </c>
      <c r="T35" s="211">
        <v>0</v>
      </c>
      <c r="U35" s="212">
        <v>50714.80522500004</v>
      </c>
      <c r="V35" s="208"/>
      <c r="W35" s="208">
        <v>0</v>
      </c>
      <c r="X35" s="208">
        <v>0</v>
      </c>
      <c r="Y35" s="208">
        <v>0</v>
      </c>
      <c r="Z35" s="208">
        <v>0</v>
      </c>
      <c r="AA35" s="208">
        <v>0</v>
      </c>
      <c r="AB35" s="208">
        <v>0</v>
      </c>
      <c r="AC35" s="212">
        <v>49952.176575000034</v>
      </c>
      <c r="AD35" s="208">
        <v>762.62865000000602</v>
      </c>
      <c r="AE35" s="208">
        <v>0</v>
      </c>
      <c r="AF35" s="208">
        <v>-762.62865000000602</v>
      </c>
      <c r="AG35" s="208">
        <v>0</v>
      </c>
      <c r="AH35" s="213">
        <v>2669.2002750000029</v>
      </c>
      <c r="AI35" s="208">
        <v>0</v>
      </c>
      <c r="AJ35" s="208">
        <v>-2669.2002750000029</v>
      </c>
      <c r="AK35" s="214">
        <v>0</v>
      </c>
      <c r="AL35" s="215"/>
      <c r="AM35" s="208">
        <v>48045.604950000037</v>
      </c>
      <c r="AN35" s="215"/>
      <c r="AO35" s="215"/>
      <c r="AP35" s="208">
        <v>243059.55643199998</v>
      </c>
      <c r="AQ35" s="216"/>
      <c r="AR35" s="208"/>
      <c r="AS35" s="208"/>
      <c r="AT35" s="208">
        <v>7244.9721750000099</v>
      </c>
      <c r="AU35" s="208">
        <v>0</v>
      </c>
      <c r="AV35" s="208">
        <v>-7244.9721750000099</v>
      </c>
      <c r="AW35" s="208">
        <v>0</v>
      </c>
      <c r="AX35" s="208">
        <v>2669.2002750000029</v>
      </c>
      <c r="AY35" s="208">
        <v>0</v>
      </c>
      <c r="AZ35" s="208">
        <v>-2669.2002750000029</v>
      </c>
      <c r="BA35" s="208">
        <v>0</v>
      </c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8"/>
      <c r="BN35" s="208"/>
      <c r="BO35" s="208"/>
      <c r="BP35" s="208"/>
      <c r="BQ35" s="209"/>
      <c r="BR35" s="209"/>
      <c r="BS35" s="218"/>
      <c r="BT35" s="209"/>
      <c r="BU35" s="219"/>
      <c r="BV35" s="209"/>
      <c r="BW35" s="220"/>
      <c r="BX35" s="220"/>
      <c r="BY35" s="208"/>
      <c r="BZ35" s="208"/>
      <c r="CA35" s="208">
        <v>0</v>
      </c>
      <c r="CB35" s="208"/>
      <c r="CC35" s="208"/>
      <c r="CD35" s="208"/>
      <c r="CE35" s="208"/>
      <c r="CF35" s="208"/>
      <c r="CG35" s="208"/>
      <c r="CH35" s="208"/>
      <c r="CI35" s="208"/>
      <c r="CJ35" s="208"/>
      <c r="CK35" s="209"/>
      <c r="CL35" s="209"/>
    </row>
    <row r="36" spans="1:90" outlineLevel="3" x14ac:dyDescent="0.25">
      <c r="A36" s="129" t="s">
        <v>403</v>
      </c>
      <c r="B36" s="129" t="s">
        <v>389</v>
      </c>
      <c r="C36" s="129" t="s">
        <v>404</v>
      </c>
      <c r="D36" s="129" t="s">
        <v>405</v>
      </c>
      <c r="E36" s="129" t="s">
        <v>406</v>
      </c>
      <c r="F36" s="129" t="s">
        <v>307</v>
      </c>
      <c r="G36" s="129" t="s">
        <v>355</v>
      </c>
      <c r="H36" s="129" t="s">
        <v>309</v>
      </c>
      <c r="I36" s="187" t="s">
        <v>374</v>
      </c>
      <c r="J36" s="189">
        <v>1</v>
      </c>
      <c r="K36" s="189">
        <v>1</v>
      </c>
      <c r="L36" s="191">
        <v>0</v>
      </c>
      <c r="M36" s="191">
        <v>0</v>
      </c>
      <c r="N36" s="191">
        <v>0</v>
      </c>
      <c r="O36" s="190">
        <v>0</v>
      </c>
      <c r="P36" s="191">
        <v>0</v>
      </c>
      <c r="Q36" s="191">
        <v>0</v>
      </c>
      <c r="R36" s="193">
        <v>0</v>
      </c>
      <c r="S36" s="254">
        <v>0</v>
      </c>
      <c r="T36" s="193">
        <v>0</v>
      </c>
      <c r="U36" s="194">
        <v>0</v>
      </c>
      <c r="V36" s="190" t="s">
        <v>312</v>
      </c>
      <c r="W36" s="190">
        <v>0</v>
      </c>
      <c r="X36" s="190">
        <v>0</v>
      </c>
      <c r="Y36" s="190">
        <v>0</v>
      </c>
      <c r="Z36" s="190">
        <v>0</v>
      </c>
      <c r="AA36" s="190">
        <v>0</v>
      </c>
      <c r="AB36" s="190">
        <v>0</v>
      </c>
      <c r="AC36" s="194">
        <v>0</v>
      </c>
      <c r="AD36" s="190">
        <v>0</v>
      </c>
      <c r="AE36" s="190">
        <v>0</v>
      </c>
      <c r="AF36" s="190">
        <v>0</v>
      </c>
      <c r="AG36" s="190">
        <v>0</v>
      </c>
      <c r="AH36" s="195">
        <v>-283416</v>
      </c>
      <c r="AI36" s="190">
        <v>0</v>
      </c>
      <c r="AJ36" s="190">
        <v>283416</v>
      </c>
      <c r="AK36" s="196">
        <v>0</v>
      </c>
      <c r="AL36" s="197">
        <v>0</v>
      </c>
      <c r="AM36" s="190">
        <v>283416</v>
      </c>
      <c r="AN36" s="191">
        <v>0</v>
      </c>
      <c r="AO36" s="197">
        <v>0</v>
      </c>
      <c r="AP36" s="190">
        <v>0</v>
      </c>
      <c r="AQ36" s="198">
        <v>1</v>
      </c>
      <c r="AR36" s="190">
        <v>0</v>
      </c>
      <c r="AS36" s="190">
        <v>0</v>
      </c>
      <c r="AT36" s="190">
        <v>0</v>
      </c>
      <c r="AU36" s="190">
        <v>0</v>
      </c>
      <c r="AV36" s="190">
        <v>0</v>
      </c>
      <c r="AW36" s="190">
        <v>0</v>
      </c>
      <c r="AX36" s="190">
        <v>-283416</v>
      </c>
      <c r="AY36" s="190">
        <v>0</v>
      </c>
      <c r="AZ36" s="190">
        <v>283416</v>
      </c>
      <c r="BA36" s="190">
        <v>0</v>
      </c>
      <c r="BB36" s="190" t="s">
        <v>307</v>
      </c>
      <c r="BC36" s="190" t="s">
        <v>307</v>
      </c>
      <c r="BD36" s="190">
        <v>0</v>
      </c>
      <c r="BE36" s="190">
        <v>0</v>
      </c>
      <c r="BF36" s="190">
        <v>0</v>
      </c>
      <c r="BG36" s="190">
        <v>0</v>
      </c>
      <c r="BH36" s="190">
        <v>-283416</v>
      </c>
      <c r="BI36" s="190">
        <v>0</v>
      </c>
      <c r="BJ36" s="190">
        <v>283416</v>
      </c>
      <c r="BK36" s="190">
        <v>0</v>
      </c>
      <c r="BL36" s="190">
        <v>0</v>
      </c>
      <c r="BM36" s="190" t="s">
        <v>313</v>
      </c>
      <c r="BN36" s="190">
        <v>0</v>
      </c>
      <c r="BO36" s="190" t="b">
        <v>0</v>
      </c>
      <c r="BP36" s="190">
        <v>283416</v>
      </c>
      <c r="BQ36" s="192">
        <v>0</v>
      </c>
      <c r="BR36" s="191">
        <v>0</v>
      </c>
      <c r="BS36" s="200">
        <v>38</v>
      </c>
      <c r="BT36" s="191">
        <v>0</v>
      </c>
      <c r="BU36" s="201">
        <v>0</v>
      </c>
      <c r="BV36" s="191">
        <v>190</v>
      </c>
      <c r="BW36" s="202">
        <v>0</v>
      </c>
      <c r="BX36" s="202">
        <v>0</v>
      </c>
      <c r="BY36" s="190">
        <v>0</v>
      </c>
      <c r="BZ36" s="190">
        <v>0</v>
      </c>
      <c r="CA36" s="190">
        <v>0</v>
      </c>
      <c r="CB36" s="190">
        <v>0</v>
      </c>
      <c r="CC36" s="190">
        <v>0</v>
      </c>
      <c r="CD36" s="190">
        <v>0</v>
      </c>
      <c r="CE36" s="190">
        <v>0</v>
      </c>
      <c r="CF36" s="190">
        <v>0</v>
      </c>
      <c r="CG36" s="190">
        <v>-283416</v>
      </c>
      <c r="CH36" s="190">
        <v>0</v>
      </c>
      <c r="CI36" s="190">
        <v>283416</v>
      </c>
      <c r="CJ36" s="190">
        <v>0</v>
      </c>
      <c r="CK36" s="191">
        <v>0</v>
      </c>
      <c r="CL36" s="191">
        <v>0</v>
      </c>
    </row>
    <row r="37" spans="1:90" s="221" customFormat="1" ht="20.100000000000001" customHeight="1" outlineLevel="2" x14ac:dyDescent="0.25">
      <c r="A37" s="204" t="s">
        <v>407</v>
      </c>
      <c r="B37" s="204"/>
      <c r="C37" s="204"/>
      <c r="D37" s="204"/>
      <c r="E37" s="204"/>
      <c r="F37" s="204"/>
      <c r="G37" s="204"/>
      <c r="H37" s="204"/>
      <c r="I37" s="205"/>
      <c r="J37" s="207"/>
      <c r="K37" s="207"/>
      <c r="L37" s="209"/>
      <c r="M37" s="209"/>
      <c r="N37" s="209"/>
      <c r="O37" s="208"/>
      <c r="P37" s="209"/>
      <c r="Q37" s="209"/>
      <c r="R37" s="211">
        <v>0</v>
      </c>
      <c r="S37" s="256">
        <v>0</v>
      </c>
      <c r="T37" s="211">
        <v>0</v>
      </c>
      <c r="U37" s="212">
        <v>0</v>
      </c>
      <c r="V37" s="208"/>
      <c r="W37" s="208">
        <v>0</v>
      </c>
      <c r="X37" s="208">
        <v>0</v>
      </c>
      <c r="Y37" s="208">
        <v>0</v>
      </c>
      <c r="Z37" s="208">
        <v>0</v>
      </c>
      <c r="AA37" s="208">
        <v>0</v>
      </c>
      <c r="AB37" s="208">
        <v>0</v>
      </c>
      <c r="AC37" s="212">
        <v>0</v>
      </c>
      <c r="AD37" s="208">
        <v>0</v>
      </c>
      <c r="AE37" s="208">
        <v>0</v>
      </c>
      <c r="AF37" s="208">
        <v>0</v>
      </c>
      <c r="AG37" s="208">
        <v>0</v>
      </c>
      <c r="AH37" s="213">
        <v>-283416</v>
      </c>
      <c r="AI37" s="208">
        <v>0</v>
      </c>
      <c r="AJ37" s="208">
        <v>283416</v>
      </c>
      <c r="AK37" s="214">
        <v>0</v>
      </c>
      <c r="AL37" s="215"/>
      <c r="AM37" s="208">
        <v>283416</v>
      </c>
      <c r="AN37" s="209"/>
      <c r="AO37" s="215"/>
      <c r="AP37" s="208">
        <v>0</v>
      </c>
      <c r="AQ37" s="216"/>
      <c r="AR37" s="208"/>
      <c r="AS37" s="208"/>
      <c r="AT37" s="208">
        <v>0</v>
      </c>
      <c r="AU37" s="208">
        <v>0</v>
      </c>
      <c r="AV37" s="208">
        <v>0</v>
      </c>
      <c r="AW37" s="208">
        <v>0</v>
      </c>
      <c r="AX37" s="208">
        <v>-283416</v>
      </c>
      <c r="AY37" s="208">
        <v>0</v>
      </c>
      <c r="AZ37" s="208">
        <v>283416</v>
      </c>
      <c r="BA37" s="208">
        <v>0</v>
      </c>
      <c r="BB37" s="208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8"/>
      <c r="BO37" s="208"/>
      <c r="BP37" s="208"/>
      <c r="BQ37" s="210"/>
      <c r="BR37" s="209"/>
      <c r="BS37" s="218"/>
      <c r="BT37" s="209"/>
      <c r="BU37" s="219"/>
      <c r="BV37" s="209"/>
      <c r="BW37" s="220"/>
      <c r="BX37" s="220"/>
      <c r="BY37" s="208"/>
      <c r="BZ37" s="208"/>
      <c r="CA37" s="208">
        <v>0</v>
      </c>
      <c r="CB37" s="208"/>
      <c r="CC37" s="208"/>
      <c r="CD37" s="208"/>
      <c r="CE37" s="208"/>
      <c r="CF37" s="208"/>
      <c r="CG37" s="208"/>
      <c r="CH37" s="208"/>
      <c r="CI37" s="208"/>
      <c r="CJ37" s="208"/>
      <c r="CK37" s="209"/>
      <c r="CL37" s="209"/>
    </row>
    <row r="38" spans="1:90" outlineLevel="3" x14ac:dyDescent="0.25">
      <c r="A38" s="129" t="s">
        <v>472</v>
      </c>
      <c r="B38" s="129" t="s">
        <v>389</v>
      </c>
      <c r="C38" s="129" t="s">
        <v>395</v>
      </c>
      <c r="D38" s="129" t="s">
        <v>396</v>
      </c>
      <c r="E38" s="129" t="s">
        <v>473</v>
      </c>
      <c r="F38" s="129" t="s">
        <v>397</v>
      </c>
      <c r="G38" s="237" t="s">
        <v>355</v>
      </c>
      <c r="H38" s="237" t="s">
        <v>323</v>
      </c>
      <c r="I38" s="187" t="s">
        <v>310</v>
      </c>
      <c r="J38" s="189">
        <v>1995232</v>
      </c>
      <c r="K38" s="189">
        <v>1995232</v>
      </c>
      <c r="L38" s="191">
        <v>0</v>
      </c>
      <c r="M38" s="191">
        <v>0</v>
      </c>
      <c r="N38" s="191">
        <v>1</v>
      </c>
      <c r="O38" s="190">
        <v>38.97</v>
      </c>
      <c r="P38" s="192">
        <v>40</v>
      </c>
      <c r="Q38" s="192">
        <v>-1.03</v>
      </c>
      <c r="R38" s="193">
        <v>0</v>
      </c>
      <c r="S38" s="254">
        <v>1</v>
      </c>
      <c r="T38" s="193">
        <v>0</v>
      </c>
      <c r="U38" s="194">
        <v>77754191.040000007</v>
      </c>
      <c r="V38" s="190" t="s">
        <v>474</v>
      </c>
      <c r="W38" s="190">
        <v>0</v>
      </c>
      <c r="X38" s="190">
        <v>0</v>
      </c>
      <c r="Y38" s="190">
        <v>0</v>
      </c>
      <c r="Z38" s="190">
        <v>0</v>
      </c>
      <c r="AA38" s="190">
        <v>0</v>
      </c>
      <c r="AB38" s="190">
        <v>0</v>
      </c>
      <c r="AC38" s="194">
        <v>79809280.000000015</v>
      </c>
      <c r="AD38" s="190">
        <v>-2055088.9600000083</v>
      </c>
      <c r="AE38" s="190">
        <v>0</v>
      </c>
      <c r="AF38" s="190">
        <v>2055088.9600000083</v>
      </c>
      <c r="AG38" s="190">
        <v>0</v>
      </c>
      <c r="AH38" s="195">
        <v>-11781844.960000008</v>
      </c>
      <c r="AI38" s="190">
        <v>0</v>
      </c>
      <c r="AJ38" s="190">
        <v>11781844.960000008</v>
      </c>
      <c r="AK38" s="196">
        <v>0</v>
      </c>
      <c r="AL38" s="197">
        <v>0</v>
      </c>
      <c r="AM38" s="190">
        <v>0</v>
      </c>
      <c r="AN38" s="197">
        <v>0</v>
      </c>
      <c r="AO38" s="197">
        <v>0</v>
      </c>
      <c r="AP38" s="190">
        <v>0</v>
      </c>
      <c r="AQ38" s="198">
        <v>1</v>
      </c>
      <c r="AR38" s="190">
        <v>77754191.040000007</v>
      </c>
      <c r="AS38" s="190">
        <v>38.97</v>
      </c>
      <c r="AT38" s="190">
        <v>2932991.0399999917</v>
      </c>
      <c r="AU38" s="190">
        <v>0</v>
      </c>
      <c r="AV38" s="190">
        <v>-2932991.0399999917</v>
      </c>
      <c r="AW38" s="190">
        <v>0</v>
      </c>
      <c r="AX38" s="190">
        <v>-11781844.960000008</v>
      </c>
      <c r="AY38" s="190">
        <v>0</v>
      </c>
      <c r="AZ38" s="190">
        <v>11781844.960000008</v>
      </c>
      <c r="BA38" s="190">
        <v>0</v>
      </c>
      <c r="BB38" s="190">
        <v>38.97</v>
      </c>
      <c r="BC38" s="190">
        <v>40</v>
      </c>
      <c r="BD38" s="190">
        <v>4988080</v>
      </c>
      <c r="BE38" s="190">
        <v>0</v>
      </c>
      <c r="BF38" s="190">
        <v>-4988080</v>
      </c>
      <c r="BG38" s="190">
        <v>0</v>
      </c>
      <c r="BH38" s="190">
        <v>-9726756</v>
      </c>
      <c r="BI38" s="190">
        <v>0</v>
      </c>
      <c r="BJ38" s="190">
        <v>9726756</v>
      </c>
      <c r="BK38" s="190">
        <v>0</v>
      </c>
      <c r="BL38" s="190">
        <v>0</v>
      </c>
      <c r="BM38" s="190" t="s">
        <v>324</v>
      </c>
      <c r="BN38" s="190">
        <v>0</v>
      </c>
      <c r="BO38" s="190" t="b">
        <v>0</v>
      </c>
      <c r="BP38" s="190">
        <v>9726756</v>
      </c>
      <c r="BQ38" s="191">
        <v>0</v>
      </c>
      <c r="BR38" s="191">
        <v>0</v>
      </c>
      <c r="BS38" s="200">
        <v>84</v>
      </c>
      <c r="BT38" s="191">
        <v>-2055088.9600000083</v>
      </c>
      <c r="BU38" s="201">
        <v>1995232</v>
      </c>
      <c r="BV38" s="191">
        <v>197</v>
      </c>
      <c r="BW38" s="202">
        <v>38.97</v>
      </c>
      <c r="BX38" s="202">
        <v>0</v>
      </c>
      <c r="BY38" s="190">
        <v>0</v>
      </c>
      <c r="BZ38" s="190">
        <v>0</v>
      </c>
      <c r="CA38" s="190">
        <v>89536036.000000015</v>
      </c>
      <c r="CB38" s="190">
        <v>89536036.000000015</v>
      </c>
      <c r="CC38" s="190">
        <v>0</v>
      </c>
      <c r="CD38" s="190">
        <v>0</v>
      </c>
      <c r="CE38" s="190">
        <v>0</v>
      </c>
      <c r="CF38" s="190">
        <v>0</v>
      </c>
      <c r="CG38" s="190">
        <v>-9726756</v>
      </c>
      <c r="CH38" s="190">
        <v>0</v>
      </c>
      <c r="CI38" s="190">
        <v>9726756</v>
      </c>
      <c r="CJ38" s="190">
        <v>0</v>
      </c>
      <c r="CK38" s="191">
        <v>0</v>
      </c>
      <c r="CL38" s="191">
        <v>0</v>
      </c>
    </row>
    <row r="39" spans="1:90" s="221" customFormat="1" ht="20.100000000000001" customHeight="1" outlineLevel="2" x14ac:dyDescent="0.25">
      <c r="A39" s="204" t="s">
        <v>475</v>
      </c>
      <c r="B39" s="204"/>
      <c r="C39" s="204"/>
      <c r="D39" s="204"/>
      <c r="E39" s="204"/>
      <c r="F39" s="204"/>
      <c r="G39" s="238"/>
      <c r="H39" s="238"/>
      <c r="I39" s="205"/>
      <c r="J39" s="207"/>
      <c r="K39" s="207"/>
      <c r="L39" s="209"/>
      <c r="M39" s="209"/>
      <c r="N39" s="209"/>
      <c r="O39" s="208"/>
      <c r="P39" s="210"/>
      <c r="Q39" s="210"/>
      <c r="R39" s="211">
        <v>0</v>
      </c>
      <c r="S39" s="256">
        <v>1</v>
      </c>
      <c r="T39" s="211">
        <v>0</v>
      </c>
      <c r="U39" s="212">
        <v>77754191.040000007</v>
      </c>
      <c r="V39" s="208"/>
      <c r="W39" s="208">
        <v>0</v>
      </c>
      <c r="X39" s="208">
        <v>0</v>
      </c>
      <c r="Y39" s="208">
        <v>0</v>
      </c>
      <c r="Z39" s="208">
        <v>0</v>
      </c>
      <c r="AA39" s="208">
        <v>0</v>
      </c>
      <c r="AB39" s="208">
        <v>0</v>
      </c>
      <c r="AC39" s="212">
        <v>79809280.000000015</v>
      </c>
      <c r="AD39" s="208">
        <v>-2055088.9600000083</v>
      </c>
      <c r="AE39" s="208">
        <v>0</v>
      </c>
      <c r="AF39" s="208">
        <v>2055088.9600000083</v>
      </c>
      <c r="AG39" s="208">
        <v>0</v>
      </c>
      <c r="AH39" s="213">
        <v>-11781844.960000008</v>
      </c>
      <c r="AI39" s="208">
        <v>0</v>
      </c>
      <c r="AJ39" s="208">
        <v>11781844.960000008</v>
      </c>
      <c r="AK39" s="214">
        <v>0</v>
      </c>
      <c r="AL39" s="215"/>
      <c r="AM39" s="208">
        <v>0</v>
      </c>
      <c r="AN39" s="215"/>
      <c r="AO39" s="215"/>
      <c r="AP39" s="208">
        <v>0</v>
      </c>
      <c r="AQ39" s="216"/>
      <c r="AR39" s="208"/>
      <c r="AS39" s="208"/>
      <c r="AT39" s="208">
        <v>2932991.0399999917</v>
      </c>
      <c r="AU39" s="208">
        <v>0</v>
      </c>
      <c r="AV39" s="208">
        <v>-2932991.0399999917</v>
      </c>
      <c r="AW39" s="208">
        <v>0</v>
      </c>
      <c r="AX39" s="208">
        <v>-11781844.960000008</v>
      </c>
      <c r="AY39" s="208">
        <v>0</v>
      </c>
      <c r="AZ39" s="208">
        <v>11781844.960000008</v>
      </c>
      <c r="BA39" s="208">
        <v>0</v>
      </c>
      <c r="BB39" s="208"/>
      <c r="BC39" s="208"/>
      <c r="BD39" s="208"/>
      <c r="BE39" s="208"/>
      <c r="BF39" s="208"/>
      <c r="BG39" s="208"/>
      <c r="BH39" s="208"/>
      <c r="BI39" s="208"/>
      <c r="BJ39" s="208"/>
      <c r="BK39" s="208"/>
      <c r="BL39" s="208"/>
      <c r="BM39" s="208"/>
      <c r="BN39" s="208"/>
      <c r="BO39" s="208"/>
      <c r="BP39" s="208"/>
      <c r="BQ39" s="209"/>
      <c r="BR39" s="209"/>
      <c r="BS39" s="218"/>
      <c r="BT39" s="209"/>
      <c r="BU39" s="219"/>
      <c r="BV39" s="209"/>
      <c r="BW39" s="220"/>
      <c r="BX39" s="220"/>
      <c r="BY39" s="208"/>
      <c r="BZ39" s="208"/>
      <c r="CA39" s="208">
        <v>89536036.000000015</v>
      </c>
      <c r="CB39" s="208"/>
      <c r="CC39" s="208"/>
      <c r="CD39" s="208"/>
      <c r="CE39" s="208"/>
      <c r="CF39" s="208"/>
      <c r="CG39" s="208"/>
      <c r="CH39" s="208"/>
      <c r="CI39" s="208"/>
      <c r="CJ39" s="208"/>
      <c r="CK39" s="209"/>
      <c r="CL39" s="209"/>
    </row>
    <row r="40" spans="1:90" s="236" customFormat="1" ht="30" customHeight="1" outlineLevel="1" x14ac:dyDescent="0.25">
      <c r="A40" s="204"/>
      <c r="B40" s="204" t="s">
        <v>408</v>
      </c>
      <c r="C40" s="204"/>
      <c r="D40" s="204"/>
      <c r="E40" s="204"/>
      <c r="F40" s="204"/>
      <c r="G40" s="238"/>
      <c r="H40" s="238"/>
      <c r="I40" s="205"/>
      <c r="J40" s="222"/>
      <c r="K40" s="222"/>
      <c r="L40" s="224"/>
      <c r="M40" s="224"/>
      <c r="N40" s="224"/>
      <c r="O40" s="223"/>
      <c r="P40" s="225"/>
      <c r="Q40" s="225"/>
      <c r="R40" s="226">
        <v>0</v>
      </c>
      <c r="S40" s="257">
        <v>1</v>
      </c>
      <c r="T40" s="226">
        <v>0</v>
      </c>
      <c r="U40" s="227">
        <v>80653335.512305006</v>
      </c>
      <c r="V40" s="223"/>
      <c r="W40" s="223">
        <v>0</v>
      </c>
      <c r="X40" s="223">
        <v>0</v>
      </c>
      <c r="Y40" s="223">
        <v>0</v>
      </c>
      <c r="Z40" s="223">
        <v>0</v>
      </c>
      <c r="AA40" s="223">
        <v>0</v>
      </c>
      <c r="AB40" s="223">
        <v>0</v>
      </c>
      <c r="AC40" s="227">
        <v>82707661.84365502</v>
      </c>
      <c r="AD40" s="223">
        <v>-2054326.3313500083</v>
      </c>
      <c r="AE40" s="223">
        <v>0</v>
      </c>
      <c r="AF40" s="223">
        <v>2054326.3313500083</v>
      </c>
      <c r="AG40" s="223">
        <v>0</v>
      </c>
      <c r="AH40" s="228">
        <v>-12062591.759725008</v>
      </c>
      <c r="AI40" s="223">
        <v>0</v>
      </c>
      <c r="AJ40" s="223">
        <v>12062591.759725008</v>
      </c>
      <c r="AK40" s="229">
        <v>0</v>
      </c>
      <c r="AL40" s="230"/>
      <c r="AM40" s="223">
        <v>3138698.4949500002</v>
      </c>
      <c r="AN40" s="230"/>
      <c r="AO40" s="230"/>
      <c r="AP40" s="223">
        <v>3050296.446432</v>
      </c>
      <c r="AQ40" s="231"/>
      <c r="AR40" s="223"/>
      <c r="AS40" s="223"/>
      <c r="AT40" s="223">
        <v>2940236.0121749919</v>
      </c>
      <c r="AU40" s="223">
        <v>0</v>
      </c>
      <c r="AV40" s="223">
        <v>-2940236.0121749919</v>
      </c>
      <c r="AW40" s="223">
        <v>0</v>
      </c>
      <c r="AX40" s="223">
        <v>-12062591.759725008</v>
      </c>
      <c r="AY40" s="223">
        <v>0</v>
      </c>
      <c r="AZ40" s="223">
        <v>12062591.759725008</v>
      </c>
      <c r="BA40" s="223">
        <v>0</v>
      </c>
      <c r="BB40" s="223"/>
      <c r="BC40" s="223"/>
      <c r="BD40" s="223"/>
      <c r="BE40" s="223"/>
      <c r="BF40" s="223"/>
      <c r="BG40" s="223"/>
      <c r="BH40" s="223"/>
      <c r="BI40" s="223"/>
      <c r="BJ40" s="223"/>
      <c r="BK40" s="223"/>
      <c r="BL40" s="223"/>
      <c r="BM40" s="223"/>
      <c r="BN40" s="223"/>
      <c r="BO40" s="223"/>
      <c r="BP40" s="223"/>
      <c r="BQ40" s="224"/>
      <c r="BR40" s="224"/>
      <c r="BS40" s="233"/>
      <c r="BT40" s="224"/>
      <c r="BU40" s="234"/>
      <c r="BV40" s="224"/>
      <c r="BW40" s="235"/>
      <c r="BX40" s="235"/>
      <c r="BY40" s="223"/>
      <c r="BZ40" s="223"/>
      <c r="CA40" s="223">
        <v>89577228.777080014</v>
      </c>
      <c r="CB40" s="223"/>
      <c r="CC40" s="223"/>
      <c r="CD40" s="223"/>
      <c r="CE40" s="223"/>
      <c r="CF40" s="223"/>
      <c r="CG40" s="223"/>
      <c r="CH40" s="223"/>
      <c r="CI40" s="223"/>
      <c r="CJ40" s="223"/>
      <c r="CK40" s="224"/>
      <c r="CL40" s="224"/>
    </row>
    <row r="41" spans="1:90" outlineLevel="3" x14ac:dyDescent="0.25">
      <c r="A41" s="129" t="s">
        <v>409</v>
      </c>
      <c r="B41" s="129" t="s">
        <v>410</v>
      </c>
      <c r="C41" s="129" t="s">
        <v>404</v>
      </c>
      <c r="D41" s="129" t="s">
        <v>405</v>
      </c>
      <c r="E41" s="129" t="s">
        <v>476</v>
      </c>
      <c r="F41" s="129" t="s">
        <v>307</v>
      </c>
      <c r="G41" s="129" t="s">
        <v>412</v>
      </c>
      <c r="H41" s="237" t="s">
        <v>413</v>
      </c>
      <c r="I41" s="187" t="s">
        <v>310</v>
      </c>
      <c r="J41" s="188">
        <v>1000</v>
      </c>
      <c r="K41" s="189">
        <v>1000</v>
      </c>
      <c r="L41" s="191">
        <v>0</v>
      </c>
      <c r="M41" s="191">
        <v>0</v>
      </c>
      <c r="N41" s="191">
        <v>1</v>
      </c>
      <c r="O41" s="190">
        <v>1247.9435000000001</v>
      </c>
      <c r="P41" s="192">
        <v>1247.9435000000001</v>
      </c>
      <c r="Q41" s="192">
        <v>0</v>
      </c>
      <c r="R41" s="193">
        <v>0</v>
      </c>
      <c r="S41" s="254">
        <v>0.5</v>
      </c>
      <c r="T41" s="193">
        <v>0</v>
      </c>
      <c r="U41" s="194">
        <v>1247943.5</v>
      </c>
      <c r="V41" s="190" t="s">
        <v>312</v>
      </c>
      <c r="W41" s="190">
        <v>0</v>
      </c>
      <c r="X41" s="190">
        <v>0</v>
      </c>
      <c r="Y41" s="190">
        <v>0</v>
      </c>
      <c r="Z41" s="190">
        <v>0</v>
      </c>
      <c r="AA41" s="190">
        <v>0</v>
      </c>
      <c r="AB41" s="190">
        <v>0</v>
      </c>
      <c r="AC41" s="194">
        <v>1247943.5</v>
      </c>
      <c r="AD41" s="190">
        <v>0</v>
      </c>
      <c r="AE41" s="190">
        <v>0</v>
      </c>
      <c r="AF41" s="190">
        <v>0</v>
      </c>
      <c r="AG41" s="190">
        <v>0</v>
      </c>
      <c r="AH41" s="195">
        <v>0</v>
      </c>
      <c r="AI41" s="190">
        <v>0</v>
      </c>
      <c r="AJ41" s="190">
        <v>0</v>
      </c>
      <c r="AK41" s="196">
        <v>0</v>
      </c>
      <c r="AL41" s="197">
        <v>0</v>
      </c>
      <c r="AM41" s="190">
        <v>1247943.5</v>
      </c>
      <c r="AN41" s="197">
        <v>0</v>
      </c>
      <c r="AO41" s="191">
        <v>0</v>
      </c>
      <c r="AP41" s="190">
        <v>1247943.5</v>
      </c>
      <c r="AQ41" s="198">
        <v>1</v>
      </c>
      <c r="AR41" s="190">
        <v>1247943.5</v>
      </c>
      <c r="AS41" s="190">
        <v>1247.9435000000001</v>
      </c>
      <c r="AT41" s="190">
        <v>0</v>
      </c>
      <c r="AU41" s="190">
        <v>0</v>
      </c>
      <c r="AV41" s="190">
        <v>0</v>
      </c>
      <c r="AW41" s="190">
        <v>0</v>
      </c>
      <c r="AX41" s="190">
        <v>0</v>
      </c>
      <c r="AY41" s="190">
        <v>0</v>
      </c>
      <c r="AZ41" s="190">
        <v>0</v>
      </c>
      <c r="BA41" s="190">
        <v>0</v>
      </c>
      <c r="BB41" s="190" t="s">
        <v>307</v>
      </c>
      <c r="BC41" s="190" t="s">
        <v>307</v>
      </c>
      <c r="BD41" s="190">
        <v>0</v>
      </c>
      <c r="BE41" s="190">
        <v>0</v>
      </c>
      <c r="BF41" s="190">
        <v>0</v>
      </c>
      <c r="BG41" s="190">
        <v>0</v>
      </c>
      <c r="BH41" s="190">
        <v>0</v>
      </c>
      <c r="BI41" s="190">
        <v>0</v>
      </c>
      <c r="BJ41" s="190">
        <v>0</v>
      </c>
      <c r="BK41" s="190">
        <v>0</v>
      </c>
      <c r="BL41" s="202">
        <v>1247943.5</v>
      </c>
      <c r="BM41" s="190" t="s">
        <v>313</v>
      </c>
      <c r="BN41" s="190">
        <v>0</v>
      </c>
      <c r="BO41" s="190" t="b">
        <v>0</v>
      </c>
      <c r="BP41" s="190">
        <v>0</v>
      </c>
      <c r="BQ41" s="191">
        <v>0</v>
      </c>
      <c r="BR41" s="191">
        <v>0</v>
      </c>
      <c r="BS41" s="200">
        <v>73</v>
      </c>
      <c r="BT41" s="191">
        <v>0</v>
      </c>
      <c r="BU41" s="201">
        <v>0</v>
      </c>
      <c r="BV41" s="191">
        <v>34</v>
      </c>
      <c r="BW41" s="202">
        <v>0</v>
      </c>
      <c r="BX41" s="202">
        <v>0</v>
      </c>
      <c r="BY41" s="190">
        <v>0</v>
      </c>
      <c r="BZ41" s="190">
        <v>0</v>
      </c>
      <c r="CA41" s="190">
        <v>0</v>
      </c>
      <c r="CB41" s="190">
        <v>0</v>
      </c>
      <c r="CC41" s="190">
        <v>0</v>
      </c>
      <c r="CD41" s="190">
        <v>0</v>
      </c>
      <c r="CE41" s="190">
        <v>0</v>
      </c>
      <c r="CF41" s="190">
        <v>0</v>
      </c>
      <c r="CG41" s="190">
        <v>0</v>
      </c>
      <c r="CH41" s="190">
        <v>0</v>
      </c>
      <c r="CI41" s="190">
        <v>0</v>
      </c>
      <c r="CJ41" s="190">
        <v>0</v>
      </c>
      <c r="CK41" s="191">
        <v>0</v>
      </c>
      <c r="CL41" s="191">
        <v>0</v>
      </c>
    </row>
    <row r="42" spans="1:90" outlineLevel="3" x14ac:dyDescent="0.25">
      <c r="A42" s="129" t="s">
        <v>409</v>
      </c>
      <c r="B42" s="129" t="s">
        <v>410</v>
      </c>
      <c r="C42" s="129" t="s">
        <v>404</v>
      </c>
      <c r="D42" s="129" t="s">
        <v>405</v>
      </c>
      <c r="E42" s="129" t="s">
        <v>481</v>
      </c>
      <c r="F42" s="129" t="s">
        <v>307</v>
      </c>
      <c r="G42" s="129" t="s">
        <v>412</v>
      </c>
      <c r="H42" s="237" t="s">
        <v>413</v>
      </c>
      <c r="I42" s="187" t="s">
        <v>310</v>
      </c>
      <c r="J42" s="188">
        <v>1000</v>
      </c>
      <c r="K42" s="189">
        <v>1000</v>
      </c>
      <c r="L42" s="191">
        <v>0</v>
      </c>
      <c r="M42" s="191">
        <v>0</v>
      </c>
      <c r="N42" s="191">
        <v>1</v>
      </c>
      <c r="O42" s="190">
        <v>0</v>
      </c>
      <c r="P42" s="192">
        <v>0</v>
      </c>
      <c r="Q42" s="192">
        <v>0</v>
      </c>
      <c r="R42" s="193">
        <v>0</v>
      </c>
      <c r="S42" s="254">
        <v>0.5</v>
      </c>
      <c r="T42" s="193">
        <v>0</v>
      </c>
      <c r="U42" s="194">
        <v>0</v>
      </c>
      <c r="V42" s="190" t="s">
        <v>312</v>
      </c>
      <c r="W42" s="190">
        <v>0</v>
      </c>
      <c r="X42" s="190">
        <v>0</v>
      </c>
      <c r="Y42" s="190">
        <v>0</v>
      </c>
      <c r="Z42" s="190">
        <v>0</v>
      </c>
      <c r="AA42" s="190">
        <v>0</v>
      </c>
      <c r="AB42" s="190">
        <v>0</v>
      </c>
      <c r="AC42" s="194">
        <v>0</v>
      </c>
      <c r="AD42" s="190">
        <v>0</v>
      </c>
      <c r="AE42" s="190">
        <v>0</v>
      </c>
      <c r="AF42" s="190">
        <v>0</v>
      </c>
      <c r="AG42" s="190">
        <v>0</v>
      </c>
      <c r="AH42" s="195">
        <v>-175230.57</v>
      </c>
      <c r="AI42" s="190">
        <v>0</v>
      </c>
      <c r="AJ42" s="190">
        <v>175230.57</v>
      </c>
      <c r="AK42" s="196">
        <v>0</v>
      </c>
      <c r="AL42" s="197">
        <v>0</v>
      </c>
      <c r="AM42" s="190">
        <v>0</v>
      </c>
      <c r="AN42" s="197">
        <v>0</v>
      </c>
      <c r="AO42" s="191">
        <v>0</v>
      </c>
      <c r="AP42" s="190">
        <v>0</v>
      </c>
      <c r="AQ42" s="198">
        <v>1</v>
      </c>
      <c r="AR42" s="190">
        <v>0</v>
      </c>
      <c r="AS42" s="190">
        <v>0</v>
      </c>
      <c r="AT42" s="190">
        <v>0</v>
      </c>
      <c r="AU42" s="190">
        <v>0</v>
      </c>
      <c r="AV42" s="190">
        <v>0</v>
      </c>
      <c r="AW42" s="190">
        <v>0</v>
      </c>
      <c r="AX42" s="190">
        <v>-175230.57</v>
      </c>
      <c r="AY42" s="190">
        <v>0</v>
      </c>
      <c r="AZ42" s="190">
        <v>175230.57</v>
      </c>
      <c r="BA42" s="190">
        <v>0</v>
      </c>
      <c r="BB42" s="190" t="s">
        <v>307</v>
      </c>
      <c r="BC42" s="190" t="s">
        <v>307</v>
      </c>
      <c r="BD42" s="190">
        <v>0</v>
      </c>
      <c r="BE42" s="190">
        <v>0</v>
      </c>
      <c r="BF42" s="190">
        <v>0</v>
      </c>
      <c r="BG42" s="190">
        <v>0</v>
      </c>
      <c r="BH42" s="190">
        <v>-175230.57</v>
      </c>
      <c r="BI42" s="190">
        <v>0</v>
      </c>
      <c r="BJ42" s="190">
        <v>175230.57</v>
      </c>
      <c r="BK42" s="190">
        <v>0</v>
      </c>
      <c r="BL42" s="202">
        <v>0</v>
      </c>
      <c r="BM42" s="190" t="s">
        <v>313</v>
      </c>
      <c r="BN42" s="190">
        <v>0</v>
      </c>
      <c r="BO42" s="190" t="b">
        <v>0</v>
      </c>
      <c r="BP42" s="190">
        <v>175230.57</v>
      </c>
      <c r="BQ42" s="191">
        <v>0</v>
      </c>
      <c r="BR42" s="191">
        <v>0</v>
      </c>
      <c r="BS42" s="200">
        <v>73</v>
      </c>
      <c r="BT42" s="191">
        <v>0</v>
      </c>
      <c r="BU42" s="201">
        <v>0</v>
      </c>
      <c r="BV42" s="191">
        <v>35</v>
      </c>
      <c r="BW42" s="202">
        <v>0</v>
      </c>
      <c r="BX42" s="202">
        <v>0</v>
      </c>
      <c r="BY42" s="190">
        <v>0</v>
      </c>
      <c r="BZ42" s="190">
        <v>0</v>
      </c>
      <c r="CA42" s="190">
        <v>175230.57</v>
      </c>
      <c r="CB42" s="190">
        <v>175230.57</v>
      </c>
      <c r="CC42" s="190">
        <v>0</v>
      </c>
      <c r="CD42" s="190">
        <v>0</v>
      </c>
      <c r="CE42" s="190">
        <v>0</v>
      </c>
      <c r="CF42" s="190">
        <v>0</v>
      </c>
      <c r="CG42" s="190">
        <v>-175230.57</v>
      </c>
      <c r="CH42" s="190">
        <v>0</v>
      </c>
      <c r="CI42" s="190">
        <v>175230.57</v>
      </c>
      <c r="CJ42" s="190">
        <v>0</v>
      </c>
      <c r="CK42" s="191">
        <v>0</v>
      </c>
      <c r="CL42" s="191">
        <v>0</v>
      </c>
    </row>
    <row r="43" spans="1:90" outlineLevel="3" x14ac:dyDescent="0.25">
      <c r="A43" s="129" t="s">
        <v>409</v>
      </c>
      <c r="B43" s="129" t="s">
        <v>410</v>
      </c>
      <c r="C43" s="129" t="s">
        <v>404</v>
      </c>
      <c r="D43" s="129" t="s">
        <v>405</v>
      </c>
      <c r="E43" s="129" t="s">
        <v>411</v>
      </c>
      <c r="F43" s="129" t="s">
        <v>307</v>
      </c>
      <c r="G43" s="129" t="s">
        <v>412</v>
      </c>
      <c r="H43" s="237" t="s">
        <v>413</v>
      </c>
      <c r="I43" s="187" t="s">
        <v>310</v>
      </c>
      <c r="J43" s="188">
        <v>172031</v>
      </c>
      <c r="K43" s="189">
        <v>172031</v>
      </c>
      <c r="L43" s="191">
        <v>0</v>
      </c>
      <c r="M43" s="191">
        <v>0.5</v>
      </c>
      <c r="N43" s="191">
        <v>1</v>
      </c>
      <c r="O43" s="190">
        <v>0</v>
      </c>
      <c r="P43" s="192">
        <v>0</v>
      </c>
      <c r="Q43" s="192">
        <v>0</v>
      </c>
      <c r="R43" s="193" t="s">
        <v>414</v>
      </c>
      <c r="S43" s="254">
        <v>1</v>
      </c>
      <c r="T43" s="193">
        <v>0</v>
      </c>
      <c r="U43" s="194">
        <v>0</v>
      </c>
      <c r="V43" s="190" t="s">
        <v>312</v>
      </c>
      <c r="W43" s="190">
        <v>0</v>
      </c>
      <c r="X43" s="190">
        <v>0</v>
      </c>
      <c r="Y43" s="190">
        <v>0</v>
      </c>
      <c r="Z43" s="190">
        <v>0</v>
      </c>
      <c r="AA43" s="190">
        <v>0</v>
      </c>
      <c r="AB43" s="190">
        <v>0</v>
      </c>
      <c r="AC43" s="194">
        <v>0</v>
      </c>
      <c r="AD43" s="190">
        <v>0</v>
      </c>
      <c r="AE43" s="190">
        <v>0</v>
      </c>
      <c r="AF43" s="190">
        <v>0</v>
      </c>
      <c r="AG43" s="190">
        <v>0</v>
      </c>
      <c r="AH43" s="195">
        <v>-23507915</v>
      </c>
      <c r="AI43" s="190">
        <v>0</v>
      </c>
      <c r="AJ43" s="190">
        <v>23507915</v>
      </c>
      <c r="AK43" s="196">
        <v>0</v>
      </c>
      <c r="AL43" s="197">
        <v>0</v>
      </c>
      <c r="AM43" s="190">
        <v>23507915</v>
      </c>
      <c r="AN43" s="197">
        <v>0</v>
      </c>
      <c r="AO43" s="191">
        <v>0</v>
      </c>
      <c r="AP43" s="190">
        <v>0</v>
      </c>
      <c r="AQ43" s="198">
        <v>1</v>
      </c>
      <c r="AR43" s="190">
        <v>0</v>
      </c>
      <c r="AS43" s="190">
        <v>0</v>
      </c>
      <c r="AT43" s="190">
        <v>0</v>
      </c>
      <c r="AU43" s="190">
        <v>0</v>
      </c>
      <c r="AV43" s="190">
        <v>0</v>
      </c>
      <c r="AW43" s="190">
        <v>0</v>
      </c>
      <c r="AX43" s="190">
        <v>-23507915</v>
      </c>
      <c r="AY43" s="190">
        <v>0</v>
      </c>
      <c r="AZ43" s="190">
        <v>23507915</v>
      </c>
      <c r="BA43" s="190">
        <v>0</v>
      </c>
      <c r="BB43" s="190" t="s">
        <v>307</v>
      </c>
      <c r="BC43" s="190" t="s">
        <v>307</v>
      </c>
      <c r="BD43" s="190">
        <v>0</v>
      </c>
      <c r="BE43" s="190">
        <v>0</v>
      </c>
      <c r="BF43" s="190">
        <v>0</v>
      </c>
      <c r="BG43" s="190">
        <v>0</v>
      </c>
      <c r="BH43" s="190">
        <v>-23507915</v>
      </c>
      <c r="BI43" s="190">
        <v>0</v>
      </c>
      <c r="BJ43" s="190">
        <v>23507915</v>
      </c>
      <c r="BK43" s="190">
        <v>0</v>
      </c>
      <c r="BL43" s="202">
        <v>0</v>
      </c>
      <c r="BM43" s="190" t="s">
        <v>313</v>
      </c>
      <c r="BN43" s="190">
        <v>0</v>
      </c>
      <c r="BO43" s="190" t="b">
        <v>0</v>
      </c>
      <c r="BP43" s="190">
        <v>23507915</v>
      </c>
      <c r="BQ43" s="192">
        <v>89.228099999999998</v>
      </c>
      <c r="BR43" s="191">
        <v>15349999.2711</v>
      </c>
      <c r="BS43" s="200">
        <v>73</v>
      </c>
      <c r="BT43" s="191">
        <v>0</v>
      </c>
      <c r="BU43" s="201">
        <v>0</v>
      </c>
      <c r="BV43" s="191">
        <v>39</v>
      </c>
      <c r="BW43" s="202">
        <v>0</v>
      </c>
      <c r="BX43" s="202">
        <v>0</v>
      </c>
      <c r="BY43" s="190">
        <v>0</v>
      </c>
      <c r="BZ43" s="190">
        <v>0</v>
      </c>
      <c r="CA43" s="190">
        <v>0</v>
      </c>
      <c r="CB43" s="190">
        <v>0</v>
      </c>
      <c r="CC43" s="190">
        <v>0</v>
      </c>
      <c r="CD43" s="190">
        <v>0</v>
      </c>
      <c r="CE43" s="190">
        <v>0</v>
      </c>
      <c r="CF43" s="190">
        <v>0</v>
      </c>
      <c r="CG43" s="190">
        <v>-23507915</v>
      </c>
      <c r="CH43" s="190">
        <v>0</v>
      </c>
      <c r="CI43" s="190">
        <v>23507915</v>
      </c>
      <c r="CJ43" s="190">
        <v>0</v>
      </c>
      <c r="CK43" s="191">
        <v>0.5</v>
      </c>
      <c r="CL43" s="191">
        <v>0</v>
      </c>
    </row>
    <row r="44" spans="1:90" outlineLevel="3" x14ac:dyDescent="0.25">
      <c r="A44" s="129" t="s">
        <v>409</v>
      </c>
      <c r="B44" s="129" t="s">
        <v>410</v>
      </c>
      <c r="C44" s="129" t="s">
        <v>404</v>
      </c>
      <c r="D44" s="129" t="s">
        <v>405</v>
      </c>
      <c r="E44" s="129" t="s">
        <v>415</v>
      </c>
      <c r="F44" s="129" t="s">
        <v>307</v>
      </c>
      <c r="G44" s="237" t="s">
        <v>416</v>
      </c>
      <c r="H44" s="237" t="s">
        <v>413</v>
      </c>
      <c r="I44" s="187" t="s">
        <v>310</v>
      </c>
      <c r="J44" s="188">
        <v>1</v>
      </c>
      <c r="K44" s="189">
        <v>1</v>
      </c>
      <c r="L44" s="191">
        <v>0</v>
      </c>
      <c r="M44" s="191">
        <v>0</v>
      </c>
      <c r="N44" s="191">
        <v>1</v>
      </c>
      <c r="O44" s="190">
        <v>0</v>
      </c>
      <c r="P44" s="192">
        <v>0</v>
      </c>
      <c r="Q44" s="192">
        <v>0</v>
      </c>
      <c r="R44" s="193" t="s">
        <v>417</v>
      </c>
      <c r="S44" s="254">
        <v>1</v>
      </c>
      <c r="T44" s="193">
        <v>0</v>
      </c>
      <c r="U44" s="194">
        <v>0</v>
      </c>
      <c r="V44" s="190" t="s">
        <v>312</v>
      </c>
      <c r="W44" s="190">
        <v>0</v>
      </c>
      <c r="X44" s="190">
        <v>0</v>
      </c>
      <c r="Y44" s="190">
        <v>0</v>
      </c>
      <c r="Z44" s="190">
        <v>0</v>
      </c>
      <c r="AA44" s="190">
        <v>0</v>
      </c>
      <c r="AB44" s="190">
        <v>0</v>
      </c>
      <c r="AC44" s="194">
        <v>0</v>
      </c>
      <c r="AD44" s="190">
        <v>0</v>
      </c>
      <c r="AE44" s="190">
        <v>0</v>
      </c>
      <c r="AF44" s="190">
        <v>0</v>
      </c>
      <c r="AG44" s="190">
        <v>0</v>
      </c>
      <c r="AH44" s="195">
        <v>-10372212</v>
      </c>
      <c r="AI44" s="190">
        <v>0</v>
      </c>
      <c r="AJ44" s="190">
        <v>10372212</v>
      </c>
      <c r="AK44" s="196">
        <v>0</v>
      </c>
      <c r="AL44" s="197">
        <v>0</v>
      </c>
      <c r="AM44" s="190">
        <v>10372212</v>
      </c>
      <c r="AN44" s="197">
        <v>0</v>
      </c>
      <c r="AO44" s="191">
        <v>0</v>
      </c>
      <c r="AP44" s="190">
        <v>0</v>
      </c>
      <c r="AQ44" s="198">
        <v>1</v>
      </c>
      <c r="AR44" s="190">
        <v>0</v>
      </c>
      <c r="AS44" s="190">
        <v>0</v>
      </c>
      <c r="AT44" s="190">
        <v>0</v>
      </c>
      <c r="AU44" s="190">
        <v>0</v>
      </c>
      <c r="AV44" s="190">
        <v>0</v>
      </c>
      <c r="AW44" s="190">
        <v>0</v>
      </c>
      <c r="AX44" s="190">
        <v>-10372212</v>
      </c>
      <c r="AY44" s="190">
        <v>0</v>
      </c>
      <c r="AZ44" s="190">
        <v>10372212</v>
      </c>
      <c r="BA44" s="190">
        <v>0</v>
      </c>
      <c r="BB44" s="190" t="s">
        <v>307</v>
      </c>
      <c r="BC44" s="190" t="s">
        <v>307</v>
      </c>
      <c r="BD44" s="190">
        <v>0</v>
      </c>
      <c r="BE44" s="190">
        <v>0</v>
      </c>
      <c r="BF44" s="190">
        <v>0</v>
      </c>
      <c r="BG44" s="190">
        <v>0</v>
      </c>
      <c r="BH44" s="190">
        <v>-10372212</v>
      </c>
      <c r="BI44" s="190">
        <v>0</v>
      </c>
      <c r="BJ44" s="190">
        <v>10372212</v>
      </c>
      <c r="BK44" s="190">
        <v>0</v>
      </c>
      <c r="BL44" s="190">
        <v>0</v>
      </c>
      <c r="BM44" s="190" t="s">
        <v>313</v>
      </c>
      <c r="BN44" s="190">
        <v>0</v>
      </c>
      <c r="BO44" s="190" t="b">
        <v>0</v>
      </c>
      <c r="BP44" s="190">
        <v>10372212</v>
      </c>
      <c r="BQ44" s="192">
        <v>0</v>
      </c>
      <c r="BR44" s="191">
        <v>0</v>
      </c>
      <c r="BS44" s="200">
        <v>73</v>
      </c>
      <c r="BT44" s="191">
        <v>0</v>
      </c>
      <c r="BU44" s="201">
        <v>0</v>
      </c>
      <c r="BV44" s="191">
        <v>41</v>
      </c>
      <c r="BW44" s="202">
        <v>0</v>
      </c>
      <c r="BX44" s="202">
        <v>0</v>
      </c>
      <c r="BY44" s="190">
        <v>0</v>
      </c>
      <c r="BZ44" s="190">
        <v>0</v>
      </c>
      <c r="CA44" s="190">
        <v>0</v>
      </c>
      <c r="CB44" s="190">
        <v>0</v>
      </c>
      <c r="CC44" s="190">
        <v>0</v>
      </c>
      <c r="CD44" s="190">
        <v>0</v>
      </c>
      <c r="CE44" s="190">
        <v>0</v>
      </c>
      <c r="CF44" s="190">
        <v>0</v>
      </c>
      <c r="CG44" s="190">
        <v>-10372212</v>
      </c>
      <c r="CH44" s="190">
        <v>0</v>
      </c>
      <c r="CI44" s="190">
        <v>10372212</v>
      </c>
      <c r="CJ44" s="190">
        <v>0</v>
      </c>
      <c r="CK44" s="191">
        <v>0</v>
      </c>
      <c r="CL44" s="191">
        <v>0</v>
      </c>
    </row>
    <row r="45" spans="1:90" s="221" customFormat="1" ht="20.100000000000001" customHeight="1" outlineLevel="2" x14ac:dyDescent="0.25">
      <c r="A45" s="204" t="s">
        <v>418</v>
      </c>
      <c r="B45" s="204"/>
      <c r="C45" s="204"/>
      <c r="D45" s="204"/>
      <c r="E45" s="204"/>
      <c r="F45" s="204"/>
      <c r="G45" s="238"/>
      <c r="H45" s="238"/>
      <c r="I45" s="205"/>
      <c r="J45" s="206"/>
      <c r="K45" s="207"/>
      <c r="L45" s="209"/>
      <c r="M45" s="209"/>
      <c r="N45" s="209"/>
      <c r="O45" s="208"/>
      <c r="P45" s="210"/>
      <c r="Q45" s="210"/>
      <c r="R45" s="211">
        <v>0</v>
      </c>
      <c r="S45" s="256">
        <v>3</v>
      </c>
      <c r="T45" s="211">
        <v>0</v>
      </c>
      <c r="U45" s="212">
        <v>1247943.5</v>
      </c>
      <c r="V45" s="208"/>
      <c r="W45" s="208">
        <v>0</v>
      </c>
      <c r="X45" s="208">
        <v>0</v>
      </c>
      <c r="Y45" s="208">
        <v>0</v>
      </c>
      <c r="Z45" s="208">
        <v>0</v>
      </c>
      <c r="AA45" s="208">
        <v>0</v>
      </c>
      <c r="AB45" s="208">
        <v>0</v>
      </c>
      <c r="AC45" s="212">
        <v>1247943.5</v>
      </c>
      <c r="AD45" s="208">
        <v>0</v>
      </c>
      <c r="AE45" s="208">
        <v>0</v>
      </c>
      <c r="AF45" s="208">
        <v>0</v>
      </c>
      <c r="AG45" s="208">
        <v>0</v>
      </c>
      <c r="AH45" s="213">
        <v>-34055357.57</v>
      </c>
      <c r="AI45" s="208">
        <v>0</v>
      </c>
      <c r="AJ45" s="208">
        <v>34055357.57</v>
      </c>
      <c r="AK45" s="214">
        <v>0</v>
      </c>
      <c r="AL45" s="215"/>
      <c r="AM45" s="208">
        <v>35128070.5</v>
      </c>
      <c r="AN45" s="215"/>
      <c r="AO45" s="209"/>
      <c r="AP45" s="208">
        <v>1247943.5</v>
      </c>
      <c r="AQ45" s="216"/>
      <c r="AR45" s="208"/>
      <c r="AS45" s="208"/>
      <c r="AT45" s="208">
        <v>0</v>
      </c>
      <c r="AU45" s="208">
        <v>0</v>
      </c>
      <c r="AV45" s="208">
        <v>0</v>
      </c>
      <c r="AW45" s="208">
        <v>0</v>
      </c>
      <c r="AX45" s="208">
        <v>-34055357.57</v>
      </c>
      <c r="AY45" s="208">
        <v>0</v>
      </c>
      <c r="AZ45" s="208">
        <v>34055357.57</v>
      </c>
      <c r="BA45" s="208">
        <v>0</v>
      </c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8"/>
      <c r="BN45" s="208"/>
      <c r="BO45" s="208"/>
      <c r="BP45" s="208"/>
      <c r="BQ45" s="210"/>
      <c r="BR45" s="209"/>
      <c r="BS45" s="218"/>
      <c r="BT45" s="209"/>
      <c r="BU45" s="219"/>
      <c r="BV45" s="209"/>
      <c r="BW45" s="220"/>
      <c r="BX45" s="220"/>
      <c r="BY45" s="208"/>
      <c r="BZ45" s="208"/>
      <c r="CA45" s="208">
        <v>175230.57</v>
      </c>
      <c r="CB45" s="208"/>
      <c r="CC45" s="208"/>
      <c r="CD45" s="208"/>
      <c r="CE45" s="208"/>
      <c r="CF45" s="208"/>
      <c r="CG45" s="208"/>
      <c r="CH45" s="208"/>
      <c r="CI45" s="208"/>
      <c r="CJ45" s="208"/>
      <c r="CK45" s="209"/>
      <c r="CL45" s="209"/>
    </row>
    <row r="46" spans="1:90" outlineLevel="3" x14ac:dyDescent="0.25">
      <c r="A46" s="129" t="s">
        <v>378</v>
      </c>
      <c r="B46" s="129" t="s">
        <v>410</v>
      </c>
      <c r="C46" s="129" t="s">
        <v>404</v>
      </c>
      <c r="D46" s="129" t="s">
        <v>405</v>
      </c>
      <c r="E46" s="129" t="s">
        <v>419</v>
      </c>
      <c r="F46" s="129" t="s">
        <v>401</v>
      </c>
      <c r="G46" s="129" t="s">
        <v>412</v>
      </c>
      <c r="H46" s="129" t="s">
        <v>323</v>
      </c>
      <c r="I46" s="187" t="s">
        <v>310</v>
      </c>
      <c r="J46" s="189">
        <v>10134.6</v>
      </c>
      <c r="K46" s="189">
        <v>10134.6</v>
      </c>
      <c r="L46" s="191">
        <v>0</v>
      </c>
      <c r="M46" s="191">
        <v>0</v>
      </c>
      <c r="N46" s="191">
        <v>1</v>
      </c>
      <c r="O46" s="190">
        <v>8.3125</v>
      </c>
      <c r="P46" s="192">
        <v>8.1875</v>
      </c>
      <c r="Q46" s="192">
        <v>0.125</v>
      </c>
      <c r="R46" s="193" t="s">
        <v>420</v>
      </c>
      <c r="S46" s="254">
        <v>0.6</v>
      </c>
      <c r="T46" s="193">
        <v>0</v>
      </c>
      <c r="U46" s="194">
        <v>84243.862500000047</v>
      </c>
      <c r="V46" s="190" t="s">
        <v>312</v>
      </c>
      <c r="W46" s="190">
        <v>0</v>
      </c>
      <c r="X46" s="190">
        <v>0</v>
      </c>
      <c r="Y46" s="190">
        <v>0</v>
      </c>
      <c r="Z46" s="190">
        <v>0</v>
      </c>
      <c r="AA46" s="190">
        <v>0</v>
      </c>
      <c r="AB46" s="190">
        <v>0</v>
      </c>
      <c r="AC46" s="194">
        <v>82977.037500000049</v>
      </c>
      <c r="AD46" s="190">
        <v>1266.825</v>
      </c>
      <c r="AE46" s="190">
        <v>0</v>
      </c>
      <c r="AF46" s="190">
        <v>-1266.825</v>
      </c>
      <c r="AG46" s="190">
        <v>0</v>
      </c>
      <c r="AH46" s="195">
        <v>4433.8875000003636</v>
      </c>
      <c r="AI46" s="190">
        <v>0</v>
      </c>
      <c r="AJ46" s="190">
        <v>-4433.8875000003636</v>
      </c>
      <c r="AK46" s="196">
        <v>0</v>
      </c>
      <c r="AL46" s="197">
        <v>0</v>
      </c>
      <c r="AM46" s="190">
        <v>79809.975000000049</v>
      </c>
      <c r="AN46" s="191">
        <v>0</v>
      </c>
      <c r="AO46" s="197">
        <v>0</v>
      </c>
      <c r="AP46" s="190">
        <v>403753.41600000003</v>
      </c>
      <c r="AQ46" s="198">
        <v>1</v>
      </c>
      <c r="AR46" s="190">
        <v>84243.862500000047</v>
      </c>
      <c r="AS46" s="190">
        <v>8.3125</v>
      </c>
      <c r="AT46" s="190">
        <v>12034.837500000096</v>
      </c>
      <c r="AU46" s="190">
        <v>0</v>
      </c>
      <c r="AV46" s="190">
        <v>-12034.837500000096</v>
      </c>
      <c r="AW46" s="190">
        <v>0</v>
      </c>
      <c r="AX46" s="190">
        <v>4433.8875000003636</v>
      </c>
      <c r="AY46" s="190">
        <v>0</v>
      </c>
      <c r="AZ46" s="190">
        <v>-4433.8875000003636</v>
      </c>
      <c r="BA46" s="190">
        <v>0</v>
      </c>
      <c r="BB46" s="190">
        <v>8.3125</v>
      </c>
      <c r="BC46" s="190">
        <v>8.1875</v>
      </c>
      <c r="BD46" s="190">
        <v>10768.012500000099</v>
      </c>
      <c r="BE46" s="190">
        <v>0</v>
      </c>
      <c r="BF46" s="190">
        <v>-10768.012500000099</v>
      </c>
      <c r="BG46" s="190">
        <v>0</v>
      </c>
      <c r="BH46" s="190">
        <v>3167.0625000003665</v>
      </c>
      <c r="BI46" s="190">
        <v>0</v>
      </c>
      <c r="BJ46" s="190">
        <v>-3167.0625000003665</v>
      </c>
      <c r="BK46" s="190">
        <v>0</v>
      </c>
      <c r="BL46" s="190">
        <v>403753.41600000003</v>
      </c>
      <c r="BM46" s="190" t="s">
        <v>324</v>
      </c>
      <c r="BN46" s="190">
        <v>0</v>
      </c>
      <c r="BO46" s="190" t="b">
        <v>0</v>
      </c>
      <c r="BP46" s="190">
        <v>-3167.0625000003665</v>
      </c>
      <c r="BQ46" s="192">
        <v>1.1200000000000001</v>
      </c>
      <c r="BR46" s="191">
        <v>11350.752000000008</v>
      </c>
      <c r="BS46" s="200">
        <v>72</v>
      </c>
      <c r="BT46" s="191">
        <v>1266.825</v>
      </c>
      <c r="BU46" s="201">
        <v>10134.6</v>
      </c>
      <c r="BV46" s="191">
        <v>7</v>
      </c>
      <c r="BW46" s="202">
        <v>8.3125</v>
      </c>
      <c r="BX46" s="202">
        <v>0</v>
      </c>
      <c r="BY46" s="190">
        <v>0</v>
      </c>
      <c r="BZ46" s="190">
        <v>0</v>
      </c>
      <c r="CA46" s="190">
        <v>0</v>
      </c>
      <c r="CB46" s="190">
        <v>0</v>
      </c>
      <c r="CC46" s="190">
        <v>0</v>
      </c>
      <c r="CD46" s="190">
        <v>0</v>
      </c>
      <c r="CE46" s="190">
        <v>0</v>
      </c>
      <c r="CF46" s="190">
        <v>0</v>
      </c>
      <c r="CG46" s="190">
        <v>3167.0625000003665</v>
      </c>
      <c r="CH46" s="190">
        <v>0</v>
      </c>
      <c r="CI46" s="190">
        <v>-3167.0625000003665</v>
      </c>
      <c r="CJ46" s="190">
        <v>0</v>
      </c>
      <c r="CK46" s="191">
        <v>0</v>
      </c>
      <c r="CL46" s="191">
        <v>0</v>
      </c>
    </row>
    <row r="47" spans="1:90" s="221" customFormat="1" ht="20.100000000000001" customHeight="1" outlineLevel="2" x14ac:dyDescent="0.25">
      <c r="A47" s="204" t="s">
        <v>386</v>
      </c>
      <c r="B47" s="204"/>
      <c r="C47" s="204"/>
      <c r="D47" s="204"/>
      <c r="E47" s="204"/>
      <c r="F47" s="204"/>
      <c r="G47" s="204"/>
      <c r="H47" s="204"/>
      <c r="I47" s="205"/>
      <c r="J47" s="207"/>
      <c r="K47" s="207"/>
      <c r="L47" s="209"/>
      <c r="M47" s="209"/>
      <c r="N47" s="209"/>
      <c r="O47" s="208"/>
      <c r="P47" s="210"/>
      <c r="Q47" s="210"/>
      <c r="R47" s="211">
        <v>0</v>
      </c>
      <c r="S47" s="256">
        <v>0.6</v>
      </c>
      <c r="T47" s="211">
        <v>0</v>
      </c>
      <c r="U47" s="212">
        <v>84243.862500000047</v>
      </c>
      <c r="V47" s="208"/>
      <c r="W47" s="208">
        <v>0</v>
      </c>
      <c r="X47" s="208">
        <v>0</v>
      </c>
      <c r="Y47" s="208">
        <v>0</v>
      </c>
      <c r="Z47" s="208">
        <v>0</v>
      </c>
      <c r="AA47" s="208">
        <v>0</v>
      </c>
      <c r="AB47" s="208">
        <v>0</v>
      </c>
      <c r="AC47" s="212">
        <v>82977.037500000049</v>
      </c>
      <c r="AD47" s="208">
        <v>1266.825</v>
      </c>
      <c r="AE47" s="208">
        <v>0</v>
      </c>
      <c r="AF47" s="208">
        <v>-1266.825</v>
      </c>
      <c r="AG47" s="208">
        <v>0</v>
      </c>
      <c r="AH47" s="213">
        <v>4433.8875000003636</v>
      </c>
      <c r="AI47" s="208">
        <v>0</v>
      </c>
      <c r="AJ47" s="208">
        <v>-4433.8875000003636</v>
      </c>
      <c r="AK47" s="214">
        <v>0</v>
      </c>
      <c r="AL47" s="215"/>
      <c r="AM47" s="208">
        <v>79809.975000000049</v>
      </c>
      <c r="AN47" s="209"/>
      <c r="AO47" s="215"/>
      <c r="AP47" s="208">
        <v>403753.41600000003</v>
      </c>
      <c r="AQ47" s="216"/>
      <c r="AR47" s="208"/>
      <c r="AS47" s="208"/>
      <c r="AT47" s="208">
        <v>12034.837500000096</v>
      </c>
      <c r="AU47" s="208">
        <v>0</v>
      </c>
      <c r="AV47" s="208">
        <v>-12034.837500000096</v>
      </c>
      <c r="AW47" s="208">
        <v>0</v>
      </c>
      <c r="AX47" s="208">
        <v>4433.8875000003636</v>
      </c>
      <c r="AY47" s="208">
        <v>0</v>
      </c>
      <c r="AZ47" s="208">
        <v>-4433.8875000003636</v>
      </c>
      <c r="BA47" s="208">
        <v>0</v>
      </c>
      <c r="BB47" s="208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208"/>
      <c r="BN47" s="208"/>
      <c r="BO47" s="208"/>
      <c r="BP47" s="208"/>
      <c r="BQ47" s="210"/>
      <c r="BR47" s="209"/>
      <c r="BS47" s="218"/>
      <c r="BT47" s="209"/>
      <c r="BU47" s="219"/>
      <c r="BV47" s="209"/>
      <c r="BW47" s="220"/>
      <c r="BX47" s="220"/>
      <c r="BY47" s="208"/>
      <c r="BZ47" s="208"/>
      <c r="CA47" s="208">
        <v>0</v>
      </c>
      <c r="CB47" s="208"/>
      <c r="CC47" s="208"/>
      <c r="CD47" s="208"/>
      <c r="CE47" s="208"/>
      <c r="CF47" s="208"/>
      <c r="CG47" s="208"/>
      <c r="CH47" s="208"/>
      <c r="CI47" s="208"/>
      <c r="CJ47" s="208"/>
      <c r="CK47" s="209"/>
      <c r="CL47" s="209"/>
    </row>
    <row r="48" spans="1:90" outlineLevel="3" x14ac:dyDescent="0.25">
      <c r="A48" s="129" t="s">
        <v>368</v>
      </c>
      <c r="B48" s="129" t="s">
        <v>410</v>
      </c>
      <c r="C48" s="129" t="s">
        <v>404</v>
      </c>
      <c r="D48" s="129" t="s">
        <v>405</v>
      </c>
      <c r="E48" s="129" t="s">
        <v>421</v>
      </c>
      <c r="F48" s="129" t="s">
        <v>307</v>
      </c>
      <c r="G48" s="129" t="s">
        <v>412</v>
      </c>
      <c r="H48" s="129" t="s">
        <v>309</v>
      </c>
      <c r="I48" s="187" t="s">
        <v>374</v>
      </c>
      <c r="J48" s="189">
        <v>1</v>
      </c>
      <c r="K48" s="189">
        <v>1</v>
      </c>
      <c r="L48" s="191">
        <v>0</v>
      </c>
      <c r="M48" s="191">
        <v>0</v>
      </c>
      <c r="N48" s="191">
        <v>0</v>
      </c>
      <c r="O48" s="190">
        <v>0</v>
      </c>
      <c r="P48" s="191">
        <v>0</v>
      </c>
      <c r="Q48" s="191">
        <v>0</v>
      </c>
      <c r="R48" s="193" t="s">
        <v>422</v>
      </c>
      <c r="S48" s="258">
        <v>1</v>
      </c>
      <c r="T48" s="193">
        <v>0</v>
      </c>
      <c r="U48" s="194">
        <v>0</v>
      </c>
      <c r="V48" s="190" t="s">
        <v>312</v>
      </c>
      <c r="W48" s="190">
        <v>0</v>
      </c>
      <c r="X48" s="190">
        <v>0</v>
      </c>
      <c r="Y48" s="190">
        <v>0</v>
      </c>
      <c r="Z48" s="190">
        <v>0</v>
      </c>
      <c r="AA48" s="190">
        <v>0</v>
      </c>
      <c r="AB48" s="190">
        <v>0</v>
      </c>
      <c r="AC48" s="194">
        <v>0</v>
      </c>
      <c r="AD48" s="190">
        <v>0</v>
      </c>
      <c r="AE48" s="190">
        <v>0</v>
      </c>
      <c r="AF48" s="190">
        <v>0</v>
      </c>
      <c r="AG48" s="190">
        <v>0</v>
      </c>
      <c r="AH48" s="195">
        <v>0</v>
      </c>
      <c r="AI48" s="190">
        <v>0</v>
      </c>
      <c r="AJ48" s="190">
        <v>0</v>
      </c>
      <c r="AK48" s="196">
        <v>0</v>
      </c>
      <c r="AL48" s="197">
        <v>0</v>
      </c>
      <c r="AM48" s="190">
        <v>0</v>
      </c>
      <c r="AN48" s="191">
        <v>0</v>
      </c>
      <c r="AO48" s="197">
        <v>0</v>
      </c>
      <c r="AP48" s="190">
        <v>0</v>
      </c>
      <c r="AQ48" s="198">
        <v>1</v>
      </c>
      <c r="AR48" s="190">
        <v>0</v>
      </c>
      <c r="AS48" s="190">
        <v>0</v>
      </c>
      <c r="AT48" s="190">
        <v>0</v>
      </c>
      <c r="AU48" s="190">
        <v>0</v>
      </c>
      <c r="AV48" s="190">
        <v>0</v>
      </c>
      <c r="AW48" s="190">
        <v>0</v>
      </c>
      <c r="AX48" s="190">
        <v>0</v>
      </c>
      <c r="AY48" s="190">
        <v>0</v>
      </c>
      <c r="AZ48" s="190">
        <v>0</v>
      </c>
      <c r="BA48" s="190">
        <v>0</v>
      </c>
      <c r="BB48" s="190" t="s">
        <v>307</v>
      </c>
      <c r="BC48" s="190" t="s">
        <v>307</v>
      </c>
      <c r="BD48" s="190">
        <v>0</v>
      </c>
      <c r="BE48" s="190">
        <v>0</v>
      </c>
      <c r="BF48" s="190">
        <v>0</v>
      </c>
      <c r="BG48" s="190">
        <v>0</v>
      </c>
      <c r="BH48" s="190">
        <v>0</v>
      </c>
      <c r="BI48" s="190">
        <v>0</v>
      </c>
      <c r="BJ48" s="190">
        <v>0</v>
      </c>
      <c r="BK48" s="190">
        <v>0</v>
      </c>
      <c r="BL48" s="190">
        <v>0</v>
      </c>
      <c r="BM48" s="190" t="s">
        <v>324</v>
      </c>
      <c r="BN48" s="190">
        <v>0</v>
      </c>
      <c r="BO48" s="190" t="b">
        <v>0</v>
      </c>
      <c r="BP48" s="190">
        <v>0</v>
      </c>
      <c r="BQ48" s="192">
        <v>0</v>
      </c>
      <c r="BR48" s="191">
        <v>0</v>
      </c>
      <c r="BS48" s="200">
        <v>80</v>
      </c>
      <c r="BT48" s="191">
        <v>0</v>
      </c>
      <c r="BU48" s="201">
        <v>0</v>
      </c>
      <c r="BV48" s="191">
        <v>160</v>
      </c>
      <c r="BW48" s="202">
        <v>0</v>
      </c>
      <c r="BX48" s="202">
        <v>0</v>
      </c>
      <c r="BY48" s="190">
        <v>0</v>
      </c>
      <c r="BZ48" s="190">
        <v>0</v>
      </c>
      <c r="CA48" s="190">
        <v>0</v>
      </c>
      <c r="CB48" s="190">
        <v>0</v>
      </c>
      <c r="CC48" s="190">
        <v>0</v>
      </c>
      <c r="CD48" s="190">
        <v>0</v>
      </c>
      <c r="CE48" s="190">
        <v>0</v>
      </c>
      <c r="CF48" s="190">
        <v>0</v>
      </c>
      <c r="CG48" s="190">
        <v>0</v>
      </c>
      <c r="CH48" s="190">
        <v>0</v>
      </c>
      <c r="CI48" s="190">
        <v>0</v>
      </c>
      <c r="CJ48" s="190">
        <v>0</v>
      </c>
      <c r="CK48" s="191">
        <v>0</v>
      </c>
      <c r="CL48" s="191">
        <v>0</v>
      </c>
    </row>
    <row r="49" spans="1:90" s="221" customFormat="1" ht="20.100000000000001" customHeight="1" outlineLevel="2" x14ac:dyDescent="0.25">
      <c r="A49" s="204" t="s">
        <v>376</v>
      </c>
      <c r="B49" s="204"/>
      <c r="C49" s="204"/>
      <c r="D49" s="204"/>
      <c r="E49" s="204"/>
      <c r="F49" s="204"/>
      <c r="G49" s="204"/>
      <c r="H49" s="204"/>
      <c r="I49" s="205"/>
      <c r="J49" s="207"/>
      <c r="K49" s="207"/>
      <c r="L49" s="209"/>
      <c r="M49" s="209"/>
      <c r="N49" s="209"/>
      <c r="O49" s="208"/>
      <c r="P49" s="209"/>
      <c r="Q49" s="209"/>
      <c r="R49" s="211">
        <v>0</v>
      </c>
      <c r="S49" s="259">
        <v>1</v>
      </c>
      <c r="T49" s="211">
        <v>0</v>
      </c>
      <c r="U49" s="212">
        <v>0</v>
      </c>
      <c r="V49" s="208"/>
      <c r="W49" s="208">
        <v>0</v>
      </c>
      <c r="X49" s="208">
        <v>0</v>
      </c>
      <c r="Y49" s="208">
        <v>0</v>
      </c>
      <c r="Z49" s="208">
        <v>0</v>
      </c>
      <c r="AA49" s="208">
        <v>0</v>
      </c>
      <c r="AB49" s="208">
        <v>0</v>
      </c>
      <c r="AC49" s="212">
        <v>0</v>
      </c>
      <c r="AD49" s="208">
        <v>0</v>
      </c>
      <c r="AE49" s="208">
        <v>0</v>
      </c>
      <c r="AF49" s="208">
        <v>0</v>
      </c>
      <c r="AG49" s="208">
        <v>0</v>
      </c>
      <c r="AH49" s="213">
        <v>0</v>
      </c>
      <c r="AI49" s="208">
        <v>0</v>
      </c>
      <c r="AJ49" s="208">
        <v>0</v>
      </c>
      <c r="AK49" s="214">
        <v>0</v>
      </c>
      <c r="AL49" s="215"/>
      <c r="AM49" s="208">
        <v>0</v>
      </c>
      <c r="AN49" s="209"/>
      <c r="AO49" s="215"/>
      <c r="AP49" s="208">
        <v>0</v>
      </c>
      <c r="AQ49" s="216"/>
      <c r="AR49" s="208"/>
      <c r="AS49" s="208"/>
      <c r="AT49" s="208">
        <v>0</v>
      </c>
      <c r="AU49" s="208">
        <v>0</v>
      </c>
      <c r="AV49" s="208">
        <v>0</v>
      </c>
      <c r="AW49" s="208">
        <v>0</v>
      </c>
      <c r="AX49" s="208">
        <v>0</v>
      </c>
      <c r="AY49" s="208">
        <v>0</v>
      </c>
      <c r="AZ49" s="208">
        <v>0</v>
      </c>
      <c r="BA49" s="208">
        <v>0</v>
      </c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8"/>
      <c r="BO49" s="208"/>
      <c r="BP49" s="208"/>
      <c r="BQ49" s="210"/>
      <c r="BR49" s="209"/>
      <c r="BS49" s="218"/>
      <c r="BT49" s="209"/>
      <c r="BU49" s="219"/>
      <c r="BV49" s="209"/>
      <c r="BW49" s="220"/>
      <c r="BX49" s="220"/>
      <c r="BY49" s="208"/>
      <c r="BZ49" s="208"/>
      <c r="CA49" s="208">
        <v>0</v>
      </c>
      <c r="CB49" s="208"/>
      <c r="CC49" s="208"/>
      <c r="CD49" s="208"/>
      <c r="CE49" s="208"/>
      <c r="CF49" s="208"/>
      <c r="CG49" s="208"/>
      <c r="CH49" s="208"/>
      <c r="CI49" s="208"/>
      <c r="CJ49" s="208"/>
      <c r="CK49" s="209"/>
      <c r="CL49" s="209"/>
    </row>
    <row r="50" spans="1:90" outlineLevel="3" x14ac:dyDescent="0.25">
      <c r="A50" s="129" t="s">
        <v>423</v>
      </c>
      <c r="B50" s="129" t="s">
        <v>410</v>
      </c>
      <c r="C50" s="129" t="s">
        <v>404</v>
      </c>
      <c r="D50" s="129" t="s">
        <v>405</v>
      </c>
      <c r="E50" s="129" t="s">
        <v>424</v>
      </c>
      <c r="F50" s="129" t="s">
        <v>307</v>
      </c>
      <c r="G50" s="129" t="s">
        <v>412</v>
      </c>
      <c r="H50" s="129" t="s">
        <v>309</v>
      </c>
      <c r="I50" s="187" t="s">
        <v>374</v>
      </c>
      <c r="J50" s="189">
        <v>1</v>
      </c>
      <c r="K50" s="189">
        <v>1</v>
      </c>
      <c r="L50" s="191">
        <v>0</v>
      </c>
      <c r="M50" s="191">
        <v>0</v>
      </c>
      <c r="N50" s="191">
        <v>0</v>
      </c>
      <c r="O50" s="190">
        <v>0</v>
      </c>
      <c r="P50" s="191">
        <v>0</v>
      </c>
      <c r="Q50" s="191">
        <v>0</v>
      </c>
      <c r="R50" s="193" t="s">
        <v>425</v>
      </c>
      <c r="S50" s="258">
        <v>1</v>
      </c>
      <c r="T50" s="193">
        <v>0</v>
      </c>
      <c r="U50" s="194">
        <v>0</v>
      </c>
      <c r="V50" s="190" t="s">
        <v>312</v>
      </c>
      <c r="W50" s="190">
        <v>0</v>
      </c>
      <c r="X50" s="190">
        <v>0</v>
      </c>
      <c r="Y50" s="190">
        <v>0</v>
      </c>
      <c r="Z50" s="190">
        <v>0</v>
      </c>
      <c r="AA50" s="190">
        <v>0</v>
      </c>
      <c r="AB50" s="190">
        <v>0</v>
      </c>
      <c r="AC50" s="194">
        <v>0</v>
      </c>
      <c r="AD50" s="190">
        <v>0</v>
      </c>
      <c r="AE50" s="190">
        <v>0</v>
      </c>
      <c r="AF50" s="190">
        <v>0</v>
      </c>
      <c r="AG50" s="190">
        <v>0</v>
      </c>
      <c r="AH50" s="195">
        <v>-1165662.43</v>
      </c>
      <c r="AI50" s="190">
        <v>0</v>
      </c>
      <c r="AJ50" s="190">
        <v>1165662.43</v>
      </c>
      <c r="AK50" s="196">
        <v>0</v>
      </c>
      <c r="AL50" s="197">
        <v>0</v>
      </c>
      <c r="AM50" s="190">
        <v>1165662.43</v>
      </c>
      <c r="AN50" s="191">
        <v>0</v>
      </c>
      <c r="AO50" s="197">
        <v>0</v>
      </c>
      <c r="AP50" s="190">
        <v>0</v>
      </c>
      <c r="AQ50" s="198">
        <v>1</v>
      </c>
      <c r="AR50" s="190">
        <v>0</v>
      </c>
      <c r="AS50" s="190">
        <v>0</v>
      </c>
      <c r="AT50" s="190">
        <v>0</v>
      </c>
      <c r="AU50" s="190">
        <v>0</v>
      </c>
      <c r="AV50" s="190">
        <v>0</v>
      </c>
      <c r="AW50" s="190">
        <v>0</v>
      </c>
      <c r="AX50" s="190">
        <v>-1165662.43</v>
      </c>
      <c r="AY50" s="190">
        <v>0</v>
      </c>
      <c r="AZ50" s="190">
        <v>1165662.43</v>
      </c>
      <c r="BA50" s="190">
        <v>0</v>
      </c>
      <c r="BB50" s="190" t="s">
        <v>307</v>
      </c>
      <c r="BC50" s="190" t="s">
        <v>307</v>
      </c>
      <c r="BD50" s="190">
        <v>0</v>
      </c>
      <c r="BE50" s="190">
        <v>0</v>
      </c>
      <c r="BF50" s="190">
        <v>0</v>
      </c>
      <c r="BG50" s="190">
        <v>0</v>
      </c>
      <c r="BH50" s="190">
        <v>-1165662.43</v>
      </c>
      <c r="BI50" s="190">
        <v>0</v>
      </c>
      <c r="BJ50" s="190">
        <v>1165662.43</v>
      </c>
      <c r="BK50" s="190">
        <v>0</v>
      </c>
      <c r="BL50" s="190">
        <v>0</v>
      </c>
      <c r="BM50" s="190" t="s">
        <v>313</v>
      </c>
      <c r="BN50" s="190">
        <v>0</v>
      </c>
      <c r="BO50" s="190" t="b">
        <v>0</v>
      </c>
      <c r="BP50" s="190">
        <v>1165662.43</v>
      </c>
      <c r="BQ50" s="192">
        <v>0</v>
      </c>
      <c r="BR50" s="191">
        <v>0</v>
      </c>
      <c r="BS50" s="200">
        <v>82</v>
      </c>
      <c r="BT50" s="191">
        <v>0</v>
      </c>
      <c r="BU50" s="201">
        <v>0</v>
      </c>
      <c r="BV50" s="191">
        <v>165</v>
      </c>
      <c r="BW50" s="202">
        <v>0</v>
      </c>
      <c r="BX50" s="202">
        <v>0</v>
      </c>
      <c r="BY50" s="190">
        <v>0</v>
      </c>
      <c r="BZ50" s="190">
        <v>0</v>
      </c>
      <c r="CA50" s="190">
        <v>0</v>
      </c>
      <c r="CB50" s="190">
        <v>0</v>
      </c>
      <c r="CC50" s="190">
        <v>0</v>
      </c>
      <c r="CD50" s="190">
        <v>0</v>
      </c>
      <c r="CE50" s="190">
        <v>0</v>
      </c>
      <c r="CF50" s="190">
        <v>0</v>
      </c>
      <c r="CG50" s="190">
        <v>-1165662.43</v>
      </c>
      <c r="CH50" s="190">
        <v>0</v>
      </c>
      <c r="CI50" s="190">
        <v>1165662.43</v>
      </c>
      <c r="CJ50" s="190">
        <v>0</v>
      </c>
      <c r="CK50" s="191">
        <v>0</v>
      </c>
      <c r="CL50" s="191">
        <v>0</v>
      </c>
    </row>
    <row r="51" spans="1:90" outlineLevel="3" x14ac:dyDescent="0.25">
      <c r="A51" s="129" t="s">
        <v>423</v>
      </c>
      <c r="B51" s="129" t="s">
        <v>410</v>
      </c>
      <c r="C51" s="129" t="s">
        <v>404</v>
      </c>
      <c r="D51" s="129" t="s">
        <v>405</v>
      </c>
      <c r="E51" s="129" t="s">
        <v>426</v>
      </c>
      <c r="F51" s="129" t="s">
        <v>307</v>
      </c>
      <c r="G51" s="129" t="s">
        <v>412</v>
      </c>
      <c r="H51" s="129" t="s">
        <v>309</v>
      </c>
      <c r="I51" s="187" t="s">
        <v>374</v>
      </c>
      <c r="J51" s="189">
        <v>1</v>
      </c>
      <c r="K51" s="189">
        <v>1</v>
      </c>
      <c r="L51" s="191">
        <v>0</v>
      </c>
      <c r="M51" s="191">
        <v>0</v>
      </c>
      <c r="N51" s="191">
        <v>0</v>
      </c>
      <c r="O51" s="190">
        <v>0</v>
      </c>
      <c r="P51" s="191">
        <v>0</v>
      </c>
      <c r="Q51" s="191">
        <v>0</v>
      </c>
      <c r="R51" s="193" t="s">
        <v>427</v>
      </c>
      <c r="S51" s="254">
        <v>1</v>
      </c>
      <c r="T51" s="193">
        <v>0</v>
      </c>
      <c r="U51" s="194">
        <v>0</v>
      </c>
      <c r="V51" s="190" t="s">
        <v>312</v>
      </c>
      <c r="W51" s="190">
        <v>0</v>
      </c>
      <c r="X51" s="190">
        <v>0</v>
      </c>
      <c r="Y51" s="190">
        <v>0</v>
      </c>
      <c r="Z51" s="190">
        <v>0</v>
      </c>
      <c r="AA51" s="190">
        <v>0</v>
      </c>
      <c r="AB51" s="190">
        <v>0</v>
      </c>
      <c r="AC51" s="194">
        <v>0</v>
      </c>
      <c r="AD51" s="190">
        <v>0</v>
      </c>
      <c r="AE51" s="190">
        <v>0</v>
      </c>
      <c r="AF51" s="190">
        <v>0</v>
      </c>
      <c r="AG51" s="190">
        <v>0</v>
      </c>
      <c r="AH51" s="195">
        <v>570790</v>
      </c>
      <c r="AI51" s="190">
        <v>0</v>
      </c>
      <c r="AJ51" s="190">
        <v>-570790</v>
      </c>
      <c r="AK51" s="196">
        <v>0</v>
      </c>
      <c r="AL51" s="197">
        <v>0</v>
      </c>
      <c r="AM51" s="190">
        <v>429210</v>
      </c>
      <c r="AN51" s="191">
        <v>0</v>
      </c>
      <c r="AO51" s="197">
        <v>0</v>
      </c>
      <c r="AP51" s="190">
        <v>0</v>
      </c>
      <c r="AQ51" s="198">
        <v>1</v>
      </c>
      <c r="AR51" s="190">
        <v>0</v>
      </c>
      <c r="AS51" s="190">
        <v>0</v>
      </c>
      <c r="AT51" s="190">
        <v>0</v>
      </c>
      <c r="AU51" s="190">
        <v>0</v>
      </c>
      <c r="AV51" s="190">
        <v>0</v>
      </c>
      <c r="AW51" s="190">
        <v>0</v>
      </c>
      <c r="AX51" s="190">
        <v>570790</v>
      </c>
      <c r="AY51" s="190">
        <v>0</v>
      </c>
      <c r="AZ51" s="190">
        <v>-570790</v>
      </c>
      <c r="BA51" s="190">
        <v>0</v>
      </c>
      <c r="BB51" s="190" t="s">
        <v>307</v>
      </c>
      <c r="BC51" s="190" t="s">
        <v>307</v>
      </c>
      <c r="BD51" s="190">
        <v>0</v>
      </c>
      <c r="BE51" s="190">
        <v>0</v>
      </c>
      <c r="BF51" s="190">
        <v>0</v>
      </c>
      <c r="BG51" s="190">
        <v>0</v>
      </c>
      <c r="BH51" s="190">
        <v>570790</v>
      </c>
      <c r="BI51" s="190">
        <v>0</v>
      </c>
      <c r="BJ51" s="190">
        <v>-570790</v>
      </c>
      <c r="BK51" s="190">
        <v>0</v>
      </c>
      <c r="BL51" s="190">
        <v>0</v>
      </c>
      <c r="BM51" s="190" t="s">
        <v>313</v>
      </c>
      <c r="BN51" s="190">
        <v>0</v>
      </c>
      <c r="BO51" s="190" t="b">
        <v>0</v>
      </c>
      <c r="BP51" s="190">
        <v>-570790</v>
      </c>
      <c r="BQ51" s="192">
        <v>0</v>
      </c>
      <c r="BR51" s="191">
        <v>0</v>
      </c>
      <c r="BS51" s="200">
        <v>82</v>
      </c>
      <c r="BT51" s="191">
        <v>0</v>
      </c>
      <c r="BU51" s="201">
        <v>0</v>
      </c>
      <c r="BV51" s="191">
        <v>177</v>
      </c>
      <c r="BW51" s="202">
        <v>0</v>
      </c>
      <c r="BX51" s="202">
        <v>0</v>
      </c>
      <c r="BY51" s="190">
        <v>0</v>
      </c>
      <c r="BZ51" s="190">
        <v>0</v>
      </c>
      <c r="CA51" s="190">
        <v>-1000000</v>
      </c>
      <c r="CB51" s="190">
        <v>-1000000</v>
      </c>
      <c r="CC51" s="190">
        <v>0</v>
      </c>
      <c r="CD51" s="190">
        <v>0</v>
      </c>
      <c r="CE51" s="190">
        <v>0</v>
      </c>
      <c r="CF51" s="190">
        <v>0</v>
      </c>
      <c r="CG51" s="190">
        <v>570790</v>
      </c>
      <c r="CH51" s="190">
        <v>0</v>
      </c>
      <c r="CI51" s="190">
        <v>-570790</v>
      </c>
      <c r="CJ51" s="190">
        <v>0</v>
      </c>
      <c r="CK51" s="191">
        <v>0</v>
      </c>
      <c r="CL51" s="191">
        <v>0</v>
      </c>
    </row>
    <row r="52" spans="1:90" outlineLevel="3" x14ac:dyDescent="0.25">
      <c r="A52" s="129" t="s">
        <v>423</v>
      </c>
      <c r="B52" s="129" t="s">
        <v>410</v>
      </c>
      <c r="C52" s="129" t="s">
        <v>404</v>
      </c>
      <c r="D52" s="129" t="s">
        <v>405</v>
      </c>
      <c r="E52" s="129" t="s">
        <v>428</v>
      </c>
      <c r="F52" s="129" t="s">
        <v>307</v>
      </c>
      <c r="G52" s="129" t="s">
        <v>412</v>
      </c>
      <c r="H52" s="129" t="s">
        <v>309</v>
      </c>
      <c r="I52" s="187" t="s">
        <v>374</v>
      </c>
      <c r="J52" s="189">
        <v>1</v>
      </c>
      <c r="K52" s="189">
        <v>1</v>
      </c>
      <c r="L52" s="191">
        <v>0</v>
      </c>
      <c r="M52" s="191">
        <v>0</v>
      </c>
      <c r="N52" s="191">
        <v>0</v>
      </c>
      <c r="O52" s="190">
        <v>0</v>
      </c>
      <c r="P52" s="191">
        <v>0</v>
      </c>
      <c r="Q52" s="191">
        <v>0</v>
      </c>
      <c r="R52" s="193" t="s">
        <v>429</v>
      </c>
      <c r="S52" s="254">
        <v>1</v>
      </c>
      <c r="T52" s="193">
        <v>0</v>
      </c>
      <c r="U52" s="194">
        <v>0</v>
      </c>
      <c r="V52" s="190" t="s">
        <v>312</v>
      </c>
      <c r="W52" s="190">
        <v>0</v>
      </c>
      <c r="X52" s="190">
        <v>0</v>
      </c>
      <c r="Y52" s="190">
        <v>0</v>
      </c>
      <c r="Z52" s="190">
        <v>0</v>
      </c>
      <c r="AA52" s="190">
        <v>0</v>
      </c>
      <c r="AB52" s="190">
        <v>0</v>
      </c>
      <c r="AC52" s="194">
        <v>0</v>
      </c>
      <c r="AD52" s="190">
        <v>0</v>
      </c>
      <c r="AE52" s="190">
        <v>0</v>
      </c>
      <c r="AF52" s="190">
        <v>0</v>
      </c>
      <c r="AG52" s="190">
        <v>0</v>
      </c>
      <c r="AH52" s="195">
        <v>-470790</v>
      </c>
      <c r="AI52" s="190">
        <v>0</v>
      </c>
      <c r="AJ52" s="190">
        <v>470790</v>
      </c>
      <c r="AK52" s="196">
        <v>0</v>
      </c>
      <c r="AL52" s="197">
        <v>0</v>
      </c>
      <c r="AM52" s="190">
        <v>470790</v>
      </c>
      <c r="AN52" s="191">
        <v>0</v>
      </c>
      <c r="AO52" s="197">
        <v>0</v>
      </c>
      <c r="AP52" s="190">
        <v>0</v>
      </c>
      <c r="AQ52" s="198">
        <v>1</v>
      </c>
      <c r="AR52" s="190">
        <v>0</v>
      </c>
      <c r="AS52" s="190">
        <v>0</v>
      </c>
      <c r="AT52" s="190">
        <v>0</v>
      </c>
      <c r="AU52" s="190">
        <v>0</v>
      </c>
      <c r="AV52" s="190">
        <v>0</v>
      </c>
      <c r="AW52" s="190">
        <v>0</v>
      </c>
      <c r="AX52" s="190">
        <v>-470790</v>
      </c>
      <c r="AY52" s="190">
        <v>0</v>
      </c>
      <c r="AZ52" s="190">
        <v>470790</v>
      </c>
      <c r="BA52" s="190">
        <v>0</v>
      </c>
      <c r="BB52" s="190" t="s">
        <v>307</v>
      </c>
      <c r="BC52" s="190" t="s">
        <v>307</v>
      </c>
      <c r="BD52" s="190">
        <v>0</v>
      </c>
      <c r="BE52" s="190">
        <v>0</v>
      </c>
      <c r="BF52" s="190">
        <v>0</v>
      </c>
      <c r="BG52" s="190">
        <v>0</v>
      </c>
      <c r="BH52" s="190">
        <v>-470790</v>
      </c>
      <c r="BI52" s="190">
        <v>0</v>
      </c>
      <c r="BJ52" s="190">
        <v>470790</v>
      </c>
      <c r="BK52" s="190">
        <v>0</v>
      </c>
      <c r="BL52" s="190">
        <v>0</v>
      </c>
      <c r="BM52" s="190" t="s">
        <v>313</v>
      </c>
      <c r="BN52" s="190">
        <v>0</v>
      </c>
      <c r="BO52" s="190" t="b">
        <v>0</v>
      </c>
      <c r="BP52" s="190">
        <v>470790</v>
      </c>
      <c r="BQ52" s="192">
        <v>0</v>
      </c>
      <c r="BR52" s="191">
        <v>0</v>
      </c>
      <c r="BS52" s="200">
        <v>82</v>
      </c>
      <c r="BT52" s="191">
        <v>0</v>
      </c>
      <c r="BU52" s="201">
        <v>0</v>
      </c>
      <c r="BV52" s="191">
        <v>179</v>
      </c>
      <c r="BW52" s="202">
        <v>0</v>
      </c>
      <c r="BX52" s="202">
        <v>0</v>
      </c>
      <c r="BY52" s="190">
        <v>0</v>
      </c>
      <c r="BZ52" s="190">
        <v>0</v>
      </c>
      <c r="CA52" s="190">
        <v>0</v>
      </c>
      <c r="CB52" s="190">
        <v>0</v>
      </c>
      <c r="CC52" s="190">
        <v>0</v>
      </c>
      <c r="CD52" s="190">
        <v>0</v>
      </c>
      <c r="CE52" s="190">
        <v>0</v>
      </c>
      <c r="CF52" s="190">
        <v>0</v>
      </c>
      <c r="CG52" s="190">
        <v>-470790</v>
      </c>
      <c r="CH52" s="190">
        <v>0</v>
      </c>
      <c r="CI52" s="190">
        <v>470790</v>
      </c>
      <c r="CJ52" s="190">
        <v>0</v>
      </c>
      <c r="CK52" s="191">
        <v>0</v>
      </c>
      <c r="CL52" s="191">
        <v>0</v>
      </c>
    </row>
    <row r="53" spans="1:90" outlineLevel="3" x14ac:dyDescent="0.25">
      <c r="A53" s="129" t="s">
        <v>423</v>
      </c>
      <c r="B53" s="129" t="s">
        <v>410</v>
      </c>
      <c r="C53" s="129" t="s">
        <v>404</v>
      </c>
      <c r="D53" s="129" t="s">
        <v>405</v>
      </c>
      <c r="E53" s="129" t="s">
        <v>430</v>
      </c>
      <c r="F53" s="129" t="s">
        <v>307</v>
      </c>
      <c r="G53" s="129" t="s">
        <v>412</v>
      </c>
      <c r="H53" s="129" t="s">
        <v>309</v>
      </c>
      <c r="I53" s="187" t="s">
        <v>374</v>
      </c>
      <c r="J53" s="189">
        <v>1</v>
      </c>
      <c r="K53" s="189">
        <v>1</v>
      </c>
      <c r="L53" s="191">
        <v>0</v>
      </c>
      <c r="M53" s="191">
        <v>0</v>
      </c>
      <c r="N53" s="191">
        <v>0</v>
      </c>
      <c r="O53" s="190">
        <v>7121810</v>
      </c>
      <c r="P53" s="191">
        <v>7121810</v>
      </c>
      <c r="Q53" s="191">
        <v>0</v>
      </c>
      <c r="R53" s="193" t="s">
        <v>431</v>
      </c>
      <c r="S53" s="254">
        <v>0.5</v>
      </c>
      <c r="T53" s="193">
        <v>0</v>
      </c>
      <c r="U53" s="194">
        <v>7121810</v>
      </c>
      <c r="V53" s="190" t="s">
        <v>312</v>
      </c>
      <c r="W53" s="190">
        <v>0</v>
      </c>
      <c r="X53" s="190">
        <v>0</v>
      </c>
      <c r="Y53" s="190">
        <v>0</v>
      </c>
      <c r="Z53" s="190">
        <v>0</v>
      </c>
      <c r="AA53" s="190">
        <v>0</v>
      </c>
      <c r="AB53" s="190">
        <v>0</v>
      </c>
      <c r="AC53" s="194">
        <v>7121810</v>
      </c>
      <c r="AD53" s="190">
        <v>0</v>
      </c>
      <c r="AE53" s="190">
        <v>0</v>
      </c>
      <c r="AF53" s="190">
        <v>0</v>
      </c>
      <c r="AG53" s="190">
        <v>0</v>
      </c>
      <c r="AH53" s="195">
        <v>0</v>
      </c>
      <c r="AI53" s="190">
        <v>0</v>
      </c>
      <c r="AJ53" s="190">
        <v>0</v>
      </c>
      <c r="AK53" s="196">
        <v>0</v>
      </c>
      <c r="AL53" s="197">
        <v>0</v>
      </c>
      <c r="AM53" s="190">
        <v>7121810</v>
      </c>
      <c r="AN53" s="191">
        <v>0</v>
      </c>
      <c r="AO53" s="197">
        <v>0</v>
      </c>
      <c r="AP53" s="190">
        <v>7121810</v>
      </c>
      <c r="AQ53" s="198">
        <v>1</v>
      </c>
      <c r="AR53" s="190">
        <v>0</v>
      </c>
      <c r="AS53" s="190">
        <v>7121810</v>
      </c>
      <c r="AT53" s="190">
        <v>0</v>
      </c>
      <c r="AU53" s="190">
        <v>0</v>
      </c>
      <c r="AV53" s="190">
        <v>0</v>
      </c>
      <c r="AW53" s="190">
        <v>0</v>
      </c>
      <c r="AX53" s="190">
        <v>0</v>
      </c>
      <c r="AY53" s="190">
        <v>0</v>
      </c>
      <c r="AZ53" s="190">
        <v>0</v>
      </c>
      <c r="BA53" s="190">
        <v>0</v>
      </c>
      <c r="BB53" s="190" t="s">
        <v>307</v>
      </c>
      <c r="BC53" s="190" t="s">
        <v>307</v>
      </c>
      <c r="BD53" s="190">
        <v>0</v>
      </c>
      <c r="BE53" s="190">
        <v>0</v>
      </c>
      <c r="BF53" s="190">
        <v>0</v>
      </c>
      <c r="BG53" s="190">
        <v>0</v>
      </c>
      <c r="BH53" s="190">
        <v>0</v>
      </c>
      <c r="BI53" s="190">
        <v>0</v>
      </c>
      <c r="BJ53" s="190">
        <v>0</v>
      </c>
      <c r="BK53" s="190">
        <v>0</v>
      </c>
      <c r="BL53" s="190">
        <v>7121810</v>
      </c>
      <c r="BM53" s="190" t="s">
        <v>313</v>
      </c>
      <c r="BN53" s="190">
        <v>0</v>
      </c>
      <c r="BO53" s="190" t="b">
        <v>0</v>
      </c>
      <c r="BP53" s="190">
        <v>0</v>
      </c>
      <c r="BQ53" s="192">
        <v>0</v>
      </c>
      <c r="BR53" s="191">
        <v>0</v>
      </c>
      <c r="BS53" s="200">
        <v>82</v>
      </c>
      <c r="BT53" s="191">
        <v>0</v>
      </c>
      <c r="BU53" s="201">
        <v>0</v>
      </c>
      <c r="BV53" s="191">
        <v>180</v>
      </c>
      <c r="BW53" s="202">
        <v>0</v>
      </c>
      <c r="BX53" s="202">
        <v>0</v>
      </c>
      <c r="BY53" s="190">
        <v>0</v>
      </c>
      <c r="BZ53" s="190">
        <v>0</v>
      </c>
      <c r="CA53" s="190">
        <v>0</v>
      </c>
      <c r="CB53" s="190">
        <v>0</v>
      </c>
      <c r="CC53" s="190">
        <v>0</v>
      </c>
      <c r="CD53" s="190">
        <v>0</v>
      </c>
      <c r="CE53" s="190">
        <v>0</v>
      </c>
      <c r="CF53" s="190">
        <v>0</v>
      </c>
      <c r="CG53" s="190">
        <v>0</v>
      </c>
      <c r="CH53" s="190">
        <v>0</v>
      </c>
      <c r="CI53" s="190">
        <v>0</v>
      </c>
      <c r="CJ53" s="190">
        <v>0</v>
      </c>
      <c r="CK53" s="191">
        <v>0</v>
      </c>
      <c r="CL53" s="191">
        <v>0</v>
      </c>
    </row>
    <row r="54" spans="1:90" s="221" customFormat="1" ht="20.100000000000001" customHeight="1" outlineLevel="2" x14ac:dyDescent="0.25">
      <c r="A54" s="204" t="s">
        <v>432</v>
      </c>
      <c r="B54" s="204"/>
      <c r="C54" s="204"/>
      <c r="D54" s="204"/>
      <c r="E54" s="204"/>
      <c r="F54" s="204"/>
      <c r="G54" s="204"/>
      <c r="H54" s="204"/>
      <c r="I54" s="205"/>
      <c r="J54" s="207"/>
      <c r="K54" s="207"/>
      <c r="L54" s="209"/>
      <c r="M54" s="209"/>
      <c r="N54" s="209"/>
      <c r="O54" s="208"/>
      <c r="P54" s="209"/>
      <c r="Q54" s="209"/>
      <c r="R54" s="211">
        <v>0</v>
      </c>
      <c r="S54" s="256">
        <v>3.5</v>
      </c>
      <c r="T54" s="211">
        <v>0</v>
      </c>
      <c r="U54" s="212">
        <v>7121810</v>
      </c>
      <c r="V54" s="208"/>
      <c r="W54" s="208">
        <v>0</v>
      </c>
      <c r="X54" s="208">
        <v>0</v>
      </c>
      <c r="Y54" s="208">
        <v>0</v>
      </c>
      <c r="Z54" s="208">
        <v>0</v>
      </c>
      <c r="AA54" s="208">
        <v>0</v>
      </c>
      <c r="AB54" s="208">
        <v>0</v>
      </c>
      <c r="AC54" s="212">
        <v>7121810</v>
      </c>
      <c r="AD54" s="208">
        <v>0</v>
      </c>
      <c r="AE54" s="208">
        <v>0</v>
      </c>
      <c r="AF54" s="208">
        <v>0</v>
      </c>
      <c r="AG54" s="208">
        <v>0</v>
      </c>
      <c r="AH54" s="213">
        <v>-1065662.43</v>
      </c>
      <c r="AI54" s="208">
        <v>0</v>
      </c>
      <c r="AJ54" s="208">
        <v>1065662.43</v>
      </c>
      <c r="AK54" s="214">
        <v>0</v>
      </c>
      <c r="AL54" s="215"/>
      <c r="AM54" s="208">
        <v>9187472.4299999997</v>
      </c>
      <c r="AN54" s="209"/>
      <c r="AO54" s="215"/>
      <c r="AP54" s="208">
        <v>7121810</v>
      </c>
      <c r="AQ54" s="216"/>
      <c r="AR54" s="208"/>
      <c r="AS54" s="208"/>
      <c r="AT54" s="208">
        <v>0</v>
      </c>
      <c r="AU54" s="208">
        <v>0</v>
      </c>
      <c r="AV54" s="208">
        <v>0</v>
      </c>
      <c r="AW54" s="208">
        <v>0</v>
      </c>
      <c r="AX54" s="208">
        <v>-1065662.43</v>
      </c>
      <c r="AY54" s="208">
        <v>0</v>
      </c>
      <c r="AZ54" s="208">
        <v>1065662.43</v>
      </c>
      <c r="BA54" s="208">
        <v>0</v>
      </c>
      <c r="BB54" s="208"/>
      <c r="BC54" s="208"/>
      <c r="BD54" s="208"/>
      <c r="BE54" s="208"/>
      <c r="BF54" s="208"/>
      <c r="BG54" s="208"/>
      <c r="BH54" s="208"/>
      <c r="BI54" s="208"/>
      <c r="BJ54" s="208"/>
      <c r="BK54" s="208"/>
      <c r="BL54" s="208"/>
      <c r="BM54" s="208"/>
      <c r="BN54" s="208"/>
      <c r="BO54" s="208"/>
      <c r="BP54" s="208"/>
      <c r="BQ54" s="210"/>
      <c r="BR54" s="209"/>
      <c r="BS54" s="218"/>
      <c r="BT54" s="209"/>
      <c r="BU54" s="219"/>
      <c r="BV54" s="209"/>
      <c r="BW54" s="220"/>
      <c r="BX54" s="220"/>
      <c r="BY54" s="208"/>
      <c r="BZ54" s="208"/>
      <c r="CA54" s="208">
        <v>-1000000</v>
      </c>
      <c r="CB54" s="208"/>
      <c r="CC54" s="208"/>
      <c r="CD54" s="208"/>
      <c r="CE54" s="208"/>
      <c r="CF54" s="208"/>
      <c r="CG54" s="208"/>
      <c r="CH54" s="208"/>
      <c r="CI54" s="208"/>
      <c r="CJ54" s="208"/>
      <c r="CK54" s="209"/>
      <c r="CL54" s="209"/>
    </row>
    <row r="55" spans="1:90" outlineLevel="3" x14ac:dyDescent="0.25">
      <c r="A55" s="129" t="s">
        <v>433</v>
      </c>
      <c r="B55" s="129" t="s">
        <v>410</v>
      </c>
      <c r="C55" s="129" t="s">
        <v>404</v>
      </c>
      <c r="D55" s="129" t="s">
        <v>405</v>
      </c>
      <c r="E55" s="129" t="s">
        <v>434</v>
      </c>
      <c r="F55" s="129" t="s">
        <v>435</v>
      </c>
      <c r="G55" s="129" t="s">
        <v>412</v>
      </c>
      <c r="H55" s="129" t="s">
        <v>356</v>
      </c>
      <c r="I55" s="187" t="s">
        <v>356</v>
      </c>
      <c r="J55" s="188">
        <v>1</v>
      </c>
      <c r="K55" s="189">
        <v>1</v>
      </c>
      <c r="L55" s="191">
        <v>0</v>
      </c>
      <c r="M55" s="191">
        <v>0</v>
      </c>
      <c r="N55" s="191">
        <v>1</v>
      </c>
      <c r="O55" s="190">
        <v>0</v>
      </c>
      <c r="P55" s="191">
        <v>0</v>
      </c>
      <c r="Q55" s="191">
        <v>0</v>
      </c>
      <c r="R55" s="193" t="s">
        <v>436</v>
      </c>
      <c r="S55" s="254">
        <v>1</v>
      </c>
      <c r="T55" s="193">
        <v>0</v>
      </c>
      <c r="U55" s="194">
        <v>0</v>
      </c>
      <c r="V55" s="190" t="s">
        <v>312</v>
      </c>
      <c r="W55" s="190">
        <v>0</v>
      </c>
      <c r="X55" s="190">
        <v>0</v>
      </c>
      <c r="Y55" s="190">
        <v>0</v>
      </c>
      <c r="Z55" s="190">
        <v>0</v>
      </c>
      <c r="AA55" s="190">
        <v>0</v>
      </c>
      <c r="AB55" s="190">
        <v>0</v>
      </c>
      <c r="AC55" s="194">
        <v>0</v>
      </c>
      <c r="AD55" s="190">
        <v>0</v>
      </c>
      <c r="AE55" s="190">
        <v>0</v>
      </c>
      <c r="AF55" s="190">
        <v>0</v>
      </c>
      <c r="AG55" s="190">
        <v>0</v>
      </c>
      <c r="AH55" s="195">
        <v>-3486752</v>
      </c>
      <c r="AI55" s="190">
        <v>0</v>
      </c>
      <c r="AJ55" s="190">
        <v>3486752</v>
      </c>
      <c r="AK55" s="196">
        <v>0</v>
      </c>
      <c r="AL55" s="197">
        <v>0</v>
      </c>
      <c r="AM55" s="190">
        <v>3486752</v>
      </c>
      <c r="AN55" s="197">
        <v>0</v>
      </c>
      <c r="AO55" s="197">
        <v>0</v>
      </c>
      <c r="AP55" s="190">
        <v>0</v>
      </c>
      <c r="AQ55" s="198">
        <v>1</v>
      </c>
      <c r="AR55" s="190">
        <v>0</v>
      </c>
      <c r="AS55" s="190">
        <v>0</v>
      </c>
      <c r="AT55" s="190">
        <v>0</v>
      </c>
      <c r="AU55" s="190">
        <v>0</v>
      </c>
      <c r="AV55" s="190">
        <v>0</v>
      </c>
      <c r="AW55" s="190">
        <v>0</v>
      </c>
      <c r="AX55" s="190">
        <v>-3486752</v>
      </c>
      <c r="AY55" s="190">
        <v>0</v>
      </c>
      <c r="AZ55" s="190">
        <v>3486752</v>
      </c>
      <c r="BA55" s="190">
        <v>0</v>
      </c>
      <c r="BB55" s="190" t="s">
        <v>307</v>
      </c>
      <c r="BC55" s="190" t="s">
        <v>307</v>
      </c>
      <c r="BD55" s="190">
        <v>0</v>
      </c>
      <c r="BE55" s="190">
        <v>0</v>
      </c>
      <c r="BF55" s="190">
        <v>0</v>
      </c>
      <c r="BG55" s="190">
        <v>0</v>
      </c>
      <c r="BH55" s="190">
        <v>-3486752</v>
      </c>
      <c r="BI55" s="190">
        <v>0</v>
      </c>
      <c r="BJ55" s="190">
        <v>3486752</v>
      </c>
      <c r="BK55" s="190">
        <v>0</v>
      </c>
      <c r="BL55" s="190">
        <v>0</v>
      </c>
      <c r="BM55" s="190" t="s">
        <v>313</v>
      </c>
      <c r="BN55" s="190">
        <v>0</v>
      </c>
      <c r="BO55" s="190" t="b">
        <v>0</v>
      </c>
      <c r="BP55" s="190">
        <v>3486752</v>
      </c>
      <c r="BQ55" s="191">
        <v>0</v>
      </c>
      <c r="BR55" s="191">
        <v>0</v>
      </c>
      <c r="BS55" s="200">
        <v>75</v>
      </c>
      <c r="BT55" s="191">
        <v>0</v>
      </c>
      <c r="BU55" s="201">
        <v>0</v>
      </c>
      <c r="BV55" s="191">
        <v>85</v>
      </c>
      <c r="BW55" s="202">
        <v>0</v>
      </c>
      <c r="BX55" s="202">
        <v>0</v>
      </c>
      <c r="BY55" s="190">
        <v>0</v>
      </c>
      <c r="BZ55" s="190">
        <v>0</v>
      </c>
      <c r="CA55" s="190">
        <v>0</v>
      </c>
      <c r="CB55" s="190">
        <v>0</v>
      </c>
      <c r="CC55" s="190">
        <v>0</v>
      </c>
      <c r="CD55" s="190">
        <v>0</v>
      </c>
      <c r="CE55" s="190">
        <v>0</v>
      </c>
      <c r="CF55" s="190">
        <v>0</v>
      </c>
      <c r="CG55" s="190">
        <v>-3486752</v>
      </c>
      <c r="CH55" s="190">
        <v>0</v>
      </c>
      <c r="CI55" s="190">
        <v>3486752</v>
      </c>
      <c r="CJ55" s="190">
        <v>0</v>
      </c>
      <c r="CK55" s="191">
        <v>0</v>
      </c>
      <c r="CL55" s="191">
        <v>0</v>
      </c>
    </row>
    <row r="56" spans="1:90" s="221" customFormat="1" ht="20.100000000000001" customHeight="1" outlineLevel="2" x14ac:dyDescent="0.25">
      <c r="A56" s="204" t="s">
        <v>437</v>
      </c>
      <c r="B56" s="204"/>
      <c r="C56" s="204"/>
      <c r="D56" s="204"/>
      <c r="E56" s="204"/>
      <c r="F56" s="204"/>
      <c r="G56" s="204"/>
      <c r="H56" s="204"/>
      <c r="I56" s="205"/>
      <c r="J56" s="206"/>
      <c r="K56" s="207"/>
      <c r="L56" s="209"/>
      <c r="M56" s="209"/>
      <c r="N56" s="209"/>
      <c r="O56" s="208"/>
      <c r="P56" s="209"/>
      <c r="Q56" s="209"/>
      <c r="R56" s="211">
        <v>0</v>
      </c>
      <c r="S56" s="256">
        <v>1</v>
      </c>
      <c r="T56" s="211">
        <v>0</v>
      </c>
      <c r="U56" s="212">
        <v>0</v>
      </c>
      <c r="V56" s="208"/>
      <c r="W56" s="208">
        <v>0</v>
      </c>
      <c r="X56" s="208">
        <v>0</v>
      </c>
      <c r="Y56" s="208">
        <v>0</v>
      </c>
      <c r="Z56" s="208">
        <v>0</v>
      </c>
      <c r="AA56" s="208">
        <v>0</v>
      </c>
      <c r="AB56" s="208">
        <v>0</v>
      </c>
      <c r="AC56" s="212">
        <v>0</v>
      </c>
      <c r="AD56" s="208">
        <v>0</v>
      </c>
      <c r="AE56" s="208">
        <v>0</v>
      </c>
      <c r="AF56" s="208">
        <v>0</v>
      </c>
      <c r="AG56" s="208">
        <v>0</v>
      </c>
      <c r="AH56" s="213">
        <v>-3486752</v>
      </c>
      <c r="AI56" s="208">
        <v>0</v>
      </c>
      <c r="AJ56" s="208">
        <v>3486752</v>
      </c>
      <c r="AK56" s="214">
        <v>0</v>
      </c>
      <c r="AL56" s="215"/>
      <c r="AM56" s="208">
        <v>3486752</v>
      </c>
      <c r="AN56" s="215"/>
      <c r="AO56" s="215"/>
      <c r="AP56" s="208">
        <v>0</v>
      </c>
      <c r="AQ56" s="216"/>
      <c r="AR56" s="208"/>
      <c r="AS56" s="208"/>
      <c r="AT56" s="208">
        <v>0</v>
      </c>
      <c r="AU56" s="208">
        <v>0</v>
      </c>
      <c r="AV56" s="208">
        <v>0</v>
      </c>
      <c r="AW56" s="208">
        <v>0</v>
      </c>
      <c r="AX56" s="208">
        <v>-3486752</v>
      </c>
      <c r="AY56" s="208">
        <v>0</v>
      </c>
      <c r="AZ56" s="208">
        <v>3486752</v>
      </c>
      <c r="BA56" s="208">
        <v>0</v>
      </c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8"/>
      <c r="BN56" s="208"/>
      <c r="BO56" s="208"/>
      <c r="BP56" s="208"/>
      <c r="BQ56" s="209"/>
      <c r="BR56" s="209"/>
      <c r="BS56" s="218"/>
      <c r="BT56" s="209"/>
      <c r="BU56" s="219"/>
      <c r="BV56" s="209"/>
      <c r="BW56" s="220"/>
      <c r="BX56" s="220"/>
      <c r="BY56" s="208"/>
      <c r="BZ56" s="208"/>
      <c r="CA56" s="208">
        <v>0</v>
      </c>
      <c r="CB56" s="208"/>
      <c r="CC56" s="208"/>
      <c r="CD56" s="208"/>
      <c r="CE56" s="208"/>
      <c r="CF56" s="208"/>
      <c r="CG56" s="208"/>
      <c r="CH56" s="208"/>
      <c r="CI56" s="208"/>
      <c r="CJ56" s="208"/>
      <c r="CK56" s="209"/>
      <c r="CL56" s="209"/>
    </row>
    <row r="57" spans="1:90" outlineLevel="3" x14ac:dyDescent="0.25">
      <c r="A57" s="129" t="s">
        <v>438</v>
      </c>
      <c r="B57" s="129" t="s">
        <v>410</v>
      </c>
      <c r="C57" s="129" t="s">
        <v>404</v>
      </c>
      <c r="D57" s="129" t="s">
        <v>405</v>
      </c>
      <c r="E57" s="129" t="s">
        <v>439</v>
      </c>
      <c r="F57" s="129" t="s">
        <v>440</v>
      </c>
      <c r="G57" s="129" t="s">
        <v>412</v>
      </c>
      <c r="H57" s="129" t="s">
        <v>356</v>
      </c>
      <c r="I57" s="187" t="s">
        <v>356</v>
      </c>
      <c r="J57" s="189">
        <v>156250</v>
      </c>
      <c r="K57" s="189">
        <v>156250</v>
      </c>
      <c r="L57" s="191">
        <v>2.2574989556749789E-2</v>
      </c>
      <c r="M57" s="191">
        <v>0</v>
      </c>
      <c r="N57" s="191">
        <v>0.9289367484971337</v>
      </c>
      <c r="O57" s="190">
        <v>4.6702217882267902</v>
      </c>
      <c r="P57" s="191">
        <v>5.1428918983446046</v>
      </c>
      <c r="Q57" s="191">
        <v>-0.47267011011781435</v>
      </c>
      <c r="R57" s="193" t="s">
        <v>441</v>
      </c>
      <c r="S57" s="254">
        <v>1</v>
      </c>
      <c r="T57" s="193">
        <v>0</v>
      </c>
      <c r="U57" s="194">
        <v>729722.15441043593</v>
      </c>
      <c r="V57" s="190" t="s">
        <v>312</v>
      </c>
      <c r="W57" s="190">
        <v>0</v>
      </c>
      <c r="X57" s="190">
        <v>0</v>
      </c>
      <c r="Y57" s="190">
        <v>0</v>
      </c>
      <c r="Z57" s="190">
        <v>0</v>
      </c>
      <c r="AA57" s="190">
        <v>0</v>
      </c>
      <c r="AB57" s="190">
        <v>0</v>
      </c>
      <c r="AC57" s="194">
        <v>803576.85911634448</v>
      </c>
      <c r="AD57" s="190">
        <v>-73854.704705908545</v>
      </c>
      <c r="AE57" s="190">
        <v>0</v>
      </c>
      <c r="AF57" s="190">
        <v>73854.704705908545</v>
      </c>
      <c r="AG57" s="190">
        <v>0</v>
      </c>
      <c r="AH57" s="195">
        <v>-214967.25297142693</v>
      </c>
      <c r="AI57" s="190">
        <v>0</v>
      </c>
      <c r="AJ57" s="190">
        <v>214967.25297142693</v>
      </c>
      <c r="AK57" s="196">
        <v>0</v>
      </c>
      <c r="AL57" s="197">
        <v>0</v>
      </c>
      <c r="AM57" s="190">
        <v>944689.40738186287</v>
      </c>
      <c r="AN57" s="197">
        <v>0</v>
      </c>
      <c r="AO57" s="197">
        <v>27336.901416376699</v>
      </c>
      <c r="AP57" s="190">
        <v>1711868.3881841477</v>
      </c>
      <c r="AQ57" s="198">
        <v>1</v>
      </c>
      <c r="AR57" s="190">
        <v>1124884.3438832478</v>
      </c>
      <c r="AS57" s="190">
        <v>7.75</v>
      </c>
      <c r="AT57" s="190">
        <v>53126.672238262021</v>
      </c>
      <c r="AU57" s="190">
        <v>0</v>
      </c>
      <c r="AV57" s="190">
        <v>-53126.672238262021</v>
      </c>
      <c r="AW57" s="190">
        <v>0</v>
      </c>
      <c r="AX57" s="190">
        <v>-214967.25297142693</v>
      </c>
      <c r="AY57" s="190">
        <v>0</v>
      </c>
      <c r="AZ57" s="190">
        <v>214967.25297142693</v>
      </c>
      <c r="BA57" s="190">
        <v>0</v>
      </c>
      <c r="BB57" s="190">
        <v>7.75</v>
      </c>
      <c r="BC57" s="190">
        <v>8.25</v>
      </c>
      <c r="BD57" s="190">
        <v>126981.37694417057</v>
      </c>
      <c r="BE57" s="190">
        <v>0</v>
      </c>
      <c r="BF57" s="190">
        <v>-126981.37694417057</v>
      </c>
      <c r="BG57" s="190">
        <v>0</v>
      </c>
      <c r="BH57" s="190">
        <v>-141112.54826551839</v>
      </c>
      <c r="BI57" s="190">
        <v>0</v>
      </c>
      <c r="BJ57" s="190">
        <v>141112.54826551839</v>
      </c>
      <c r="BK57" s="190">
        <v>0</v>
      </c>
      <c r="BL57" s="190">
        <v>1711868.3881841477</v>
      </c>
      <c r="BM57" s="190" t="s">
        <v>324</v>
      </c>
      <c r="BN57" s="190">
        <v>0</v>
      </c>
      <c r="BO57" s="190" t="b">
        <v>0</v>
      </c>
      <c r="BP57" s="190">
        <v>141112.54826551839</v>
      </c>
      <c r="BQ57" s="191">
        <v>0</v>
      </c>
      <c r="BR57" s="191">
        <v>0</v>
      </c>
      <c r="BS57" s="200">
        <v>76</v>
      </c>
      <c r="BT57" s="191">
        <v>0</v>
      </c>
      <c r="BU57" s="201">
        <v>145146.36695267714</v>
      </c>
      <c r="BV57" s="191">
        <v>88</v>
      </c>
      <c r="BW57" s="202">
        <v>7.75</v>
      </c>
      <c r="BX57" s="202">
        <v>7.75</v>
      </c>
      <c r="BY57" s="190">
        <v>0</v>
      </c>
      <c r="BZ57" s="190">
        <v>0</v>
      </c>
      <c r="CA57" s="190">
        <v>0</v>
      </c>
      <c r="CB57" s="190">
        <v>0</v>
      </c>
      <c r="CC57" s="190">
        <v>0</v>
      </c>
      <c r="CD57" s="190">
        <v>0</v>
      </c>
      <c r="CE57" s="190">
        <v>0</v>
      </c>
      <c r="CF57" s="190">
        <v>0</v>
      </c>
      <c r="CG57" s="190">
        <v>-141112.54826551839</v>
      </c>
      <c r="CH57" s="190">
        <v>0</v>
      </c>
      <c r="CI57" s="190">
        <v>141112.54826551839</v>
      </c>
      <c r="CJ57" s="190">
        <v>0</v>
      </c>
      <c r="CK57" s="191">
        <v>0</v>
      </c>
      <c r="CL57" s="191">
        <v>0</v>
      </c>
    </row>
    <row r="58" spans="1:90" outlineLevel="3" x14ac:dyDescent="0.25">
      <c r="A58" s="129" t="s">
        <v>438</v>
      </c>
      <c r="B58" s="129" t="s">
        <v>410</v>
      </c>
      <c r="C58" s="129" t="s">
        <v>404</v>
      </c>
      <c r="D58" s="129" t="s">
        <v>405</v>
      </c>
      <c r="E58" s="129" t="s">
        <v>442</v>
      </c>
      <c r="F58" s="129" t="s">
        <v>354</v>
      </c>
      <c r="G58" s="129" t="s">
        <v>412</v>
      </c>
      <c r="H58" s="129" t="s">
        <v>356</v>
      </c>
      <c r="I58" s="187" t="s">
        <v>356</v>
      </c>
      <c r="J58" s="189">
        <v>78000</v>
      </c>
      <c r="K58" s="189">
        <v>78000</v>
      </c>
      <c r="L58" s="191">
        <v>3.1921587003345443E-2</v>
      </c>
      <c r="M58" s="191">
        <v>0.5</v>
      </c>
      <c r="N58" s="191">
        <v>0.41025106944151241</v>
      </c>
      <c r="O58" s="190">
        <v>2.5504560589854597</v>
      </c>
      <c r="P58" s="191">
        <v>2.8586155579726116</v>
      </c>
      <c r="Q58" s="191">
        <v>-0.30815949898715189</v>
      </c>
      <c r="R58" s="193" t="s">
        <v>443</v>
      </c>
      <c r="S58" s="254">
        <v>0</v>
      </c>
      <c r="T58" s="193">
        <v>0</v>
      </c>
      <c r="U58" s="194">
        <v>198935.57260086585</v>
      </c>
      <c r="V58" s="190" t="s">
        <v>312</v>
      </c>
      <c r="W58" s="190">
        <v>286996.26376617805</v>
      </c>
      <c r="X58" s="190">
        <v>0</v>
      </c>
      <c r="Y58" s="190">
        <v>286996.26376617805</v>
      </c>
      <c r="Z58" s="190">
        <v>0</v>
      </c>
      <c r="AA58" s="190">
        <v>0</v>
      </c>
      <c r="AB58" s="190">
        <v>0</v>
      </c>
      <c r="AC58" s="194">
        <v>222972.0135218637</v>
      </c>
      <c r="AD58" s="190">
        <v>-24036.440920997848</v>
      </c>
      <c r="AE58" s="190">
        <v>0</v>
      </c>
      <c r="AF58" s="190">
        <v>24036.440920997848</v>
      </c>
      <c r="AG58" s="190">
        <v>0</v>
      </c>
      <c r="AH58" s="195">
        <v>-12829.290476796246</v>
      </c>
      <c r="AI58" s="190">
        <v>0</v>
      </c>
      <c r="AJ58" s="190">
        <v>12829.290476796246</v>
      </c>
      <c r="AK58" s="196">
        <v>0</v>
      </c>
      <c r="AL58" s="197">
        <v>0</v>
      </c>
      <c r="AM58" s="190">
        <v>211764.8630776621</v>
      </c>
      <c r="AN58" s="197">
        <v>0</v>
      </c>
      <c r="AO58" s="197">
        <v>44662.290416055694</v>
      </c>
      <c r="AP58" s="190">
        <v>140980.7076861134</v>
      </c>
      <c r="AQ58" s="198">
        <v>1</v>
      </c>
      <c r="AR58" s="190">
        <v>573992.52753235609</v>
      </c>
      <c r="AS58" s="190">
        <v>17.9375</v>
      </c>
      <c r="AT58" s="190">
        <v>28168.128252363298</v>
      </c>
      <c r="AU58" s="190">
        <v>0</v>
      </c>
      <c r="AV58" s="190">
        <v>-28168.128252363298</v>
      </c>
      <c r="AW58" s="190">
        <v>0</v>
      </c>
      <c r="AX58" s="190">
        <v>-12829.290476796246</v>
      </c>
      <c r="AY58" s="190">
        <v>0</v>
      </c>
      <c r="AZ58" s="190">
        <v>12829.290476796246</v>
      </c>
      <c r="BA58" s="190">
        <v>0</v>
      </c>
      <c r="BB58" s="190">
        <v>17.9375</v>
      </c>
      <c r="BC58" s="190">
        <v>18.625</v>
      </c>
      <c r="BD58" s="190">
        <v>52204.569173361146</v>
      </c>
      <c r="BE58" s="190">
        <v>0</v>
      </c>
      <c r="BF58" s="190">
        <v>-52204.569173361146</v>
      </c>
      <c r="BG58" s="190">
        <v>0</v>
      </c>
      <c r="BH58" s="190">
        <v>11207.150444201601</v>
      </c>
      <c r="BI58" s="190">
        <v>0</v>
      </c>
      <c r="BJ58" s="190">
        <v>-11207.150444201601</v>
      </c>
      <c r="BK58" s="190">
        <v>0</v>
      </c>
      <c r="BL58" s="190">
        <v>140980.7076861134</v>
      </c>
      <c r="BM58" s="190" t="s">
        <v>324</v>
      </c>
      <c r="BN58" s="190">
        <v>0</v>
      </c>
      <c r="BO58" s="190" t="b">
        <v>0</v>
      </c>
      <c r="BP58" s="190">
        <v>-11207.150444201601</v>
      </c>
      <c r="BQ58" s="191">
        <v>0</v>
      </c>
      <c r="BR58" s="191">
        <v>0</v>
      </c>
      <c r="BS58" s="200">
        <v>76</v>
      </c>
      <c r="BT58" s="191">
        <v>0</v>
      </c>
      <c r="BU58" s="201">
        <v>31999.583416437967</v>
      </c>
      <c r="BV58" s="191">
        <v>91</v>
      </c>
      <c r="BW58" s="202">
        <v>17.9375</v>
      </c>
      <c r="BX58" s="202">
        <v>17.9375</v>
      </c>
      <c r="BY58" s="190">
        <v>0</v>
      </c>
      <c r="BZ58" s="190">
        <v>0</v>
      </c>
      <c r="CA58" s="190">
        <v>0</v>
      </c>
      <c r="CB58" s="190">
        <v>0</v>
      </c>
      <c r="CC58" s="190">
        <v>0</v>
      </c>
      <c r="CD58" s="190">
        <v>0</v>
      </c>
      <c r="CE58" s="190">
        <v>0</v>
      </c>
      <c r="CF58" s="190">
        <v>0</v>
      </c>
      <c r="CG58" s="190">
        <v>11207.150444201601</v>
      </c>
      <c r="CH58" s="190">
        <v>0</v>
      </c>
      <c r="CI58" s="190">
        <v>-11207.150444201601</v>
      </c>
      <c r="CJ58" s="190">
        <v>0</v>
      </c>
      <c r="CK58" s="191">
        <v>0.5</v>
      </c>
      <c r="CL58" s="191">
        <v>0</v>
      </c>
    </row>
    <row r="59" spans="1:90" s="221" customFormat="1" ht="20.100000000000001" customHeight="1" outlineLevel="2" x14ac:dyDescent="0.25">
      <c r="A59" s="204" t="s">
        <v>444</v>
      </c>
      <c r="B59" s="204"/>
      <c r="C59" s="204"/>
      <c r="D59" s="204"/>
      <c r="E59" s="204"/>
      <c r="F59" s="204"/>
      <c r="G59" s="204"/>
      <c r="H59" s="204"/>
      <c r="I59" s="205"/>
      <c r="J59" s="207"/>
      <c r="K59" s="207"/>
      <c r="L59" s="209"/>
      <c r="M59" s="209"/>
      <c r="N59" s="209"/>
      <c r="O59" s="208"/>
      <c r="P59" s="209"/>
      <c r="Q59" s="209"/>
      <c r="R59" s="211">
        <v>0</v>
      </c>
      <c r="S59" s="256">
        <v>1</v>
      </c>
      <c r="T59" s="211">
        <v>0</v>
      </c>
      <c r="U59" s="212">
        <v>928657.72701130179</v>
      </c>
      <c r="V59" s="208"/>
      <c r="W59" s="208">
        <v>286996.26376617805</v>
      </c>
      <c r="X59" s="208">
        <v>0</v>
      </c>
      <c r="Y59" s="208">
        <v>286996.26376617805</v>
      </c>
      <c r="Z59" s="208">
        <v>0</v>
      </c>
      <c r="AA59" s="208">
        <v>0</v>
      </c>
      <c r="AB59" s="208">
        <v>0</v>
      </c>
      <c r="AC59" s="212">
        <v>1026548.8726382082</v>
      </c>
      <c r="AD59" s="208">
        <v>-97891.145626906393</v>
      </c>
      <c r="AE59" s="208">
        <v>0</v>
      </c>
      <c r="AF59" s="208">
        <v>97891.145626906393</v>
      </c>
      <c r="AG59" s="208">
        <v>0</v>
      </c>
      <c r="AH59" s="213">
        <v>-227796.54344822318</v>
      </c>
      <c r="AI59" s="208">
        <v>0</v>
      </c>
      <c r="AJ59" s="208">
        <v>227796.54344822318</v>
      </c>
      <c r="AK59" s="214">
        <v>0</v>
      </c>
      <c r="AL59" s="215"/>
      <c r="AM59" s="208">
        <v>1156454.2704595251</v>
      </c>
      <c r="AN59" s="215"/>
      <c r="AO59" s="215"/>
      <c r="AP59" s="208">
        <v>1852849.0958702611</v>
      </c>
      <c r="AQ59" s="216"/>
      <c r="AR59" s="208"/>
      <c r="AS59" s="208"/>
      <c r="AT59" s="208">
        <v>81294.800490625319</v>
      </c>
      <c r="AU59" s="208">
        <v>0</v>
      </c>
      <c r="AV59" s="208">
        <v>-81294.800490625319</v>
      </c>
      <c r="AW59" s="208">
        <v>0</v>
      </c>
      <c r="AX59" s="208">
        <v>-227796.54344822318</v>
      </c>
      <c r="AY59" s="208">
        <v>0</v>
      </c>
      <c r="AZ59" s="208">
        <v>227796.54344822318</v>
      </c>
      <c r="BA59" s="208">
        <v>0</v>
      </c>
      <c r="BB59" s="208"/>
      <c r="BC59" s="208"/>
      <c r="BD59" s="208"/>
      <c r="BE59" s="208"/>
      <c r="BF59" s="208"/>
      <c r="BG59" s="208"/>
      <c r="BH59" s="208"/>
      <c r="BI59" s="208"/>
      <c r="BJ59" s="208"/>
      <c r="BK59" s="208"/>
      <c r="BL59" s="208"/>
      <c r="BM59" s="208"/>
      <c r="BN59" s="208"/>
      <c r="BO59" s="208"/>
      <c r="BP59" s="208"/>
      <c r="BQ59" s="209"/>
      <c r="BR59" s="209"/>
      <c r="BS59" s="218"/>
      <c r="BT59" s="209"/>
      <c r="BU59" s="219"/>
      <c r="BV59" s="209"/>
      <c r="BW59" s="220"/>
      <c r="BX59" s="220"/>
      <c r="BY59" s="208"/>
      <c r="BZ59" s="208"/>
      <c r="CA59" s="208">
        <v>0</v>
      </c>
      <c r="CB59" s="208"/>
      <c r="CC59" s="208"/>
      <c r="CD59" s="208"/>
      <c r="CE59" s="208"/>
      <c r="CF59" s="208"/>
      <c r="CG59" s="208"/>
      <c r="CH59" s="208"/>
      <c r="CI59" s="208"/>
      <c r="CJ59" s="208"/>
      <c r="CK59" s="209"/>
      <c r="CL59" s="209"/>
    </row>
    <row r="60" spans="1:90" s="236" customFormat="1" ht="30" customHeight="1" outlineLevel="1" x14ac:dyDescent="0.25">
      <c r="A60" s="204"/>
      <c r="B60" s="204" t="s">
        <v>445</v>
      </c>
      <c r="C60" s="204"/>
      <c r="D60" s="204"/>
      <c r="E60" s="204"/>
      <c r="F60" s="204"/>
      <c r="G60" s="204"/>
      <c r="H60" s="204"/>
      <c r="I60" s="205"/>
      <c r="J60" s="222"/>
      <c r="K60" s="222"/>
      <c r="L60" s="224"/>
      <c r="M60" s="224"/>
      <c r="N60" s="224"/>
      <c r="O60" s="223"/>
      <c r="P60" s="224"/>
      <c r="Q60" s="224"/>
      <c r="R60" s="226">
        <v>0</v>
      </c>
      <c r="S60" s="257">
        <v>10.1</v>
      </c>
      <c r="T60" s="226">
        <v>0</v>
      </c>
      <c r="U60" s="227">
        <v>9382655.0895113032</v>
      </c>
      <c r="V60" s="223"/>
      <c r="W60" s="223">
        <v>286996.26376617805</v>
      </c>
      <c r="X60" s="223">
        <v>0</v>
      </c>
      <c r="Y60" s="223">
        <v>286996.26376617805</v>
      </c>
      <c r="Z60" s="223">
        <v>0</v>
      </c>
      <c r="AA60" s="223">
        <v>0</v>
      </c>
      <c r="AB60" s="223">
        <v>0</v>
      </c>
      <c r="AC60" s="227">
        <v>9479279.4101382066</v>
      </c>
      <c r="AD60" s="223">
        <v>-96624.320626906396</v>
      </c>
      <c r="AE60" s="223">
        <v>0</v>
      </c>
      <c r="AF60" s="223">
        <v>96624.320626906396</v>
      </c>
      <c r="AG60" s="223">
        <v>0</v>
      </c>
      <c r="AH60" s="228">
        <v>-38831134.655948222</v>
      </c>
      <c r="AI60" s="223">
        <v>0</v>
      </c>
      <c r="AJ60" s="223">
        <v>38831134.655948222</v>
      </c>
      <c r="AK60" s="229">
        <v>0</v>
      </c>
      <c r="AL60" s="230"/>
      <c r="AM60" s="223">
        <v>49038559.175459526</v>
      </c>
      <c r="AN60" s="230"/>
      <c r="AO60" s="230"/>
      <c r="AP60" s="223">
        <v>10626356.011870259</v>
      </c>
      <c r="AQ60" s="231"/>
      <c r="AR60" s="223"/>
      <c r="AS60" s="223"/>
      <c r="AT60" s="223">
        <v>93329.637990625415</v>
      </c>
      <c r="AU60" s="223">
        <v>0</v>
      </c>
      <c r="AV60" s="223">
        <v>-93329.637990625415</v>
      </c>
      <c r="AW60" s="223">
        <v>0</v>
      </c>
      <c r="AX60" s="223">
        <v>-38831134.655948222</v>
      </c>
      <c r="AY60" s="223">
        <v>0</v>
      </c>
      <c r="AZ60" s="223">
        <v>38831134.655948222</v>
      </c>
      <c r="BA60" s="223">
        <v>0</v>
      </c>
      <c r="BB60" s="223"/>
      <c r="BC60" s="223"/>
      <c r="BD60" s="223"/>
      <c r="BE60" s="223"/>
      <c r="BF60" s="223"/>
      <c r="BG60" s="223"/>
      <c r="BH60" s="223"/>
      <c r="BI60" s="223"/>
      <c r="BJ60" s="223"/>
      <c r="BK60" s="223"/>
      <c r="BL60" s="223"/>
      <c r="BM60" s="223"/>
      <c r="BN60" s="223"/>
      <c r="BO60" s="223"/>
      <c r="BP60" s="223"/>
      <c r="BQ60" s="224"/>
      <c r="BR60" s="224"/>
      <c r="BS60" s="233"/>
      <c r="BT60" s="224"/>
      <c r="BU60" s="234"/>
      <c r="BV60" s="224"/>
      <c r="BW60" s="235"/>
      <c r="BX60" s="235"/>
      <c r="BY60" s="223"/>
      <c r="BZ60" s="223"/>
      <c r="CA60" s="223">
        <v>-824769.43</v>
      </c>
      <c r="CB60" s="223"/>
      <c r="CC60" s="223"/>
      <c r="CD60" s="223"/>
      <c r="CE60" s="223"/>
      <c r="CF60" s="223"/>
      <c r="CG60" s="223"/>
      <c r="CH60" s="223"/>
      <c r="CI60" s="223"/>
      <c r="CJ60" s="223"/>
      <c r="CK60" s="224"/>
      <c r="CL60" s="224"/>
    </row>
    <row r="61" spans="1:90" outlineLevel="3" x14ac:dyDescent="0.25">
      <c r="A61" s="129" t="s">
        <v>446</v>
      </c>
      <c r="B61" s="129" t="s">
        <v>447</v>
      </c>
      <c r="C61" s="129" t="s">
        <v>404</v>
      </c>
      <c r="D61" s="129" t="s">
        <v>405</v>
      </c>
      <c r="E61" s="129" t="s">
        <v>448</v>
      </c>
      <c r="F61" s="129" t="s">
        <v>435</v>
      </c>
      <c r="G61" s="129" t="s">
        <v>449</v>
      </c>
      <c r="H61" s="129" t="s">
        <v>450</v>
      </c>
      <c r="I61" s="187" t="s">
        <v>451</v>
      </c>
      <c r="J61" s="188">
        <v>375000</v>
      </c>
      <c r="K61" s="189">
        <v>375000</v>
      </c>
      <c r="L61" s="191">
        <v>0</v>
      </c>
      <c r="M61" s="191">
        <v>0</v>
      </c>
      <c r="N61" s="191">
        <v>0</v>
      </c>
      <c r="O61" s="190">
        <v>219.31052367999999</v>
      </c>
      <c r="P61" s="192">
        <v>219.31052367999999</v>
      </c>
      <c r="Q61" s="192">
        <v>0</v>
      </c>
      <c r="R61" s="193" t="s">
        <v>452</v>
      </c>
      <c r="S61" s="254">
        <v>0.625</v>
      </c>
      <c r="T61" s="193">
        <v>0</v>
      </c>
      <c r="U61" s="194">
        <v>82241446.379999995</v>
      </c>
      <c r="V61" s="190" t="s">
        <v>312</v>
      </c>
      <c r="W61" s="190">
        <v>0</v>
      </c>
      <c r="X61" s="190">
        <v>0</v>
      </c>
      <c r="Y61" s="190">
        <v>0</v>
      </c>
      <c r="Z61" s="190">
        <v>0</v>
      </c>
      <c r="AA61" s="190">
        <v>0</v>
      </c>
      <c r="AB61" s="190">
        <v>0</v>
      </c>
      <c r="AC61" s="194">
        <v>82241446.379999995</v>
      </c>
      <c r="AD61" s="190">
        <v>0</v>
      </c>
      <c r="AE61" s="190">
        <v>0</v>
      </c>
      <c r="AF61" s="190">
        <v>0</v>
      </c>
      <c r="AG61" s="190">
        <v>0</v>
      </c>
      <c r="AH61" s="195">
        <v>0</v>
      </c>
      <c r="AI61" s="190">
        <v>0</v>
      </c>
      <c r="AJ61" s="190">
        <v>0</v>
      </c>
      <c r="AK61" s="196">
        <v>0</v>
      </c>
      <c r="AL61" s="197">
        <v>0</v>
      </c>
      <c r="AM61" s="190">
        <v>81210625</v>
      </c>
      <c r="AN61" s="197">
        <v>0</v>
      </c>
      <c r="AO61" s="191">
        <v>0</v>
      </c>
      <c r="AP61" s="190">
        <v>81210625</v>
      </c>
      <c r="AQ61" s="198">
        <v>1</v>
      </c>
      <c r="AR61" s="190">
        <v>0</v>
      </c>
      <c r="AS61" s="190">
        <v>219.31052367999999</v>
      </c>
      <c r="AT61" s="190">
        <v>0</v>
      </c>
      <c r="AU61" s="190">
        <v>0</v>
      </c>
      <c r="AV61" s="190">
        <v>0</v>
      </c>
      <c r="AW61" s="190">
        <v>0</v>
      </c>
      <c r="AX61" s="190">
        <v>0</v>
      </c>
      <c r="AY61" s="190">
        <v>0</v>
      </c>
      <c r="AZ61" s="190">
        <v>0</v>
      </c>
      <c r="BA61" s="190">
        <v>0</v>
      </c>
      <c r="BB61" s="190" t="s">
        <v>307</v>
      </c>
      <c r="BC61" s="190" t="s">
        <v>307</v>
      </c>
      <c r="BD61" s="190">
        <v>0</v>
      </c>
      <c r="BE61" s="190">
        <v>0</v>
      </c>
      <c r="BF61" s="190">
        <v>0</v>
      </c>
      <c r="BG61" s="190">
        <v>0</v>
      </c>
      <c r="BH61" s="190">
        <v>0</v>
      </c>
      <c r="BI61" s="190">
        <v>0</v>
      </c>
      <c r="BJ61" s="190">
        <v>0</v>
      </c>
      <c r="BK61" s="190">
        <v>0</v>
      </c>
      <c r="BL61" s="190">
        <v>81210625</v>
      </c>
      <c r="BM61" s="190" t="s">
        <v>313</v>
      </c>
      <c r="BN61" s="190">
        <v>0</v>
      </c>
      <c r="BO61" s="190" t="b">
        <v>0</v>
      </c>
      <c r="BP61" s="190">
        <v>0</v>
      </c>
      <c r="BQ61" s="191">
        <v>100</v>
      </c>
      <c r="BR61" s="191">
        <v>37500000</v>
      </c>
      <c r="BS61" s="200">
        <v>74</v>
      </c>
      <c r="BT61" s="191">
        <v>0</v>
      </c>
      <c r="BU61" s="201">
        <v>0</v>
      </c>
      <c r="BV61" s="191">
        <v>80</v>
      </c>
      <c r="BW61" s="202">
        <v>0</v>
      </c>
      <c r="BX61" s="202">
        <v>0</v>
      </c>
      <c r="BY61" s="190">
        <v>0</v>
      </c>
      <c r="BZ61" s="190">
        <v>0</v>
      </c>
      <c r="CA61" s="190">
        <v>1030821.38</v>
      </c>
      <c r="CB61" s="190">
        <v>1030821.38</v>
      </c>
      <c r="CC61" s="190">
        <v>0</v>
      </c>
      <c r="CD61" s="190">
        <v>0</v>
      </c>
      <c r="CE61" s="190">
        <v>0</v>
      </c>
      <c r="CF61" s="190">
        <v>0</v>
      </c>
      <c r="CG61" s="190">
        <v>0</v>
      </c>
      <c r="CH61" s="190">
        <v>0</v>
      </c>
      <c r="CI61" s="190">
        <v>0</v>
      </c>
      <c r="CJ61" s="190">
        <v>0</v>
      </c>
      <c r="CK61" s="191">
        <v>0</v>
      </c>
      <c r="CL61" s="191">
        <v>0</v>
      </c>
    </row>
    <row r="62" spans="1:90" s="221" customFormat="1" ht="20.100000000000001" customHeight="1" outlineLevel="2" x14ac:dyDescent="0.25">
      <c r="A62" s="204" t="s">
        <v>453</v>
      </c>
      <c r="B62" s="204"/>
      <c r="C62" s="204"/>
      <c r="D62" s="204"/>
      <c r="E62" s="204"/>
      <c r="F62" s="204"/>
      <c r="G62" s="204"/>
      <c r="H62" s="204"/>
      <c r="I62" s="205"/>
      <c r="J62" s="206"/>
      <c r="K62" s="207"/>
      <c r="L62" s="209"/>
      <c r="M62" s="209"/>
      <c r="N62" s="209"/>
      <c r="O62" s="208"/>
      <c r="P62" s="210"/>
      <c r="Q62" s="210"/>
      <c r="R62" s="211">
        <v>0</v>
      </c>
      <c r="S62" s="256">
        <v>0.625</v>
      </c>
      <c r="T62" s="211">
        <v>0</v>
      </c>
      <c r="U62" s="212">
        <v>82241446.379999995</v>
      </c>
      <c r="V62" s="208"/>
      <c r="W62" s="208">
        <v>0</v>
      </c>
      <c r="X62" s="208">
        <v>0</v>
      </c>
      <c r="Y62" s="208">
        <v>0</v>
      </c>
      <c r="Z62" s="208">
        <v>0</v>
      </c>
      <c r="AA62" s="208">
        <v>0</v>
      </c>
      <c r="AB62" s="208">
        <v>0</v>
      </c>
      <c r="AC62" s="212">
        <v>82241446.379999995</v>
      </c>
      <c r="AD62" s="208">
        <v>0</v>
      </c>
      <c r="AE62" s="208">
        <v>0</v>
      </c>
      <c r="AF62" s="208">
        <v>0</v>
      </c>
      <c r="AG62" s="208">
        <v>0</v>
      </c>
      <c r="AH62" s="213">
        <v>0</v>
      </c>
      <c r="AI62" s="208">
        <v>0</v>
      </c>
      <c r="AJ62" s="208">
        <v>0</v>
      </c>
      <c r="AK62" s="214">
        <v>0</v>
      </c>
      <c r="AL62" s="215"/>
      <c r="AM62" s="208">
        <v>81210625</v>
      </c>
      <c r="AN62" s="215"/>
      <c r="AO62" s="209"/>
      <c r="AP62" s="208">
        <v>81210625</v>
      </c>
      <c r="AQ62" s="216"/>
      <c r="AR62" s="208"/>
      <c r="AS62" s="208"/>
      <c r="AT62" s="208">
        <v>0</v>
      </c>
      <c r="AU62" s="208">
        <v>0</v>
      </c>
      <c r="AV62" s="208">
        <v>0</v>
      </c>
      <c r="AW62" s="208">
        <v>0</v>
      </c>
      <c r="AX62" s="208">
        <v>0</v>
      </c>
      <c r="AY62" s="208">
        <v>0</v>
      </c>
      <c r="AZ62" s="208">
        <v>0</v>
      </c>
      <c r="BA62" s="208">
        <v>0</v>
      </c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208"/>
      <c r="BQ62" s="209"/>
      <c r="BR62" s="209"/>
      <c r="BS62" s="218"/>
      <c r="BT62" s="209"/>
      <c r="BU62" s="219"/>
      <c r="BV62" s="209"/>
      <c r="BW62" s="220"/>
      <c r="BX62" s="220"/>
      <c r="BY62" s="208"/>
      <c r="BZ62" s="208"/>
      <c r="CA62" s="208">
        <v>1030821.38</v>
      </c>
      <c r="CB62" s="208"/>
      <c r="CC62" s="208"/>
      <c r="CD62" s="208"/>
      <c r="CE62" s="208"/>
      <c r="CF62" s="208"/>
      <c r="CG62" s="208"/>
      <c r="CH62" s="208"/>
      <c r="CI62" s="208"/>
      <c r="CJ62" s="208"/>
      <c r="CK62" s="209"/>
      <c r="CL62" s="209"/>
    </row>
    <row r="63" spans="1:90" outlineLevel="3" x14ac:dyDescent="0.25">
      <c r="A63" s="129" t="s">
        <v>327</v>
      </c>
      <c r="B63" s="129" t="s">
        <v>447</v>
      </c>
      <c r="C63" s="129" t="s">
        <v>404</v>
      </c>
      <c r="D63" s="129" t="s">
        <v>405</v>
      </c>
      <c r="E63" s="129" t="s">
        <v>454</v>
      </c>
      <c r="F63" s="129" t="s">
        <v>307</v>
      </c>
      <c r="G63" s="129" t="s">
        <v>455</v>
      </c>
      <c r="H63" s="129" t="s">
        <v>309</v>
      </c>
      <c r="I63" s="187" t="s">
        <v>333</v>
      </c>
      <c r="J63" s="189">
        <v>1</v>
      </c>
      <c r="K63" s="189">
        <v>1</v>
      </c>
      <c r="L63" s="191">
        <v>0</v>
      </c>
      <c r="M63" s="191">
        <v>0</v>
      </c>
      <c r="N63" s="191">
        <v>0</v>
      </c>
      <c r="O63" s="190">
        <v>1250000</v>
      </c>
      <c r="P63" s="191">
        <v>1250000</v>
      </c>
      <c r="Q63" s="191">
        <v>0</v>
      </c>
      <c r="R63" s="193" t="s">
        <v>456</v>
      </c>
      <c r="S63" s="254">
        <v>1</v>
      </c>
      <c r="T63" s="193">
        <v>0</v>
      </c>
      <c r="U63" s="194">
        <v>1250000</v>
      </c>
      <c r="V63" s="190" t="s">
        <v>312</v>
      </c>
      <c r="W63" s="190">
        <v>0</v>
      </c>
      <c r="X63" s="190">
        <v>0</v>
      </c>
      <c r="Y63" s="190">
        <v>0</v>
      </c>
      <c r="Z63" s="190">
        <v>0</v>
      </c>
      <c r="AA63" s="190">
        <v>0</v>
      </c>
      <c r="AB63" s="190">
        <v>0</v>
      </c>
      <c r="AC63" s="194">
        <v>1250000</v>
      </c>
      <c r="AD63" s="190">
        <v>0</v>
      </c>
      <c r="AE63" s="190">
        <v>0</v>
      </c>
      <c r="AF63" s="190">
        <v>0</v>
      </c>
      <c r="AG63" s="190">
        <v>0</v>
      </c>
      <c r="AH63" s="195">
        <v>0</v>
      </c>
      <c r="AI63" s="190">
        <v>0</v>
      </c>
      <c r="AJ63" s="190">
        <v>0</v>
      </c>
      <c r="AK63" s="196">
        <v>0</v>
      </c>
      <c r="AL63" s="197">
        <v>0</v>
      </c>
      <c r="AM63" s="190">
        <v>1250000</v>
      </c>
      <c r="AN63" s="191">
        <v>0</v>
      </c>
      <c r="AO63" s="197">
        <v>0</v>
      </c>
      <c r="AP63" s="190">
        <v>1250000</v>
      </c>
      <c r="AQ63" s="198">
        <v>1</v>
      </c>
      <c r="AR63" s="190">
        <v>0</v>
      </c>
      <c r="AS63" s="190">
        <v>1250000</v>
      </c>
      <c r="AT63" s="190">
        <v>0</v>
      </c>
      <c r="AU63" s="190">
        <v>0</v>
      </c>
      <c r="AV63" s="190">
        <v>0</v>
      </c>
      <c r="AW63" s="190">
        <v>0</v>
      </c>
      <c r="AX63" s="190">
        <v>0</v>
      </c>
      <c r="AY63" s="190">
        <v>0</v>
      </c>
      <c r="AZ63" s="190">
        <v>0</v>
      </c>
      <c r="BA63" s="190">
        <v>0</v>
      </c>
      <c r="BB63" s="190" t="s">
        <v>307</v>
      </c>
      <c r="BC63" s="190" t="s">
        <v>307</v>
      </c>
      <c r="BD63" s="190">
        <v>0</v>
      </c>
      <c r="BE63" s="190">
        <v>0</v>
      </c>
      <c r="BF63" s="190">
        <v>0</v>
      </c>
      <c r="BG63" s="190">
        <v>0</v>
      </c>
      <c r="BH63" s="190">
        <v>0</v>
      </c>
      <c r="BI63" s="190">
        <v>0</v>
      </c>
      <c r="BJ63" s="190">
        <v>0</v>
      </c>
      <c r="BK63" s="190">
        <v>0</v>
      </c>
      <c r="BL63" s="190">
        <v>1250000</v>
      </c>
      <c r="BM63" s="190" t="s">
        <v>313</v>
      </c>
      <c r="BN63" s="190">
        <v>0</v>
      </c>
      <c r="BO63" s="190" t="b">
        <v>0</v>
      </c>
      <c r="BP63" s="190">
        <v>0</v>
      </c>
      <c r="BQ63" s="192">
        <v>0</v>
      </c>
      <c r="BR63" s="191">
        <v>0</v>
      </c>
      <c r="BS63" s="200">
        <v>79</v>
      </c>
      <c r="BT63" s="191">
        <v>0</v>
      </c>
      <c r="BU63" s="201">
        <v>0</v>
      </c>
      <c r="BV63" s="191">
        <v>115</v>
      </c>
      <c r="BW63" s="202">
        <v>0</v>
      </c>
      <c r="BX63" s="202">
        <v>0</v>
      </c>
      <c r="BY63" s="190">
        <v>0</v>
      </c>
      <c r="BZ63" s="190">
        <v>0</v>
      </c>
      <c r="CA63" s="190">
        <v>0</v>
      </c>
      <c r="CB63" s="190">
        <v>0</v>
      </c>
      <c r="CC63" s="190">
        <v>0</v>
      </c>
      <c r="CD63" s="190">
        <v>0</v>
      </c>
      <c r="CE63" s="190">
        <v>0</v>
      </c>
      <c r="CF63" s="190">
        <v>0</v>
      </c>
      <c r="CG63" s="190">
        <v>0</v>
      </c>
      <c r="CH63" s="190">
        <v>0</v>
      </c>
      <c r="CI63" s="190">
        <v>0</v>
      </c>
      <c r="CJ63" s="190">
        <v>0</v>
      </c>
      <c r="CK63" s="191">
        <v>0</v>
      </c>
      <c r="CL63" s="191">
        <v>0</v>
      </c>
    </row>
    <row r="64" spans="1:90" outlineLevel="3" x14ac:dyDescent="0.25">
      <c r="A64" s="129" t="s">
        <v>327</v>
      </c>
      <c r="B64" s="129" t="s">
        <v>447</v>
      </c>
      <c r="C64" s="129" t="s">
        <v>404</v>
      </c>
      <c r="D64" s="129" t="s">
        <v>405</v>
      </c>
      <c r="E64" s="129" t="s">
        <v>457</v>
      </c>
      <c r="F64" s="129" t="s">
        <v>307</v>
      </c>
      <c r="G64" s="129" t="s">
        <v>449</v>
      </c>
      <c r="H64" s="237" t="s">
        <v>413</v>
      </c>
      <c r="I64" s="187" t="s">
        <v>458</v>
      </c>
      <c r="J64" s="189">
        <v>1</v>
      </c>
      <c r="K64" s="189">
        <v>1</v>
      </c>
      <c r="L64" s="191">
        <v>0</v>
      </c>
      <c r="M64" s="191">
        <v>0</v>
      </c>
      <c r="N64" s="191">
        <v>0</v>
      </c>
      <c r="O64" s="190">
        <v>1663000</v>
      </c>
      <c r="P64" s="191">
        <v>1663000</v>
      </c>
      <c r="Q64" s="191">
        <v>0</v>
      </c>
      <c r="R64" s="193" t="s">
        <v>459</v>
      </c>
      <c r="S64" s="254">
        <v>1</v>
      </c>
      <c r="T64" s="193">
        <v>0</v>
      </c>
      <c r="U64" s="194">
        <v>1663000</v>
      </c>
      <c r="V64" s="190" t="s">
        <v>312</v>
      </c>
      <c r="W64" s="190">
        <v>0</v>
      </c>
      <c r="X64" s="190">
        <v>0</v>
      </c>
      <c r="Y64" s="190">
        <v>0</v>
      </c>
      <c r="Z64" s="190">
        <v>0</v>
      </c>
      <c r="AA64" s="190">
        <v>0</v>
      </c>
      <c r="AB64" s="190">
        <v>0</v>
      </c>
      <c r="AC64" s="194">
        <v>1663000</v>
      </c>
      <c r="AD64" s="190">
        <v>0</v>
      </c>
      <c r="AE64" s="190">
        <v>0</v>
      </c>
      <c r="AF64" s="190">
        <v>0</v>
      </c>
      <c r="AG64" s="190">
        <v>0</v>
      </c>
      <c r="AH64" s="195">
        <v>0</v>
      </c>
      <c r="AI64" s="190">
        <v>0</v>
      </c>
      <c r="AJ64" s="190">
        <v>0</v>
      </c>
      <c r="AK64" s="196">
        <v>0</v>
      </c>
      <c r="AL64" s="197">
        <v>0</v>
      </c>
      <c r="AM64" s="190">
        <v>1663000</v>
      </c>
      <c r="AN64" s="191">
        <v>0</v>
      </c>
      <c r="AO64" s="197">
        <v>0</v>
      </c>
      <c r="AP64" s="190">
        <v>1663000</v>
      </c>
      <c r="AQ64" s="198">
        <v>1</v>
      </c>
      <c r="AR64" s="190">
        <v>0</v>
      </c>
      <c r="AS64" s="190">
        <v>1663000</v>
      </c>
      <c r="AT64" s="190">
        <v>0</v>
      </c>
      <c r="AU64" s="190">
        <v>0</v>
      </c>
      <c r="AV64" s="190">
        <v>0</v>
      </c>
      <c r="AW64" s="190">
        <v>0</v>
      </c>
      <c r="AX64" s="190">
        <v>0</v>
      </c>
      <c r="AY64" s="190">
        <v>0</v>
      </c>
      <c r="AZ64" s="190">
        <v>0</v>
      </c>
      <c r="BA64" s="190">
        <v>0</v>
      </c>
      <c r="BB64" s="190" t="s">
        <v>307</v>
      </c>
      <c r="BC64" s="190" t="s">
        <v>307</v>
      </c>
      <c r="BD64" s="190">
        <v>0</v>
      </c>
      <c r="BE64" s="190">
        <v>0</v>
      </c>
      <c r="BF64" s="190">
        <v>0</v>
      </c>
      <c r="BG64" s="190">
        <v>0</v>
      </c>
      <c r="BH64" s="190">
        <v>0</v>
      </c>
      <c r="BI64" s="190">
        <v>0</v>
      </c>
      <c r="BJ64" s="190">
        <v>0</v>
      </c>
      <c r="BK64" s="190">
        <v>0</v>
      </c>
      <c r="BL64" s="190">
        <v>1663000</v>
      </c>
      <c r="BM64" s="190" t="s">
        <v>313</v>
      </c>
      <c r="BN64" s="190">
        <v>0</v>
      </c>
      <c r="BO64" s="190" t="b">
        <v>0</v>
      </c>
      <c r="BP64" s="190">
        <v>0</v>
      </c>
      <c r="BQ64" s="191">
        <v>0</v>
      </c>
      <c r="BR64" s="191">
        <v>0</v>
      </c>
      <c r="BS64" s="200">
        <v>79</v>
      </c>
      <c r="BT64" s="191">
        <v>0</v>
      </c>
      <c r="BU64" s="201">
        <v>0</v>
      </c>
      <c r="BV64" s="191">
        <v>120</v>
      </c>
      <c r="BW64" s="202">
        <v>0</v>
      </c>
      <c r="BX64" s="202">
        <v>0</v>
      </c>
      <c r="BY64" s="190">
        <v>0</v>
      </c>
      <c r="BZ64" s="190">
        <v>0</v>
      </c>
      <c r="CA64" s="190">
        <v>0</v>
      </c>
      <c r="CB64" s="190">
        <v>0</v>
      </c>
      <c r="CC64" s="190">
        <v>0</v>
      </c>
      <c r="CD64" s="190">
        <v>0</v>
      </c>
      <c r="CE64" s="190">
        <v>0</v>
      </c>
      <c r="CF64" s="190">
        <v>0</v>
      </c>
      <c r="CG64" s="190">
        <v>0</v>
      </c>
      <c r="CH64" s="190">
        <v>0</v>
      </c>
      <c r="CI64" s="190">
        <v>0</v>
      </c>
      <c r="CJ64" s="190">
        <v>0</v>
      </c>
      <c r="CK64" s="191">
        <v>0</v>
      </c>
      <c r="CL64" s="191">
        <v>0</v>
      </c>
    </row>
    <row r="65" spans="1:90" s="221" customFormat="1" ht="20.100000000000001" customHeight="1" outlineLevel="2" x14ac:dyDescent="0.25">
      <c r="A65" s="204" t="s">
        <v>347</v>
      </c>
      <c r="B65" s="204"/>
      <c r="C65" s="204"/>
      <c r="D65" s="204"/>
      <c r="E65" s="204"/>
      <c r="F65" s="204"/>
      <c r="G65" s="204"/>
      <c r="H65" s="238"/>
      <c r="I65" s="205"/>
      <c r="J65" s="207"/>
      <c r="K65" s="207"/>
      <c r="L65" s="209"/>
      <c r="M65" s="209"/>
      <c r="N65" s="209"/>
      <c r="O65" s="208"/>
      <c r="P65" s="209"/>
      <c r="Q65" s="209"/>
      <c r="R65" s="211">
        <v>0</v>
      </c>
      <c r="S65" s="256">
        <v>2</v>
      </c>
      <c r="T65" s="211">
        <v>0</v>
      </c>
      <c r="U65" s="212">
        <v>2913000</v>
      </c>
      <c r="V65" s="208"/>
      <c r="W65" s="208">
        <v>0</v>
      </c>
      <c r="X65" s="208">
        <v>0</v>
      </c>
      <c r="Y65" s="208">
        <v>0</v>
      </c>
      <c r="Z65" s="208">
        <v>0</v>
      </c>
      <c r="AA65" s="208">
        <v>0</v>
      </c>
      <c r="AB65" s="208">
        <v>0</v>
      </c>
      <c r="AC65" s="212">
        <v>2913000</v>
      </c>
      <c r="AD65" s="208">
        <v>0</v>
      </c>
      <c r="AE65" s="208">
        <v>0</v>
      </c>
      <c r="AF65" s="208">
        <v>0</v>
      </c>
      <c r="AG65" s="208">
        <v>0</v>
      </c>
      <c r="AH65" s="213">
        <v>0</v>
      </c>
      <c r="AI65" s="208">
        <v>0</v>
      </c>
      <c r="AJ65" s="208">
        <v>0</v>
      </c>
      <c r="AK65" s="214">
        <v>0</v>
      </c>
      <c r="AL65" s="215"/>
      <c r="AM65" s="208">
        <v>2913000</v>
      </c>
      <c r="AN65" s="209"/>
      <c r="AO65" s="215"/>
      <c r="AP65" s="208">
        <v>2913000</v>
      </c>
      <c r="AQ65" s="216"/>
      <c r="AR65" s="208"/>
      <c r="AS65" s="208"/>
      <c r="AT65" s="208">
        <v>0</v>
      </c>
      <c r="AU65" s="208">
        <v>0</v>
      </c>
      <c r="AV65" s="208">
        <v>0</v>
      </c>
      <c r="AW65" s="208">
        <v>0</v>
      </c>
      <c r="AX65" s="208">
        <v>0</v>
      </c>
      <c r="AY65" s="208">
        <v>0</v>
      </c>
      <c r="AZ65" s="208">
        <v>0</v>
      </c>
      <c r="BA65" s="208">
        <v>0</v>
      </c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8"/>
      <c r="BN65" s="208"/>
      <c r="BO65" s="208"/>
      <c r="BP65" s="208"/>
      <c r="BQ65" s="209"/>
      <c r="BR65" s="209"/>
      <c r="BS65" s="218"/>
      <c r="BT65" s="209"/>
      <c r="BU65" s="219"/>
      <c r="BV65" s="209"/>
      <c r="BW65" s="220"/>
      <c r="BX65" s="220"/>
      <c r="BY65" s="208"/>
      <c r="BZ65" s="208"/>
      <c r="CA65" s="208">
        <v>0</v>
      </c>
      <c r="CB65" s="208"/>
      <c r="CC65" s="208"/>
      <c r="CD65" s="208"/>
      <c r="CE65" s="208"/>
      <c r="CF65" s="208"/>
      <c r="CG65" s="208"/>
      <c r="CH65" s="208"/>
      <c r="CI65" s="208"/>
      <c r="CJ65" s="208"/>
      <c r="CK65" s="209"/>
      <c r="CL65" s="209"/>
    </row>
    <row r="66" spans="1:90" outlineLevel="3" x14ac:dyDescent="0.25">
      <c r="A66" s="129" t="s">
        <v>409</v>
      </c>
      <c r="B66" s="129" t="s">
        <v>447</v>
      </c>
      <c r="C66" s="129" t="s">
        <v>404</v>
      </c>
      <c r="D66" s="129" t="s">
        <v>405</v>
      </c>
      <c r="E66" s="129" t="s">
        <v>460</v>
      </c>
      <c r="F66" s="129" t="s">
        <v>307</v>
      </c>
      <c r="G66" s="129" t="s">
        <v>449</v>
      </c>
      <c r="H66" s="237" t="s">
        <v>413</v>
      </c>
      <c r="I66" s="187" t="s">
        <v>310</v>
      </c>
      <c r="J66" s="188">
        <v>1000</v>
      </c>
      <c r="K66" s="189">
        <v>1000</v>
      </c>
      <c r="L66" s="191">
        <v>0</v>
      </c>
      <c r="M66" s="191">
        <v>0</v>
      </c>
      <c r="N66" s="191">
        <v>1</v>
      </c>
      <c r="O66" s="190">
        <v>1360</v>
      </c>
      <c r="P66" s="192">
        <v>1360</v>
      </c>
      <c r="Q66" s="192">
        <v>0</v>
      </c>
      <c r="R66" s="193" t="s">
        <v>461</v>
      </c>
      <c r="S66" s="254">
        <v>1</v>
      </c>
      <c r="T66" s="193">
        <v>0</v>
      </c>
      <c r="U66" s="194">
        <v>1360000</v>
      </c>
      <c r="V66" s="190" t="s">
        <v>312</v>
      </c>
      <c r="W66" s="190">
        <v>0</v>
      </c>
      <c r="X66" s="190">
        <v>0</v>
      </c>
      <c r="Y66" s="190">
        <v>0</v>
      </c>
      <c r="Z66" s="190">
        <v>0</v>
      </c>
      <c r="AA66" s="190">
        <v>0</v>
      </c>
      <c r="AB66" s="190">
        <v>0</v>
      </c>
      <c r="AC66" s="194">
        <v>1360000</v>
      </c>
      <c r="AD66" s="190">
        <v>0</v>
      </c>
      <c r="AE66" s="190">
        <v>0</v>
      </c>
      <c r="AF66" s="190">
        <v>0</v>
      </c>
      <c r="AG66" s="190">
        <v>0</v>
      </c>
      <c r="AH66" s="195">
        <v>0</v>
      </c>
      <c r="AI66" s="190">
        <v>0</v>
      </c>
      <c r="AJ66" s="190">
        <v>0</v>
      </c>
      <c r="AK66" s="196">
        <v>0</v>
      </c>
      <c r="AL66" s="197">
        <v>0</v>
      </c>
      <c r="AM66" s="190">
        <v>1360000</v>
      </c>
      <c r="AN66" s="197">
        <v>0</v>
      </c>
      <c r="AO66" s="191">
        <v>0</v>
      </c>
      <c r="AP66" s="190">
        <v>1360000</v>
      </c>
      <c r="AQ66" s="198">
        <v>1</v>
      </c>
      <c r="AR66" s="190">
        <v>1360000</v>
      </c>
      <c r="AS66" s="190">
        <v>1360</v>
      </c>
      <c r="AT66" s="190">
        <v>0</v>
      </c>
      <c r="AU66" s="190">
        <v>0</v>
      </c>
      <c r="AV66" s="190">
        <v>0</v>
      </c>
      <c r="AW66" s="190">
        <v>0</v>
      </c>
      <c r="AX66" s="190">
        <v>0</v>
      </c>
      <c r="AY66" s="190">
        <v>0</v>
      </c>
      <c r="AZ66" s="190">
        <v>0</v>
      </c>
      <c r="BA66" s="190">
        <v>0</v>
      </c>
      <c r="BB66" s="190" t="s">
        <v>307</v>
      </c>
      <c r="BC66" s="190" t="s">
        <v>307</v>
      </c>
      <c r="BD66" s="190">
        <v>0</v>
      </c>
      <c r="BE66" s="190">
        <v>0</v>
      </c>
      <c r="BF66" s="190">
        <v>0</v>
      </c>
      <c r="BG66" s="190">
        <v>0</v>
      </c>
      <c r="BH66" s="190">
        <v>0</v>
      </c>
      <c r="BI66" s="190">
        <v>0</v>
      </c>
      <c r="BJ66" s="190">
        <v>0</v>
      </c>
      <c r="BK66" s="190">
        <v>0</v>
      </c>
      <c r="BL66" s="202">
        <v>1360000</v>
      </c>
      <c r="BM66" s="190" t="s">
        <v>313</v>
      </c>
      <c r="BN66" s="190">
        <v>0</v>
      </c>
      <c r="BO66" s="190" t="b">
        <v>0</v>
      </c>
      <c r="BP66" s="190">
        <v>0</v>
      </c>
      <c r="BQ66" s="191">
        <v>2360</v>
      </c>
      <c r="BR66" s="191">
        <v>2360000</v>
      </c>
      <c r="BS66" s="200">
        <v>73</v>
      </c>
      <c r="BT66" s="191">
        <v>0</v>
      </c>
      <c r="BU66" s="201">
        <v>0</v>
      </c>
      <c r="BV66" s="191">
        <v>36</v>
      </c>
      <c r="BW66" s="202">
        <v>0</v>
      </c>
      <c r="BX66" s="202">
        <v>0</v>
      </c>
      <c r="BY66" s="190">
        <v>0</v>
      </c>
      <c r="BZ66" s="190">
        <v>0</v>
      </c>
      <c r="CA66" s="190">
        <v>0</v>
      </c>
      <c r="CB66" s="190">
        <v>0</v>
      </c>
      <c r="CC66" s="190">
        <v>0</v>
      </c>
      <c r="CD66" s="190">
        <v>0</v>
      </c>
      <c r="CE66" s="190">
        <v>0</v>
      </c>
      <c r="CF66" s="190">
        <v>0</v>
      </c>
      <c r="CG66" s="190">
        <v>0</v>
      </c>
      <c r="CH66" s="190">
        <v>0</v>
      </c>
      <c r="CI66" s="190">
        <v>0</v>
      </c>
      <c r="CJ66" s="190">
        <v>0</v>
      </c>
      <c r="CK66" s="191">
        <v>0</v>
      </c>
      <c r="CL66" s="191">
        <v>0</v>
      </c>
    </row>
    <row r="67" spans="1:90" s="221" customFormat="1" ht="20.100000000000001" customHeight="1" outlineLevel="2" x14ac:dyDescent="0.25">
      <c r="A67" s="204" t="s">
        <v>418</v>
      </c>
      <c r="B67" s="204"/>
      <c r="C67" s="204"/>
      <c r="D67" s="204"/>
      <c r="E67" s="204"/>
      <c r="F67" s="204"/>
      <c r="G67" s="204"/>
      <c r="H67" s="238"/>
      <c r="I67" s="205"/>
      <c r="J67" s="206"/>
      <c r="K67" s="207"/>
      <c r="L67" s="209"/>
      <c r="M67" s="209"/>
      <c r="N67" s="209"/>
      <c r="O67" s="208"/>
      <c r="P67" s="210"/>
      <c r="Q67" s="210"/>
      <c r="R67" s="211">
        <v>0</v>
      </c>
      <c r="S67" s="256">
        <v>1</v>
      </c>
      <c r="T67" s="211">
        <v>0</v>
      </c>
      <c r="U67" s="212">
        <v>1360000</v>
      </c>
      <c r="V67" s="208"/>
      <c r="W67" s="208">
        <v>0</v>
      </c>
      <c r="X67" s="208">
        <v>0</v>
      </c>
      <c r="Y67" s="208">
        <v>0</v>
      </c>
      <c r="Z67" s="208">
        <v>0</v>
      </c>
      <c r="AA67" s="208">
        <v>0</v>
      </c>
      <c r="AB67" s="208">
        <v>0</v>
      </c>
      <c r="AC67" s="212">
        <v>1360000</v>
      </c>
      <c r="AD67" s="208">
        <v>0</v>
      </c>
      <c r="AE67" s="208">
        <v>0</v>
      </c>
      <c r="AF67" s="208">
        <v>0</v>
      </c>
      <c r="AG67" s="208">
        <v>0</v>
      </c>
      <c r="AH67" s="213">
        <v>0</v>
      </c>
      <c r="AI67" s="208">
        <v>0</v>
      </c>
      <c r="AJ67" s="208">
        <v>0</v>
      </c>
      <c r="AK67" s="214">
        <v>0</v>
      </c>
      <c r="AL67" s="215"/>
      <c r="AM67" s="208">
        <v>1360000</v>
      </c>
      <c r="AN67" s="215"/>
      <c r="AO67" s="209"/>
      <c r="AP67" s="208">
        <v>1360000</v>
      </c>
      <c r="AQ67" s="216"/>
      <c r="AR67" s="208"/>
      <c r="AS67" s="208"/>
      <c r="AT67" s="208">
        <v>0</v>
      </c>
      <c r="AU67" s="208">
        <v>0</v>
      </c>
      <c r="AV67" s="208">
        <v>0</v>
      </c>
      <c r="AW67" s="208">
        <v>0</v>
      </c>
      <c r="AX67" s="208">
        <v>0</v>
      </c>
      <c r="AY67" s="208">
        <v>0</v>
      </c>
      <c r="AZ67" s="208">
        <v>0</v>
      </c>
      <c r="BA67" s="208">
        <v>0</v>
      </c>
      <c r="BB67" s="208"/>
      <c r="BC67" s="208"/>
      <c r="BD67" s="208"/>
      <c r="BE67" s="208"/>
      <c r="BF67" s="208"/>
      <c r="BG67" s="208"/>
      <c r="BH67" s="208"/>
      <c r="BI67" s="208"/>
      <c r="BJ67" s="208"/>
      <c r="BK67" s="208"/>
      <c r="BL67" s="220"/>
      <c r="BM67" s="208"/>
      <c r="BN67" s="208"/>
      <c r="BO67" s="208"/>
      <c r="BP67" s="208"/>
      <c r="BQ67" s="209"/>
      <c r="BR67" s="209"/>
      <c r="BS67" s="218"/>
      <c r="BT67" s="209"/>
      <c r="BU67" s="219"/>
      <c r="BV67" s="209"/>
      <c r="BW67" s="220"/>
      <c r="BX67" s="220"/>
      <c r="BY67" s="208"/>
      <c r="BZ67" s="208"/>
      <c r="CA67" s="208">
        <v>0</v>
      </c>
      <c r="CB67" s="208"/>
      <c r="CC67" s="208"/>
      <c r="CD67" s="208"/>
      <c r="CE67" s="208"/>
      <c r="CF67" s="208"/>
      <c r="CG67" s="208"/>
      <c r="CH67" s="208"/>
      <c r="CI67" s="208"/>
      <c r="CJ67" s="208"/>
      <c r="CK67" s="209"/>
      <c r="CL67" s="209"/>
    </row>
    <row r="68" spans="1:90" outlineLevel="3" x14ac:dyDescent="0.25">
      <c r="A68" s="129" t="s">
        <v>378</v>
      </c>
      <c r="B68" s="129" t="s">
        <v>447</v>
      </c>
      <c r="C68" s="129" t="s">
        <v>404</v>
      </c>
      <c r="D68" s="129" t="s">
        <v>405</v>
      </c>
      <c r="E68" s="129" t="s">
        <v>462</v>
      </c>
      <c r="F68" s="129" t="s">
        <v>463</v>
      </c>
      <c r="G68" s="129" t="s">
        <v>455</v>
      </c>
      <c r="H68" s="129" t="s">
        <v>323</v>
      </c>
      <c r="I68" s="187" t="s">
        <v>310</v>
      </c>
      <c r="J68" s="189">
        <v>59891</v>
      </c>
      <c r="K68" s="189">
        <v>59891</v>
      </c>
      <c r="L68" s="191">
        <v>0</v>
      </c>
      <c r="M68" s="191">
        <v>0</v>
      </c>
      <c r="N68" s="191">
        <v>1</v>
      </c>
      <c r="O68" s="190">
        <v>5.84375</v>
      </c>
      <c r="P68" s="192">
        <v>6</v>
      </c>
      <c r="Q68" s="192">
        <v>-0.15625</v>
      </c>
      <c r="R68" s="193" t="s">
        <v>464</v>
      </c>
      <c r="S68" s="254">
        <v>0.5</v>
      </c>
      <c r="T68" s="193">
        <v>0</v>
      </c>
      <c r="U68" s="194">
        <v>349988.03125</v>
      </c>
      <c r="V68" s="190" t="s">
        <v>312</v>
      </c>
      <c r="W68" s="190">
        <v>0</v>
      </c>
      <c r="X68" s="190">
        <v>0</v>
      </c>
      <c r="Y68" s="190">
        <v>0</v>
      </c>
      <c r="Z68" s="190">
        <v>0</v>
      </c>
      <c r="AA68" s="190">
        <v>0</v>
      </c>
      <c r="AB68" s="190">
        <v>0</v>
      </c>
      <c r="AC68" s="194">
        <v>359346</v>
      </c>
      <c r="AD68" s="190">
        <v>-9357.96875</v>
      </c>
      <c r="AE68" s="190">
        <v>0</v>
      </c>
      <c r="AF68" s="190">
        <v>9357.96875</v>
      </c>
      <c r="AG68" s="190">
        <v>0</v>
      </c>
      <c r="AH68" s="195">
        <v>80478.53125</v>
      </c>
      <c r="AI68" s="190">
        <v>0</v>
      </c>
      <c r="AJ68" s="190">
        <v>-80478.53125</v>
      </c>
      <c r="AK68" s="196">
        <v>0</v>
      </c>
      <c r="AL68" s="197">
        <v>0</v>
      </c>
      <c r="AM68" s="190">
        <v>269509.5</v>
      </c>
      <c r="AN68" s="191">
        <v>0</v>
      </c>
      <c r="AO68" s="197">
        <v>0</v>
      </c>
      <c r="AP68" s="190">
        <v>385548.3125</v>
      </c>
      <c r="AQ68" s="198">
        <v>1</v>
      </c>
      <c r="AR68" s="190">
        <v>349988.03125</v>
      </c>
      <c r="AS68" s="190">
        <v>5.84375</v>
      </c>
      <c r="AT68" s="190">
        <v>20587.53125</v>
      </c>
      <c r="AU68" s="190">
        <v>0</v>
      </c>
      <c r="AV68" s="190">
        <v>-20587.53125</v>
      </c>
      <c r="AW68" s="190">
        <v>0</v>
      </c>
      <c r="AX68" s="190">
        <v>80478.53125</v>
      </c>
      <c r="AY68" s="190">
        <v>0</v>
      </c>
      <c r="AZ68" s="190">
        <v>-80478.53125</v>
      </c>
      <c r="BA68" s="190">
        <v>0</v>
      </c>
      <c r="BB68" s="190">
        <v>5.84375</v>
      </c>
      <c r="BC68" s="190">
        <v>6</v>
      </c>
      <c r="BD68" s="190">
        <v>29945.5</v>
      </c>
      <c r="BE68" s="190">
        <v>0</v>
      </c>
      <c r="BF68" s="190">
        <v>-29945.5</v>
      </c>
      <c r="BG68" s="190">
        <v>0</v>
      </c>
      <c r="BH68" s="190">
        <v>89836.5</v>
      </c>
      <c r="BI68" s="190">
        <v>0</v>
      </c>
      <c r="BJ68" s="190">
        <v>-89836.5</v>
      </c>
      <c r="BK68" s="190">
        <v>0</v>
      </c>
      <c r="BL68" s="190">
        <v>385548.3125</v>
      </c>
      <c r="BM68" s="190" t="s">
        <v>324</v>
      </c>
      <c r="BN68" s="190">
        <v>0</v>
      </c>
      <c r="BO68" s="190" t="b">
        <v>0</v>
      </c>
      <c r="BP68" s="190">
        <v>-89836.5</v>
      </c>
      <c r="BQ68" s="192">
        <v>1.1200000000000001</v>
      </c>
      <c r="BR68" s="191">
        <v>67077.919999999998</v>
      </c>
      <c r="BS68" s="200">
        <v>72</v>
      </c>
      <c r="BT68" s="191">
        <v>-9357.96875</v>
      </c>
      <c r="BU68" s="201">
        <v>59891</v>
      </c>
      <c r="BV68" s="191">
        <v>6</v>
      </c>
      <c r="BW68" s="202">
        <v>5.84375</v>
      </c>
      <c r="BX68" s="202">
        <v>0</v>
      </c>
      <c r="BY68" s="190">
        <v>0</v>
      </c>
      <c r="BZ68" s="190">
        <v>0</v>
      </c>
      <c r="CA68" s="190">
        <v>0</v>
      </c>
      <c r="CB68" s="190">
        <v>0</v>
      </c>
      <c r="CC68" s="190">
        <v>0</v>
      </c>
      <c r="CD68" s="190">
        <v>0</v>
      </c>
      <c r="CE68" s="190">
        <v>0</v>
      </c>
      <c r="CF68" s="190">
        <v>0</v>
      </c>
      <c r="CG68" s="190">
        <v>89836.5</v>
      </c>
      <c r="CH68" s="190">
        <v>0</v>
      </c>
      <c r="CI68" s="190">
        <v>-89836.5</v>
      </c>
      <c r="CJ68" s="190">
        <v>0</v>
      </c>
      <c r="CK68" s="191">
        <v>0</v>
      </c>
      <c r="CL68" s="191">
        <v>0</v>
      </c>
    </row>
    <row r="69" spans="1:90" outlineLevel="3" x14ac:dyDescent="0.25">
      <c r="A69" s="129" t="s">
        <v>378</v>
      </c>
      <c r="B69" s="129" t="s">
        <v>447</v>
      </c>
      <c r="C69" s="129" t="s">
        <v>404</v>
      </c>
      <c r="D69" s="129" t="s">
        <v>405</v>
      </c>
      <c r="E69" s="129" t="s">
        <v>488</v>
      </c>
      <c r="F69" s="129" t="s">
        <v>466</v>
      </c>
      <c r="G69" s="129" t="s">
        <v>455</v>
      </c>
      <c r="H69" s="129" t="s">
        <v>323</v>
      </c>
      <c r="I69" s="187" t="s">
        <v>310</v>
      </c>
      <c r="J69" s="189">
        <v>1339286</v>
      </c>
      <c r="K69" s="189">
        <v>1339286</v>
      </c>
      <c r="L69" s="191">
        <v>0</v>
      </c>
      <c r="M69" s="191">
        <v>0.03</v>
      </c>
      <c r="N69" s="191">
        <v>1</v>
      </c>
      <c r="O69" s="190">
        <v>17.6875</v>
      </c>
      <c r="P69" s="192">
        <v>17.875</v>
      </c>
      <c r="Q69" s="192">
        <v>-0.1875</v>
      </c>
      <c r="R69" s="193">
        <v>0</v>
      </c>
      <c r="S69" s="254">
        <v>1</v>
      </c>
      <c r="T69" s="193">
        <v>0</v>
      </c>
      <c r="U69" s="194">
        <v>23688621.125</v>
      </c>
      <c r="V69" s="190" t="s">
        <v>312</v>
      </c>
      <c r="W69" s="190">
        <v>710658.63374999992</v>
      </c>
      <c r="X69" s="190">
        <v>0</v>
      </c>
      <c r="Y69" s="190">
        <v>710658.63374999992</v>
      </c>
      <c r="Z69" s="190">
        <v>0</v>
      </c>
      <c r="AA69" s="190">
        <v>0</v>
      </c>
      <c r="AB69" s="190">
        <v>0</v>
      </c>
      <c r="AC69" s="194">
        <v>23939737.25</v>
      </c>
      <c r="AD69" s="190">
        <v>-251116.125</v>
      </c>
      <c r="AE69" s="190">
        <v>0</v>
      </c>
      <c r="AF69" s="190">
        <v>251116.125</v>
      </c>
      <c r="AG69" s="190">
        <v>0</v>
      </c>
      <c r="AH69" s="195">
        <v>585937.625</v>
      </c>
      <c r="AI69" s="190">
        <v>0</v>
      </c>
      <c r="AJ69" s="190">
        <v>-585937.625</v>
      </c>
      <c r="AK69" s="196">
        <v>0</v>
      </c>
      <c r="AL69" s="197">
        <v>0</v>
      </c>
      <c r="AM69" s="190">
        <v>23102683.5</v>
      </c>
      <c r="AN69" s="191">
        <v>0</v>
      </c>
      <c r="AO69" s="197">
        <v>0</v>
      </c>
      <c r="AP69" s="190">
        <v>0</v>
      </c>
      <c r="AQ69" s="198">
        <v>1</v>
      </c>
      <c r="AR69" s="190">
        <v>23688621.125</v>
      </c>
      <c r="AS69" s="190">
        <v>17.6875</v>
      </c>
      <c r="AT69" s="190">
        <v>1925223.625</v>
      </c>
      <c r="AU69" s="190">
        <v>0</v>
      </c>
      <c r="AV69" s="190">
        <v>-1925223.625</v>
      </c>
      <c r="AW69" s="190">
        <v>0</v>
      </c>
      <c r="AX69" s="190">
        <v>585937.625</v>
      </c>
      <c r="AY69" s="190">
        <v>0</v>
      </c>
      <c r="AZ69" s="190">
        <v>-585937.625</v>
      </c>
      <c r="BA69" s="190">
        <v>0</v>
      </c>
      <c r="BB69" s="190">
        <v>17.6875</v>
      </c>
      <c r="BC69" s="190">
        <v>17.875</v>
      </c>
      <c r="BD69" s="190">
        <v>2176339.75</v>
      </c>
      <c r="BE69" s="190">
        <v>0</v>
      </c>
      <c r="BF69" s="190">
        <v>-2176339.75</v>
      </c>
      <c r="BG69" s="190">
        <v>0</v>
      </c>
      <c r="BH69" s="190">
        <v>837053.75</v>
      </c>
      <c r="BI69" s="190">
        <v>0</v>
      </c>
      <c r="BJ69" s="190">
        <v>-837053.75</v>
      </c>
      <c r="BK69" s="190">
        <v>0</v>
      </c>
      <c r="BL69" s="190">
        <v>0</v>
      </c>
      <c r="BM69" s="190" t="s">
        <v>324</v>
      </c>
      <c r="BN69" s="190">
        <v>0</v>
      </c>
      <c r="BO69" s="190" t="b">
        <v>0</v>
      </c>
      <c r="BP69" s="190">
        <v>-837053.75</v>
      </c>
      <c r="BQ69" s="192">
        <v>0</v>
      </c>
      <c r="BR69" s="191">
        <v>0</v>
      </c>
      <c r="BS69" s="200">
        <v>72</v>
      </c>
      <c r="BT69" s="191">
        <v>-251116.125</v>
      </c>
      <c r="BU69" s="201">
        <v>1339286</v>
      </c>
      <c r="BV69" s="191">
        <v>23</v>
      </c>
      <c r="BW69" s="202">
        <v>17.6875</v>
      </c>
      <c r="BX69" s="202">
        <v>0</v>
      </c>
      <c r="BY69" s="190">
        <v>0</v>
      </c>
      <c r="BZ69" s="190">
        <v>0</v>
      </c>
      <c r="CA69" s="190">
        <v>0</v>
      </c>
      <c r="CB69" s="190">
        <v>0</v>
      </c>
      <c r="CC69" s="190">
        <v>0</v>
      </c>
      <c r="CD69" s="190">
        <v>0</v>
      </c>
      <c r="CE69" s="190">
        <v>0</v>
      </c>
      <c r="CF69" s="190">
        <v>0</v>
      </c>
      <c r="CG69" s="190">
        <v>837053.75</v>
      </c>
      <c r="CH69" s="190">
        <v>0</v>
      </c>
      <c r="CI69" s="190">
        <v>-837053.75</v>
      </c>
      <c r="CJ69" s="190">
        <v>0</v>
      </c>
      <c r="CK69" s="191">
        <v>0.03</v>
      </c>
      <c r="CL69" s="191">
        <v>0</v>
      </c>
    </row>
    <row r="70" spans="1:90" s="221" customFormat="1" ht="20.100000000000001" customHeight="1" outlineLevel="2" x14ac:dyDescent="0.25">
      <c r="A70" s="204" t="s">
        <v>386</v>
      </c>
      <c r="B70" s="204"/>
      <c r="C70" s="204"/>
      <c r="D70" s="204"/>
      <c r="E70" s="204"/>
      <c r="F70" s="204"/>
      <c r="G70" s="204"/>
      <c r="H70" s="204"/>
      <c r="I70" s="205"/>
      <c r="J70" s="207"/>
      <c r="K70" s="207"/>
      <c r="L70" s="209"/>
      <c r="M70" s="209"/>
      <c r="N70" s="209"/>
      <c r="O70" s="208"/>
      <c r="P70" s="210"/>
      <c r="Q70" s="210"/>
      <c r="R70" s="211">
        <v>0</v>
      </c>
      <c r="S70" s="256">
        <v>1.5</v>
      </c>
      <c r="T70" s="211">
        <v>0</v>
      </c>
      <c r="U70" s="212">
        <v>24038609.15625</v>
      </c>
      <c r="V70" s="208"/>
      <c r="W70" s="208">
        <v>710658.63374999992</v>
      </c>
      <c r="X70" s="208">
        <v>0</v>
      </c>
      <c r="Y70" s="208">
        <v>710658.63374999992</v>
      </c>
      <c r="Z70" s="208">
        <v>0</v>
      </c>
      <c r="AA70" s="208">
        <v>0</v>
      </c>
      <c r="AB70" s="208">
        <v>0</v>
      </c>
      <c r="AC70" s="212">
        <v>24299083.25</v>
      </c>
      <c r="AD70" s="208">
        <v>-260474.09375</v>
      </c>
      <c r="AE70" s="208">
        <v>0</v>
      </c>
      <c r="AF70" s="208">
        <v>260474.09375</v>
      </c>
      <c r="AG70" s="208">
        <v>0</v>
      </c>
      <c r="AH70" s="213">
        <v>666416.15625</v>
      </c>
      <c r="AI70" s="208">
        <v>0</v>
      </c>
      <c r="AJ70" s="208">
        <v>-666416.15625</v>
      </c>
      <c r="AK70" s="214">
        <v>0</v>
      </c>
      <c r="AL70" s="215"/>
      <c r="AM70" s="208">
        <v>23372193</v>
      </c>
      <c r="AN70" s="209"/>
      <c r="AO70" s="215"/>
      <c r="AP70" s="208">
        <v>385548.3125</v>
      </c>
      <c r="AQ70" s="216"/>
      <c r="AR70" s="208"/>
      <c r="AS70" s="208"/>
      <c r="AT70" s="208">
        <v>1945811.15625</v>
      </c>
      <c r="AU70" s="208">
        <v>0</v>
      </c>
      <c r="AV70" s="208">
        <v>-1945811.15625</v>
      </c>
      <c r="AW70" s="208">
        <v>0</v>
      </c>
      <c r="AX70" s="208">
        <v>666416.15625</v>
      </c>
      <c r="AY70" s="208">
        <v>0</v>
      </c>
      <c r="AZ70" s="208">
        <v>-666416.15625</v>
      </c>
      <c r="BA70" s="208">
        <v>0</v>
      </c>
      <c r="BB70" s="208"/>
      <c r="BC70" s="208"/>
      <c r="BD70" s="208"/>
      <c r="BE70" s="208"/>
      <c r="BF70" s="208"/>
      <c r="BG70" s="208"/>
      <c r="BH70" s="208"/>
      <c r="BI70" s="208"/>
      <c r="BJ70" s="208"/>
      <c r="BK70" s="208"/>
      <c r="BL70" s="208"/>
      <c r="BM70" s="208"/>
      <c r="BN70" s="208"/>
      <c r="BO70" s="208"/>
      <c r="BP70" s="208"/>
      <c r="BQ70" s="210"/>
      <c r="BR70" s="209"/>
      <c r="BS70" s="218"/>
      <c r="BT70" s="209"/>
      <c r="BU70" s="219"/>
      <c r="BV70" s="209"/>
      <c r="BW70" s="220"/>
      <c r="BX70" s="220"/>
      <c r="BY70" s="208"/>
      <c r="BZ70" s="208"/>
      <c r="CA70" s="208">
        <v>0</v>
      </c>
      <c r="CB70" s="208"/>
      <c r="CC70" s="208"/>
      <c r="CD70" s="208"/>
      <c r="CE70" s="208"/>
      <c r="CF70" s="208"/>
      <c r="CG70" s="208"/>
      <c r="CH70" s="208"/>
      <c r="CI70" s="208"/>
      <c r="CJ70" s="208"/>
      <c r="CK70" s="209"/>
      <c r="CL70" s="209"/>
    </row>
    <row r="71" spans="1:90" outlineLevel="3" x14ac:dyDescent="0.25">
      <c r="A71" s="129" t="s">
        <v>368</v>
      </c>
      <c r="B71" s="129" t="s">
        <v>447</v>
      </c>
      <c r="C71" s="129" t="s">
        <v>404</v>
      </c>
      <c r="D71" s="129" t="s">
        <v>405</v>
      </c>
      <c r="E71" s="129" t="s">
        <v>489</v>
      </c>
      <c r="F71" s="129" t="s">
        <v>307</v>
      </c>
      <c r="G71" s="129" t="s">
        <v>455</v>
      </c>
      <c r="H71" s="129" t="s">
        <v>309</v>
      </c>
      <c r="I71" s="187" t="s">
        <v>374</v>
      </c>
      <c r="J71" s="189">
        <v>1</v>
      </c>
      <c r="K71" s="189">
        <v>1</v>
      </c>
      <c r="L71" s="191">
        <v>0</v>
      </c>
      <c r="M71" s="191">
        <v>0</v>
      </c>
      <c r="N71" s="191">
        <v>0</v>
      </c>
      <c r="O71" s="190">
        <v>0</v>
      </c>
      <c r="P71" s="191">
        <v>0</v>
      </c>
      <c r="Q71" s="191">
        <v>0</v>
      </c>
      <c r="R71" s="193" t="s">
        <v>467</v>
      </c>
      <c r="S71" s="258">
        <v>0.75</v>
      </c>
      <c r="T71" s="193">
        <v>0</v>
      </c>
      <c r="U71" s="194">
        <v>0</v>
      </c>
      <c r="V71" s="190" t="s">
        <v>312</v>
      </c>
      <c r="W71" s="190">
        <v>0</v>
      </c>
      <c r="X71" s="190">
        <v>0</v>
      </c>
      <c r="Y71" s="190">
        <v>0</v>
      </c>
      <c r="Z71" s="190">
        <v>0</v>
      </c>
      <c r="AA71" s="190">
        <v>0</v>
      </c>
      <c r="AB71" s="190">
        <v>0</v>
      </c>
      <c r="AC71" s="194">
        <v>0</v>
      </c>
      <c r="AD71" s="190">
        <v>0</v>
      </c>
      <c r="AE71" s="190">
        <v>0</v>
      </c>
      <c r="AF71" s="190">
        <v>0</v>
      </c>
      <c r="AG71" s="190">
        <v>0</v>
      </c>
      <c r="AH71" s="195">
        <v>-2013591.6599838899</v>
      </c>
      <c r="AI71" s="190">
        <v>0</v>
      </c>
      <c r="AJ71" s="190">
        <v>2013591.6599838899</v>
      </c>
      <c r="AK71" s="196">
        <v>0</v>
      </c>
      <c r="AL71" s="197">
        <v>0</v>
      </c>
      <c r="AM71" s="190">
        <v>2013591.6599838899</v>
      </c>
      <c r="AN71" s="191">
        <v>0</v>
      </c>
      <c r="AO71" s="197">
        <v>0</v>
      </c>
      <c r="AP71" s="190">
        <v>0</v>
      </c>
      <c r="AQ71" s="198">
        <v>1</v>
      </c>
      <c r="AR71" s="190">
        <v>0</v>
      </c>
      <c r="AS71" s="190">
        <v>0</v>
      </c>
      <c r="AT71" s="190">
        <v>-2013591.6599838899</v>
      </c>
      <c r="AU71" s="190">
        <v>0</v>
      </c>
      <c r="AV71" s="190">
        <v>2013591.6599838899</v>
      </c>
      <c r="AW71" s="190">
        <v>0</v>
      </c>
      <c r="AX71" s="190">
        <v>-2013591.6599838899</v>
      </c>
      <c r="AY71" s="190">
        <v>0</v>
      </c>
      <c r="AZ71" s="190">
        <v>2013591.6599838899</v>
      </c>
      <c r="BA71" s="190">
        <v>0</v>
      </c>
      <c r="BB71" s="190" t="s">
        <v>307</v>
      </c>
      <c r="BC71" s="190" t="s">
        <v>307</v>
      </c>
      <c r="BD71" s="190">
        <v>-2013591.6599838899</v>
      </c>
      <c r="BE71" s="190">
        <v>0</v>
      </c>
      <c r="BF71" s="190">
        <v>2013591.6599838899</v>
      </c>
      <c r="BG71" s="190">
        <v>0</v>
      </c>
      <c r="BH71" s="190">
        <v>-2013591.6599838899</v>
      </c>
      <c r="BI71" s="190">
        <v>0</v>
      </c>
      <c r="BJ71" s="190">
        <v>2013591.6599838899</v>
      </c>
      <c r="BK71" s="190">
        <v>0</v>
      </c>
      <c r="BL71" s="190">
        <v>0</v>
      </c>
      <c r="BM71" s="190" t="s">
        <v>313</v>
      </c>
      <c r="BN71" s="190">
        <v>0</v>
      </c>
      <c r="BO71" s="190" t="b">
        <v>0</v>
      </c>
      <c r="BP71" s="190">
        <v>2013591.6599838899</v>
      </c>
      <c r="BQ71" s="192">
        <v>0</v>
      </c>
      <c r="BR71" s="191">
        <v>0</v>
      </c>
      <c r="BS71" s="200">
        <v>80</v>
      </c>
      <c r="BT71" s="191">
        <v>0</v>
      </c>
      <c r="BU71" s="201">
        <v>0</v>
      </c>
      <c r="BV71" s="191">
        <v>161</v>
      </c>
      <c r="BW71" s="202">
        <v>0</v>
      </c>
      <c r="BX71" s="202">
        <v>0</v>
      </c>
      <c r="BY71" s="190">
        <v>0</v>
      </c>
      <c r="BZ71" s="190">
        <v>0</v>
      </c>
      <c r="CA71" s="190">
        <v>0</v>
      </c>
      <c r="CB71" s="190">
        <v>0</v>
      </c>
      <c r="CC71" s="190">
        <v>0</v>
      </c>
      <c r="CD71" s="190">
        <v>0</v>
      </c>
      <c r="CE71" s="190">
        <v>0</v>
      </c>
      <c r="CF71" s="190">
        <v>0</v>
      </c>
      <c r="CG71" s="190">
        <v>-2013591.6599838899</v>
      </c>
      <c r="CH71" s="190">
        <v>0</v>
      </c>
      <c r="CI71" s="190">
        <v>2013591.6599838899</v>
      </c>
      <c r="CJ71" s="190">
        <v>0</v>
      </c>
      <c r="CK71" s="191">
        <v>0</v>
      </c>
      <c r="CL71" s="191">
        <v>0</v>
      </c>
    </row>
    <row r="72" spans="1:90" s="221" customFormat="1" ht="20.100000000000001" customHeight="1" outlineLevel="2" x14ac:dyDescent="0.25">
      <c r="A72" s="204" t="s">
        <v>376</v>
      </c>
      <c r="B72" s="204"/>
      <c r="C72" s="204"/>
      <c r="D72" s="204"/>
      <c r="E72" s="204"/>
      <c r="F72" s="204"/>
      <c r="G72" s="204"/>
      <c r="H72" s="204"/>
      <c r="I72" s="205"/>
      <c r="J72" s="207"/>
      <c r="K72" s="207"/>
      <c r="L72" s="209"/>
      <c r="M72" s="209"/>
      <c r="N72" s="209"/>
      <c r="O72" s="208"/>
      <c r="P72" s="209"/>
      <c r="Q72" s="209"/>
      <c r="R72" s="211">
        <v>0</v>
      </c>
      <c r="S72" s="259">
        <v>0.75</v>
      </c>
      <c r="T72" s="211">
        <v>0</v>
      </c>
      <c r="U72" s="212">
        <v>0</v>
      </c>
      <c r="V72" s="208"/>
      <c r="W72" s="208">
        <v>0</v>
      </c>
      <c r="X72" s="208">
        <v>0</v>
      </c>
      <c r="Y72" s="208">
        <v>0</v>
      </c>
      <c r="Z72" s="208">
        <v>0</v>
      </c>
      <c r="AA72" s="208">
        <v>0</v>
      </c>
      <c r="AB72" s="208">
        <v>0</v>
      </c>
      <c r="AC72" s="212">
        <v>0</v>
      </c>
      <c r="AD72" s="208">
        <v>0</v>
      </c>
      <c r="AE72" s="208">
        <v>0</v>
      </c>
      <c r="AF72" s="208">
        <v>0</v>
      </c>
      <c r="AG72" s="208">
        <v>0</v>
      </c>
      <c r="AH72" s="213">
        <v>-2013591.6599838899</v>
      </c>
      <c r="AI72" s="208">
        <v>0</v>
      </c>
      <c r="AJ72" s="208">
        <v>2013591.6599838899</v>
      </c>
      <c r="AK72" s="214">
        <v>0</v>
      </c>
      <c r="AL72" s="215"/>
      <c r="AM72" s="208">
        <v>2013591.6599838899</v>
      </c>
      <c r="AN72" s="209"/>
      <c r="AO72" s="215"/>
      <c r="AP72" s="208">
        <v>0</v>
      </c>
      <c r="AQ72" s="216"/>
      <c r="AR72" s="208"/>
      <c r="AS72" s="208"/>
      <c r="AT72" s="208">
        <v>-2013591.6599838899</v>
      </c>
      <c r="AU72" s="208">
        <v>0</v>
      </c>
      <c r="AV72" s="208">
        <v>2013591.6599838899</v>
      </c>
      <c r="AW72" s="208">
        <v>0</v>
      </c>
      <c r="AX72" s="208">
        <v>-2013591.6599838899</v>
      </c>
      <c r="AY72" s="208">
        <v>0</v>
      </c>
      <c r="AZ72" s="208">
        <v>2013591.6599838899</v>
      </c>
      <c r="BA72" s="208">
        <v>0</v>
      </c>
      <c r="BB72" s="208"/>
      <c r="BC72" s="208"/>
      <c r="BD72" s="208"/>
      <c r="BE72" s="208"/>
      <c r="BF72" s="208"/>
      <c r="BG72" s="208"/>
      <c r="BH72" s="208"/>
      <c r="BI72" s="208"/>
      <c r="BJ72" s="208"/>
      <c r="BK72" s="208"/>
      <c r="BL72" s="208"/>
      <c r="BM72" s="208"/>
      <c r="BN72" s="208"/>
      <c r="BO72" s="208"/>
      <c r="BP72" s="208"/>
      <c r="BQ72" s="210"/>
      <c r="BR72" s="209"/>
      <c r="BS72" s="218"/>
      <c r="BT72" s="209"/>
      <c r="BU72" s="219"/>
      <c r="BV72" s="209"/>
      <c r="BW72" s="220"/>
      <c r="BX72" s="220"/>
      <c r="BY72" s="208"/>
      <c r="BZ72" s="208"/>
      <c r="CA72" s="208">
        <v>0</v>
      </c>
      <c r="CB72" s="208"/>
      <c r="CC72" s="208"/>
      <c r="CD72" s="208"/>
      <c r="CE72" s="208"/>
      <c r="CF72" s="208"/>
      <c r="CG72" s="208"/>
      <c r="CH72" s="208"/>
      <c r="CI72" s="208"/>
      <c r="CJ72" s="208"/>
      <c r="CK72" s="209"/>
      <c r="CL72" s="209"/>
    </row>
    <row r="73" spans="1:90" outlineLevel="3" x14ac:dyDescent="0.25">
      <c r="A73" s="129" t="s">
        <v>433</v>
      </c>
      <c r="B73" s="129" t="s">
        <v>447</v>
      </c>
      <c r="C73" s="129" t="s">
        <v>404</v>
      </c>
      <c r="D73" s="129" t="s">
        <v>405</v>
      </c>
      <c r="E73" s="129" t="s">
        <v>484</v>
      </c>
      <c r="F73" s="129" t="s">
        <v>435</v>
      </c>
      <c r="G73" s="129" t="s">
        <v>449</v>
      </c>
      <c r="H73" s="129" t="s">
        <v>356</v>
      </c>
      <c r="I73" s="187" t="s">
        <v>356</v>
      </c>
      <c r="J73" s="188">
        <v>1</v>
      </c>
      <c r="K73" s="189">
        <v>1</v>
      </c>
      <c r="L73" s="191">
        <v>0</v>
      </c>
      <c r="M73" s="191">
        <v>0</v>
      </c>
      <c r="N73" s="191">
        <v>1</v>
      </c>
      <c r="O73" s="190">
        <v>23513434.5</v>
      </c>
      <c r="P73" s="191">
        <v>23513434.5</v>
      </c>
      <c r="Q73" s="191">
        <v>0</v>
      </c>
      <c r="R73" s="193" t="s">
        <v>468</v>
      </c>
      <c r="S73" s="254">
        <v>0.75</v>
      </c>
      <c r="T73" s="193">
        <v>0</v>
      </c>
      <c r="U73" s="194">
        <v>23513434.5</v>
      </c>
      <c r="V73" s="190" t="s">
        <v>312</v>
      </c>
      <c r="W73" s="190">
        <v>0</v>
      </c>
      <c r="X73" s="190">
        <v>0</v>
      </c>
      <c r="Y73" s="190">
        <v>0</v>
      </c>
      <c r="Z73" s="190">
        <v>0</v>
      </c>
      <c r="AA73" s="190">
        <v>0</v>
      </c>
      <c r="AB73" s="190">
        <v>0</v>
      </c>
      <c r="AC73" s="194">
        <v>23513434.5</v>
      </c>
      <c r="AD73" s="190">
        <v>0</v>
      </c>
      <c r="AE73" s="190">
        <v>0</v>
      </c>
      <c r="AF73" s="190">
        <v>0</v>
      </c>
      <c r="AG73" s="190">
        <v>0</v>
      </c>
      <c r="AH73" s="195">
        <v>0</v>
      </c>
      <c r="AI73" s="190">
        <v>0</v>
      </c>
      <c r="AJ73" s="190">
        <v>0</v>
      </c>
      <c r="AK73" s="196">
        <v>0</v>
      </c>
      <c r="AL73" s="197">
        <v>0</v>
      </c>
      <c r="AM73" s="190">
        <v>23513434.5</v>
      </c>
      <c r="AN73" s="197">
        <v>0</v>
      </c>
      <c r="AO73" s="197">
        <v>0</v>
      </c>
      <c r="AP73" s="190">
        <v>23513434.5</v>
      </c>
      <c r="AQ73" s="198">
        <v>1</v>
      </c>
      <c r="AR73" s="190">
        <v>23513434.5</v>
      </c>
      <c r="AS73" s="190">
        <v>23513434.5</v>
      </c>
      <c r="AT73" s="190">
        <v>0</v>
      </c>
      <c r="AU73" s="190">
        <v>0</v>
      </c>
      <c r="AV73" s="190">
        <v>0</v>
      </c>
      <c r="AW73" s="190">
        <v>0</v>
      </c>
      <c r="AX73" s="190">
        <v>0</v>
      </c>
      <c r="AY73" s="190">
        <v>0</v>
      </c>
      <c r="AZ73" s="190">
        <v>0</v>
      </c>
      <c r="BA73" s="190">
        <v>0</v>
      </c>
      <c r="BB73" s="190" t="s">
        <v>307</v>
      </c>
      <c r="BC73" s="190" t="s">
        <v>307</v>
      </c>
      <c r="BD73" s="190">
        <v>0</v>
      </c>
      <c r="BE73" s="190">
        <v>0</v>
      </c>
      <c r="BF73" s="190">
        <v>0</v>
      </c>
      <c r="BG73" s="190">
        <v>0</v>
      </c>
      <c r="BH73" s="190">
        <v>0</v>
      </c>
      <c r="BI73" s="190">
        <v>0</v>
      </c>
      <c r="BJ73" s="190">
        <v>0</v>
      </c>
      <c r="BK73" s="190">
        <v>0</v>
      </c>
      <c r="BL73" s="190">
        <v>23513434.5</v>
      </c>
      <c r="BM73" s="190" t="s">
        <v>313</v>
      </c>
      <c r="BN73" s="190">
        <v>0</v>
      </c>
      <c r="BO73" s="190" t="b">
        <v>0</v>
      </c>
      <c r="BP73" s="190">
        <v>0</v>
      </c>
      <c r="BQ73" s="191">
        <v>0</v>
      </c>
      <c r="BR73" s="191">
        <v>0</v>
      </c>
      <c r="BS73" s="200">
        <v>75</v>
      </c>
      <c r="BT73" s="191">
        <v>0</v>
      </c>
      <c r="BU73" s="201">
        <v>0</v>
      </c>
      <c r="BV73" s="191">
        <v>84</v>
      </c>
      <c r="BW73" s="202">
        <v>0</v>
      </c>
      <c r="BX73" s="202">
        <v>0</v>
      </c>
      <c r="BY73" s="190">
        <v>0</v>
      </c>
      <c r="BZ73" s="190">
        <v>0</v>
      </c>
      <c r="CA73" s="190">
        <v>0</v>
      </c>
      <c r="CB73" s="190">
        <v>0</v>
      </c>
      <c r="CC73" s="190">
        <v>0</v>
      </c>
      <c r="CD73" s="190">
        <v>0</v>
      </c>
      <c r="CE73" s="190">
        <v>0</v>
      </c>
      <c r="CF73" s="190">
        <v>0</v>
      </c>
      <c r="CG73" s="190">
        <v>0</v>
      </c>
      <c r="CH73" s="190">
        <v>0</v>
      </c>
      <c r="CI73" s="190">
        <v>0</v>
      </c>
      <c r="CJ73" s="190">
        <v>0</v>
      </c>
      <c r="CK73" s="191">
        <v>0</v>
      </c>
      <c r="CL73" s="191">
        <v>0</v>
      </c>
    </row>
    <row r="74" spans="1:90" outlineLevel="3" x14ac:dyDescent="0.25">
      <c r="A74" s="129" t="s">
        <v>433</v>
      </c>
      <c r="B74" s="129" t="s">
        <v>447</v>
      </c>
      <c r="C74" s="129" t="s">
        <v>404</v>
      </c>
      <c r="D74" s="129" t="s">
        <v>405</v>
      </c>
      <c r="E74" s="129" t="s">
        <v>490</v>
      </c>
      <c r="F74" s="129" t="s">
        <v>435</v>
      </c>
      <c r="G74" s="129" t="s">
        <v>455</v>
      </c>
      <c r="H74" s="129" t="s">
        <v>356</v>
      </c>
      <c r="I74" s="187" t="s">
        <v>356</v>
      </c>
      <c r="J74" s="188">
        <v>1</v>
      </c>
      <c r="K74" s="189">
        <v>1</v>
      </c>
      <c r="L74" s="191">
        <v>0</v>
      </c>
      <c r="M74" s="191">
        <v>0</v>
      </c>
      <c r="N74" s="191">
        <v>1</v>
      </c>
      <c r="O74" s="190">
        <v>0</v>
      </c>
      <c r="P74" s="191">
        <v>0</v>
      </c>
      <c r="Q74" s="191">
        <v>0</v>
      </c>
      <c r="R74" s="193" t="s">
        <v>469</v>
      </c>
      <c r="S74" s="254">
        <v>0.75</v>
      </c>
      <c r="T74" s="193">
        <v>0</v>
      </c>
      <c r="U74" s="194">
        <v>0</v>
      </c>
      <c r="V74" s="190" t="s">
        <v>312</v>
      </c>
      <c r="W74" s="190">
        <v>0</v>
      </c>
      <c r="X74" s="190">
        <v>0</v>
      </c>
      <c r="Y74" s="190">
        <v>0</v>
      </c>
      <c r="Z74" s="190">
        <v>0</v>
      </c>
      <c r="AA74" s="190">
        <v>0</v>
      </c>
      <c r="AB74" s="190">
        <v>0</v>
      </c>
      <c r="AC74" s="194">
        <v>0</v>
      </c>
      <c r="AD74" s="190">
        <v>0</v>
      </c>
      <c r="AE74" s="190">
        <v>0</v>
      </c>
      <c r="AF74" s="190">
        <v>0</v>
      </c>
      <c r="AG74" s="190">
        <v>0</v>
      </c>
      <c r="AH74" s="195">
        <v>-1374750</v>
      </c>
      <c r="AI74" s="190">
        <v>0</v>
      </c>
      <c r="AJ74" s="190">
        <v>1374750</v>
      </c>
      <c r="AK74" s="196">
        <v>0</v>
      </c>
      <c r="AL74" s="197">
        <v>0</v>
      </c>
      <c r="AM74" s="190">
        <v>1374750</v>
      </c>
      <c r="AN74" s="197">
        <v>0</v>
      </c>
      <c r="AO74" s="197">
        <v>0</v>
      </c>
      <c r="AP74" s="190">
        <v>0</v>
      </c>
      <c r="AQ74" s="198">
        <v>1</v>
      </c>
      <c r="AR74" s="190">
        <v>0</v>
      </c>
      <c r="AS74" s="190">
        <v>0</v>
      </c>
      <c r="AT74" s="190">
        <v>-1374750</v>
      </c>
      <c r="AU74" s="190">
        <v>0</v>
      </c>
      <c r="AV74" s="190">
        <v>1374750</v>
      </c>
      <c r="AW74" s="190">
        <v>0</v>
      </c>
      <c r="AX74" s="190">
        <v>-1374750</v>
      </c>
      <c r="AY74" s="190">
        <v>0</v>
      </c>
      <c r="AZ74" s="190">
        <v>1374750</v>
      </c>
      <c r="BA74" s="190">
        <v>0</v>
      </c>
      <c r="BB74" s="190" t="s">
        <v>307</v>
      </c>
      <c r="BC74" s="190" t="s">
        <v>307</v>
      </c>
      <c r="BD74" s="190">
        <v>-1374750</v>
      </c>
      <c r="BE74" s="190">
        <v>0</v>
      </c>
      <c r="BF74" s="190">
        <v>1374750</v>
      </c>
      <c r="BG74" s="190">
        <v>0</v>
      </c>
      <c r="BH74" s="190">
        <v>-1374750</v>
      </c>
      <c r="BI74" s="190">
        <v>0</v>
      </c>
      <c r="BJ74" s="190">
        <v>1374750</v>
      </c>
      <c r="BK74" s="190">
        <v>0</v>
      </c>
      <c r="BL74" s="190">
        <v>0</v>
      </c>
      <c r="BM74" s="190" t="s">
        <v>324</v>
      </c>
      <c r="BN74" s="190">
        <v>0</v>
      </c>
      <c r="BO74" s="190" t="b">
        <v>0</v>
      </c>
      <c r="BP74" s="190">
        <v>1374750</v>
      </c>
      <c r="BQ74" s="191">
        <v>0</v>
      </c>
      <c r="BR74" s="191">
        <v>0</v>
      </c>
      <c r="BS74" s="200">
        <v>75</v>
      </c>
      <c r="BT74" s="191">
        <v>0</v>
      </c>
      <c r="BU74" s="201">
        <v>0</v>
      </c>
      <c r="BV74" s="191">
        <v>86</v>
      </c>
      <c r="BW74" s="202">
        <v>0</v>
      </c>
      <c r="BX74" s="202">
        <v>0</v>
      </c>
      <c r="BY74" s="190">
        <v>0</v>
      </c>
      <c r="BZ74" s="190">
        <v>0</v>
      </c>
      <c r="CA74" s="190">
        <v>0</v>
      </c>
      <c r="CB74" s="190">
        <v>0</v>
      </c>
      <c r="CC74" s="190">
        <v>0</v>
      </c>
      <c r="CD74" s="190">
        <v>0</v>
      </c>
      <c r="CE74" s="190">
        <v>0</v>
      </c>
      <c r="CF74" s="190">
        <v>0</v>
      </c>
      <c r="CG74" s="190">
        <v>-1374750</v>
      </c>
      <c r="CH74" s="190">
        <v>0</v>
      </c>
      <c r="CI74" s="190">
        <v>1374750</v>
      </c>
      <c r="CJ74" s="190">
        <v>0</v>
      </c>
      <c r="CK74" s="191">
        <v>0</v>
      </c>
      <c r="CL74" s="191">
        <v>0</v>
      </c>
    </row>
    <row r="75" spans="1:90" s="221" customFormat="1" ht="20.100000000000001" customHeight="1" outlineLevel="2" x14ac:dyDescent="0.25">
      <c r="A75" s="204" t="s">
        <v>437</v>
      </c>
      <c r="B75" s="204"/>
      <c r="C75" s="204"/>
      <c r="D75" s="204"/>
      <c r="E75" s="204"/>
      <c r="F75" s="204"/>
      <c r="G75" s="204"/>
      <c r="H75" s="204"/>
      <c r="I75" s="205"/>
      <c r="J75" s="206"/>
      <c r="K75" s="207"/>
      <c r="L75" s="209"/>
      <c r="M75" s="209"/>
      <c r="N75" s="209"/>
      <c r="O75" s="208"/>
      <c r="P75" s="209"/>
      <c r="Q75" s="209"/>
      <c r="R75" s="211">
        <v>0</v>
      </c>
      <c r="S75" s="256">
        <v>1.5</v>
      </c>
      <c r="T75" s="211">
        <v>0</v>
      </c>
      <c r="U75" s="212">
        <v>23513434.5</v>
      </c>
      <c r="V75" s="208"/>
      <c r="W75" s="208">
        <v>0</v>
      </c>
      <c r="X75" s="208">
        <v>0</v>
      </c>
      <c r="Y75" s="208">
        <v>0</v>
      </c>
      <c r="Z75" s="208">
        <v>0</v>
      </c>
      <c r="AA75" s="208">
        <v>0</v>
      </c>
      <c r="AB75" s="208">
        <v>0</v>
      </c>
      <c r="AC75" s="212">
        <v>23513434.5</v>
      </c>
      <c r="AD75" s="208">
        <v>0</v>
      </c>
      <c r="AE75" s="208">
        <v>0</v>
      </c>
      <c r="AF75" s="208">
        <v>0</v>
      </c>
      <c r="AG75" s="208">
        <v>0</v>
      </c>
      <c r="AH75" s="213">
        <v>-1374750</v>
      </c>
      <c r="AI75" s="208">
        <v>0</v>
      </c>
      <c r="AJ75" s="208">
        <v>1374750</v>
      </c>
      <c r="AK75" s="214">
        <v>0</v>
      </c>
      <c r="AL75" s="215"/>
      <c r="AM75" s="208">
        <v>24888184.5</v>
      </c>
      <c r="AN75" s="215"/>
      <c r="AO75" s="215"/>
      <c r="AP75" s="208">
        <v>23513434.5</v>
      </c>
      <c r="AQ75" s="216"/>
      <c r="AR75" s="208"/>
      <c r="AS75" s="208"/>
      <c r="AT75" s="208">
        <v>-1374750</v>
      </c>
      <c r="AU75" s="208">
        <v>0</v>
      </c>
      <c r="AV75" s="208">
        <v>1374750</v>
      </c>
      <c r="AW75" s="208">
        <v>0</v>
      </c>
      <c r="AX75" s="208">
        <v>-1374750</v>
      </c>
      <c r="AY75" s="208">
        <v>0</v>
      </c>
      <c r="AZ75" s="208">
        <v>1374750</v>
      </c>
      <c r="BA75" s="208">
        <v>0</v>
      </c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9"/>
      <c r="BR75" s="209"/>
      <c r="BS75" s="218"/>
      <c r="BT75" s="209"/>
      <c r="BU75" s="219"/>
      <c r="BV75" s="209"/>
      <c r="BW75" s="220"/>
      <c r="BX75" s="220"/>
      <c r="BY75" s="208"/>
      <c r="BZ75" s="208"/>
      <c r="CA75" s="208">
        <v>0</v>
      </c>
      <c r="CB75" s="208"/>
      <c r="CC75" s="208"/>
      <c r="CD75" s="208"/>
      <c r="CE75" s="208"/>
      <c r="CF75" s="208"/>
      <c r="CG75" s="208"/>
      <c r="CH75" s="208"/>
      <c r="CI75" s="208"/>
      <c r="CJ75" s="208"/>
      <c r="CK75" s="209"/>
      <c r="CL75" s="209"/>
    </row>
    <row r="76" spans="1:90" outlineLevel="3" x14ac:dyDescent="0.25">
      <c r="A76" s="129" t="s">
        <v>477</v>
      </c>
      <c r="B76" s="129" t="s">
        <v>447</v>
      </c>
      <c r="C76" s="129" t="s">
        <v>404</v>
      </c>
      <c r="D76" s="129" t="s">
        <v>405</v>
      </c>
      <c r="E76" s="129" t="s">
        <v>478</v>
      </c>
      <c r="F76" s="129" t="s">
        <v>397</v>
      </c>
      <c r="G76" s="129" t="s">
        <v>355</v>
      </c>
      <c r="H76" s="129" t="s">
        <v>323</v>
      </c>
      <c r="I76" s="187" t="s">
        <v>310</v>
      </c>
      <c r="J76" s="189">
        <v>3314340</v>
      </c>
      <c r="K76" s="189">
        <v>3314340</v>
      </c>
      <c r="L76" s="191">
        <v>0</v>
      </c>
      <c r="M76" s="191">
        <v>0.62</v>
      </c>
      <c r="N76" s="191">
        <v>1</v>
      </c>
      <c r="O76" s="190">
        <v>38.97</v>
      </c>
      <c r="P76" s="192">
        <v>40</v>
      </c>
      <c r="Q76" s="192">
        <v>-1.03</v>
      </c>
      <c r="R76" s="193" t="s">
        <v>465</v>
      </c>
      <c r="S76" s="254">
        <v>1</v>
      </c>
      <c r="T76" s="193">
        <v>0</v>
      </c>
      <c r="U76" s="194">
        <v>129159829.8</v>
      </c>
      <c r="V76" s="190" t="s">
        <v>474</v>
      </c>
      <c r="W76" s="190">
        <v>80079094.475999996</v>
      </c>
      <c r="X76" s="190">
        <v>0</v>
      </c>
      <c r="Y76" s="190">
        <v>80079094.475999996</v>
      </c>
      <c r="Z76" s="190">
        <v>0</v>
      </c>
      <c r="AA76" s="190">
        <v>0</v>
      </c>
      <c r="AB76" s="190">
        <v>0</v>
      </c>
      <c r="AC76" s="194">
        <v>132573600</v>
      </c>
      <c r="AD76" s="190">
        <v>-3413770.2</v>
      </c>
      <c r="AE76" s="190">
        <v>0</v>
      </c>
      <c r="AF76" s="190">
        <v>3413770.2</v>
      </c>
      <c r="AG76" s="190">
        <v>0</v>
      </c>
      <c r="AH76" s="195">
        <v>-19571177.700000003</v>
      </c>
      <c r="AI76" s="190">
        <v>0</v>
      </c>
      <c r="AJ76" s="190">
        <v>19571177.700000003</v>
      </c>
      <c r="AK76" s="196">
        <v>0</v>
      </c>
      <c r="AL76" s="197">
        <v>0</v>
      </c>
      <c r="AM76" s="190">
        <v>0</v>
      </c>
      <c r="AN76" s="191">
        <v>0</v>
      </c>
      <c r="AO76" s="197">
        <v>0</v>
      </c>
      <c r="AP76" s="190">
        <v>0</v>
      </c>
      <c r="AQ76" s="198">
        <v>1</v>
      </c>
      <c r="AR76" s="190">
        <v>129159829.8</v>
      </c>
      <c r="AS76" s="190">
        <v>38.97</v>
      </c>
      <c r="AT76" s="190">
        <v>4872079.8</v>
      </c>
      <c r="AU76" s="190">
        <v>0</v>
      </c>
      <c r="AV76" s="190">
        <v>-4872079.8</v>
      </c>
      <c r="AW76" s="190">
        <v>0</v>
      </c>
      <c r="AX76" s="190">
        <v>-19571177.700000003</v>
      </c>
      <c r="AY76" s="190">
        <v>0</v>
      </c>
      <c r="AZ76" s="190">
        <v>19571177.700000003</v>
      </c>
      <c r="BA76" s="190">
        <v>0</v>
      </c>
      <c r="BB76" s="190">
        <v>38.97</v>
      </c>
      <c r="BC76" s="190">
        <v>40</v>
      </c>
      <c r="BD76" s="190">
        <v>8285850</v>
      </c>
      <c r="BE76" s="190">
        <v>0</v>
      </c>
      <c r="BF76" s="190">
        <v>-8285850</v>
      </c>
      <c r="BG76" s="190">
        <v>0</v>
      </c>
      <c r="BH76" s="190">
        <v>-16157407.5</v>
      </c>
      <c r="BI76" s="190">
        <v>0</v>
      </c>
      <c r="BJ76" s="190">
        <v>16157407.5</v>
      </c>
      <c r="BK76" s="190">
        <v>0</v>
      </c>
      <c r="BL76" s="190">
        <v>0</v>
      </c>
      <c r="BM76" s="190" t="s">
        <v>324</v>
      </c>
      <c r="BN76" s="190">
        <v>0</v>
      </c>
      <c r="BO76" s="190" t="b">
        <v>0</v>
      </c>
      <c r="BP76" s="190">
        <v>16157407.5</v>
      </c>
      <c r="BQ76" s="192">
        <v>11.95</v>
      </c>
      <c r="BR76" s="191">
        <v>39606363</v>
      </c>
      <c r="BS76" s="200">
        <v>83</v>
      </c>
      <c r="BT76" s="191">
        <v>-3413770.2</v>
      </c>
      <c r="BU76" s="201">
        <v>3314340</v>
      </c>
      <c r="BV76" s="191">
        <v>8</v>
      </c>
      <c r="BW76" s="202">
        <v>38.97</v>
      </c>
      <c r="BX76" s="202">
        <v>0</v>
      </c>
      <c r="BY76" s="190">
        <v>0</v>
      </c>
      <c r="BZ76" s="190">
        <v>0</v>
      </c>
      <c r="CA76" s="190">
        <v>148731007.5</v>
      </c>
      <c r="CB76" s="190">
        <v>148731007.5</v>
      </c>
      <c r="CC76" s="190">
        <v>0</v>
      </c>
      <c r="CD76" s="190">
        <v>0</v>
      </c>
      <c r="CE76" s="190">
        <v>0</v>
      </c>
      <c r="CF76" s="190">
        <v>0</v>
      </c>
      <c r="CG76" s="190">
        <v>-16157407.5</v>
      </c>
      <c r="CH76" s="190">
        <v>0</v>
      </c>
      <c r="CI76" s="190">
        <v>16157407.5</v>
      </c>
      <c r="CJ76" s="190">
        <v>0</v>
      </c>
      <c r="CK76" s="191">
        <v>0.62</v>
      </c>
      <c r="CL76" s="191">
        <v>0</v>
      </c>
    </row>
    <row r="77" spans="1:90" s="221" customFormat="1" ht="20.100000000000001" customHeight="1" outlineLevel="2" x14ac:dyDescent="0.25">
      <c r="A77" s="204" t="s">
        <v>479</v>
      </c>
      <c r="B77" s="204"/>
      <c r="C77" s="204"/>
      <c r="D77" s="204"/>
      <c r="E77" s="204"/>
      <c r="F77" s="204"/>
      <c r="G77" s="204"/>
      <c r="H77" s="204"/>
      <c r="I77" s="205"/>
      <c r="J77" s="207"/>
      <c r="K77" s="207"/>
      <c r="L77" s="209"/>
      <c r="M77" s="209"/>
      <c r="N77" s="209"/>
      <c r="O77" s="208"/>
      <c r="P77" s="210"/>
      <c r="Q77" s="210"/>
      <c r="R77" s="211">
        <v>0</v>
      </c>
      <c r="S77" s="256">
        <v>1</v>
      </c>
      <c r="T77" s="211">
        <v>0</v>
      </c>
      <c r="U77" s="212">
        <v>129159829.8</v>
      </c>
      <c r="V77" s="208"/>
      <c r="W77" s="208">
        <v>80079094.475999996</v>
      </c>
      <c r="X77" s="208">
        <v>0</v>
      </c>
      <c r="Y77" s="208">
        <v>80079094.475999996</v>
      </c>
      <c r="Z77" s="208">
        <v>0</v>
      </c>
      <c r="AA77" s="208">
        <v>0</v>
      </c>
      <c r="AB77" s="208">
        <v>0</v>
      </c>
      <c r="AC77" s="212">
        <v>132573600</v>
      </c>
      <c r="AD77" s="208">
        <v>-3413770.2</v>
      </c>
      <c r="AE77" s="208">
        <v>0</v>
      </c>
      <c r="AF77" s="208">
        <v>3413770.2</v>
      </c>
      <c r="AG77" s="208">
        <v>0</v>
      </c>
      <c r="AH77" s="213">
        <v>-19571177.700000003</v>
      </c>
      <c r="AI77" s="208">
        <v>0</v>
      </c>
      <c r="AJ77" s="208">
        <v>19571177.700000003</v>
      </c>
      <c r="AK77" s="214">
        <v>0</v>
      </c>
      <c r="AL77" s="215"/>
      <c r="AM77" s="208">
        <v>0</v>
      </c>
      <c r="AN77" s="209"/>
      <c r="AO77" s="215"/>
      <c r="AP77" s="208">
        <v>0</v>
      </c>
      <c r="AQ77" s="216"/>
      <c r="AR77" s="208"/>
      <c r="AS77" s="208"/>
      <c r="AT77" s="208">
        <v>4872079.8</v>
      </c>
      <c r="AU77" s="208">
        <v>0</v>
      </c>
      <c r="AV77" s="208">
        <v>-4872079.8</v>
      </c>
      <c r="AW77" s="208">
        <v>0</v>
      </c>
      <c r="AX77" s="208">
        <v>-19571177.700000003</v>
      </c>
      <c r="AY77" s="208">
        <v>0</v>
      </c>
      <c r="AZ77" s="208">
        <v>19571177.700000003</v>
      </c>
      <c r="BA77" s="208">
        <v>0</v>
      </c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10"/>
      <c r="BR77" s="209"/>
      <c r="BS77" s="218"/>
      <c r="BT77" s="209"/>
      <c r="BU77" s="219"/>
      <c r="BV77" s="209"/>
      <c r="BW77" s="220"/>
      <c r="BX77" s="220"/>
      <c r="BY77" s="208"/>
      <c r="BZ77" s="208"/>
      <c r="CA77" s="208">
        <v>148731007.5</v>
      </c>
      <c r="CB77" s="208"/>
      <c r="CC77" s="208"/>
      <c r="CD77" s="208"/>
      <c r="CE77" s="208"/>
      <c r="CF77" s="208"/>
      <c r="CG77" s="208"/>
      <c r="CH77" s="208"/>
      <c r="CI77" s="208"/>
      <c r="CJ77" s="208"/>
      <c r="CK77" s="209"/>
      <c r="CL77" s="209"/>
    </row>
    <row r="78" spans="1:90" s="236" customFormat="1" ht="30" customHeight="1" outlineLevel="1" x14ac:dyDescent="0.25">
      <c r="A78" s="204"/>
      <c r="B78" s="204" t="s">
        <v>470</v>
      </c>
      <c r="C78" s="204"/>
      <c r="D78" s="204"/>
      <c r="E78" s="204"/>
      <c r="F78" s="204"/>
      <c r="G78" s="204"/>
      <c r="H78" s="204"/>
      <c r="I78" s="205"/>
      <c r="J78" s="222"/>
      <c r="K78" s="222"/>
      <c r="L78" s="224"/>
      <c r="M78" s="224"/>
      <c r="N78" s="224"/>
      <c r="O78" s="223"/>
      <c r="P78" s="225"/>
      <c r="Q78" s="225"/>
      <c r="R78" s="226">
        <v>0</v>
      </c>
      <c r="S78" s="257">
        <v>8.375</v>
      </c>
      <c r="T78" s="226">
        <v>0</v>
      </c>
      <c r="U78" s="227">
        <v>263226319.83625001</v>
      </c>
      <c r="V78" s="223"/>
      <c r="W78" s="223">
        <v>80789753.109750003</v>
      </c>
      <c r="X78" s="223">
        <v>0</v>
      </c>
      <c r="Y78" s="223">
        <v>80789753.109750003</v>
      </c>
      <c r="Z78" s="223">
        <v>0</v>
      </c>
      <c r="AA78" s="223">
        <v>0</v>
      </c>
      <c r="AB78" s="223">
        <v>0</v>
      </c>
      <c r="AC78" s="227">
        <v>266900564.13</v>
      </c>
      <c r="AD78" s="223">
        <v>-3674244.293750003</v>
      </c>
      <c r="AE78" s="223">
        <v>0</v>
      </c>
      <c r="AF78" s="223">
        <v>3674244.293750003</v>
      </c>
      <c r="AG78" s="223">
        <v>0</v>
      </c>
      <c r="AH78" s="228">
        <v>-22293103.203733891</v>
      </c>
      <c r="AI78" s="223">
        <v>0</v>
      </c>
      <c r="AJ78" s="223">
        <v>22293103.203733891</v>
      </c>
      <c r="AK78" s="229">
        <v>0</v>
      </c>
      <c r="AL78" s="230"/>
      <c r="AM78" s="223">
        <v>135757594.15998387</v>
      </c>
      <c r="AN78" s="224"/>
      <c r="AO78" s="230"/>
      <c r="AP78" s="223">
        <v>109382607.8125</v>
      </c>
      <c r="AQ78" s="231"/>
      <c r="AR78" s="223"/>
      <c r="AS78" s="223"/>
      <c r="AT78" s="223">
        <v>3429549.2962661069</v>
      </c>
      <c r="AU78" s="223">
        <v>0</v>
      </c>
      <c r="AV78" s="223">
        <v>-3429549.2962661069</v>
      </c>
      <c r="AW78" s="223">
        <v>0</v>
      </c>
      <c r="AX78" s="223">
        <v>-22293103.203733891</v>
      </c>
      <c r="AY78" s="223">
        <v>0</v>
      </c>
      <c r="AZ78" s="223">
        <v>22293103.203733891</v>
      </c>
      <c r="BA78" s="223">
        <v>0</v>
      </c>
      <c r="BB78" s="223"/>
      <c r="BC78" s="223"/>
      <c r="BD78" s="223"/>
      <c r="BE78" s="223"/>
      <c r="BF78" s="223"/>
      <c r="BG78" s="223"/>
      <c r="BH78" s="223"/>
      <c r="BI78" s="223"/>
      <c r="BJ78" s="223"/>
      <c r="BK78" s="223"/>
      <c r="BL78" s="223"/>
      <c r="BM78" s="223"/>
      <c r="BN78" s="223"/>
      <c r="BO78" s="223"/>
      <c r="BP78" s="223"/>
      <c r="BQ78" s="225"/>
      <c r="BR78" s="224"/>
      <c r="BS78" s="233"/>
      <c r="BT78" s="224"/>
      <c r="BU78" s="234"/>
      <c r="BV78" s="224"/>
      <c r="BW78" s="235"/>
      <c r="BX78" s="235"/>
      <c r="BY78" s="223"/>
      <c r="BZ78" s="223"/>
      <c r="CA78" s="223">
        <v>149761828.88</v>
      </c>
      <c r="CB78" s="223"/>
      <c r="CC78" s="223"/>
      <c r="CD78" s="223"/>
      <c r="CE78" s="223"/>
      <c r="CF78" s="223"/>
      <c r="CG78" s="223"/>
      <c r="CH78" s="223"/>
      <c r="CI78" s="223"/>
      <c r="CJ78" s="223"/>
      <c r="CK78" s="224"/>
      <c r="CL78" s="224"/>
    </row>
    <row r="79" spans="1:90" s="221" customFormat="1" ht="20.100000000000001" hidden="1" customHeight="1" x14ac:dyDescent="0.25">
      <c r="A79" s="204" t="s">
        <v>471</v>
      </c>
      <c r="B79" s="204"/>
      <c r="C79" s="204"/>
      <c r="D79" s="204"/>
      <c r="E79" s="204"/>
      <c r="F79" s="204"/>
      <c r="G79" s="204"/>
      <c r="H79" s="204"/>
      <c r="I79" s="205"/>
      <c r="J79" s="207"/>
      <c r="K79" s="207"/>
      <c r="L79" s="209"/>
      <c r="M79" s="209"/>
      <c r="N79" s="209"/>
      <c r="O79" s="208"/>
      <c r="P79" s="210"/>
      <c r="Q79" s="210"/>
      <c r="R79" s="211">
        <v>0</v>
      </c>
      <c r="S79" s="256">
        <v>31.975000000000001</v>
      </c>
      <c r="T79" s="211">
        <v>0</v>
      </c>
      <c r="U79" s="212">
        <v>462414284.68175</v>
      </c>
      <c r="V79" s="208"/>
      <c r="W79" s="208">
        <v>81076749.373516172</v>
      </c>
      <c r="X79" s="208">
        <v>0</v>
      </c>
      <c r="Y79" s="208">
        <v>81076749.373516172</v>
      </c>
      <c r="Z79" s="208">
        <v>0</v>
      </c>
      <c r="AA79" s="208">
        <v>0</v>
      </c>
      <c r="AB79" s="208">
        <v>0</v>
      </c>
      <c r="AC79" s="212">
        <v>473426558.37741137</v>
      </c>
      <c r="AD79" s="208">
        <v>-11012273.695661359</v>
      </c>
      <c r="AE79" s="208">
        <v>0</v>
      </c>
      <c r="AF79" s="208">
        <v>11012273.695661359</v>
      </c>
      <c r="AG79" s="208">
        <v>0</v>
      </c>
      <c r="AH79" s="213">
        <v>-155550802.8989408</v>
      </c>
      <c r="AI79" s="208">
        <v>0</v>
      </c>
      <c r="AJ79" s="208">
        <v>155550802.8989408</v>
      </c>
      <c r="AK79" s="214">
        <v>0</v>
      </c>
      <c r="AL79" s="215"/>
      <c r="AM79" s="208">
        <v>385997193.01694417</v>
      </c>
      <c r="AN79" s="209"/>
      <c r="AO79" s="215"/>
      <c r="AP79" s="208">
        <v>386191592.69330728</v>
      </c>
      <c r="AQ79" s="216"/>
      <c r="AR79" s="208"/>
      <c r="AS79" s="208"/>
      <c r="AT79" s="208">
        <v>-1070261.2778603528</v>
      </c>
      <c r="AU79" s="208">
        <v>0</v>
      </c>
      <c r="AV79" s="208">
        <v>1070261.2778603528</v>
      </c>
      <c r="AW79" s="208">
        <v>0</v>
      </c>
      <c r="AX79" s="208">
        <v>-155550802.8989408</v>
      </c>
      <c r="AY79" s="208">
        <v>0</v>
      </c>
      <c r="AZ79" s="208">
        <v>155550802.8989408</v>
      </c>
      <c r="BA79" s="208">
        <v>0</v>
      </c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10"/>
      <c r="BR79" s="209"/>
      <c r="BS79" s="218"/>
      <c r="BT79" s="209"/>
      <c r="BU79" s="219"/>
      <c r="BV79" s="209"/>
      <c r="BW79" s="220"/>
      <c r="BX79" s="220"/>
      <c r="BY79" s="208"/>
      <c r="BZ79" s="208"/>
      <c r="CA79" s="208">
        <v>231967894.56374669</v>
      </c>
      <c r="CB79" s="208"/>
      <c r="CC79" s="208"/>
      <c r="CD79" s="208"/>
      <c r="CE79" s="208"/>
      <c r="CF79" s="208"/>
      <c r="CG79" s="208"/>
      <c r="CH79" s="208"/>
      <c r="CI79" s="208"/>
      <c r="CJ79" s="208"/>
      <c r="CK79" s="209"/>
      <c r="CL79" s="209"/>
    </row>
    <row r="80" spans="1:90" s="236" customFormat="1" ht="30" customHeight="1" thickBot="1" x14ac:dyDescent="0.3">
      <c r="A80" s="239"/>
      <c r="B80" s="239" t="s">
        <v>471</v>
      </c>
      <c r="C80" s="239"/>
      <c r="D80" s="239"/>
      <c r="E80" s="239"/>
      <c r="F80" s="239"/>
      <c r="G80" s="239"/>
      <c r="H80" s="239"/>
      <c r="I80" s="240"/>
      <c r="J80" s="241"/>
      <c r="K80" s="241"/>
      <c r="L80" s="242"/>
      <c r="M80" s="242"/>
      <c r="N80" s="242"/>
      <c r="O80" s="243"/>
      <c r="P80" s="253"/>
      <c r="Q80" s="253"/>
      <c r="R80" s="244">
        <v>0</v>
      </c>
      <c r="S80" s="261">
        <v>31.975000000000001</v>
      </c>
      <c r="T80" s="244">
        <v>0</v>
      </c>
      <c r="U80" s="245">
        <v>462414284.68175</v>
      </c>
      <c r="V80" s="243"/>
      <c r="W80" s="243">
        <v>81076749.373516172</v>
      </c>
      <c r="X80" s="243">
        <v>0</v>
      </c>
      <c r="Y80" s="243">
        <v>81076749.373516172</v>
      </c>
      <c r="Z80" s="243">
        <v>0</v>
      </c>
      <c r="AA80" s="243">
        <v>0</v>
      </c>
      <c r="AB80" s="243">
        <v>0</v>
      </c>
      <c r="AC80" s="245">
        <v>473426558.37741137</v>
      </c>
      <c r="AD80" s="243">
        <v>-11012273.695661359</v>
      </c>
      <c r="AE80" s="243">
        <v>0</v>
      </c>
      <c r="AF80" s="243">
        <v>11012273.695661359</v>
      </c>
      <c r="AG80" s="243">
        <v>0</v>
      </c>
      <c r="AH80" s="246">
        <v>-155550802.8989408</v>
      </c>
      <c r="AI80" s="243">
        <v>0</v>
      </c>
      <c r="AJ80" s="243">
        <v>155550802.8989408</v>
      </c>
      <c r="AK80" s="247">
        <v>0</v>
      </c>
      <c r="AL80" s="248"/>
      <c r="AM80" s="243">
        <v>385997193.01694417</v>
      </c>
      <c r="AN80" s="242"/>
      <c r="AO80" s="248"/>
      <c r="AP80" s="243">
        <v>386191592.69330728</v>
      </c>
      <c r="AQ80" s="249"/>
      <c r="AR80" s="243"/>
      <c r="AS80" s="243"/>
      <c r="AT80" s="243">
        <v>-1070261.2778603528</v>
      </c>
      <c r="AU80" s="243">
        <v>0</v>
      </c>
      <c r="AV80" s="243">
        <v>1070261.2778603528</v>
      </c>
      <c r="AW80" s="243">
        <v>0</v>
      </c>
      <c r="AX80" s="243">
        <v>-155550802.8989408</v>
      </c>
      <c r="AY80" s="243">
        <v>0</v>
      </c>
      <c r="AZ80" s="243">
        <v>155550802.8989408</v>
      </c>
      <c r="BA80" s="243">
        <v>0</v>
      </c>
      <c r="BB80" s="243"/>
      <c r="BC80" s="243"/>
      <c r="BD80" s="243"/>
      <c r="BE80" s="243"/>
      <c r="BF80" s="243"/>
      <c r="BG80" s="243"/>
      <c r="BH80" s="243"/>
      <c r="BI80" s="243"/>
      <c r="BJ80" s="243"/>
      <c r="BK80" s="243"/>
      <c r="BL80" s="243"/>
      <c r="BM80" s="243"/>
      <c r="BN80" s="243"/>
      <c r="BO80" s="243"/>
      <c r="BP80" s="243"/>
      <c r="BQ80" s="253"/>
      <c r="BR80" s="242"/>
      <c r="BS80" s="250"/>
      <c r="BT80" s="242"/>
      <c r="BU80" s="251"/>
      <c r="BV80" s="242"/>
      <c r="BW80" s="252"/>
      <c r="BX80" s="252"/>
      <c r="BY80" s="243"/>
      <c r="BZ80" s="243"/>
      <c r="CA80" s="243">
        <v>231967894.56374669</v>
      </c>
      <c r="CB80" s="243"/>
      <c r="CC80" s="243"/>
      <c r="CD80" s="243"/>
      <c r="CE80" s="243"/>
      <c r="CF80" s="243"/>
      <c r="CG80" s="243"/>
      <c r="CH80" s="243"/>
      <c r="CI80" s="243"/>
      <c r="CJ80" s="243"/>
      <c r="CK80" s="242"/>
      <c r="CL80" s="242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1:BL25 AC38:AC40 AM4:AM40 BL34:BL40 AP4:AP40 BL44:BL47 AC44:AC47 AP44:AP47 AM44:AM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Summary</vt:lpstr>
      <vt:lpstr>Daily Position</vt:lpstr>
      <vt:lpstr>Stock Prices</vt:lpstr>
      <vt:lpstr>Financials</vt:lpstr>
      <vt:lpstr>Cash-Int-Trans</vt:lpstr>
      <vt:lpstr>Amort</vt:lpstr>
      <vt:lpstr>Shares</vt:lpstr>
      <vt:lpstr>MPR Raptor</vt:lpstr>
      <vt:lpstr>Amort</vt:lpstr>
      <vt:lpstr>ene</vt:lpstr>
      <vt:lpstr>Loan</vt:lpstr>
      <vt:lpstr>LoanPeriod</vt:lpstr>
      <vt:lpstr>MPRR</vt:lpstr>
      <vt:lpstr>Note</vt:lpstr>
      <vt:lpstr>NotePeriod</vt:lpstr>
      <vt:lpstr>Prices</vt:lpstr>
      <vt:lpstr>Summary!Print_Area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2000-11-07T19:45:10Z</cp:lastPrinted>
  <dcterms:created xsi:type="dcterms:W3CDTF">2000-08-10T21:11:42Z</dcterms:created>
  <dcterms:modified xsi:type="dcterms:W3CDTF">2023-09-18T19:13:59Z</dcterms:modified>
</cp:coreProperties>
</file>