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28F7CF-16D8-422E-85A2-E52D42518F42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R3 258 NP" sheetId="14" state="hidden" r:id="rId13"/>
    <sheet name="50 NP" sheetId="4" r:id="rId14"/>
    <sheet name="Initial" sheetId="16" state="hidden" r:id="rId15"/>
    <sheet name="Financials QTR" sheetId="15" state="hidden" r:id="rId16"/>
  </sheets>
  <externalReferences>
    <externalReference r:id="rId17"/>
    <externalReference r:id="rId18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2">'R3 258 NP'!$A$8:$G$18</definedName>
    <definedName name="Lg_Payable">'258 NP'!$B$8:$H$19</definedName>
    <definedName name="Note_Receivable">'50 NR'!$A$8:$I$67</definedName>
    <definedName name="_xlnm.Print_Area" localSheetId="11">'258 NP'!$A$1:$I$33</definedName>
    <definedName name="_xlnm.Print_Area" localSheetId="13">'50 NP'!$A$1:$J$36</definedName>
    <definedName name="Small_Payable">'50 NP'!$A$8:$H$68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I1" i="5"/>
  <c r="C2" i="5"/>
  <c r="F2" i="5"/>
  <c r="I2" i="5"/>
  <c r="J2" i="5"/>
  <c r="C3" i="5"/>
  <c r="F3" i="5"/>
  <c r="G3" i="5"/>
  <c r="I3" i="5"/>
  <c r="F4" i="5"/>
  <c r="F5" i="5"/>
  <c r="I5" i="5"/>
  <c r="B8" i="5"/>
  <c r="C8" i="5"/>
  <c r="D8" i="5"/>
  <c r="F8" i="5"/>
  <c r="G8" i="5"/>
  <c r="H8" i="5"/>
  <c r="A9" i="5"/>
  <c r="B9" i="5"/>
  <c r="C9" i="5"/>
  <c r="D9" i="5"/>
  <c r="E9" i="5"/>
  <c r="F9" i="5"/>
  <c r="G9" i="5"/>
  <c r="H9" i="5"/>
  <c r="B10" i="5"/>
  <c r="C10" i="5"/>
  <c r="E10" i="5"/>
  <c r="F10" i="5"/>
  <c r="G10" i="5"/>
  <c r="H10" i="5"/>
  <c r="B11" i="5"/>
  <c r="C11" i="5"/>
  <c r="E11" i="5"/>
  <c r="F11" i="5"/>
  <c r="G11" i="5"/>
  <c r="H11" i="5"/>
  <c r="B12" i="5"/>
  <c r="C12" i="5"/>
  <c r="E12" i="5"/>
  <c r="F12" i="5"/>
  <c r="G12" i="5"/>
  <c r="H12" i="5"/>
  <c r="B13" i="5"/>
  <c r="C13" i="5"/>
  <c r="E13" i="5"/>
  <c r="F13" i="5"/>
  <c r="G13" i="5"/>
  <c r="H13" i="5"/>
  <c r="B14" i="5"/>
  <c r="C14" i="5"/>
  <c r="E14" i="5"/>
  <c r="F14" i="5"/>
  <c r="G14" i="5"/>
  <c r="H14" i="5"/>
  <c r="B15" i="5"/>
  <c r="C15" i="5"/>
  <c r="E15" i="5"/>
  <c r="F15" i="5"/>
  <c r="G15" i="5"/>
  <c r="H15" i="5"/>
  <c r="B16" i="5"/>
  <c r="C16" i="5"/>
  <c r="E16" i="5"/>
  <c r="F16" i="5"/>
  <c r="G16" i="5"/>
  <c r="H16" i="5"/>
  <c r="B17" i="5"/>
  <c r="C17" i="5"/>
  <c r="E17" i="5"/>
  <c r="F17" i="5"/>
  <c r="G17" i="5"/>
  <c r="H17" i="5"/>
  <c r="B18" i="5"/>
  <c r="C18" i="5"/>
  <c r="E18" i="5"/>
  <c r="F18" i="5"/>
  <c r="G18" i="5"/>
  <c r="H18" i="5"/>
  <c r="C19" i="5"/>
  <c r="D19" i="5"/>
  <c r="E19" i="5"/>
  <c r="F19" i="5"/>
  <c r="G19" i="5"/>
  <c r="H19" i="5"/>
  <c r="C22" i="5"/>
  <c r="C23" i="5"/>
  <c r="C24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B3" i="2"/>
  <c r="B8" i="2"/>
  <c r="C11" i="2"/>
  <c r="B13" i="2"/>
  <c r="E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H2" i="15"/>
  <c r="E3" i="15"/>
  <c r="H3" i="15"/>
  <c r="E4" i="15"/>
  <c r="H4" i="15"/>
  <c r="B5" i="15"/>
  <c r="E5" i="15"/>
  <c r="H5" i="15"/>
  <c r="E6" i="15"/>
  <c r="H6" i="15"/>
  <c r="E7" i="15"/>
  <c r="H7" i="15"/>
  <c r="E8" i="15"/>
  <c r="H8" i="15"/>
  <c r="E9" i="15"/>
  <c r="H9" i="15"/>
  <c r="E10" i="15"/>
  <c r="H10" i="15"/>
  <c r="E12" i="15"/>
  <c r="H12" i="15"/>
  <c r="E13" i="15"/>
  <c r="H13" i="15"/>
  <c r="E14" i="15"/>
  <c r="H14" i="15"/>
  <c r="E15" i="15"/>
  <c r="H15" i="15"/>
  <c r="E16" i="15"/>
  <c r="H16" i="15"/>
  <c r="E17" i="15"/>
  <c r="H17" i="15"/>
  <c r="E18" i="15"/>
  <c r="H18" i="15"/>
  <c r="E20" i="15"/>
  <c r="H20" i="15"/>
  <c r="H23" i="15"/>
  <c r="E24" i="15"/>
  <c r="H24" i="15"/>
  <c r="E26" i="15"/>
  <c r="H26" i="15"/>
  <c r="E27" i="15"/>
  <c r="H27" i="15"/>
  <c r="E28" i="15"/>
  <c r="H28" i="15"/>
  <c r="E29" i="15"/>
  <c r="H29" i="15"/>
  <c r="E30" i="15"/>
  <c r="H30" i="15"/>
  <c r="E31" i="15"/>
  <c r="H31" i="15"/>
  <c r="E32" i="15"/>
  <c r="H32" i="15"/>
  <c r="E33" i="15"/>
  <c r="H33" i="15"/>
  <c r="E34" i="15"/>
  <c r="H34" i="15"/>
  <c r="E37" i="15"/>
  <c r="H37" i="15"/>
  <c r="E38" i="15"/>
  <c r="H38" i="15"/>
  <c r="E39" i="15"/>
  <c r="H39" i="15"/>
  <c r="E40" i="15"/>
  <c r="H40" i="15"/>
  <c r="H41" i="15"/>
  <c r="E42" i="15"/>
  <c r="H42" i="15"/>
  <c r="E43" i="15"/>
  <c r="H43" i="15"/>
  <c r="E44" i="15"/>
  <c r="H44" i="15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C26" i="6"/>
  <c r="D5" i="16"/>
  <c r="D6" i="16"/>
  <c r="C7" i="16"/>
  <c r="D9" i="16"/>
  <c r="C14" i="16"/>
  <c r="C15" i="16"/>
  <c r="F15" i="16"/>
  <c r="F16" i="16"/>
  <c r="C19" i="16"/>
  <c r="F19" i="1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E2" i="14"/>
  <c r="G2" i="14"/>
  <c r="E3" i="14"/>
  <c r="G3" i="14"/>
  <c r="E4" i="14"/>
  <c r="G4" i="14"/>
  <c r="E5" i="14"/>
  <c r="G5" i="14"/>
  <c r="B8" i="14"/>
  <c r="F8" i="14"/>
  <c r="G8" i="14"/>
  <c r="A9" i="14"/>
  <c r="B9" i="14"/>
  <c r="D9" i="14"/>
  <c r="E9" i="14"/>
  <c r="F9" i="14"/>
  <c r="G9" i="14"/>
  <c r="A10" i="14"/>
  <c r="B10" i="14"/>
  <c r="D10" i="14"/>
  <c r="E10" i="14"/>
  <c r="F10" i="14"/>
  <c r="G10" i="14"/>
  <c r="A11" i="14"/>
  <c r="B11" i="14"/>
  <c r="D11" i="14"/>
  <c r="E11" i="14"/>
  <c r="F11" i="14"/>
  <c r="G11" i="14"/>
  <c r="A12" i="14"/>
  <c r="B12" i="14"/>
  <c r="D12" i="14"/>
  <c r="E12" i="14"/>
  <c r="F12" i="14"/>
  <c r="G12" i="14"/>
  <c r="A13" i="14"/>
  <c r="B13" i="14"/>
  <c r="D13" i="14"/>
  <c r="E13" i="14"/>
  <c r="F13" i="14"/>
  <c r="G13" i="14"/>
  <c r="A14" i="14"/>
  <c r="B14" i="14"/>
  <c r="D14" i="14"/>
  <c r="E14" i="14"/>
  <c r="F14" i="14"/>
  <c r="G14" i="14"/>
  <c r="A15" i="14"/>
  <c r="B15" i="14"/>
  <c r="D15" i="14"/>
  <c r="E15" i="14"/>
  <c r="F15" i="14"/>
  <c r="G15" i="14"/>
  <c r="A16" i="14"/>
  <c r="B16" i="14"/>
  <c r="D16" i="14"/>
  <c r="E16" i="14"/>
  <c r="F16" i="14"/>
  <c r="G16" i="14"/>
  <c r="A17" i="14"/>
  <c r="B17" i="14"/>
  <c r="D17" i="14"/>
  <c r="E17" i="14"/>
  <c r="F17" i="14"/>
  <c r="G17" i="14"/>
  <c r="A18" i="14"/>
  <c r="B18" i="14"/>
  <c r="C18" i="14"/>
  <c r="D18" i="14"/>
  <c r="E18" i="14"/>
  <c r="F18" i="14"/>
  <c r="G18" i="14"/>
  <c r="C5" i="13"/>
  <c r="E5" i="13"/>
  <c r="C12" i="13"/>
  <c r="E12" i="13"/>
  <c r="C15" i="13"/>
  <c r="C18" i="13"/>
</calcChain>
</file>

<file path=xl/sharedStrings.xml><?xml version="1.0" encoding="utf-8"?>
<sst xmlns="http://schemas.openxmlformats.org/spreadsheetml/2006/main" count="511" uniqueCount="192">
  <si>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</si>
  <si>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</si>
  <si>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</si>
  <si>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</si>
  <si>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</si>
  <si>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</si>
  <si>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</si>
  <si>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</si>
  <si>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</si>
  <si>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</si>
  <si>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</si>
  <si>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</si>
  <si>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</si>
  <si>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</si>
  <si>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</si>
  <si>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</si>
  <si>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</si>
  <si>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</si>
  <si>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</si>
  <si>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</si>
  <si>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</si>
  <si>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</si>
  <si>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</si>
  <si>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</si>
  <si>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</si>
  <si>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</si>
  <si>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</si>
  <si>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</si>
  <si>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</si>
  <si>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</si>
  <si>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</si>
  <si>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</si>
  <si>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</si>
  <si>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</si>
  <si>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</si>
  <si>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</si>
  <si>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</si>
  <si>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</si>
  <si>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</si>
  <si>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</si>
  <si>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</si>
  <si>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</si>
  <si>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</si>
  <si>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</si>
  <si>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</si>
  <si>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</si>
  <si>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</si>
  <si>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</si>
  <si>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</si>
  <si>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</si>
  <si>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</si>
  <si>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</si>
  <si>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</si>
  <si>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</si>
  <si>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</si>
  <si>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</si>
  <si>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</si>
  <si>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</si>
  <si>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</si>
  <si>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</si>
  <si>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</si>
  <si>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</si>
  <si>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</si>
  <si>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</si>
  <si>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</si>
  <si>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</si>
  <si>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</si>
  <si>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</si>
  <si>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</si>
  <si>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</si>
  <si>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</si>
  <si>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</si>
  <si>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</si>
  <si>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</si>
  <si>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</si>
  <si>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</si>
  <si>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</si>
  <si>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</si>
  <si>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</si>
  <si>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</si>
  <si>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</si>
  <si>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</si>
  <si>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</si>
  <si>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</si>
  <si>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</si>
  <si>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</si>
  <si>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</si>
  <si>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</si>
  <si>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</si>
  <si>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</si>
  <si>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</si>
  <si>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</si>
  <si>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</si>
  <si>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</si>
  <si>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</si>
  <si>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</si>
  <si>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</si>
  <si>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</si>
  <si>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</si>
  <si>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</si>
  <si>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</si>
  <si>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</si>
  <si>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</si>
  <si>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</si>
  <si>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</si>
  <si>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</si>
  <si>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</si>
  <si>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</si>
  <si>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</si>
  <si>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</si>
  <si>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</si>
  <si>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</si>
  <si>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</si>
  <si>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</si>
  <si>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</si>
  <si>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</si>
  <si>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</si>
  <si>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</si>
  <si>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</si>
  <si>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</si>
  <si>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</si>
  <si>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</si>
  <si>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</si>
  <si>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</si>
  <si>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</si>
  <si>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</si>
  <si>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</si>
  <si>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</si>
  <si>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</si>
  <si>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</si>
  <si>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</si>
  <si>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</si>
  <si>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</si>
  <si>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</si>
  <si>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</si>
  <si>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</si>
  <si>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</si>
  <si>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</si>
  <si>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</si>
  <si>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</si>
  <si>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</si>
  <si>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</si>
  <si>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</si>
  <si>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</si>
  <si>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</si>
  <si>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</si>
  <si>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</si>
  <si>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</si>
  <si>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</si>
  <si>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</si>
  <si>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</si>
  <si>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</si>
  <si>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</si>
  <si>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</si>
  <si>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Credit Capacity</t>
  </si>
  <si>
    <t>Raptor III Daily Position Report &amp; Summary</t>
  </si>
  <si>
    <t>Monetization</t>
  </si>
  <si>
    <t>Balance</t>
  </si>
  <si>
    <t>Income Statement</t>
  </si>
  <si>
    <t>to</t>
  </si>
  <si>
    <t>Option Premiums Earned</t>
  </si>
  <si>
    <t>Permitted Investment Income</t>
  </si>
  <si>
    <t>Interest Income--Harrier Note</t>
  </si>
  <si>
    <t>Discount Amortization</t>
  </si>
  <si>
    <t>Discount Amortization - Jedi Shares</t>
  </si>
  <si>
    <t>Interest Expense</t>
  </si>
  <si>
    <t>Collar Gains / (Losses)</t>
  </si>
  <si>
    <t>Collar Gains / (Losses) Jedi Shares</t>
  </si>
  <si>
    <t>Reserve for Shares</t>
  </si>
  <si>
    <t>Unrealized Gains / (Losses) Derivative</t>
  </si>
  <si>
    <t>Unrealized Gains / (Losses)</t>
  </si>
  <si>
    <t>Realized Gains / (Losses)</t>
  </si>
  <si>
    <t>Net Gain/(Loss)</t>
  </si>
  <si>
    <t>As of:</t>
  </si>
  <si>
    <t xml:space="preserve">Changes to: </t>
  </si>
  <si>
    <t>Cash/Investment</t>
  </si>
  <si>
    <t>Note due from Enron</t>
  </si>
  <si>
    <t>Interest Receivable</t>
  </si>
  <si>
    <t>Enron Shares</t>
  </si>
  <si>
    <t>Enron Jedi Shares</t>
  </si>
  <si>
    <t>ENE Share Derivative</t>
  </si>
  <si>
    <t>March ENE Shares</t>
  </si>
  <si>
    <t>Collar Receivable</t>
  </si>
  <si>
    <t>Swap Receivable</t>
  </si>
  <si>
    <t>Liabilities &amp; Owner's Equity</t>
  </si>
  <si>
    <t>Option Obligation</t>
  </si>
  <si>
    <t>Swap Obligation</t>
  </si>
  <si>
    <t>Collar Obligation</t>
  </si>
  <si>
    <t>Note Due to Enron</t>
  </si>
  <si>
    <t>LJMII</t>
  </si>
  <si>
    <t>Enron</t>
  </si>
  <si>
    <t>For the period ending 9/27/00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</si>
</sst>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0"/>
      <color indexed="9"/>
      <name val="Arial"/>
      <family val="2"/>
    </font>
    <font>
      <i/>
      <sz val="12"/>
      <name val="Times New Roman"/>
      <family val="1"/>
    </font>
    <font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71" fontId="4" fillId="0" borderId="0" xfId="2" applyNumberFormat="1" applyFont="1" applyFill="1" applyProtection="1">
      <protection locked="0"/>
    </xf>
    <xf numFmtId="37" fontId="0" fillId="0" borderId="0" xfId="0" applyNumberFormat="1" applyBorder="1"/>
    <xf numFmtId="37" fontId="0" fillId="0" borderId="0" xfId="0" applyNumberFormat="1" applyFill="1" applyBorder="1"/>
    <xf numFmtId="37" fontId="11" fillId="3" borderId="2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>
      <alignment horizontal="center"/>
    </xf>
    <xf numFmtId="37" fontId="8" fillId="3" borderId="0" xfId="0" applyNumberFormat="1" applyFont="1" applyFill="1" applyAlignment="1">
      <alignment horizontal="right"/>
    </xf>
    <xf numFmtId="37" fontId="0" fillId="0" borderId="2" xfId="0" applyNumberFormat="1" applyFill="1" applyBorder="1"/>
    <xf numFmtId="37" fontId="0" fillId="0" borderId="0" xfId="0" applyNumberFormat="1"/>
    <xf numFmtId="37" fontId="0" fillId="0" borderId="0" xfId="0" applyNumberFormat="1" applyFill="1"/>
    <xf numFmtId="37" fontId="0" fillId="0" borderId="2" xfId="0" applyNumberFormat="1" applyBorder="1"/>
    <xf numFmtId="37" fontId="0" fillId="0" borderId="4" xfId="0" applyNumberFormat="1" applyBorder="1"/>
    <xf numFmtId="0" fontId="10" fillId="4" borderId="0" xfId="0" applyFont="1" applyFill="1"/>
    <xf numFmtId="37" fontId="10" fillId="4" borderId="0" xfId="0" applyNumberFormat="1" applyFont="1" applyFill="1"/>
    <xf numFmtId="37" fontId="0" fillId="4" borderId="0" xfId="0" applyNumberFormat="1" applyFill="1" applyBorder="1"/>
    <xf numFmtId="37" fontId="0" fillId="4" borderId="17" xfId="0" applyNumberFormat="1" applyFill="1" applyBorder="1"/>
    <xf numFmtId="37" fontId="11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/>
    <xf numFmtId="37" fontId="2" fillId="0" borderId="6" xfId="0" applyNumberFormat="1" applyFont="1" applyBorder="1" applyAlignment="1">
      <alignment horizontal="center"/>
    </xf>
    <xf numFmtId="37" fontId="4" fillId="0" borderId="0" xfId="0" applyNumberFormat="1" applyFont="1"/>
    <xf numFmtId="37" fontId="12" fillId="0" borderId="0" xfId="0" applyNumberFormat="1" applyFont="1"/>
    <xf numFmtId="37" fontId="0" fillId="0" borderId="1" xfId="0" applyNumberFormat="1" applyBorder="1"/>
    <xf numFmtId="37" fontId="13" fillId="0" borderId="0" xfId="0" applyNumberFormat="1" applyFont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7" fontId="11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94D07F9-1E57-07B6-0E95-44F063F88CD9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4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3">
          <cell r="B3">
            <v>37161</v>
          </cell>
        </row>
        <row r="4">
          <cell r="B4">
            <v>3.04</v>
          </cell>
        </row>
        <row r="19">
          <cell r="G19">
            <v>36979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Financials"/>
      <sheetName val="Financials QTR"/>
      <sheetName val="Cash-Int-Trans"/>
      <sheetName val="Jedi Shares"/>
      <sheetName val="Amort"/>
      <sheetName val="Shares"/>
      <sheetName val="MRP Rap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M6">
            <v>37161</v>
          </cell>
        </row>
        <row r="8">
          <cell r="M8">
            <v>37269267.76002337</v>
          </cell>
          <cell r="P8">
            <v>0</v>
          </cell>
        </row>
        <row r="9">
          <cell r="M9">
            <v>50000000</v>
          </cell>
        </row>
        <row r="10">
          <cell r="M10">
            <v>145833.33333333334</v>
          </cell>
          <cell r="P10">
            <v>0</v>
          </cell>
        </row>
        <row r="11">
          <cell r="I11">
            <v>37161</v>
          </cell>
          <cell r="M11">
            <v>0</v>
          </cell>
          <cell r="P11">
            <v>0</v>
          </cell>
        </row>
        <row r="12">
          <cell r="I12">
            <v>34518969</v>
          </cell>
          <cell r="M12">
            <v>200609403.24302229</v>
          </cell>
          <cell r="P12">
            <v>783397395.04098856</v>
          </cell>
        </row>
        <row r="13">
          <cell r="I13">
            <v>3179618.2266900116</v>
          </cell>
          <cell r="M13">
            <v>141147192</v>
          </cell>
        </row>
        <row r="14">
          <cell r="I14">
            <v>3704166.666666667</v>
          </cell>
          <cell r="M14">
            <v>513169490.36000001</v>
          </cell>
          <cell r="P14">
            <v>30000000</v>
          </cell>
        </row>
        <row r="15">
          <cell r="I15">
            <v>79042940.545921192</v>
          </cell>
          <cell r="M15">
            <v>0</v>
          </cell>
          <cell r="P15">
            <v>128943791.65539038</v>
          </cell>
        </row>
        <row r="16">
          <cell r="I16">
            <v>7433467.8630222837</v>
          </cell>
        </row>
        <row r="17">
          <cell r="I17">
            <v>-42593236.660988569</v>
          </cell>
        </row>
        <row r="20">
          <cell r="I20">
            <v>365329098.75</v>
          </cell>
        </row>
        <row r="21">
          <cell r="I21">
            <v>147840391.60999998</v>
          </cell>
        </row>
        <row r="22">
          <cell r="I22">
            <v>-429042940.54592121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/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6"/>
      <c r="B1" s="77"/>
      <c r="C1" s="77"/>
      <c r="D1" s="77"/>
      <c r="E1" s="77"/>
      <c r="F1" s="78"/>
    </row>
    <row r="2" spans="1:6" ht="18.75" x14ac:dyDescent="0.3">
      <c r="A2" s="67"/>
      <c r="B2" s="111" t="s">
        <v>155</v>
      </c>
      <c r="C2" s="111"/>
      <c r="D2" s="111"/>
      <c r="E2" s="111"/>
      <c r="F2" s="69"/>
    </row>
    <row r="3" spans="1:6" x14ac:dyDescent="0.2">
      <c r="A3" s="67"/>
      <c r="B3" s="68"/>
      <c r="C3" s="68"/>
      <c r="D3" s="68"/>
      <c r="E3" s="68"/>
      <c r="F3" s="69"/>
    </row>
    <row r="4" spans="1:6" ht="15.75" x14ac:dyDescent="0.25">
      <c r="A4" s="67"/>
      <c r="B4" s="79" t="s">
        <v>146</v>
      </c>
      <c r="C4" s="68"/>
      <c r="D4" s="68"/>
      <c r="E4" s="68"/>
      <c r="F4" s="69"/>
    </row>
    <row r="5" spans="1:6" ht="15.75" x14ac:dyDescent="0.25">
      <c r="A5" s="67"/>
      <c r="B5" s="68" t="s">
        <v>147</v>
      </c>
      <c r="C5" s="80">
        <f>+'Credit Analysis'!B3</f>
        <v>37161</v>
      </c>
      <c r="D5" s="81" t="s">
        <v>148</v>
      </c>
      <c r="E5" s="82">
        <f>+C5-1</f>
        <v>37160</v>
      </c>
      <c r="F5" s="69"/>
    </row>
    <row r="6" spans="1:6" x14ac:dyDescent="0.2">
      <c r="A6" s="67"/>
      <c r="B6" s="68"/>
      <c r="C6" s="68"/>
      <c r="D6" s="68"/>
      <c r="E6" s="68"/>
      <c r="F6" s="69"/>
    </row>
    <row r="7" spans="1:6" x14ac:dyDescent="0.2">
      <c r="A7" s="67"/>
      <c r="B7" s="68"/>
      <c r="C7" s="68"/>
      <c r="D7" s="68"/>
      <c r="E7" s="68"/>
      <c r="F7" s="69"/>
    </row>
    <row r="8" spans="1:6" ht="15.75" x14ac:dyDescent="0.25">
      <c r="A8" s="67"/>
      <c r="B8" s="79" t="s">
        <v>149</v>
      </c>
      <c r="C8" s="68"/>
      <c r="D8" s="68"/>
      <c r="E8" s="68"/>
      <c r="F8" s="69"/>
    </row>
    <row r="9" spans="1:6" ht="15.75" x14ac:dyDescent="0.25">
      <c r="A9" s="67"/>
      <c r="B9" s="83"/>
      <c r="C9" s="68"/>
      <c r="D9" s="68"/>
      <c r="E9" s="68"/>
      <c r="F9" s="69"/>
    </row>
    <row r="10" spans="1:6" x14ac:dyDescent="0.2">
      <c r="A10" s="67"/>
      <c r="C10" s="66" t="s">
        <v>151</v>
      </c>
      <c r="D10" s="66" t="s">
        <v>152</v>
      </c>
      <c r="E10" s="66" t="s">
        <v>153</v>
      </c>
      <c r="F10" s="69"/>
    </row>
    <row r="11" spans="1:6" x14ac:dyDescent="0.2">
      <c r="A11" s="67"/>
      <c r="B11" s="68"/>
      <c r="C11" s="84"/>
      <c r="D11" s="84"/>
      <c r="E11" s="84"/>
      <c r="F11" s="69"/>
    </row>
    <row r="12" spans="1:6" ht="13.5" thickBot="1" x14ac:dyDescent="0.25">
      <c r="A12" s="67"/>
      <c r="B12" s="68" t="s">
        <v>150</v>
      </c>
      <c r="C12" s="85">
        <f>+'Credit Analysis'!C27</f>
        <v>-318720043</v>
      </c>
      <c r="D12" s="85">
        <v>0</v>
      </c>
      <c r="E12" s="85">
        <f>+C12-D12</f>
        <v>-318720043</v>
      </c>
      <c r="F12" s="69"/>
    </row>
    <row r="13" spans="1:6" ht="13.5" thickTop="1" x14ac:dyDescent="0.2">
      <c r="A13" s="67"/>
      <c r="B13" s="68"/>
      <c r="C13" s="59"/>
      <c r="D13" s="59"/>
      <c r="E13" s="59"/>
      <c r="F13" s="69"/>
    </row>
    <row r="14" spans="1:6" x14ac:dyDescent="0.2">
      <c r="A14" s="67"/>
      <c r="B14" s="68"/>
      <c r="C14" s="68"/>
      <c r="D14" s="68"/>
      <c r="E14" s="68"/>
      <c r="F14" s="69"/>
    </row>
    <row r="15" spans="1:6" x14ac:dyDescent="0.2">
      <c r="A15" s="67"/>
      <c r="B15" s="68" t="s">
        <v>21</v>
      </c>
      <c r="C15" s="59">
        <f>IF(+'Credit Analysis'!C55&gt;0,+'Credit Analysis'!C55,0)</f>
        <v>0</v>
      </c>
      <c r="D15" s="68"/>
      <c r="E15" s="68"/>
      <c r="F15" s="69"/>
    </row>
    <row r="16" spans="1:6" x14ac:dyDescent="0.2">
      <c r="A16" s="67"/>
      <c r="B16" s="68"/>
      <c r="C16" s="59"/>
      <c r="D16" s="68"/>
      <c r="E16" s="68"/>
      <c r="F16" s="69"/>
    </row>
    <row r="17" spans="1:6" x14ac:dyDescent="0.2">
      <c r="A17" s="67"/>
      <c r="B17" s="68"/>
      <c r="C17" s="59"/>
      <c r="D17" s="68"/>
      <c r="E17" s="68"/>
      <c r="F17" s="69"/>
    </row>
    <row r="18" spans="1:6" x14ac:dyDescent="0.2">
      <c r="A18" s="67"/>
      <c r="B18" s="68" t="s">
        <v>154</v>
      </c>
      <c r="C18" s="59">
        <f>+'Credit Analysis'!C42</f>
        <v>-309515112.27511692</v>
      </c>
      <c r="D18" s="68"/>
      <c r="E18" s="68"/>
      <c r="F18" s="69"/>
    </row>
    <row r="19" spans="1:6" x14ac:dyDescent="0.2">
      <c r="A19" s="67"/>
      <c r="B19" s="68"/>
      <c r="C19" s="59"/>
      <c r="D19" s="68"/>
      <c r="E19" s="68"/>
      <c r="F19" s="69"/>
    </row>
    <row r="20" spans="1:6" x14ac:dyDescent="0.2">
      <c r="A20" s="67"/>
      <c r="B20" s="68"/>
      <c r="C20" s="59"/>
      <c r="D20" s="68"/>
      <c r="E20" s="68"/>
      <c r="F20" s="69"/>
    </row>
    <row r="21" spans="1:6" ht="15.75" x14ac:dyDescent="0.25">
      <c r="A21" s="67"/>
      <c r="B21" s="86"/>
      <c r="C21" s="59"/>
      <c r="D21" s="68"/>
      <c r="E21" s="68"/>
      <c r="F21" s="69"/>
    </row>
    <row r="22" spans="1:6" ht="13.5" thickBot="1" x14ac:dyDescent="0.25">
      <c r="A22" s="87"/>
      <c r="B22" s="64"/>
      <c r="C22" s="64"/>
      <c r="D22" s="64"/>
      <c r="E22" s="64"/>
      <c r="F22" s="88"/>
    </row>
  </sheetData>
  <mergeCells count="1">
    <mergeCell ref="B2:E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4" sqref="C4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  <c r="C4" s="27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114" t="s">
        <v>3</v>
      </c>
      <c r="C13" s="114"/>
      <c r="E13" s="114" t="s">
        <v>4</v>
      </c>
      <c r="F13" s="11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112" t="s">
        <v>12</v>
      </c>
      <c r="D21" s="112"/>
      <c r="E21" s="11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114" t="s">
        <v>3</v>
      </c>
      <c r="C34" s="114"/>
      <c r="E34" s="114" t="s">
        <v>4</v>
      </c>
      <c r="F34" s="114"/>
      <c r="H34" s="115" t="s">
        <v>51</v>
      </c>
      <c r="I34" s="115"/>
      <c r="J34" s="11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112" t="s">
        <v>12</v>
      </c>
      <c r="D42" s="112"/>
      <c r="E42" s="11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Normal="100" workbookViewId="0">
      <pane ySplit="7" topLeftCell="A8" activePane="bottomLeft" state="frozenSplit"/>
      <selection activeCell="D19" sqref="D19"/>
      <selection pane="bottomLeft" activeCell="A18" sqref="A18"/>
    </sheetView>
  </sheetViews>
  <sheetFormatPr defaultRowHeight="12.75" x14ac:dyDescent="0.2"/>
  <cols>
    <col min="1" max="1" width="12.42578125" bestFit="1" customWidth="1"/>
    <col min="2" max="2" width="15" bestFit="1" customWidth="1"/>
    <col min="3" max="3" width="14.42578125" bestFit="1" customWidth="1"/>
    <col min="4" max="4" width="11.5703125" bestFit="1" customWidth="1"/>
    <col min="5" max="5" width="14.42578125" bestFit="1" customWidth="1"/>
    <col min="6" max="6" width="13.28515625" bestFit="1" customWidth="1"/>
    <col min="7" max="7" width="9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115" t="s">
        <v>30</v>
      </c>
      <c r="B1" s="115"/>
      <c r="E1" t="s">
        <v>88</v>
      </c>
      <c r="F1" s="25">
        <f>'Credit Analysis'!B3</f>
        <v>37161</v>
      </c>
      <c r="J1" t="s">
        <v>36</v>
      </c>
      <c r="K1" s="28">
        <f>VLOOKUP(F1,Note_Receivable,6)</f>
        <v>8679431.6059099026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37161</v>
      </c>
      <c r="J2" t="s">
        <v>129</v>
      </c>
      <c r="K2" s="28">
        <f>F4*F3/(6*30)</f>
        <v>0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0</v>
      </c>
      <c r="K3" s="17">
        <f>K1+K2</f>
        <v>8679431.6059099026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336205.81386085827</v>
      </c>
      <c r="J4" t="s">
        <v>130</v>
      </c>
      <c r="K4" s="28">
        <f>VLOOKUP(F1,Note_Receivable,9)+K2</f>
        <v>703740.81386085832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36796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36977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37161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37342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37526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37707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37891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38073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38257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38438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38622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mergeCells count="1">
    <mergeCell ref="A1:B1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opLeftCell="B1" zoomScaleNormal="100" workbookViewId="0">
      <pane ySplit="7" topLeftCell="A8" activePane="bottomLeft" state="frozenSplit"/>
      <selection activeCell="A8" sqref="A8"/>
      <selection pane="bottomLeft" activeCell="I16" sqref="I16"/>
    </sheetView>
  </sheetViews>
  <sheetFormatPr defaultRowHeight="12.75" x14ac:dyDescent="0.2"/>
  <cols>
    <col min="1" max="2" width="12.28515625" customWidth="1"/>
    <col min="3" max="3" width="14.85546875" customWidth="1"/>
    <col min="4" max="4" width="15" customWidth="1"/>
    <col min="5" max="5" width="14" customWidth="1"/>
    <col min="6" max="6" width="14.140625" bestFit="1" customWidth="1"/>
    <col min="7" max="7" width="14.28515625" customWidth="1"/>
    <col min="8" max="8" width="14.5703125" customWidth="1"/>
    <col min="9" max="9" width="16" bestFit="1" customWidth="1"/>
    <col min="10" max="10" width="13.42578125" customWidth="1"/>
  </cols>
  <sheetData>
    <row r="1" spans="1:11" x14ac:dyDescent="0.2">
      <c r="A1" s="115" t="s">
        <v>41</v>
      </c>
      <c r="B1" s="115"/>
      <c r="C1" s="115"/>
      <c r="E1" t="s">
        <v>88</v>
      </c>
      <c r="F1" s="25">
        <f>'Credit Analysis'!B3</f>
        <v>37161</v>
      </c>
      <c r="H1" t="s">
        <v>36</v>
      </c>
      <c r="I1" s="28">
        <f>VLOOKUP(F1,Lg_Payable,6)</f>
        <v>51490277.777777776</v>
      </c>
    </row>
    <row r="2" spans="1:11" x14ac:dyDescent="0.2">
      <c r="A2" t="s">
        <v>31</v>
      </c>
      <c r="C2" s="19">
        <f>'Notional Analysis'!F35</f>
        <v>0</v>
      </c>
      <c r="E2" t="s">
        <v>126</v>
      </c>
      <c r="F2" s="25">
        <f>VLOOKUP(F1,Lg_Payable,1)</f>
        <v>37161</v>
      </c>
      <c r="H2" t="s">
        <v>129</v>
      </c>
      <c r="I2" s="28">
        <f>+F4+J2</f>
        <v>0</v>
      </c>
      <c r="J2" s="20">
        <f>IF(F1&lt;B10,+E9,0)</f>
        <v>0</v>
      </c>
      <c r="K2" s="20"/>
    </row>
    <row r="3" spans="1:11" ht="13.5" thickBot="1" x14ac:dyDescent="0.25">
      <c r="A3" t="s">
        <v>32</v>
      </c>
      <c r="C3" s="21">
        <f>'Credit Analysis'!B7</f>
        <v>7.2499999999999995E-2</v>
      </c>
      <c r="E3" t="s">
        <v>127</v>
      </c>
      <c r="F3" s="27">
        <f>F1-F2</f>
        <v>0</v>
      </c>
      <c r="G3" s="25">
        <f>+F1</f>
        <v>37161</v>
      </c>
      <c r="H3" t="s">
        <v>157</v>
      </c>
      <c r="I3" s="17">
        <f>I1+I2</f>
        <v>51490277.777777776</v>
      </c>
    </row>
    <row r="4" spans="1:11" ht="13.5" thickTop="1" x14ac:dyDescent="0.2">
      <c r="C4" s="23"/>
      <c r="E4" t="s">
        <v>32</v>
      </c>
      <c r="F4" s="28">
        <f>+F5*C3/360*F3</f>
        <v>0</v>
      </c>
    </row>
    <row r="5" spans="1:11" x14ac:dyDescent="0.2">
      <c r="C5" s="24"/>
      <c r="E5" t="s">
        <v>36</v>
      </c>
      <c r="F5" s="28">
        <f>VLOOKUP(F1,Lg_Payable,6)</f>
        <v>51490277.777777776</v>
      </c>
      <c r="H5" t="s">
        <v>131</v>
      </c>
      <c r="I5" s="28">
        <f>VLOOKUP(F1,Lg_Payable,7)+F4</f>
        <v>1490277.7777777778</v>
      </c>
    </row>
    <row r="7" spans="1:11" s="18" customFormat="1" x14ac:dyDescent="0.2">
      <c r="A7" s="18" t="s">
        <v>25</v>
      </c>
      <c r="C7" s="18" t="s">
        <v>35</v>
      </c>
      <c r="D7" s="18" t="s">
        <v>34</v>
      </c>
      <c r="E7" s="18" t="s">
        <v>32</v>
      </c>
      <c r="F7" s="18" t="s">
        <v>36</v>
      </c>
      <c r="G7" s="18" t="s">
        <v>37</v>
      </c>
      <c r="H7" s="18" t="s">
        <v>40</v>
      </c>
    </row>
    <row r="8" spans="1:11" x14ac:dyDescent="0.2">
      <c r="A8" s="25">
        <v>36796</v>
      </c>
      <c r="B8" s="25">
        <f>+A9</f>
        <v>36979</v>
      </c>
      <c r="C8" s="20">
        <f>C2</f>
        <v>0</v>
      </c>
      <c r="D8" s="20">
        <f>IF($F$1&lt;I8,0,-J8)</f>
        <v>-30000000</v>
      </c>
      <c r="E8" s="20"/>
      <c r="F8" s="20">
        <f>-D8+E8</f>
        <v>30000000</v>
      </c>
      <c r="G8" s="20">
        <f>C8+F8</f>
        <v>30000000</v>
      </c>
      <c r="H8" s="20">
        <f>E8</f>
        <v>0</v>
      </c>
      <c r="I8" s="25">
        <v>36979</v>
      </c>
      <c r="J8" s="20">
        <v>30000000</v>
      </c>
    </row>
    <row r="9" spans="1:11" x14ac:dyDescent="0.2">
      <c r="A9" s="25">
        <f>+[1]Table!$G$19</f>
        <v>36979</v>
      </c>
      <c r="B9" s="25">
        <f>+A10</f>
        <v>37064</v>
      </c>
      <c r="C9" s="20">
        <f>G8</f>
        <v>30000000</v>
      </c>
      <c r="D9" s="20">
        <f>IF($F$1&lt;I9,0,-J9)</f>
        <v>-20000000</v>
      </c>
      <c r="E9" s="20">
        <f>C9*$C$3/360*(B9-A9)</f>
        <v>513541.66666666669</v>
      </c>
      <c r="F9" s="20">
        <f>-D9</f>
        <v>20000000</v>
      </c>
      <c r="G9" s="20">
        <f t="shared" ref="G9:G19" si="0">C9+F9</f>
        <v>50000000</v>
      </c>
      <c r="H9" s="20">
        <f>H8+E9</f>
        <v>513541.66666666669</v>
      </c>
      <c r="I9" s="25">
        <v>37064</v>
      </c>
      <c r="J9" s="20">
        <v>20000000</v>
      </c>
    </row>
    <row r="10" spans="1:11" x14ac:dyDescent="0.2">
      <c r="A10" s="25">
        <v>37064</v>
      </c>
      <c r="B10" s="25">
        <f t="shared" ref="B10:B18" si="1">+A11</f>
        <v>37161</v>
      </c>
      <c r="C10" s="20">
        <f>G9</f>
        <v>50000000</v>
      </c>
      <c r="D10" s="26"/>
      <c r="E10" s="20">
        <f t="shared" ref="E10:E19" si="2">C10*$C$3/360*(B10-A10)</f>
        <v>976736.11111111101</v>
      </c>
      <c r="F10" s="20">
        <f>-D10+E10+E9</f>
        <v>1490277.7777777778</v>
      </c>
      <c r="G10" s="20">
        <f>C10+F10</f>
        <v>51490277.777777776</v>
      </c>
      <c r="H10" s="20">
        <f t="shared" ref="H10:H19" si="3">H9+E10</f>
        <v>1490277.7777777778</v>
      </c>
    </row>
    <row r="11" spans="1:11" x14ac:dyDescent="0.2">
      <c r="A11" s="25">
        <v>37161</v>
      </c>
      <c r="B11" s="25">
        <f t="shared" si="1"/>
        <v>37342</v>
      </c>
      <c r="C11" s="20">
        <f>G10</f>
        <v>51490277.777777776</v>
      </c>
      <c r="D11" s="26"/>
      <c r="E11" s="20">
        <f t="shared" si="2"/>
        <v>1876892.139274691</v>
      </c>
      <c r="F11" s="20">
        <f t="shared" ref="F11:F19" si="4">-D11+E11</f>
        <v>1876892.139274691</v>
      </c>
      <c r="G11" s="20">
        <f t="shared" si="0"/>
        <v>53367169.91705247</v>
      </c>
      <c r="H11" s="20">
        <f t="shared" si="3"/>
        <v>3367169.9170524688</v>
      </c>
    </row>
    <row r="12" spans="1:11" x14ac:dyDescent="0.2">
      <c r="A12" s="25">
        <v>37342</v>
      </c>
      <c r="B12" s="25">
        <f t="shared" si="1"/>
        <v>37526</v>
      </c>
      <c r="C12" s="20">
        <f>+G11</f>
        <v>53367169.91705247</v>
      </c>
      <c r="D12" s="20"/>
      <c r="E12" s="20">
        <f t="shared" si="2"/>
        <v>1977550.1297041106</v>
      </c>
      <c r="F12" s="20">
        <f t="shared" si="4"/>
        <v>1977550.1297041106</v>
      </c>
      <c r="G12" s="20">
        <f t="shared" si="0"/>
        <v>55344720.04675658</v>
      </c>
      <c r="H12" s="20">
        <f t="shared" si="3"/>
        <v>5344720.0467565795</v>
      </c>
    </row>
    <row r="13" spans="1:11" x14ac:dyDescent="0.2">
      <c r="A13" s="25">
        <v>37526</v>
      </c>
      <c r="B13" s="25">
        <f t="shared" si="1"/>
        <v>37707</v>
      </c>
      <c r="C13" s="20">
        <f t="shared" ref="C13:C19" si="5">G12</f>
        <v>55344720.04675658</v>
      </c>
      <c r="D13" s="20"/>
      <c r="E13" s="20">
        <f t="shared" si="2"/>
        <v>2017391.9133710088</v>
      </c>
      <c r="F13" s="20">
        <f t="shared" si="4"/>
        <v>2017391.9133710088</v>
      </c>
      <c r="G13" s="20">
        <f t="shared" si="0"/>
        <v>57362111.960127592</v>
      </c>
      <c r="H13" s="20">
        <f t="shared" si="3"/>
        <v>7362111.9601275884</v>
      </c>
    </row>
    <row r="14" spans="1:11" x14ac:dyDescent="0.2">
      <c r="A14" s="25">
        <v>37707</v>
      </c>
      <c r="B14" s="25">
        <f t="shared" si="1"/>
        <v>37891</v>
      </c>
      <c r="C14" s="20">
        <f t="shared" si="5"/>
        <v>57362111.960127592</v>
      </c>
      <c r="D14" s="20"/>
      <c r="E14" s="20">
        <f t="shared" si="2"/>
        <v>2125584.9265225055</v>
      </c>
      <c r="F14" s="20">
        <f t="shared" si="4"/>
        <v>2125584.9265225055</v>
      </c>
      <c r="G14" s="20">
        <f t="shared" si="0"/>
        <v>59487696.8866501</v>
      </c>
      <c r="H14" s="20">
        <f t="shared" si="3"/>
        <v>9487696.8866500929</v>
      </c>
    </row>
    <row r="15" spans="1:11" x14ac:dyDescent="0.2">
      <c r="A15" s="25">
        <v>37891</v>
      </c>
      <c r="B15" s="25">
        <f t="shared" si="1"/>
        <v>38073</v>
      </c>
      <c r="C15" s="20">
        <f t="shared" si="5"/>
        <v>59487696.8866501</v>
      </c>
      <c r="D15" s="20"/>
      <c r="E15" s="20">
        <f t="shared" si="2"/>
        <v>2180389.3344981889</v>
      </c>
      <c r="F15" s="20">
        <f t="shared" si="4"/>
        <v>2180389.3344981889</v>
      </c>
      <c r="G15" s="20">
        <f t="shared" si="0"/>
        <v>61668086.22114829</v>
      </c>
      <c r="H15" s="20">
        <f t="shared" si="3"/>
        <v>11668086.221148282</v>
      </c>
    </row>
    <row r="16" spans="1:11" x14ac:dyDescent="0.2">
      <c r="A16" s="25">
        <v>38073</v>
      </c>
      <c r="B16" s="25">
        <f t="shared" si="1"/>
        <v>38257</v>
      </c>
      <c r="C16" s="20">
        <f t="shared" si="5"/>
        <v>61668086.22114829</v>
      </c>
      <c r="D16" s="20"/>
      <c r="E16" s="20">
        <f t="shared" si="2"/>
        <v>2285145.19497255</v>
      </c>
      <c r="F16" s="20">
        <f t="shared" si="4"/>
        <v>2285145.19497255</v>
      </c>
      <c r="G16" s="20">
        <f t="shared" si="0"/>
        <v>63953231.416120842</v>
      </c>
      <c r="H16" s="20">
        <f t="shared" si="3"/>
        <v>13953231.416120833</v>
      </c>
      <c r="I16" s="20"/>
    </row>
    <row r="17" spans="1:8" x14ac:dyDescent="0.2">
      <c r="A17" s="25">
        <v>38257</v>
      </c>
      <c r="B17" s="25">
        <f t="shared" si="1"/>
        <v>38438</v>
      </c>
      <c r="C17" s="20">
        <f t="shared" si="5"/>
        <v>63953231.416120842</v>
      </c>
      <c r="D17" s="20"/>
      <c r="E17" s="20">
        <f t="shared" si="2"/>
        <v>2331184.1090501272</v>
      </c>
      <c r="F17" s="20">
        <f t="shared" si="4"/>
        <v>2331184.1090501272</v>
      </c>
      <c r="G17" s="20">
        <f t="shared" si="0"/>
        <v>66284415.525170967</v>
      </c>
      <c r="H17" s="20">
        <f t="shared" si="3"/>
        <v>16284415.52517096</v>
      </c>
    </row>
    <row r="18" spans="1:8" x14ac:dyDescent="0.2">
      <c r="A18" s="25">
        <v>38438</v>
      </c>
      <c r="B18" s="25">
        <f t="shared" si="1"/>
        <v>38622</v>
      </c>
      <c r="C18" s="20">
        <f t="shared" si="5"/>
        <v>66284415.525170967</v>
      </c>
      <c r="D18" s="20"/>
      <c r="E18" s="20">
        <f t="shared" si="2"/>
        <v>2456205.8419605019</v>
      </c>
      <c r="F18" s="20">
        <f t="shared" si="4"/>
        <v>2456205.8419605019</v>
      </c>
      <c r="G18" s="20">
        <f t="shared" si="0"/>
        <v>68740621.367131472</v>
      </c>
      <c r="H18" s="20">
        <f t="shared" si="3"/>
        <v>18740621.36713146</v>
      </c>
    </row>
    <row r="19" spans="1:8" x14ac:dyDescent="0.2">
      <c r="A19" s="25">
        <v>38622</v>
      </c>
      <c r="B19" s="25">
        <v>38622</v>
      </c>
      <c r="C19" s="20">
        <f t="shared" si="5"/>
        <v>68740621.367131472</v>
      </c>
      <c r="D19" s="20">
        <f>C19+E19</f>
        <v>68740621.367131472</v>
      </c>
      <c r="E19" s="20">
        <f t="shared" si="2"/>
        <v>0</v>
      </c>
      <c r="F19" s="20">
        <f t="shared" si="4"/>
        <v>-68740621.367131472</v>
      </c>
      <c r="G19" s="20">
        <f t="shared" si="0"/>
        <v>0</v>
      </c>
      <c r="H19" s="20">
        <f t="shared" si="3"/>
        <v>18740621.36713146</v>
      </c>
    </row>
    <row r="20" spans="1:8" x14ac:dyDescent="0.2">
      <c r="A20" s="25"/>
      <c r="B20" s="25"/>
      <c r="C20" s="20"/>
      <c r="D20" s="20"/>
      <c r="E20" s="20"/>
      <c r="F20" s="20"/>
      <c r="G20" s="20"/>
      <c r="H20" s="20"/>
    </row>
    <row r="21" spans="1:8" x14ac:dyDescent="0.2">
      <c r="A21" s="25"/>
      <c r="B21" s="25"/>
      <c r="C21" s="20" t="s">
        <v>156</v>
      </c>
      <c r="D21" s="20"/>
      <c r="E21" s="20"/>
      <c r="F21" s="20"/>
      <c r="G21" s="20"/>
      <c r="H21" s="20"/>
    </row>
    <row r="22" spans="1:8" x14ac:dyDescent="0.2">
      <c r="A22" s="25"/>
      <c r="B22" s="25"/>
      <c r="C22" s="26">
        <f>IF($F$1&lt;I8,0,J8)</f>
        <v>30000000</v>
      </c>
      <c r="D22" s="20"/>
      <c r="E22" s="20"/>
      <c r="F22" s="20"/>
      <c r="G22" s="20"/>
      <c r="H22" s="20"/>
    </row>
    <row r="23" spans="1:8" x14ac:dyDescent="0.2">
      <c r="A23" s="25"/>
      <c r="B23" s="25"/>
      <c r="C23" s="54">
        <f>IF($F$1&lt;I9,0,J9)</f>
        <v>20000000</v>
      </c>
      <c r="D23" s="20"/>
      <c r="E23" s="20"/>
      <c r="F23" s="20"/>
      <c r="G23" s="20"/>
      <c r="H23" s="20"/>
    </row>
    <row r="24" spans="1:8" x14ac:dyDescent="0.2">
      <c r="A24" s="25"/>
      <c r="B24" s="25"/>
      <c r="C24" s="20">
        <f>+C22+C23</f>
        <v>50000000</v>
      </c>
      <c r="D24" s="20"/>
      <c r="E24" s="20"/>
      <c r="F24" s="20"/>
      <c r="G24" s="20"/>
      <c r="H24" s="20"/>
    </row>
    <row r="25" spans="1:8" x14ac:dyDescent="0.2">
      <c r="A25" s="25"/>
      <c r="B25" s="25"/>
      <c r="C25" s="20"/>
      <c r="D25" s="20"/>
      <c r="E25" s="20"/>
      <c r="F25" s="20"/>
      <c r="G25" s="20"/>
      <c r="H25" s="20"/>
    </row>
    <row r="26" spans="1:8" x14ac:dyDescent="0.2">
      <c r="A26" s="25"/>
      <c r="B26" s="25"/>
      <c r="C26" s="20"/>
      <c r="D26" s="20"/>
      <c r="E26" s="20"/>
      <c r="F26" s="20"/>
      <c r="G26" s="20"/>
      <c r="H26" s="20"/>
    </row>
    <row r="27" spans="1:8" x14ac:dyDescent="0.2">
      <c r="A27" s="25"/>
      <c r="B27" s="25"/>
      <c r="C27" s="20"/>
      <c r="D27" s="20"/>
      <c r="E27" s="20"/>
      <c r="F27" s="20"/>
      <c r="G27" s="20"/>
      <c r="H27" s="20"/>
    </row>
    <row r="28" spans="1:8" x14ac:dyDescent="0.2">
      <c r="A28" s="25"/>
      <c r="B28" s="25"/>
      <c r="C28" s="20"/>
      <c r="D28" s="20"/>
      <c r="E28" s="20"/>
      <c r="F28" s="20"/>
      <c r="G28" s="20"/>
      <c r="H28" s="20"/>
    </row>
    <row r="29" spans="1:8" x14ac:dyDescent="0.2">
      <c r="A29" s="25"/>
      <c r="B29" s="25"/>
      <c r="C29" s="20"/>
      <c r="D29" s="20"/>
      <c r="E29" s="20"/>
      <c r="F29" s="20"/>
      <c r="G29" s="20"/>
      <c r="H29" s="20"/>
    </row>
    <row r="30" spans="1:8" x14ac:dyDescent="0.2">
      <c r="A30" s="25"/>
      <c r="B30" s="25"/>
      <c r="C30" s="20"/>
      <c r="D30" s="20"/>
      <c r="E30" s="20"/>
      <c r="F30" s="20"/>
      <c r="G30" s="20"/>
      <c r="H30" s="20"/>
    </row>
    <row r="31" spans="1:8" x14ac:dyDescent="0.2">
      <c r="A31" s="25"/>
      <c r="B31" s="25"/>
      <c r="C31" s="20"/>
      <c r="D31" s="20"/>
      <c r="E31" s="20"/>
      <c r="F31" s="20"/>
      <c r="G31" s="20"/>
      <c r="H31" s="20"/>
    </row>
    <row r="32" spans="1:8" x14ac:dyDescent="0.2">
      <c r="A32" s="25"/>
      <c r="B32" s="25"/>
      <c r="C32" s="20"/>
      <c r="D32" s="20"/>
      <c r="E32" s="20"/>
      <c r="F32" s="20"/>
      <c r="G32" s="20"/>
      <c r="H32" s="20"/>
    </row>
    <row r="33" spans="1:8" x14ac:dyDescent="0.2">
      <c r="A33" s="25"/>
      <c r="B33" s="25"/>
      <c r="C33" s="20"/>
      <c r="D33" s="20"/>
      <c r="E33" s="20"/>
      <c r="F33" s="20"/>
      <c r="G33" s="20"/>
      <c r="H33" s="20"/>
    </row>
    <row r="34" spans="1:8" x14ac:dyDescent="0.2">
      <c r="A34" s="25"/>
      <c r="B34" s="25"/>
      <c r="C34" s="20"/>
      <c r="D34" s="20"/>
      <c r="E34" s="20"/>
      <c r="F34" s="20"/>
      <c r="G34" s="20"/>
      <c r="H34" s="20"/>
    </row>
    <row r="35" spans="1:8" x14ac:dyDescent="0.2">
      <c r="A35" s="25"/>
      <c r="B35" s="25"/>
      <c r="C35" s="20"/>
      <c r="D35" s="20"/>
      <c r="E35" s="20"/>
      <c r="F35" s="20"/>
      <c r="G35" s="20"/>
      <c r="H35" s="20"/>
    </row>
    <row r="36" spans="1:8" x14ac:dyDescent="0.2">
      <c r="A36" s="25"/>
      <c r="B36" s="25"/>
      <c r="C36" s="20"/>
      <c r="D36" s="20"/>
      <c r="E36" s="20"/>
      <c r="F36" s="20"/>
      <c r="G36" s="20"/>
      <c r="H36" s="20"/>
    </row>
    <row r="37" spans="1:8" x14ac:dyDescent="0.2">
      <c r="A37" s="25"/>
      <c r="B37" s="25"/>
      <c r="C37" s="20"/>
      <c r="D37" s="20"/>
      <c r="E37" s="20"/>
      <c r="F37" s="20"/>
      <c r="G37" s="20"/>
      <c r="H37" s="20"/>
    </row>
    <row r="38" spans="1:8" x14ac:dyDescent="0.2">
      <c r="A38" s="25"/>
      <c r="B38" s="25"/>
      <c r="C38" s="20"/>
      <c r="D38" s="20"/>
      <c r="E38" s="20"/>
      <c r="F38" s="20"/>
      <c r="G38" s="20"/>
      <c r="H38" s="20"/>
    </row>
    <row r="39" spans="1:8" x14ac:dyDescent="0.2">
      <c r="A39" s="25"/>
      <c r="B39" s="25"/>
      <c r="C39" s="20"/>
      <c r="D39" s="20"/>
      <c r="E39" s="20"/>
      <c r="F39" s="20"/>
      <c r="G39" s="20"/>
      <c r="H39" s="20"/>
    </row>
    <row r="40" spans="1:8" x14ac:dyDescent="0.2">
      <c r="A40" s="25"/>
      <c r="B40" s="25"/>
      <c r="C40" s="20"/>
      <c r="D40" s="20"/>
      <c r="E40" s="20"/>
      <c r="F40" s="20"/>
      <c r="G40" s="20"/>
      <c r="H40" s="20"/>
    </row>
    <row r="41" spans="1:8" x14ac:dyDescent="0.2">
      <c r="A41" s="25"/>
      <c r="B41" s="25"/>
      <c r="C41" s="20"/>
      <c r="D41" s="20"/>
      <c r="E41" s="20"/>
      <c r="F41" s="20"/>
      <c r="G41" s="20"/>
      <c r="H41" s="20"/>
    </row>
    <row r="42" spans="1:8" x14ac:dyDescent="0.2">
      <c r="A42" s="25"/>
      <c r="B42" s="25"/>
      <c r="C42" s="20"/>
      <c r="D42" s="20"/>
      <c r="E42" s="20"/>
      <c r="F42" s="20"/>
      <c r="G42" s="20"/>
      <c r="H42" s="20"/>
    </row>
    <row r="43" spans="1:8" x14ac:dyDescent="0.2">
      <c r="A43" s="25"/>
      <c r="B43" s="25"/>
      <c r="C43" s="20"/>
      <c r="D43" s="20"/>
      <c r="E43" s="20"/>
      <c r="F43" s="20"/>
      <c r="G43" s="20"/>
      <c r="H43" s="20"/>
    </row>
    <row r="44" spans="1:8" x14ac:dyDescent="0.2">
      <c r="A44" s="25"/>
      <c r="B44" s="25"/>
      <c r="C44" s="20"/>
      <c r="D44" s="20"/>
      <c r="E44" s="20"/>
      <c r="F44" s="20"/>
      <c r="G44" s="20"/>
      <c r="H44" s="20"/>
    </row>
    <row r="45" spans="1:8" x14ac:dyDescent="0.2">
      <c r="A45" s="25"/>
      <c r="B45" s="25"/>
      <c r="C45" s="20"/>
      <c r="D45" s="20"/>
      <c r="E45" s="20"/>
      <c r="F45" s="20"/>
      <c r="G45" s="20"/>
      <c r="H45" s="20"/>
    </row>
    <row r="46" spans="1:8" x14ac:dyDescent="0.2">
      <c r="A46" s="25"/>
      <c r="B46" s="25"/>
      <c r="C46" s="20"/>
      <c r="D46" s="20"/>
      <c r="E46" s="20"/>
      <c r="F46" s="20"/>
      <c r="G46" s="20"/>
      <c r="H46" s="20"/>
    </row>
    <row r="47" spans="1:8" x14ac:dyDescent="0.2">
      <c r="A47" s="25"/>
      <c r="B47" s="25"/>
      <c r="C47" s="20"/>
      <c r="D47" s="20"/>
      <c r="E47" s="20"/>
      <c r="F47" s="20"/>
      <c r="G47" s="20"/>
      <c r="H47" s="20"/>
    </row>
    <row r="48" spans="1:8" x14ac:dyDescent="0.2">
      <c r="A48" s="25"/>
      <c r="B48" s="25"/>
      <c r="C48" s="20"/>
      <c r="D48" s="20"/>
      <c r="E48" s="20"/>
      <c r="F48" s="20"/>
      <c r="G48" s="20"/>
      <c r="H48" s="20"/>
    </row>
    <row r="49" spans="1:8" x14ac:dyDescent="0.2">
      <c r="A49" s="25"/>
      <c r="B49" s="25"/>
      <c r="C49" s="20"/>
      <c r="D49" s="20"/>
      <c r="E49" s="20"/>
      <c r="F49" s="20"/>
      <c r="G49" s="20"/>
      <c r="H49" s="20"/>
    </row>
    <row r="50" spans="1:8" x14ac:dyDescent="0.2">
      <c r="A50" s="25"/>
      <c r="B50" s="25"/>
      <c r="C50" s="20"/>
      <c r="D50" s="20"/>
      <c r="E50" s="20"/>
      <c r="F50" s="20"/>
      <c r="G50" s="20"/>
      <c r="H50" s="20"/>
    </row>
    <row r="51" spans="1:8" x14ac:dyDescent="0.2">
      <c r="A51" s="25"/>
      <c r="B51" s="25"/>
      <c r="C51" s="20"/>
      <c r="D51" s="20"/>
      <c r="E51" s="20"/>
      <c r="F51" s="20"/>
      <c r="G51" s="20"/>
      <c r="H51" s="20"/>
    </row>
    <row r="52" spans="1:8" x14ac:dyDescent="0.2">
      <c r="A52" s="25"/>
      <c r="B52" s="25"/>
      <c r="C52" s="20"/>
      <c r="D52" s="20"/>
      <c r="E52" s="20"/>
      <c r="F52" s="20"/>
      <c r="G52" s="20"/>
      <c r="H52" s="20"/>
    </row>
    <row r="53" spans="1:8" x14ac:dyDescent="0.2">
      <c r="A53" s="25"/>
      <c r="B53" s="25"/>
      <c r="C53" s="20"/>
      <c r="D53" s="20"/>
      <c r="E53" s="20"/>
      <c r="F53" s="20"/>
      <c r="G53" s="20"/>
      <c r="H53" s="20"/>
    </row>
    <row r="54" spans="1:8" x14ac:dyDescent="0.2">
      <c r="A54" s="25"/>
      <c r="B54" s="25"/>
      <c r="C54" s="20"/>
      <c r="D54" s="20"/>
      <c r="E54" s="20"/>
      <c r="F54" s="20"/>
      <c r="G54" s="20"/>
      <c r="H54" s="20"/>
    </row>
    <row r="55" spans="1:8" x14ac:dyDescent="0.2">
      <c r="A55" s="25"/>
      <c r="B55" s="25"/>
      <c r="C55" s="20"/>
      <c r="D55" s="20"/>
      <c r="E55" s="20"/>
      <c r="F55" s="20"/>
      <c r="G55" s="20"/>
      <c r="H55" s="20"/>
    </row>
    <row r="56" spans="1:8" x14ac:dyDescent="0.2">
      <c r="A56" s="25"/>
      <c r="B56" s="25"/>
      <c r="C56" s="20"/>
      <c r="D56" s="20"/>
      <c r="E56" s="20"/>
      <c r="F56" s="20"/>
      <c r="G56" s="20"/>
      <c r="H56" s="20"/>
    </row>
    <row r="57" spans="1:8" x14ac:dyDescent="0.2">
      <c r="A57" s="25"/>
      <c r="B57" s="25"/>
      <c r="C57" s="20"/>
      <c r="D57" s="20"/>
      <c r="E57" s="20"/>
      <c r="F57" s="20"/>
      <c r="G57" s="20"/>
      <c r="H57" s="20"/>
    </row>
    <row r="58" spans="1:8" x14ac:dyDescent="0.2">
      <c r="A58" s="25"/>
      <c r="B58" s="25"/>
      <c r="C58" s="20"/>
      <c r="D58" s="20"/>
      <c r="E58" s="20"/>
      <c r="F58" s="20"/>
      <c r="G58" s="20"/>
      <c r="H58" s="20"/>
    </row>
    <row r="59" spans="1:8" x14ac:dyDescent="0.2">
      <c r="A59" s="25"/>
      <c r="B59" s="25"/>
      <c r="C59" s="20"/>
      <c r="D59" s="20"/>
      <c r="E59" s="20"/>
      <c r="F59" s="20"/>
      <c r="G59" s="20"/>
      <c r="H59" s="20"/>
    </row>
    <row r="60" spans="1:8" x14ac:dyDescent="0.2">
      <c r="A60" s="25"/>
      <c r="B60" s="25"/>
      <c r="C60" s="20"/>
      <c r="D60" s="20"/>
      <c r="E60" s="20"/>
      <c r="F60" s="20"/>
      <c r="G60" s="20"/>
      <c r="H60" s="20"/>
    </row>
    <row r="61" spans="1:8" x14ac:dyDescent="0.2">
      <c r="A61" s="25"/>
      <c r="B61" s="25"/>
      <c r="C61" s="20"/>
      <c r="D61" s="20"/>
      <c r="E61" s="20"/>
      <c r="F61" s="20"/>
      <c r="G61" s="20"/>
      <c r="H61" s="20"/>
    </row>
    <row r="62" spans="1:8" x14ac:dyDescent="0.2">
      <c r="A62" s="25"/>
      <c r="B62" s="25"/>
      <c r="C62" s="20"/>
      <c r="D62" s="20"/>
      <c r="E62" s="20"/>
      <c r="F62" s="20"/>
      <c r="G62" s="20"/>
      <c r="H62" s="20"/>
    </row>
    <row r="63" spans="1:8" x14ac:dyDescent="0.2">
      <c r="A63" s="25"/>
      <c r="B63" s="25"/>
      <c r="C63" s="20"/>
      <c r="D63" s="20"/>
      <c r="E63" s="20"/>
      <c r="F63" s="20"/>
      <c r="G63" s="20"/>
      <c r="H63" s="20"/>
    </row>
    <row r="64" spans="1:8" x14ac:dyDescent="0.2">
      <c r="A64" s="25"/>
      <c r="B64" s="25"/>
      <c r="C64" s="20"/>
      <c r="D64" s="20"/>
      <c r="E64" s="20"/>
      <c r="F64" s="20"/>
      <c r="G64" s="20"/>
      <c r="H64" s="20"/>
    </row>
    <row r="65" spans="1:8" x14ac:dyDescent="0.2">
      <c r="A65" s="25"/>
      <c r="B65" s="25"/>
      <c r="C65" s="20"/>
      <c r="D65" s="20"/>
      <c r="E65" s="20"/>
      <c r="F65" s="20"/>
      <c r="G65" s="20"/>
      <c r="H65" s="20"/>
    </row>
    <row r="66" spans="1:8" x14ac:dyDescent="0.2">
      <c r="A66" s="25"/>
      <c r="B66" s="25"/>
      <c r="C66" s="20"/>
      <c r="D66" s="20"/>
      <c r="E66" s="20"/>
      <c r="F66" s="20"/>
      <c r="G66" s="20"/>
      <c r="H66" s="20"/>
    </row>
    <row r="67" spans="1:8" x14ac:dyDescent="0.2">
      <c r="A67" s="25"/>
      <c r="B67" s="25"/>
      <c r="C67" s="20"/>
      <c r="D67" s="20"/>
      <c r="E67" s="20"/>
      <c r="F67" s="20"/>
      <c r="G67" s="20"/>
      <c r="H67" s="20"/>
    </row>
    <row r="68" spans="1:8" x14ac:dyDescent="0.2">
      <c r="A68" s="25"/>
      <c r="B68" s="25"/>
      <c r="C68" s="20"/>
      <c r="D68" s="20"/>
      <c r="E68" s="20"/>
      <c r="F68" s="20"/>
      <c r="G68" s="20"/>
      <c r="H68" s="20"/>
    </row>
    <row r="69" spans="1:8" x14ac:dyDescent="0.2">
      <c r="A69" s="25"/>
      <c r="B69" s="25"/>
      <c r="C69" s="20"/>
      <c r="D69" s="20"/>
      <c r="E69" s="20"/>
      <c r="F69" s="20"/>
      <c r="G69" s="20"/>
      <c r="H69" s="20"/>
    </row>
    <row r="70" spans="1:8" x14ac:dyDescent="0.2">
      <c r="D70" s="20"/>
      <c r="E70" s="20"/>
      <c r="F70" s="20"/>
      <c r="G70" s="20"/>
    </row>
    <row r="71" spans="1:8" x14ac:dyDescent="0.2">
      <c r="D71" s="20"/>
      <c r="E71" s="20"/>
      <c r="F71" s="20"/>
      <c r="G71" s="20"/>
    </row>
    <row r="72" spans="1:8" x14ac:dyDescent="0.2">
      <c r="D72" s="20"/>
      <c r="E72" s="20"/>
      <c r="F72" s="20"/>
      <c r="G72" s="20"/>
    </row>
    <row r="73" spans="1:8" x14ac:dyDescent="0.2">
      <c r="D73" s="20"/>
      <c r="E73" s="20"/>
      <c r="F73" s="20"/>
      <c r="G73" s="20"/>
    </row>
    <row r="74" spans="1:8" x14ac:dyDescent="0.2">
      <c r="D74" s="20"/>
      <c r="E74" s="20"/>
      <c r="F74" s="20"/>
      <c r="G74" s="20"/>
    </row>
    <row r="75" spans="1:8" x14ac:dyDescent="0.2">
      <c r="D75" s="20"/>
      <c r="E75" s="20"/>
      <c r="F75" s="20"/>
      <c r="G75" s="20"/>
    </row>
    <row r="76" spans="1:8" x14ac:dyDescent="0.2">
      <c r="D76" s="20"/>
      <c r="E76" s="20"/>
      <c r="F76" s="20"/>
      <c r="G76" s="20"/>
    </row>
  </sheetData>
  <mergeCells count="1">
    <mergeCell ref="A1:C1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G5" sqref="G5"/>
    </sheetView>
  </sheetViews>
  <sheetFormatPr defaultRowHeight="12.75" x14ac:dyDescent="0.2"/>
  <cols>
    <col min="1" max="1" width="10.42578125" customWidth="1"/>
    <col min="2" max="2" width="15.85546875" customWidth="1"/>
    <col min="3" max="3" width="13.42578125" bestFit="1" customWidth="1"/>
    <col min="4" max="4" width="14.140625" bestFit="1" customWidth="1"/>
    <col min="5" max="5" width="13.42578125" bestFit="1" customWidth="1"/>
    <col min="6" max="6" width="14.7109375" bestFit="1" customWidth="1"/>
    <col min="7" max="7" width="14.28515625" customWidth="1"/>
    <col min="8" max="8" width="14.7109375" bestFit="1" customWidth="1"/>
    <col min="9" max="9" width="16" bestFit="1" customWidth="1"/>
  </cols>
  <sheetData>
    <row r="1" spans="1:7" x14ac:dyDescent="0.2">
      <c r="A1" s="115" t="s">
        <v>41</v>
      </c>
      <c r="B1" s="115"/>
    </row>
    <row r="2" spans="1:7" x14ac:dyDescent="0.2">
      <c r="A2" t="s">
        <v>31</v>
      </c>
      <c r="B2" s="19">
        <v>259212085</v>
      </c>
      <c r="D2" t="s">
        <v>88</v>
      </c>
      <c r="E2" s="25">
        <f>+Summary!C5</f>
        <v>37161</v>
      </c>
      <c r="F2" t="s">
        <v>36</v>
      </c>
      <c r="G2" s="28">
        <f>VLOOKUP(E2,Lg_Pay2,6)</f>
        <v>278616097.95495296</v>
      </c>
    </row>
    <row r="3" spans="1:7" x14ac:dyDescent="0.2">
      <c r="A3" t="s">
        <v>32</v>
      </c>
      <c r="B3" s="21">
        <v>7.2499999999999995E-2</v>
      </c>
      <c r="D3" t="s">
        <v>126</v>
      </c>
      <c r="E3" s="25">
        <f>VLOOKUP(E2,Lg_Pay2,1)</f>
        <v>37161</v>
      </c>
      <c r="F3" t="s">
        <v>129</v>
      </c>
      <c r="G3" s="28">
        <f>+E5*B3/360*E4</f>
        <v>0</v>
      </c>
    </row>
    <row r="4" spans="1:7" ht="13.5" thickBot="1" x14ac:dyDescent="0.25">
      <c r="B4" s="23"/>
      <c r="D4" t="s">
        <v>127</v>
      </c>
      <c r="E4" s="27">
        <f>E2-E3</f>
        <v>0</v>
      </c>
      <c r="G4" s="17">
        <f>G2+G3</f>
        <v>278616097.95495296</v>
      </c>
    </row>
    <row r="5" spans="1:7" ht="13.5" thickTop="1" x14ac:dyDescent="0.2">
      <c r="B5" s="24"/>
      <c r="D5" t="s">
        <v>36</v>
      </c>
      <c r="E5" s="28">
        <f>VLOOKUP(E2,Lg_Pay2,2)</f>
        <v>268660725.51503474</v>
      </c>
      <c r="F5" t="s">
        <v>131</v>
      </c>
      <c r="G5" s="28">
        <f>VLOOKUP(E2,Lg_Pay2,7)+G3</f>
        <v>19404012.954952952</v>
      </c>
    </row>
    <row r="7" spans="1:7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G7" s="18" t="s">
        <v>40</v>
      </c>
    </row>
    <row r="8" spans="1:7" x14ac:dyDescent="0.2">
      <c r="A8" s="25">
        <v>36796</v>
      </c>
      <c r="B8" s="20">
        <f>B2</f>
        <v>259212085</v>
      </c>
      <c r="C8" s="20"/>
      <c r="D8" s="20"/>
      <c r="E8" s="20"/>
      <c r="F8" s="20">
        <f t="shared" ref="F8:F18" si="0">B8-E8</f>
        <v>259212085</v>
      </c>
      <c r="G8" s="20">
        <f>D8</f>
        <v>0</v>
      </c>
    </row>
    <row r="9" spans="1:7" x14ac:dyDescent="0.2">
      <c r="A9" s="25">
        <f>+A8+181</f>
        <v>36977</v>
      </c>
      <c r="B9" s="20">
        <f t="shared" ref="B9:B18" si="1">F8</f>
        <v>259212085</v>
      </c>
      <c r="C9" s="20"/>
      <c r="D9" s="20">
        <f>B9*$B$3/360*(A9-A8)</f>
        <v>9448640.5150347222</v>
      </c>
      <c r="E9" s="20">
        <f t="shared" ref="E9:E18" si="2">C9-D9</f>
        <v>-9448640.5150347222</v>
      </c>
      <c r="F9" s="20">
        <f t="shared" si="0"/>
        <v>268660725.51503474</v>
      </c>
      <c r="G9" s="20">
        <f t="shared" ref="G9:G18" si="3">G8+D9</f>
        <v>9448640.5150347222</v>
      </c>
    </row>
    <row r="10" spans="1:7" x14ac:dyDescent="0.2">
      <c r="A10" s="25">
        <f>+A9+184</f>
        <v>37161</v>
      </c>
      <c r="B10" s="20">
        <f t="shared" si="1"/>
        <v>268660725.51503474</v>
      </c>
      <c r="C10" s="26"/>
      <c r="D10" s="20">
        <f t="shared" ref="D10:D18" si="4">B10*$B$3/360*(A10-A9)</f>
        <v>9955372.4399182294</v>
      </c>
      <c r="E10" s="20">
        <f t="shared" si="2"/>
        <v>-9955372.4399182294</v>
      </c>
      <c r="F10" s="20">
        <f t="shared" si="0"/>
        <v>278616097.95495296</v>
      </c>
      <c r="G10" s="20">
        <f t="shared" si="3"/>
        <v>19404012.954952952</v>
      </c>
    </row>
    <row r="11" spans="1:7" x14ac:dyDescent="0.2">
      <c r="A11" s="25">
        <f>+A10+181</f>
        <v>37342</v>
      </c>
      <c r="B11" s="20">
        <f t="shared" si="1"/>
        <v>278616097.95495296</v>
      </c>
      <c r="C11" s="20"/>
      <c r="D11" s="20">
        <f t="shared" si="4"/>
        <v>10155943.737260748</v>
      </c>
      <c r="E11" s="20">
        <f t="shared" si="2"/>
        <v>-10155943.737260748</v>
      </c>
      <c r="F11" s="20">
        <f t="shared" si="0"/>
        <v>288772041.69221371</v>
      </c>
      <c r="G11" s="20">
        <f t="shared" si="3"/>
        <v>29559956.692213699</v>
      </c>
    </row>
    <row r="12" spans="1:7" x14ac:dyDescent="0.2">
      <c r="A12" s="25">
        <f>+A11+184</f>
        <v>37526</v>
      </c>
      <c r="B12" s="20">
        <f t="shared" si="1"/>
        <v>288772041.69221371</v>
      </c>
      <c r="C12" s="20"/>
      <c r="D12" s="20">
        <f t="shared" si="4"/>
        <v>10700608.433817029</v>
      </c>
      <c r="E12" s="20">
        <f t="shared" si="2"/>
        <v>-10700608.433817029</v>
      </c>
      <c r="F12" s="20">
        <f t="shared" si="0"/>
        <v>299472650.12603074</v>
      </c>
      <c r="G12" s="20">
        <f t="shared" si="3"/>
        <v>40260565.126030728</v>
      </c>
    </row>
    <row r="13" spans="1:7" x14ac:dyDescent="0.2">
      <c r="A13" s="25">
        <f>+A12+181</f>
        <v>37707</v>
      </c>
      <c r="B13" s="20">
        <f t="shared" si="1"/>
        <v>299472650.12603074</v>
      </c>
      <c r="C13" s="20"/>
      <c r="D13" s="20">
        <f t="shared" si="4"/>
        <v>10916194.031330107</v>
      </c>
      <c r="E13" s="20">
        <f t="shared" si="2"/>
        <v>-10916194.031330107</v>
      </c>
      <c r="F13" s="20">
        <f t="shared" si="0"/>
        <v>310388844.15736085</v>
      </c>
      <c r="G13" s="20">
        <f t="shared" si="3"/>
        <v>51176759.157360837</v>
      </c>
    </row>
    <row r="14" spans="1:7" x14ac:dyDescent="0.2">
      <c r="A14" s="25">
        <f>+A13+184</f>
        <v>37891</v>
      </c>
      <c r="B14" s="20">
        <f t="shared" si="1"/>
        <v>310388844.15736085</v>
      </c>
      <c r="C14" s="20"/>
      <c r="D14" s="20">
        <f t="shared" si="4"/>
        <v>11501631.05849776</v>
      </c>
      <c r="E14" s="20">
        <f t="shared" si="2"/>
        <v>-11501631.05849776</v>
      </c>
      <c r="F14" s="20">
        <f t="shared" si="0"/>
        <v>321890475.21585864</v>
      </c>
      <c r="G14" s="20">
        <f t="shared" si="3"/>
        <v>62678390.215858594</v>
      </c>
    </row>
    <row r="15" spans="1:7" x14ac:dyDescent="0.2">
      <c r="A15" s="25">
        <f>+A14+182</f>
        <v>38073</v>
      </c>
      <c r="B15" s="20">
        <f t="shared" si="1"/>
        <v>321890475.21585864</v>
      </c>
      <c r="C15" s="20"/>
      <c r="D15" s="20">
        <f t="shared" si="4"/>
        <v>11798180.056870151</v>
      </c>
      <c r="E15" s="20">
        <f t="shared" si="2"/>
        <v>-11798180.056870151</v>
      </c>
      <c r="F15" s="20">
        <f t="shared" si="0"/>
        <v>333688655.2727288</v>
      </c>
      <c r="G15" s="20">
        <f t="shared" si="3"/>
        <v>74476570.272728741</v>
      </c>
    </row>
    <row r="16" spans="1:7" x14ac:dyDescent="0.2">
      <c r="A16" s="25">
        <f>+A15+184</f>
        <v>38257</v>
      </c>
      <c r="B16" s="20">
        <f t="shared" si="1"/>
        <v>333688655.2727288</v>
      </c>
      <c r="C16" s="20"/>
      <c r="D16" s="20">
        <f t="shared" si="4"/>
        <v>12365018.503717227</v>
      </c>
      <c r="E16" s="20">
        <f t="shared" si="2"/>
        <v>-12365018.503717227</v>
      </c>
      <c r="F16" s="20">
        <f t="shared" si="0"/>
        <v>346053673.77644604</v>
      </c>
      <c r="G16" s="20">
        <f t="shared" si="3"/>
        <v>86841588.77644597</v>
      </c>
    </row>
    <row r="17" spans="1:7" x14ac:dyDescent="0.2">
      <c r="A17" s="25">
        <f>+A16+181</f>
        <v>38438</v>
      </c>
      <c r="B17" s="20">
        <f t="shared" si="1"/>
        <v>346053673.77644604</v>
      </c>
      <c r="C17" s="20"/>
      <c r="D17" s="20">
        <f t="shared" si="4"/>
        <v>12614137.039253924</v>
      </c>
      <c r="E17" s="20">
        <f t="shared" si="2"/>
        <v>-12614137.039253924</v>
      </c>
      <c r="F17" s="20">
        <f t="shared" si="0"/>
        <v>358667810.81569999</v>
      </c>
      <c r="G17" s="20">
        <f t="shared" si="3"/>
        <v>99455725.81569989</v>
      </c>
    </row>
    <row r="18" spans="1:7" x14ac:dyDescent="0.2">
      <c r="A18" s="25">
        <f>+A17+184</f>
        <v>38622</v>
      </c>
      <c r="B18" s="20">
        <f t="shared" si="1"/>
        <v>358667810.81569999</v>
      </c>
      <c r="C18" s="20">
        <f>B18+D18</f>
        <v>371958445.80537063</v>
      </c>
      <c r="D18" s="20">
        <f t="shared" si="4"/>
        <v>13290634.98967066</v>
      </c>
      <c r="E18" s="20">
        <f t="shared" si="2"/>
        <v>358667810.81569999</v>
      </c>
      <c r="F18" s="20">
        <f t="shared" si="0"/>
        <v>0</v>
      </c>
      <c r="G18" s="20">
        <f t="shared" si="3"/>
        <v>112746360.80537055</v>
      </c>
    </row>
    <row r="19" spans="1:7" x14ac:dyDescent="0.2">
      <c r="A19" s="25"/>
      <c r="B19" s="20"/>
      <c r="C19" s="20"/>
      <c r="D19" s="20"/>
      <c r="E19" s="20"/>
      <c r="F19" s="20"/>
    </row>
    <row r="20" spans="1:7" x14ac:dyDescent="0.2">
      <c r="A20" s="25"/>
      <c r="B20" s="20"/>
      <c r="C20" s="20"/>
      <c r="D20" s="20"/>
      <c r="E20" s="20"/>
      <c r="F20" s="20"/>
    </row>
    <row r="21" spans="1:7" x14ac:dyDescent="0.2">
      <c r="A21" s="25"/>
      <c r="B21" s="20"/>
      <c r="C21" s="20"/>
      <c r="D21" s="20"/>
      <c r="E21" s="20"/>
      <c r="F21" s="20"/>
    </row>
    <row r="22" spans="1:7" x14ac:dyDescent="0.2">
      <c r="A22" s="25"/>
      <c r="B22" s="20"/>
      <c r="C22" s="20"/>
      <c r="D22" s="20"/>
      <c r="E22" s="20"/>
      <c r="F22" s="20"/>
    </row>
    <row r="23" spans="1:7" x14ac:dyDescent="0.2">
      <c r="A23" s="25"/>
      <c r="B23" s="20"/>
      <c r="C23" s="20"/>
      <c r="D23" s="20"/>
      <c r="E23" s="20"/>
      <c r="F23" s="20"/>
    </row>
    <row r="24" spans="1:7" x14ac:dyDescent="0.2">
      <c r="A24" s="25"/>
      <c r="B24" s="20"/>
      <c r="C24" s="20"/>
      <c r="D24" s="20"/>
      <c r="E24" s="20"/>
      <c r="F24" s="20"/>
    </row>
    <row r="25" spans="1:7" x14ac:dyDescent="0.2">
      <c r="A25" s="25"/>
      <c r="B25" s="20"/>
      <c r="C25" s="20"/>
      <c r="D25" s="20"/>
      <c r="E25" s="20"/>
      <c r="F25" s="20"/>
    </row>
    <row r="26" spans="1:7" x14ac:dyDescent="0.2">
      <c r="A26" s="25"/>
      <c r="B26" s="20"/>
      <c r="C26" s="20"/>
      <c r="D26" s="20"/>
      <c r="E26" s="20"/>
      <c r="F26" s="20"/>
    </row>
    <row r="27" spans="1:7" x14ac:dyDescent="0.2">
      <c r="A27" s="25"/>
      <c r="B27" s="20"/>
      <c r="C27" s="20"/>
      <c r="D27" s="20"/>
      <c r="E27" s="20"/>
      <c r="F27" s="20"/>
    </row>
    <row r="28" spans="1:7" x14ac:dyDescent="0.2">
      <c r="A28" s="25"/>
      <c r="B28" s="20"/>
      <c r="C28" s="20"/>
      <c r="D28" s="20"/>
      <c r="E28" s="20"/>
      <c r="F28" s="20"/>
    </row>
    <row r="29" spans="1:7" x14ac:dyDescent="0.2">
      <c r="A29" s="25"/>
      <c r="B29" s="20"/>
      <c r="C29" s="20"/>
      <c r="D29" s="20"/>
      <c r="E29" s="20"/>
      <c r="F29" s="20"/>
    </row>
    <row r="30" spans="1:7" x14ac:dyDescent="0.2">
      <c r="A30" s="25"/>
      <c r="B30" s="20"/>
      <c r="C30" s="20"/>
      <c r="D30" s="20"/>
      <c r="E30" s="20"/>
      <c r="F30" s="20"/>
    </row>
    <row r="31" spans="1:7" x14ac:dyDescent="0.2">
      <c r="A31" s="25"/>
      <c r="B31" s="20"/>
      <c r="C31" s="20"/>
      <c r="D31" s="20"/>
      <c r="E31" s="20"/>
      <c r="F31" s="20"/>
    </row>
    <row r="32" spans="1:7" x14ac:dyDescent="0.2">
      <c r="A32" s="25"/>
      <c r="B32" s="20"/>
      <c r="C32" s="20"/>
      <c r="D32" s="20"/>
      <c r="E32" s="20"/>
      <c r="F32" s="20"/>
    </row>
    <row r="33" spans="1:6" x14ac:dyDescent="0.2">
      <c r="A33" s="25"/>
      <c r="B33" s="20"/>
      <c r="C33" s="20"/>
      <c r="D33" s="20"/>
      <c r="E33" s="20"/>
      <c r="F33" s="20"/>
    </row>
    <row r="34" spans="1:6" x14ac:dyDescent="0.2">
      <c r="A34" s="25"/>
      <c r="B34" s="20"/>
      <c r="C34" s="20"/>
      <c r="D34" s="20"/>
      <c r="E34" s="20"/>
      <c r="F34" s="20"/>
    </row>
    <row r="35" spans="1:6" x14ac:dyDescent="0.2">
      <c r="A35" s="25"/>
      <c r="B35" s="20"/>
      <c r="C35" s="20"/>
      <c r="D35" s="20"/>
      <c r="E35" s="20"/>
      <c r="F35" s="20"/>
    </row>
    <row r="36" spans="1:6" x14ac:dyDescent="0.2">
      <c r="A36" s="25"/>
      <c r="B36" s="20"/>
      <c r="C36" s="20"/>
      <c r="D36" s="20"/>
      <c r="E36" s="20"/>
      <c r="F36" s="20"/>
    </row>
    <row r="37" spans="1:6" x14ac:dyDescent="0.2">
      <c r="A37" s="25"/>
      <c r="B37" s="20"/>
      <c r="C37" s="20"/>
      <c r="D37" s="20"/>
      <c r="E37" s="20"/>
      <c r="F37" s="20"/>
    </row>
    <row r="38" spans="1:6" x14ac:dyDescent="0.2">
      <c r="A38" s="25"/>
      <c r="B38" s="20"/>
      <c r="C38" s="20"/>
      <c r="D38" s="20"/>
      <c r="E38" s="20"/>
      <c r="F38" s="20"/>
    </row>
    <row r="39" spans="1:6" x14ac:dyDescent="0.2">
      <c r="A39" s="25"/>
      <c r="B39" s="20"/>
      <c r="C39" s="20"/>
      <c r="D39" s="20"/>
      <c r="E39" s="20"/>
      <c r="F39" s="20"/>
    </row>
    <row r="40" spans="1:6" x14ac:dyDescent="0.2">
      <c r="A40" s="25"/>
      <c r="B40" s="20"/>
      <c r="C40" s="20"/>
      <c r="D40" s="20"/>
      <c r="E40" s="20"/>
      <c r="F40" s="20"/>
    </row>
    <row r="41" spans="1:6" x14ac:dyDescent="0.2">
      <c r="A41" s="25"/>
      <c r="B41" s="20"/>
      <c r="C41" s="20"/>
      <c r="D41" s="20"/>
      <c r="E41" s="20"/>
      <c r="F41" s="20"/>
    </row>
    <row r="42" spans="1:6" x14ac:dyDescent="0.2">
      <c r="A42" s="25"/>
      <c r="B42" s="20"/>
      <c r="C42" s="20"/>
      <c r="D42" s="20"/>
      <c r="E42" s="20"/>
      <c r="F42" s="20"/>
    </row>
    <row r="43" spans="1:6" x14ac:dyDescent="0.2">
      <c r="A43" s="25"/>
      <c r="B43" s="20"/>
      <c r="C43" s="20"/>
      <c r="D43" s="20"/>
      <c r="E43" s="20"/>
      <c r="F43" s="20"/>
    </row>
    <row r="44" spans="1:6" x14ac:dyDescent="0.2">
      <c r="A44" s="25"/>
      <c r="B44" s="20"/>
      <c r="C44" s="20"/>
      <c r="D44" s="20"/>
      <c r="E44" s="20"/>
      <c r="F44" s="20"/>
    </row>
    <row r="45" spans="1:6" x14ac:dyDescent="0.2">
      <c r="A45" s="25"/>
      <c r="B45" s="20"/>
      <c r="C45" s="20"/>
      <c r="D45" s="20"/>
      <c r="E45" s="20"/>
      <c r="F45" s="20"/>
    </row>
    <row r="46" spans="1:6" x14ac:dyDescent="0.2">
      <c r="A46" s="25"/>
      <c r="B46" s="20"/>
      <c r="C46" s="20"/>
      <c r="D46" s="20"/>
      <c r="E46" s="20"/>
      <c r="F46" s="20"/>
    </row>
    <row r="47" spans="1:6" x14ac:dyDescent="0.2">
      <c r="A47" s="25"/>
      <c r="B47" s="20"/>
      <c r="C47" s="20"/>
      <c r="D47" s="20"/>
      <c r="E47" s="20"/>
      <c r="F47" s="20"/>
    </row>
    <row r="48" spans="1:6" x14ac:dyDescent="0.2">
      <c r="A48" s="25"/>
      <c r="B48" s="20"/>
      <c r="C48" s="20"/>
      <c r="D48" s="20"/>
      <c r="E48" s="20"/>
      <c r="F48" s="20"/>
    </row>
    <row r="49" spans="1:6" x14ac:dyDescent="0.2">
      <c r="A49" s="25"/>
      <c r="B49" s="20"/>
      <c r="C49" s="20"/>
      <c r="D49" s="20"/>
      <c r="E49" s="20"/>
      <c r="F49" s="20"/>
    </row>
    <row r="50" spans="1:6" x14ac:dyDescent="0.2">
      <c r="A50" s="25"/>
      <c r="B50" s="20"/>
      <c r="C50" s="20"/>
      <c r="D50" s="20"/>
      <c r="E50" s="20"/>
      <c r="F50" s="20"/>
    </row>
    <row r="51" spans="1:6" x14ac:dyDescent="0.2">
      <c r="A51" s="25"/>
      <c r="B51" s="20"/>
      <c r="C51" s="20"/>
      <c r="D51" s="20"/>
      <c r="E51" s="20"/>
      <c r="F51" s="20"/>
    </row>
    <row r="52" spans="1:6" x14ac:dyDescent="0.2">
      <c r="A52" s="25"/>
      <c r="B52" s="20"/>
      <c r="C52" s="20"/>
      <c r="D52" s="20"/>
      <c r="E52" s="20"/>
      <c r="F52" s="20"/>
    </row>
    <row r="53" spans="1:6" x14ac:dyDescent="0.2">
      <c r="A53" s="25"/>
      <c r="B53" s="20"/>
      <c r="C53" s="20"/>
      <c r="D53" s="20"/>
      <c r="E53" s="20"/>
      <c r="F53" s="20"/>
    </row>
    <row r="54" spans="1:6" x14ac:dyDescent="0.2">
      <c r="A54" s="25"/>
      <c r="B54" s="20"/>
      <c r="C54" s="20"/>
      <c r="D54" s="20"/>
      <c r="E54" s="20"/>
      <c r="F54" s="20"/>
    </row>
    <row r="55" spans="1:6" x14ac:dyDescent="0.2">
      <c r="A55" s="25"/>
      <c r="B55" s="20"/>
      <c r="C55" s="20"/>
      <c r="D55" s="20"/>
      <c r="E55" s="20"/>
      <c r="F55" s="20"/>
    </row>
    <row r="56" spans="1:6" x14ac:dyDescent="0.2">
      <c r="A56" s="25"/>
      <c r="B56" s="20"/>
      <c r="C56" s="20"/>
      <c r="D56" s="20"/>
      <c r="E56" s="20"/>
      <c r="F56" s="20"/>
    </row>
    <row r="57" spans="1:6" x14ac:dyDescent="0.2">
      <c r="A57" s="25"/>
      <c r="B57" s="20"/>
      <c r="C57" s="20"/>
      <c r="D57" s="20"/>
      <c r="E57" s="20"/>
      <c r="F57" s="20"/>
    </row>
    <row r="58" spans="1:6" x14ac:dyDescent="0.2">
      <c r="A58" s="25"/>
      <c r="B58" s="20"/>
      <c r="C58" s="20"/>
      <c r="D58" s="20"/>
      <c r="E58" s="20"/>
      <c r="F58" s="20"/>
    </row>
    <row r="59" spans="1:6" x14ac:dyDescent="0.2">
      <c r="A59" s="25"/>
      <c r="B59" s="20"/>
      <c r="C59" s="20"/>
      <c r="D59" s="20"/>
      <c r="E59" s="20"/>
      <c r="F59" s="20"/>
    </row>
    <row r="60" spans="1:6" x14ac:dyDescent="0.2">
      <c r="A60" s="25"/>
      <c r="B60" s="20"/>
      <c r="C60" s="20"/>
      <c r="D60" s="20"/>
      <c r="E60" s="20"/>
      <c r="F60" s="20"/>
    </row>
    <row r="61" spans="1:6" x14ac:dyDescent="0.2">
      <c r="A61" s="25"/>
      <c r="B61" s="20"/>
      <c r="C61" s="20"/>
      <c r="D61" s="20"/>
      <c r="E61" s="20"/>
      <c r="F61" s="20"/>
    </row>
    <row r="62" spans="1:6" x14ac:dyDescent="0.2">
      <c r="A62" s="25"/>
      <c r="B62" s="20"/>
      <c r="C62" s="20"/>
      <c r="D62" s="20"/>
      <c r="E62" s="20"/>
      <c r="F62" s="20"/>
    </row>
    <row r="63" spans="1:6" x14ac:dyDescent="0.2">
      <c r="A63" s="25"/>
      <c r="B63" s="20"/>
      <c r="C63" s="20"/>
      <c r="D63" s="20"/>
      <c r="E63" s="20"/>
      <c r="F63" s="20"/>
    </row>
    <row r="64" spans="1:6" x14ac:dyDescent="0.2">
      <c r="A64" s="25"/>
      <c r="B64" s="20"/>
      <c r="C64" s="20"/>
      <c r="D64" s="20"/>
      <c r="E64" s="20"/>
      <c r="F64" s="20"/>
    </row>
    <row r="65" spans="1:6" x14ac:dyDescent="0.2">
      <c r="A65" s="25"/>
      <c r="B65" s="20"/>
      <c r="C65" s="20"/>
      <c r="D65" s="20"/>
      <c r="E65" s="20"/>
      <c r="F65" s="20"/>
    </row>
    <row r="66" spans="1:6" x14ac:dyDescent="0.2">
      <c r="A66" s="25"/>
      <c r="B66" s="20"/>
      <c r="C66" s="20"/>
      <c r="D66" s="20"/>
      <c r="E66" s="20"/>
      <c r="F66" s="20"/>
    </row>
    <row r="67" spans="1:6" x14ac:dyDescent="0.2">
      <c r="A67" s="25"/>
      <c r="B67" s="20"/>
      <c r="C67" s="20"/>
      <c r="D67" s="20"/>
      <c r="E67" s="20"/>
      <c r="F67" s="20"/>
    </row>
    <row r="68" spans="1:6" x14ac:dyDescent="0.2">
      <c r="A68" s="25"/>
      <c r="B68" s="20"/>
      <c r="C68" s="20"/>
      <c r="D68" s="20"/>
      <c r="E68" s="20"/>
      <c r="F68" s="20"/>
    </row>
    <row r="69" spans="1:6" x14ac:dyDescent="0.2">
      <c r="C69" s="20"/>
      <c r="D69" s="20"/>
      <c r="E69" s="20"/>
      <c r="F69" s="20"/>
    </row>
    <row r="70" spans="1:6" x14ac:dyDescent="0.2">
      <c r="C70" s="20"/>
      <c r="D70" s="20"/>
      <c r="E70" s="20"/>
      <c r="F70" s="20"/>
    </row>
    <row r="71" spans="1:6" x14ac:dyDescent="0.2">
      <c r="C71" s="20"/>
      <c r="D71" s="20"/>
      <c r="E71" s="20"/>
      <c r="F71" s="20"/>
    </row>
    <row r="72" spans="1:6" x14ac:dyDescent="0.2">
      <c r="C72" s="20"/>
      <c r="D72" s="20"/>
      <c r="E72" s="20"/>
      <c r="F72" s="20"/>
    </row>
    <row r="73" spans="1:6" x14ac:dyDescent="0.2">
      <c r="C73" s="20"/>
      <c r="D73" s="20"/>
      <c r="E73" s="20"/>
      <c r="F73" s="20"/>
    </row>
    <row r="74" spans="1:6" x14ac:dyDescent="0.2">
      <c r="C74" s="20"/>
      <c r="D74" s="20"/>
      <c r="E74" s="20"/>
      <c r="F74" s="20"/>
    </row>
    <row r="75" spans="1:6" x14ac:dyDescent="0.2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zoomScaleNormal="100" workbookViewId="0">
      <pane ySplit="7" topLeftCell="A8" activePane="bottomLeft" state="frozenSplit"/>
      <selection activeCell="A8" sqref="A8"/>
      <selection pane="bottomLeft" activeCell="A18" sqref="A18"/>
    </sheetView>
  </sheetViews>
  <sheetFormatPr defaultRowHeight="12.75" x14ac:dyDescent="0.2"/>
  <cols>
    <col min="1" max="1" width="12.28515625" customWidth="1"/>
    <col min="2" max="2" width="14.85546875" customWidth="1"/>
    <col min="3" max="3" width="13.28515625" bestFit="1" customWidth="1"/>
    <col min="4" max="4" width="11.28515625" customWidth="1"/>
    <col min="5" max="5" width="14.140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115" t="s">
        <v>39</v>
      </c>
      <c r="B1" s="115"/>
      <c r="E1" t="s">
        <v>88</v>
      </c>
      <c r="F1" s="25">
        <f>'Credit Analysis'!B3</f>
        <v>37161</v>
      </c>
      <c r="I1" t="s">
        <v>36</v>
      </c>
      <c r="J1" s="28">
        <f>VLOOKUP(F1,Small_Payable,6)</f>
        <v>53820312.5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37161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0</v>
      </c>
      <c r="J3" s="17">
        <f>J1+J2</f>
        <v>53820312.5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1945312.5</v>
      </c>
      <c r="I4" t="s">
        <v>131</v>
      </c>
      <c r="J4" s="28">
        <f>VLOOKUP(F1,Small_Payable,8)+J2</f>
        <v>3820312.5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36796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36977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37161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37342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37526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37707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37891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38073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38257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38438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38622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5" sqref="C15"/>
    </sheetView>
  </sheetViews>
  <sheetFormatPr defaultRowHeight="12.75" x14ac:dyDescent="0.2"/>
  <cols>
    <col min="1" max="3" width="13.42578125" customWidth="1"/>
    <col min="4" max="4" width="16.5703125" customWidth="1"/>
    <col min="5" max="6" width="13.42578125" customWidth="1"/>
    <col min="8" max="8" width="15" bestFit="1" customWidth="1"/>
    <col min="9" max="9" width="16" bestFit="1" customWidth="1"/>
    <col min="10" max="10" width="14.5703125" customWidth="1"/>
  </cols>
  <sheetData>
    <row r="1" spans="1:9" x14ac:dyDescent="0.2">
      <c r="A1" s="1" t="s">
        <v>0</v>
      </c>
      <c r="B1" s="2"/>
    </row>
    <row r="2" spans="1:9" x14ac:dyDescent="0.2">
      <c r="A2" s="1" t="s">
        <v>1</v>
      </c>
      <c r="B2" s="2"/>
    </row>
    <row r="3" spans="1:9" x14ac:dyDescent="0.2">
      <c r="A3" s="3">
        <v>36796</v>
      </c>
      <c r="B3" s="2"/>
    </row>
    <row r="4" spans="1:9" x14ac:dyDescent="0.2">
      <c r="A4" s="3"/>
      <c r="B4" s="2"/>
    </row>
    <row r="5" spans="1:9" x14ac:dyDescent="0.2">
      <c r="A5" s="3" t="s">
        <v>43</v>
      </c>
      <c r="B5" s="2"/>
      <c r="C5" s="27">
        <v>120600</v>
      </c>
      <c r="D5" s="27">
        <f>C5*C8</f>
        <v>24120000</v>
      </c>
    </row>
    <row r="6" spans="1:9" x14ac:dyDescent="0.2">
      <c r="A6" s="3" t="s">
        <v>42</v>
      </c>
      <c r="B6" s="2"/>
      <c r="C6" s="28">
        <v>2149.5500000000002</v>
      </c>
      <c r="D6" s="63">
        <f>C6/C8</f>
        <v>10.747750000000002</v>
      </c>
    </row>
    <row r="7" spans="1:9" x14ac:dyDescent="0.2">
      <c r="A7" s="3" t="s">
        <v>107</v>
      </c>
      <c r="B7" s="2"/>
      <c r="C7" s="29">
        <f>D7*C8</f>
        <v>4200</v>
      </c>
      <c r="D7" s="63">
        <v>21</v>
      </c>
      <c r="H7" s="47"/>
    </row>
    <row r="8" spans="1:9" x14ac:dyDescent="0.2">
      <c r="A8" s="3" t="s">
        <v>44</v>
      </c>
      <c r="B8" s="2"/>
      <c r="C8" s="27">
        <v>200</v>
      </c>
      <c r="I8" s="48"/>
    </row>
    <row r="9" spans="1:9" x14ac:dyDescent="0.2">
      <c r="A9" s="3" t="s">
        <v>46</v>
      </c>
      <c r="B9" s="2"/>
      <c r="C9" s="27">
        <v>90042</v>
      </c>
      <c r="D9" s="27">
        <f>C9*C8</f>
        <v>18008400</v>
      </c>
    </row>
    <row r="10" spans="1:9" x14ac:dyDescent="0.2">
      <c r="B10" s="2"/>
    </row>
    <row r="11" spans="1:9" x14ac:dyDescent="0.2">
      <c r="A11" t="s">
        <v>2</v>
      </c>
      <c r="B11" s="2"/>
    </row>
    <row r="12" spans="1:9" x14ac:dyDescent="0.2">
      <c r="B12" s="2"/>
    </row>
    <row r="13" spans="1:9" ht="13.5" thickBot="1" x14ac:dyDescent="0.25">
      <c r="B13" s="114" t="s">
        <v>3</v>
      </c>
      <c r="C13" s="114"/>
      <c r="E13" s="114" t="s">
        <v>4</v>
      </c>
      <c r="F13" s="114"/>
    </row>
    <row r="14" spans="1:9" x14ac:dyDescent="0.2">
      <c r="B14" s="2" t="s">
        <v>5</v>
      </c>
      <c r="C14" s="4">
        <f>30001000-C17</f>
        <v>30001000</v>
      </c>
      <c r="E14" t="s">
        <v>6</v>
      </c>
      <c r="F14" s="5">
        <v>259212085</v>
      </c>
      <c r="H14" s="47"/>
    </row>
    <row r="15" spans="1:9" x14ac:dyDescent="0.2">
      <c r="B15" s="2" t="s">
        <v>7</v>
      </c>
      <c r="C15" s="5">
        <f>ROUND(C5*C6,0)</f>
        <v>259235730</v>
      </c>
      <c r="D15" s="48"/>
      <c r="E15" t="s">
        <v>6</v>
      </c>
      <c r="F15" s="5">
        <f>C16</f>
        <v>50000000</v>
      </c>
    </row>
    <row r="16" spans="1:9" x14ac:dyDescent="0.2">
      <c r="B16" s="2" t="s">
        <v>8</v>
      </c>
      <c r="C16" s="5">
        <v>50000000</v>
      </c>
      <c r="E16" t="s">
        <v>9</v>
      </c>
      <c r="F16" s="5">
        <f>+C15-F14</f>
        <v>23645</v>
      </c>
      <c r="H16" s="47"/>
    </row>
    <row r="17" spans="2:10" x14ac:dyDescent="0.2">
      <c r="B17" s="2"/>
      <c r="C17" s="5"/>
      <c r="E17" t="s">
        <v>10</v>
      </c>
      <c r="F17" s="5">
        <v>30000000</v>
      </c>
      <c r="J17" s="47"/>
    </row>
    <row r="18" spans="2:10" x14ac:dyDescent="0.2">
      <c r="B18" s="2"/>
      <c r="C18" s="5"/>
      <c r="E18" t="s">
        <v>11</v>
      </c>
      <c r="F18" s="5">
        <v>1000</v>
      </c>
    </row>
    <row r="19" spans="2:10" ht="13.5" thickBot="1" x14ac:dyDescent="0.25">
      <c r="B19" s="2"/>
      <c r="C19" s="6">
        <f>SUM(C14:C17)</f>
        <v>339236730</v>
      </c>
      <c r="F19" s="6">
        <f>SUM(F14:F18)</f>
        <v>339236730</v>
      </c>
      <c r="H19" s="47"/>
    </row>
    <row r="20" spans="2:10" ht="13.5" thickTop="1" x14ac:dyDescent="0.2"/>
    <row r="26" spans="2:10" x14ac:dyDescent="0.2">
      <c r="B26" s="47"/>
      <c r="C26" s="12"/>
    </row>
    <row r="28" spans="2:10" x14ac:dyDescent="0.2">
      <c r="B28" s="47"/>
    </row>
  </sheetData>
  <mergeCells count="2">
    <mergeCell ref="B13:C13"/>
    <mergeCell ref="E13:F13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5" sqref="B5"/>
    </sheetView>
  </sheetViews>
  <sheetFormatPr defaultRowHeight="12.75" x14ac:dyDescent="0.2"/>
  <cols>
    <col min="1" max="1" width="35" style="96" customWidth="1"/>
    <col min="2" max="2" width="19.140625" style="97" bestFit="1" customWidth="1"/>
    <col min="4" max="4" width="35" style="96" customWidth="1"/>
    <col min="5" max="5" width="19.140625" style="97" bestFit="1" customWidth="1"/>
    <col min="7" max="7" width="35" style="96" customWidth="1"/>
    <col min="8" max="8" width="19.140625" style="97" bestFit="1" customWidth="1"/>
  </cols>
  <sheetData>
    <row r="1" spans="1:256" x14ac:dyDescent="0.2">
      <c r="A1" s="90"/>
      <c r="B1" s="91"/>
      <c r="D1" s="90"/>
      <c r="E1" s="91"/>
      <c r="G1" s="90"/>
      <c r="H1" s="91"/>
    </row>
    <row r="2" spans="1:256" ht="15.75" x14ac:dyDescent="0.25">
      <c r="A2" s="117" t="s">
        <v>158</v>
      </c>
      <c r="B2" s="117"/>
      <c r="D2" s="117" t="s">
        <v>158</v>
      </c>
      <c r="E2" s="117"/>
      <c r="G2" s="92" t="s">
        <v>158</v>
      </c>
      <c r="H2" s="93">
        <f>+B3</f>
        <v>36981</v>
      </c>
    </row>
    <row r="3" spans="1:256" ht="15.75" x14ac:dyDescent="0.25">
      <c r="A3" s="94" t="s">
        <v>191</v>
      </c>
      <c r="B3" s="93">
        <v>36981</v>
      </c>
      <c r="D3" s="94" t="s">
        <v>191</v>
      </c>
      <c r="E3" s="93">
        <f>+[2]Financials!I11</f>
        <v>37161</v>
      </c>
      <c r="G3" s="94" t="s">
        <v>159</v>
      </c>
      <c r="H3" s="93">
        <f>+E3</f>
        <v>37161</v>
      </c>
    </row>
    <row r="4" spans="1:256" x14ac:dyDescent="0.2">
      <c r="A4" s="90" t="s">
        <v>160</v>
      </c>
      <c r="B4" s="91"/>
      <c r="D4" s="90" t="s">
        <v>160</v>
      </c>
      <c r="E4" s="91">
        <f>+[2]Financials!I12</f>
        <v>34518969</v>
      </c>
      <c r="G4" s="90" t="s">
        <v>160</v>
      </c>
      <c r="H4" s="91">
        <f t="shared" ref="H4:H9" si="0">+E4-B4</f>
        <v>34518969</v>
      </c>
    </row>
    <row r="5" spans="1:256" x14ac:dyDescent="0.2">
      <c r="A5" s="90" t="s">
        <v>161</v>
      </c>
      <c r="B5" s="91">
        <f>+'50 NR'!K4</f>
        <v>703740.81386085832</v>
      </c>
      <c r="D5" s="90" t="s">
        <v>161</v>
      </c>
      <c r="E5" s="91">
        <f>+[2]Financials!I13</f>
        <v>3179618.2266900116</v>
      </c>
      <c r="G5" s="90" t="s">
        <v>161</v>
      </c>
      <c r="H5" s="91">
        <f t="shared" si="0"/>
        <v>2475877.4128291532</v>
      </c>
    </row>
    <row r="6" spans="1:256" x14ac:dyDescent="0.2">
      <c r="A6" s="90" t="s">
        <v>162</v>
      </c>
      <c r="B6" s="91">
        <v>1954166.6666666667</v>
      </c>
      <c r="D6" s="90" t="s">
        <v>162</v>
      </c>
      <c r="E6" s="91">
        <f>+[2]Financials!I14</f>
        <v>3704166.666666667</v>
      </c>
      <c r="G6" s="90" t="s">
        <v>162</v>
      </c>
      <c r="H6" s="91">
        <f t="shared" si="0"/>
        <v>1750000.0000000002</v>
      </c>
    </row>
    <row r="7" spans="1:256" x14ac:dyDescent="0.2">
      <c r="A7" s="90" t="s">
        <v>163</v>
      </c>
      <c r="B7" s="91">
        <v>41699819.02816315</v>
      </c>
      <c r="D7" s="90" t="s">
        <v>163</v>
      </c>
      <c r="E7" s="91">
        <f>+[2]Financials!I15</f>
        <v>79042940.545921192</v>
      </c>
      <c r="G7" s="90" t="s">
        <v>163</v>
      </c>
      <c r="H7" s="91">
        <f t="shared" si="0"/>
        <v>37343121.517758042</v>
      </c>
    </row>
    <row r="8" spans="1:256" x14ac:dyDescent="0.2">
      <c r="A8" s="90" t="s">
        <v>164</v>
      </c>
      <c r="B8" s="91">
        <v>200904.53683844011</v>
      </c>
      <c r="D8" s="90" t="s">
        <v>164</v>
      </c>
      <c r="E8" s="91">
        <f>+[2]Financials!I16</f>
        <v>7433467.8630222837</v>
      </c>
      <c r="G8" s="90" t="s">
        <v>164</v>
      </c>
      <c r="H8" s="91">
        <f t="shared" si="0"/>
        <v>7232563.3261838434</v>
      </c>
    </row>
    <row r="9" spans="1:256" x14ac:dyDescent="0.2">
      <c r="A9" s="90" t="s">
        <v>165</v>
      </c>
      <c r="B9" s="95">
        <v>-16091528.959305977</v>
      </c>
      <c r="D9" s="90" t="s">
        <v>165</v>
      </c>
      <c r="E9" s="95">
        <f>+[2]Financials!I17</f>
        <v>-42593236.660988569</v>
      </c>
      <c r="G9" s="90" t="s">
        <v>165</v>
      </c>
      <c r="H9" s="95">
        <f t="shared" si="0"/>
        <v>-26501707.70168259</v>
      </c>
    </row>
    <row r="10" spans="1:256" x14ac:dyDescent="0.2">
      <c r="B10" s="96">
        <v>64597037.159714572</v>
      </c>
      <c r="E10" s="96">
        <f>SUM(E4:E9)</f>
        <v>85285925.641311571</v>
      </c>
      <c r="H10" s="96">
        <f>SUM(H4:H9)</f>
        <v>56818823.555088453</v>
      </c>
    </row>
    <row r="11" spans="1:256" x14ac:dyDescent="0.2">
      <c r="B11" s="96"/>
      <c r="E11" s="96"/>
      <c r="H11" s="96"/>
    </row>
    <row r="12" spans="1:256" x14ac:dyDescent="0.2">
      <c r="A12" s="96" t="s">
        <v>166</v>
      </c>
      <c r="B12" s="96">
        <v>157518520.5</v>
      </c>
      <c r="D12" s="96" t="s">
        <v>166</v>
      </c>
      <c r="E12" s="91">
        <f>+[2]Financials!I20</f>
        <v>365329098.75</v>
      </c>
      <c r="G12" s="96" t="s">
        <v>166</v>
      </c>
      <c r="H12" s="91">
        <f t="shared" ref="H12:H17" si="1">+E12-B12</f>
        <v>207810578.25</v>
      </c>
    </row>
    <row r="13" spans="1:256" x14ac:dyDescent="0.2">
      <c r="A13" s="96" t="s">
        <v>167</v>
      </c>
      <c r="B13" s="97">
        <v>13792451.659999982</v>
      </c>
      <c r="D13" s="96" t="s">
        <v>167</v>
      </c>
      <c r="E13" s="91">
        <f>+[2]Financials!I21</f>
        <v>147840391.60999998</v>
      </c>
      <c r="G13" s="96" t="s">
        <v>167</v>
      </c>
      <c r="H13" s="91">
        <f t="shared" si="1"/>
        <v>134047939.95</v>
      </c>
    </row>
    <row r="14" spans="1:256" x14ac:dyDescent="0.2">
      <c r="A14" s="96" t="s">
        <v>168</v>
      </c>
      <c r="B14" s="97">
        <v>-391699819.02816314</v>
      </c>
      <c r="D14" s="96" t="s">
        <v>168</v>
      </c>
      <c r="E14" s="91">
        <f>+[2]Financials!I22</f>
        <v>-429042940.54592121</v>
      </c>
      <c r="G14" s="96" t="s">
        <v>168</v>
      </c>
      <c r="H14" s="91">
        <f t="shared" si="1"/>
        <v>-37343121.517758071</v>
      </c>
    </row>
    <row r="15" spans="1:256" x14ac:dyDescent="0.2">
      <c r="A15" s="96" t="s">
        <v>169</v>
      </c>
      <c r="B15" s="96">
        <v>0</v>
      </c>
      <c r="C15" s="96"/>
      <c r="D15" s="96" t="s">
        <v>169</v>
      </c>
      <c r="E15" s="91">
        <f>+[2]Financials!I23</f>
        <v>0</v>
      </c>
      <c r="F15" s="96"/>
      <c r="G15" s="96" t="s">
        <v>169</v>
      </c>
      <c r="H15" s="91">
        <f t="shared" si="1"/>
        <v>0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  <c r="EY15" s="96"/>
      <c r="EZ15" s="96"/>
      <c r="FA15" s="96"/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/>
      <c r="FO15" s="96"/>
      <c r="FP15" s="96"/>
      <c r="FQ15" s="96"/>
      <c r="FR15" s="96"/>
      <c r="FS15" s="96"/>
      <c r="FT15" s="96"/>
      <c r="FU15" s="96"/>
      <c r="FV15" s="96"/>
      <c r="FW15" s="96"/>
      <c r="FX15" s="96"/>
      <c r="FY15" s="96"/>
      <c r="FZ15" s="96"/>
      <c r="GA15" s="96"/>
      <c r="GB15" s="96"/>
      <c r="GC15" s="96"/>
      <c r="GD15" s="96"/>
      <c r="GE15" s="96"/>
      <c r="GF15" s="96"/>
      <c r="GG15" s="96"/>
      <c r="GH15" s="96"/>
      <c r="GI15" s="96"/>
      <c r="GJ15" s="96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  <c r="HF15" s="96"/>
      <c r="HG15" s="96"/>
      <c r="HH15" s="96"/>
      <c r="HI15" s="96"/>
      <c r="HJ15" s="96"/>
      <c r="HK15" s="96"/>
      <c r="HL15" s="96"/>
      <c r="HM15" s="96"/>
      <c r="HN15" s="96"/>
      <c r="HO15" s="96"/>
      <c r="HP15" s="96"/>
      <c r="HQ15" s="96"/>
      <c r="HR15" s="96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</row>
    <row r="16" spans="1:256" x14ac:dyDescent="0.2">
      <c r="A16" s="96" t="s">
        <v>170</v>
      </c>
      <c r="B16" s="96">
        <v>0</v>
      </c>
      <c r="D16" s="96" t="s">
        <v>170</v>
      </c>
      <c r="E16" s="91">
        <f>+[2]Financials!I24</f>
        <v>0</v>
      </c>
      <c r="G16" s="96" t="s">
        <v>170</v>
      </c>
      <c r="H16" s="91">
        <f t="shared" si="1"/>
        <v>0</v>
      </c>
    </row>
    <row r="17" spans="1:8" x14ac:dyDescent="0.2">
      <c r="A17" s="96" t="s">
        <v>171</v>
      </c>
      <c r="B17" s="98">
        <v>0</v>
      </c>
      <c r="D17" s="96" t="s">
        <v>171</v>
      </c>
      <c r="E17" s="95">
        <f>+[2]Financials!I25</f>
        <v>0</v>
      </c>
      <c r="G17" s="96" t="s">
        <v>171</v>
      </c>
      <c r="H17" s="95">
        <f t="shared" si="1"/>
        <v>0</v>
      </c>
    </row>
    <row r="18" spans="1:8" x14ac:dyDescent="0.2">
      <c r="A18"/>
      <c r="B18" s="99">
        <v>-220388846.86816317</v>
      </c>
      <c r="D18"/>
      <c r="E18" s="99">
        <f>SUM(E12:E17)</f>
        <v>84126549.814078808</v>
      </c>
      <c r="G18"/>
      <c r="H18" s="99">
        <f>SUM(H12:H17)</f>
        <v>304515396.68224192</v>
      </c>
    </row>
    <row r="19" spans="1:8" ht="15.75" x14ac:dyDescent="0.25">
      <c r="A19" s="100"/>
      <c r="B19" s="101"/>
      <c r="D19" s="100"/>
      <c r="E19" s="101"/>
      <c r="G19" s="100"/>
      <c r="H19" s="101"/>
    </row>
    <row r="20" spans="1:8" ht="13.5" thickBot="1" x14ac:dyDescent="0.25">
      <c r="A20" s="102" t="s">
        <v>172</v>
      </c>
      <c r="B20" s="103">
        <v>-155791809.70844859</v>
      </c>
      <c r="D20" s="102" t="s">
        <v>172</v>
      </c>
      <c r="E20" s="103">
        <f>E18+E10</f>
        <v>169412475.45539039</v>
      </c>
      <c r="G20" s="102" t="s">
        <v>172</v>
      </c>
      <c r="H20" s="103">
        <f>H18+H10</f>
        <v>361334220.23733038</v>
      </c>
    </row>
    <row r="21" spans="1:8" ht="13.5" thickTop="1" x14ac:dyDescent="0.2"/>
    <row r="23" spans="1:8" ht="15.75" x14ac:dyDescent="0.25">
      <c r="A23" s="104" t="s">
        <v>49</v>
      </c>
      <c r="B23" s="104"/>
      <c r="D23" s="104" t="s">
        <v>49</v>
      </c>
      <c r="E23" s="104"/>
      <c r="G23" s="104" t="s">
        <v>49</v>
      </c>
      <c r="H23" s="105">
        <f>+B24</f>
        <v>36981</v>
      </c>
    </row>
    <row r="24" spans="1:8" ht="15.75" x14ac:dyDescent="0.25">
      <c r="A24" s="94" t="s">
        <v>173</v>
      </c>
      <c r="B24" s="105">
        <v>36981</v>
      </c>
      <c r="D24" s="94" t="s">
        <v>173</v>
      </c>
      <c r="E24" s="105">
        <f>+[2]Financials!M6</f>
        <v>37161</v>
      </c>
      <c r="G24" s="94" t="s">
        <v>174</v>
      </c>
      <c r="H24" s="105">
        <f>+E24</f>
        <v>37161</v>
      </c>
    </row>
    <row r="25" spans="1:8" ht="13.5" thickBot="1" x14ac:dyDescent="0.25">
      <c r="A25" s="106" t="s">
        <v>3</v>
      </c>
      <c r="B25" s="106"/>
      <c r="C25" s="96"/>
      <c r="D25" s="106" t="s">
        <v>3</v>
      </c>
      <c r="E25" s="106"/>
      <c r="G25" s="106" t="s">
        <v>3</v>
      </c>
      <c r="H25" s="106"/>
    </row>
    <row r="26" spans="1:8" x14ac:dyDescent="0.2">
      <c r="A26" s="96" t="s">
        <v>175</v>
      </c>
      <c r="B26" s="96">
        <v>34615467.531796768</v>
      </c>
      <c r="C26" s="96"/>
      <c r="D26" s="96" t="s">
        <v>175</v>
      </c>
      <c r="E26" s="96">
        <f>+[2]Financials!M8</f>
        <v>37269267.76002337</v>
      </c>
      <c r="G26" s="96" t="s">
        <v>175</v>
      </c>
      <c r="H26" s="96">
        <f t="shared" ref="H26:H33" si="2">+E26-B26</f>
        <v>2653800.2282266021</v>
      </c>
    </row>
    <row r="27" spans="1:8" x14ac:dyDescent="0.2">
      <c r="A27" s="96" t="s">
        <v>176</v>
      </c>
      <c r="B27" s="96">
        <v>50000000</v>
      </c>
      <c r="C27" s="96"/>
      <c r="D27" s="96" t="s">
        <v>176</v>
      </c>
      <c r="E27" s="96">
        <f>+[2]Financials!M9</f>
        <v>50000000</v>
      </c>
      <c r="G27" s="96" t="s">
        <v>176</v>
      </c>
      <c r="H27" s="96">
        <f t="shared" si="2"/>
        <v>0</v>
      </c>
    </row>
    <row r="28" spans="1:8" x14ac:dyDescent="0.2">
      <c r="A28" s="96" t="s">
        <v>177</v>
      </c>
      <c r="B28" s="96">
        <v>184722.22222222222</v>
      </c>
      <c r="C28" s="96"/>
      <c r="D28" s="96" t="s">
        <v>177</v>
      </c>
      <c r="E28" s="96">
        <f>+[2]Financials!M10</f>
        <v>145833.33333333334</v>
      </c>
      <c r="G28" s="96" t="s">
        <v>177</v>
      </c>
      <c r="H28" s="96">
        <f t="shared" si="2"/>
        <v>-38888.888888888876</v>
      </c>
    </row>
    <row r="29" spans="1:8" x14ac:dyDescent="0.2">
      <c r="A29" s="96" t="s">
        <v>178</v>
      </c>
      <c r="B29" s="96">
        <v>0</v>
      </c>
      <c r="C29" s="107"/>
      <c r="D29" s="96" t="s">
        <v>178</v>
      </c>
      <c r="E29" s="96">
        <f>+[2]Financials!M11</f>
        <v>0</v>
      </c>
      <c r="G29" s="96" t="s">
        <v>178</v>
      </c>
      <c r="H29" s="96">
        <f t="shared" si="2"/>
        <v>0</v>
      </c>
    </row>
    <row r="30" spans="1:8" x14ac:dyDescent="0.2">
      <c r="A30" s="96" t="s">
        <v>179</v>
      </c>
      <c r="B30" s="97">
        <v>193376839.91683844</v>
      </c>
      <c r="D30" s="96" t="s">
        <v>179</v>
      </c>
      <c r="E30" s="96">
        <f>+[2]Financials!M12</f>
        <v>200609403.24302229</v>
      </c>
      <c r="G30" s="96" t="s">
        <v>179</v>
      </c>
      <c r="H30" s="96">
        <f t="shared" si="2"/>
        <v>7232563.3261838555</v>
      </c>
    </row>
    <row r="31" spans="1:8" x14ac:dyDescent="0.2">
      <c r="A31" s="96" t="s">
        <v>180</v>
      </c>
      <c r="B31" s="96">
        <v>141147192</v>
      </c>
      <c r="C31" s="96"/>
      <c r="D31" s="96" t="s">
        <v>180</v>
      </c>
      <c r="E31" s="96">
        <f>+[2]Financials!M13</f>
        <v>141147192</v>
      </c>
      <c r="G31" s="96" t="s">
        <v>181</v>
      </c>
      <c r="H31" s="96">
        <f t="shared" si="2"/>
        <v>0</v>
      </c>
    </row>
    <row r="32" spans="1:8" x14ac:dyDescent="0.2">
      <c r="A32" s="96" t="s">
        <v>182</v>
      </c>
      <c r="B32" s="96">
        <v>171310972.15999997</v>
      </c>
      <c r="C32" s="96"/>
      <c r="D32" s="96" t="s">
        <v>182</v>
      </c>
      <c r="E32" s="96">
        <f>+[2]Financials!M14</f>
        <v>513169490.36000001</v>
      </c>
      <c r="G32" s="96" t="s">
        <v>182</v>
      </c>
      <c r="H32" s="96">
        <f t="shared" si="2"/>
        <v>341858518.20000005</v>
      </c>
    </row>
    <row r="33" spans="1:8" x14ac:dyDescent="0.2">
      <c r="A33" s="96" t="s">
        <v>183</v>
      </c>
      <c r="B33" s="96">
        <v>0</v>
      </c>
      <c r="C33" s="96"/>
      <c r="D33" s="96" t="s">
        <v>183</v>
      </c>
      <c r="E33" s="96">
        <f>+[2]Financials!M15</f>
        <v>0</v>
      </c>
      <c r="G33" s="96" t="s">
        <v>183</v>
      </c>
      <c r="H33" s="96">
        <f t="shared" si="2"/>
        <v>0</v>
      </c>
    </row>
    <row r="34" spans="1:8" ht="16.5" thickBot="1" x14ac:dyDescent="0.3">
      <c r="A34" s="108" t="s">
        <v>151</v>
      </c>
      <c r="B34" s="109">
        <v>590635193.8308574</v>
      </c>
      <c r="C34" s="110"/>
      <c r="D34" s="108" t="s">
        <v>151</v>
      </c>
      <c r="E34" s="109">
        <f>SUM(E26:E33)</f>
        <v>942341186.69637895</v>
      </c>
      <c r="G34" s="108" t="s">
        <v>151</v>
      </c>
      <c r="H34" s="109">
        <f>SUM(H26:H33)</f>
        <v>351705992.86552161</v>
      </c>
    </row>
    <row r="35" spans="1:8" ht="13.5" thickTop="1" x14ac:dyDescent="0.2"/>
    <row r="36" spans="1:8" ht="13.5" thickBot="1" x14ac:dyDescent="0.25">
      <c r="A36" s="106" t="s">
        <v>184</v>
      </c>
      <c r="B36" s="106"/>
      <c r="D36" s="106" t="s">
        <v>184</v>
      </c>
      <c r="E36" s="106"/>
      <c r="G36" s="106" t="s">
        <v>184</v>
      </c>
      <c r="H36" s="106"/>
    </row>
    <row r="37" spans="1:8" x14ac:dyDescent="0.2">
      <c r="A37" s="96" t="s">
        <v>185</v>
      </c>
      <c r="B37" s="96">
        <v>0</v>
      </c>
      <c r="D37" s="96" t="s">
        <v>185</v>
      </c>
      <c r="E37" s="96">
        <f>+[2]Financials!P8</f>
        <v>0</v>
      </c>
      <c r="G37" s="96" t="s">
        <v>185</v>
      </c>
      <c r="H37" s="96">
        <f t="shared" ref="H37:H42" si="3">+E37-B37</f>
        <v>0</v>
      </c>
    </row>
    <row r="38" spans="1:8" x14ac:dyDescent="0.2">
      <c r="A38" s="96" t="s">
        <v>186</v>
      </c>
      <c r="B38" s="96">
        <v>0</v>
      </c>
      <c r="D38" s="96" t="s">
        <v>186</v>
      </c>
      <c r="E38" s="96">
        <f>+[2]Financials!P10</f>
        <v>0</v>
      </c>
      <c r="G38" s="96" t="s">
        <v>186</v>
      </c>
      <c r="H38" s="96">
        <f t="shared" si="3"/>
        <v>0</v>
      </c>
    </row>
    <row r="39" spans="1:8" x14ac:dyDescent="0.2">
      <c r="A39" s="96" t="s">
        <v>187</v>
      </c>
      <c r="B39" s="96">
        <v>0</v>
      </c>
      <c r="D39" s="96" t="s">
        <v>187</v>
      </c>
      <c r="E39" s="96">
        <f>+[2]Financials!P11</f>
        <v>0</v>
      </c>
      <c r="G39" s="96" t="s">
        <v>187</v>
      </c>
      <c r="H39" s="96">
        <f t="shared" si="3"/>
        <v>0</v>
      </c>
    </row>
    <row r="40" spans="1:8" x14ac:dyDescent="0.2">
      <c r="A40" s="96" t="s">
        <v>188</v>
      </c>
      <c r="B40" s="96">
        <v>756895687.339306</v>
      </c>
      <c r="D40" s="96" t="s">
        <v>188</v>
      </c>
      <c r="E40" s="96">
        <f>+[2]Financials!P12</f>
        <v>783397395.04098856</v>
      </c>
      <c r="G40" s="96" t="s">
        <v>188</v>
      </c>
      <c r="H40" s="96">
        <f t="shared" si="3"/>
        <v>26501707.701682568</v>
      </c>
    </row>
    <row r="41" spans="1:8" x14ac:dyDescent="0.2">
      <c r="B41" s="96"/>
      <c r="E41" s="96"/>
      <c r="H41" s="96">
        <f t="shared" si="3"/>
        <v>0</v>
      </c>
    </row>
    <row r="42" spans="1:8" x14ac:dyDescent="0.2">
      <c r="A42" s="96" t="s">
        <v>189</v>
      </c>
      <c r="B42" s="96">
        <v>0</v>
      </c>
      <c r="D42" s="96" t="s">
        <v>189</v>
      </c>
      <c r="E42" s="96">
        <f>+[2]Financials!P14</f>
        <v>30000000</v>
      </c>
      <c r="G42" s="96" t="s">
        <v>189</v>
      </c>
      <c r="H42" s="96">
        <f t="shared" si="3"/>
        <v>30000000</v>
      </c>
    </row>
    <row r="43" spans="1:8" x14ac:dyDescent="0.2">
      <c r="A43" s="96" t="s">
        <v>190</v>
      </c>
      <c r="B43" s="96">
        <v>-166260493.5084486</v>
      </c>
      <c r="D43" s="96" t="s">
        <v>190</v>
      </c>
      <c r="E43" s="96">
        <f>+[2]Financials!P15</f>
        <v>128943791.65539038</v>
      </c>
      <c r="G43" s="96" t="s">
        <v>190</v>
      </c>
      <c r="H43" s="96">
        <f>+E43-B43</f>
        <v>295204285.16383898</v>
      </c>
    </row>
    <row r="44" spans="1:8" ht="16.5" thickBot="1" x14ac:dyDescent="0.3">
      <c r="A44" s="108" t="s">
        <v>151</v>
      </c>
      <c r="B44" s="109">
        <v>590635193.8308574</v>
      </c>
      <c r="D44" s="108" t="s">
        <v>151</v>
      </c>
      <c r="E44" s="109">
        <f>SUM(E37:E43)</f>
        <v>942341186.69637895</v>
      </c>
      <c r="G44" s="108" t="s">
        <v>151</v>
      </c>
      <c r="H44" s="109">
        <f>SUM(H37:H43)</f>
        <v>351705992.86552155</v>
      </c>
    </row>
    <row r="45" spans="1:8" ht="13.5" thickTop="1" x14ac:dyDescent="0.2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zoomScaleNormal="100" workbookViewId="0">
      <selection activeCell="E23" sqref="E23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f>+[1]Table!$B$3</f>
        <v>37161</v>
      </c>
    </row>
    <row r="4" spans="1:6" x14ac:dyDescent="0.2">
      <c r="A4" s="113" t="s">
        <v>26</v>
      </c>
      <c r="B4" s="113"/>
      <c r="C4" s="73" t="s">
        <v>144</v>
      </c>
      <c r="D4" s="74" t="s">
        <v>145</v>
      </c>
      <c r="E4" s="75" t="s">
        <v>143</v>
      </c>
    </row>
    <row r="5" spans="1:6" hidden="1" x14ac:dyDescent="0.2">
      <c r="A5" t="s">
        <v>27</v>
      </c>
      <c r="B5" s="39">
        <v>7.0000000000000007E-2</v>
      </c>
      <c r="C5" s="67"/>
      <c r="D5" s="68"/>
      <c r="E5" s="69"/>
    </row>
    <row r="6" spans="1:6" hidden="1" x14ac:dyDescent="0.2">
      <c r="A6" t="s">
        <v>28</v>
      </c>
      <c r="B6" s="39">
        <v>7.4999999999999997E-2</v>
      </c>
      <c r="C6" s="67"/>
      <c r="D6" s="68"/>
      <c r="E6" s="69"/>
    </row>
    <row r="7" spans="1:6" hidden="1" x14ac:dyDescent="0.2">
      <c r="A7" t="s">
        <v>29</v>
      </c>
      <c r="B7" s="39">
        <v>7.2499999999999995E-2</v>
      </c>
      <c r="C7" s="67"/>
      <c r="D7" s="68"/>
      <c r="E7" s="69"/>
    </row>
    <row r="8" spans="1:6" ht="13.5" thickBot="1" x14ac:dyDescent="0.25">
      <c r="A8" t="s">
        <v>50</v>
      </c>
      <c r="B8" s="89">
        <f>+[1]Table!$B$4</f>
        <v>3.04</v>
      </c>
      <c r="C8" s="70">
        <v>15.423721771756313</v>
      </c>
      <c r="D8" s="71">
        <v>9.81124244931266</v>
      </c>
      <c r="E8" s="72">
        <v>9.0991774997950881</v>
      </c>
    </row>
    <row r="9" spans="1:6" x14ac:dyDescent="0.2">
      <c r="B9" s="34"/>
      <c r="C9" s="65"/>
    </row>
    <row r="10" spans="1:6" x14ac:dyDescent="0.2">
      <c r="A10" s="115" t="s">
        <v>49</v>
      </c>
      <c r="B10" s="115"/>
      <c r="C10" s="115"/>
      <c r="D10" s="115"/>
      <c r="E10" s="115"/>
    </row>
    <row r="11" spans="1:6" x14ac:dyDescent="0.2">
      <c r="B11" s="32" t="s">
        <v>48</v>
      </c>
      <c r="C11" s="33">
        <f>B3</f>
        <v>37161</v>
      </c>
    </row>
    <row r="12" spans="1:6" ht="13.5" thickBot="1" x14ac:dyDescent="0.25">
      <c r="A12" s="114" t="s">
        <v>3</v>
      </c>
      <c r="B12" s="114"/>
      <c r="D12" s="114" t="s">
        <v>4</v>
      </c>
      <c r="E12" s="114"/>
    </row>
    <row r="13" spans="1:6" x14ac:dyDescent="0.2">
      <c r="A13" s="2" t="s">
        <v>5</v>
      </c>
      <c r="B13" s="27">
        <f>'Notional Analysis'!C35+VLOOKUP(B3,Note_Receivable,8)-'50 NR'!C8</f>
        <v>32525309.20795095</v>
      </c>
      <c r="D13" t="s">
        <v>6</v>
      </c>
      <c r="E13" s="27">
        <f>+'258 NP'!I3</f>
        <v>51490277.777777776</v>
      </c>
    </row>
    <row r="14" spans="1:6" x14ac:dyDescent="0.2">
      <c r="A14" s="2" t="s">
        <v>23</v>
      </c>
      <c r="B14" s="27">
        <f>'Notional Analysis'!C5*'Notional Analysis'!C8*(B8)</f>
        <v>73318112</v>
      </c>
      <c r="D14" t="s">
        <v>6</v>
      </c>
      <c r="E14" s="27">
        <f>'50 NP'!J3</f>
        <v>53820312.5</v>
      </c>
    </row>
    <row r="15" spans="1:6" x14ac:dyDescent="0.2">
      <c r="A15" s="2" t="s">
        <v>8</v>
      </c>
      <c r="B15" s="27">
        <f>'50 NR'!K3</f>
        <v>8679431.6059099026</v>
      </c>
      <c r="D15" t="s">
        <v>69</v>
      </c>
      <c r="E15" s="27">
        <f>'Hawaii Summary'!C18</f>
        <v>318720043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7331.8112000000001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-309515112.27511698</v>
      </c>
    </row>
    <row r="19" spans="1:6" ht="13.5" thickBot="1" x14ac:dyDescent="0.25">
      <c r="B19" s="13">
        <f>SUM(B13:B18)</f>
        <v>114522852.81386085</v>
      </c>
      <c r="E19" s="35">
        <f>SUM(E13:E18)</f>
        <v>114522852.81386083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112" t="s">
        <v>51</v>
      </c>
      <c r="B21" s="112"/>
      <c r="C21" s="112"/>
      <c r="E21" s="12">
        <f>+B19-E13-E14-E15-E16</f>
        <v>-309515112.27511692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-433155688</v>
      </c>
    </row>
    <row r="27" spans="1:6" x14ac:dyDescent="0.2">
      <c r="A27" t="s">
        <v>71</v>
      </c>
      <c r="C27" s="27">
        <f>IF(B16&lt;&gt;0,B16,-E15)</f>
        <v>-318720043</v>
      </c>
    </row>
    <row r="28" spans="1:6" x14ac:dyDescent="0.2">
      <c r="A28" t="s">
        <v>56</v>
      </c>
      <c r="C28" s="36">
        <f>'50 NR'!K4-'258 NP'!I5-'50 NP'!J4</f>
        <v>-4606849.4639169192</v>
      </c>
    </row>
    <row r="29" spans="1:6" x14ac:dyDescent="0.2">
      <c r="A29" t="s">
        <v>59</v>
      </c>
      <c r="C29" s="27">
        <f>C25+C26+C27+C28</f>
        <v>-259507780.46391693</v>
      </c>
    </row>
    <row r="30" spans="1:6" x14ac:dyDescent="0.2">
      <c r="A30" t="s">
        <v>57</v>
      </c>
      <c r="C30" s="27">
        <f>E18</f>
        <v>-309515112.27511698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7331.8112000000001</v>
      </c>
      <c r="E32" s="12"/>
    </row>
    <row r="33" spans="1:4" x14ac:dyDescent="0.2">
      <c r="A33" t="s">
        <v>62</v>
      </c>
      <c r="C33" s="27">
        <f>C29-C30-C31-C32</f>
        <v>50000000.000000052</v>
      </c>
      <c r="D33" s="62" t="str">
        <f>IF(ROUND(C33,1)=0,"OK","Not OK")</f>
        <v>Not OK</v>
      </c>
    </row>
    <row r="34" spans="1:4" x14ac:dyDescent="0.2">
      <c r="C34" s="27"/>
    </row>
    <row r="35" spans="1:4" ht="13.5" thickBot="1" x14ac:dyDescent="0.25">
      <c r="A35" s="112" t="s">
        <v>72</v>
      </c>
      <c r="B35" s="112"/>
      <c r="C35" s="112"/>
    </row>
    <row r="36" spans="1:4" x14ac:dyDescent="0.2">
      <c r="A36" t="s">
        <v>137</v>
      </c>
      <c r="C36" s="27">
        <f>B19</f>
        <v>114522852.81386085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53820312.5</v>
      </c>
    </row>
    <row r="39" spans="1:4" x14ac:dyDescent="0.2">
      <c r="A39" t="s">
        <v>142</v>
      </c>
      <c r="C39" s="27">
        <f>E13</f>
        <v>51490277.777777776</v>
      </c>
    </row>
    <row r="40" spans="1:4" x14ac:dyDescent="0.2">
      <c r="A40" t="s">
        <v>141</v>
      </c>
      <c r="C40" s="27">
        <f>E16</f>
        <v>7331.8112000000001</v>
      </c>
    </row>
    <row r="41" spans="1:4" x14ac:dyDescent="0.2">
      <c r="A41" t="s">
        <v>140</v>
      </c>
      <c r="C41" s="36">
        <f>E15-B16</f>
        <v>318720043</v>
      </c>
    </row>
    <row r="42" spans="1:4" ht="13.5" thickBot="1" x14ac:dyDescent="0.25">
      <c r="C42" s="35">
        <f>C36-SUM(C38:C41)</f>
        <v>-309515112.27511692</v>
      </c>
    </row>
    <row r="43" spans="1:4" ht="13.5" thickTop="1" x14ac:dyDescent="0.2">
      <c r="C43" s="27"/>
    </row>
    <row r="44" spans="1:4" ht="13.5" thickBot="1" x14ac:dyDescent="0.25">
      <c r="A44" s="112" t="s">
        <v>12</v>
      </c>
      <c r="B44" s="112"/>
      <c r="C44" s="112"/>
    </row>
    <row r="45" spans="1:4" x14ac:dyDescent="0.2">
      <c r="A45" t="s">
        <v>13</v>
      </c>
      <c r="C45" s="12">
        <f>+E19</f>
        <v>114522852.81386083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7331.8112000000001</v>
      </c>
    </row>
    <row r="48" spans="1:4" x14ac:dyDescent="0.2">
      <c r="A48" t="s">
        <v>16</v>
      </c>
      <c r="C48" s="5">
        <f>C45+C46-C47</f>
        <v>115515521.00266084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3488568.7342803576</v>
      </c>
    </row>
    <row r="51" spans="1:3" x14ac:dyDescent="0.2">
      <c r="A51" t="s">
        <v>19</v>
      </c>
      <c r="C51" s="14">
        <f>+C47</f>
        <v>7331.8112000000001</v>
      </c>
    </row>
    <row r="52" spans="1:3" x14ac:dyDescent="0.2">
      <c r="A52" t="s">
        <v>20</v>
      </c>
      <c r="C52" s="12">
        <f>C51-C50</f>
        <v>-3481236.9230803577</v>
      </c>
    </row>
    <row r="53" spans="1:3" x14ac:dyDescent="0.2">
      <c r="A53" s="9" t="s">
        <v>21</v>
      </c>
      <c r="B53" s="10"/>
      <c r="C53" s="11">
        <f>C52/C49</f>
        <v>-115272745.79736283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-493449145.7973628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GridLines="0" workbookViewId="0">
      <selection activeCell="C7" sqref="C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37161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18131314.275570311</v>
      </c>
      <c r="H5" s="28">
        <v>1976250</v>
      </c>
      <c r="I5" s="45">
        <v>0.15</v>
      </c>
      <c r="J5" s="27">
        <f>B2-B5</f>
        <v>545</v>
      </c>
      <c r="K5">
        <f>'A Amort'!N5</f>
        <v>1998482.8125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87528990.19309932</v>
      </c>
      <c r="H6" s="28">
        <v>3954146</v>
      </c>
      <c r="I6" s="45">
        <v>0.15</v>
      </c>
      <c r="J6" s="27">
        <f>B2-B6</f>
        <v>363</v>
      </c>
      <c r="K6" s="41">
        <f>'B_D Amort'!N5</f>
        <v>4001925.2641666667</v>
      </c>
    </row>
    <row r="7" spans="1:11" x14ac:dyDescent="0.2">
      <c r="A7" t="s">
        <v>80</v>
      </c>
      <c r="B7" s="25">
        <v>36766</v>
      </c>
      <c r="C7" s="27">
        <v>13959</v>
      </c>
      <c r="D7" s="44">
        <f>(F7+H7)/C7</f>
        <v>2150</v>
      </c>
      <c r="E7" s="20">
        <f>C7*D7</f>
        <v>30011850</v>
      </c>
      <c r="F7" s="28">
        <v>29111495</v>
      </c>
      <c r="G7" s="28">
        <f>'C Amort'!E5</f>
        <v>29304533.929834478</v>
      </c>
      <c r="H7" s="28">
        <v>900355</v>
      </c>
      <c r="I7" s="45">
        <v>0.15</v>
      </c>
      <c r="J7" s="27">
        <f>B2-B7</f>
        <v>395</v>
      </c>
      <c r="K7" s="41">
        <f>'C Amort'!N5</f>
        <v>911609.4375</v>
      </c>
    </row>
    <row r="8" spans="1:11" ht="13.5" thickBot="1" x14ac:dyDescent="0.25">
      <c r="C8" s="35">
        <f>SUM(C5:C7)</f>
        <v>90082</v>
      </c>
      <c r="E8" s="50">
        <f>SUM(E5:E7)</f>
        <v>140932212</v>
      </c>
      <c r="F8" s="35">
        <f>SUM(F5:F7)</f>
        <v>134106749</v>
      </c>
      <c r="G8" s="35">
        <f>SUM(G5:G7)</f>
        <v>134964838.39850411</v>
      </c>
      <c r="H8" s="35">
        <f>SUM(H5:H7)</f>
        <v>6830751</v>
      </c>
      <c r="K8" s="35">
        <f>SUM(K5:K7)</f>
        <v>6912017.5141666662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3.04</v>
      </c>
    </row>
    <row r="13" spans="1:11" x14ac:dyDescent="0.2">
      <c r="A13" s="115" t="s">
        <v>120</v>
      </c>
      <c r="B13" s="115"/>
      <c r="C13" s="115"/>
      <c r="D13" s="11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121524544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147955126</v>
      </c>
    </row>
    <row r="17" spans="1:3" x14ac:dyDescent="0.2">
      <c r="A17" t="s">
        <v>80</v>
      </c>
      <c r="B17" s="28">
        <f>'C TRS'!B19</f>
        <v>0</v>
      </c>
      <c r="C17" s="28">
        <f>'C TRS'!B20</f>
        <v>49240373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318720043</v>
      </c>
    </row>
    <row r="19" spans="1:3" ht="13.5" thickTop="1" x14ac:dyDescent="0.2"/>
    <row r="24" spans="1:3" x14ac:dyDescent="0.2">
      <c r="C24" s="20">
        <v>371496849</v>
      </c>
    </row>
    <row r="25" spans="1:3" x14ac:dyDescent="0.2">
      <c r="C25" s="20">
        <v>263758095</v>
      </c>
    </row>
    <row r="26" spans="1:3" x14ac:dyDescent="0.2">
      <c r="C26" s="20">
        <f>+C24-C25</f>
        <v>107738754</v>
      </c>
    </row>
  </sheetData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37161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27</v>
      </c>
      <c r="F2"/>
      <c r="G2" s="41" t="s">
        <v>99</v>
      </c>
      <c r="H2" s="25">
        <f>VLOOKUP(H1,A_Debt,1)</f>
        <v>37134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107564.27557031251</v>
      </c>
      <c r="F4" s="41">
        <f>VLOOKUP($H$1+30,A_Debt,5)</f>
        <v>119515.86174479168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22232.8125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18131314.275570311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1998482.8125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18131314.275570311</v>
      </c>
      <c r="E4" s="28">
        <f>'Hawaii Summary'!H5</f>
        <v>1976250</v>
      </c>
      <c r="F4" s="45">
        <f>'Hawaii Summary'!I5</f>
        <v>0.15</v>
      </c>
      <c r="G4" s="28">
        <f>'Hawaii Summary'!J5</f>
        <v>545</v>
      </c>
      <c r="H4" s="28">
        <f>'Hawaii Summary'!K5</f>
        <v>1998482.8125</v>
      </c>
      <c r="I4" s="41"/>
    </row>
    <row r="6" spans="1:9" x14ac:dyDescent="0.2">
      <c r="A6" t="s">
        <v>75</v>
      </c>
      <c r="B6" s="48">
        <f>'Hawaii Summary'!B11</f>
        <v>3.04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20569856</v>
      </c>
      <c r="C10" s="28">
        <f>B4*B7*'Notional Analysis'!C8</f>
        <v>142094400</v>
      </c>
      <c r="E10" t="s">
        <v>122</v>
      </c>
      <c r="G10" s="20">
        <f>B4*B6*'Notional Analysis'!C8</f>
        <v>20569856</v>
      </c>
    </row>
    <row r="11" spans="1:9" x14ac:dyDescent="0.2">
      <c r="A11" t="s">
        <v>108</v>
      </c>
      <c r="B11" s="20">
        <f>D4+H4</f>
        <v>20129797.088070311</v>
      </c>
      <c r="C11" s="28">
        <f>B11</f>
        <v>20129797.088070311</v>
      </c>
      <c r="E11" t="s">
        <v>123</v>
      </c>
      <c r="G11" s="54">
        <f>D4+H4</f>
        <v>20129797.088070311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440058.91192968935</v>
      </c>
    </row>
    <row r="13" spans="1:9" x14ac:dyDescent="0.2">
      <c r="C13" s="28"/>
      <c r="E13" t="s">
        <v>75</v>
      </c>
      <c r="F13" s="20">
        <f>B4*B6*'Notional Analysis'!C8</f>
        <v>20569856</v>
      </c>
    </row>
    <row r="14" spans="1:9" x14ac:dyDescent="0.2">
      <c r="A14" t="s">
        <v>109</v>
      </c>
      <c r="B14" s="20">
        <f>D4</f>
        <v>18131314.275570311</v>
      </c>
      <c r="C14" s="28">
        <f>B14</f>
        <v>18131314.275570311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18593606</v>
      </c>
      <c r="C15" s="59">
        <f>C10-E4+C12</f>
        <v>140118150</v>
      </c>
      <c r="F15" s="20"/>
      <c r="G15" s="20">
        <f>-F14+F13</f>
        <v>-121524544</v>
      </c>
    </row>
    <row r="16" spans="1:9" ht="13.5" thickBot="1" x14ac:dyDescent="0.25">
      <c r="A16" t="s">
        <v>117</v>
      </c>
      <c r="B16" s="20">
        <f>B15-B14</f>
        <v>462291.72442968935</v>
      </c>
      <c r="C16" s="60">
        <f>C15-C14</f>
        <v>121986835.7244297</v>
      </c>
      <c r="D16" s="61" t="s">
        <v>115</v>
      </c>
      <c r="F16" s="20"/>
      <c r="G16" s="17">
        <f>G12-G15</f>
        <v>121964602.9119297</v>
      </c>
      <c r="H16" s="20">
        <f>C16-G16</f>
        <v>22232.8125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121524544</v>
      </c>
      <c r="C20" s="28"/>
    </row>
    <row r="21" spans="1:3" x14ac:dyDescent="0.2">
      <c r="A21" t="s">
        <v>116</v>
      </c>
      <c r="B21" s="20">
        <f>B16-B19+B20</f>
        <v>121986835.7244297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37161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29</v>
      </c>
      <c r="F2"/>
      <c r="G2" s="41" t="s">
        <v>99</v>
      </c>
      <c r="H2" s="25">
        <f>VLOOKUP(H1,BD_Debt,1)</f>
        <v>37132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557486.19309932238</v>
      </c>
      <c r="F4" s="41">
        <f>VLOOKUP($H$1+30,BD_Debt,5)</f>
        <v>576709.85493033344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47779.264166666668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87528990.19309932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4001925.2641666667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87528990.19309932</v>
      </c>
      <c r="E4" s="28">
        <f>'Hawaii Summary'!H6</f>
        <v>3954146</v>
      </c>
      <c r="F4" s="45">
        <f>'Hawaii Summary'!I6</f>
        <v>0.15</v>
      </c>
      <c r="G4" s="27">
        <f>'Hawaii Summary'!J6</f>
        <v>363</v>
      </c>
      <c r="H4" s="41">
        <f>'Hawaii Summary'!K6</f>
        <v>4001925.2641666667</v>
      </c>
      <c r="I4" s="41"/>
    </row>
    <row r="6" spans="1:9" x14ac:dyDescent="0.2">
      <c r="A6" t="s">
        <v>75</v>
      </c>
      <c r="B6" s="48">
        <f>'Hawaii Summary'!B11</f>
        <v>3.04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25712928</v>
      </c>
      <c r="C10" s="28">
        <f>B4*B7*'Notional Analysis'!C8</f>
        <v>177622200</v>
      </c>
      <c r="E10" t="s">
        <v>122</v>
      </c>
      <c r="G10" s="20">
        <f>B4*B6*'Notional Analysis'!C8</f>
        <v>25712928</v>
      </c>
    </row>
    <row r="11" spans="1:9" x14ac:dyDescent="0.2">
      <c r="A11" t="s">
        <v>108</v>
      </c>
      <c r="B11" s="20">
        <f>D4+H4</f>
        <v>91530915.457265988</v>
      </c>
      <c r="C11" s="28">
        <f>B11</f>
        <v>91530915.457265988</v>
      </c>
      <c r="E11" t="s">
        <v>123</v>
      </c>
      <c r="G11" s="54">
        <f>D4+H4</f>
        <v>91530915.457265988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-65817987.457265988</v>
      </c>
    </row>
    <row r="13" spans="1:9" x14ac:dyDescent="0.2">
      <c r="C13" s="28"/>
      <c r="E13" t="s">
        <v>75</v>
      </c>
      <c r="F13" s="20">
        <f>B4*B6*'Notional Analysis'!C8</f>
        <v>25712928</v>
      </c>
    </row>
    <row r="14" spans="1:9" x14ac:dyDescent="0.2">
      <c r="A14" t="s">
        <v>109</v>
      </c>
      <c r="B14" s="20">
        <f>D4</f>
        <v>87528990.19309932</v>
      </c>
      <c r="C14" s="28">
        <f>B14</f>
        <v>87528990.19309932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25712928</v>
      </c>
      <c r="C15" s="59">
        <f>C10-E4+C12</f>
        <v>173668054</v>
      </c>
      <c r="F15" s="20"/>
      <c r="G15" s="20">
        <f>-F14+F13</f>
        <v>-151909272</v>
      </c>
    </row>
    <row r="16" spans="1:9" ht="13.5" thickBot="1" x14ac:dyDescent="0.25">
      <c r="A16" t="s">
        <v>117</v>
      </c>
      <c r="B16" s="20">
        <f>B15-B14</f>
        <v>-61816062.19309932</v>
      </c>
      <c r="C16" s="60">
        <f>C15-C14</f>
        <v>86139063.80690068</v>
      </c>
      <c r="D16" s="61" t="s">
        <v>115</v>
      </c>
      <c r="F16" s="20"/>
      <c r="G16" s="17">
        <f>G12-G15</f>
        <v>86091284.542734012</v>
      </c>
      <c r="H16" s="20">
        <f>C16-G16</f>
        <v>47779.264166668057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147955126</v>
      </c>
      <c r="C20" s="28"/>
    </row>
    <row r="21" spans="1:3" x14ac:dyDescent="0.2">
      <c r="A21" t="s">
        <v>116</v>
      </c>
      <c r="B21" s="20">
        <f>-B14+B15-B19+B20</f>
        <v>86139063.80690068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37161</v>
      </c>
      <c r="J1" s="1" t="s">
        <v>86</v>
      </c>
    </row>
    <row r="2" spans="1:15" x14ac:dyDescent="0.2">
      <c r="D2" t="s">
        <v>87</v>
      </c>
      <c r="E2" s="27">
        <f>H1-H2</f>
        <v>30</v>
      </c>
      <c r="F2"/>
      <c r="G2" s="41" t="s">
        <v>99</v>
      </c>
      <c r="H2" s="25">
        <f>VLOOKUP(H1,C_Debt,1)</f>
        <v>37131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193038.9298344792</v>
      </c>
      <c r="F4" s="41">
        <f>VLOOKUP($H$1+30,C_Debt,5)</f>
        <v>193038.9298344792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11254.4375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29304533.929834478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911609.4375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13959</v>
      </c>
      <c r="C4" s="28">
        <f>'Hawaii Summary'!F7</f>
        <v>29111495</v>
      </c>
      <c r="D4" s="28">
        <f>'Hawaii Summary'!G7</f>
        <v>29304533.929834478</v>
      </c>
      <c r="E4" s="28">
        <f>'Hawaii Summary'!H7</f>
        <v>900355</v>
      </c>
      <c r="F4" s="45">
        <f>'Hawaii Summary'!I7</f>
        <v>0.15</v>
      </c>
      <c r="G4" s="27">
        <f>'Hawaii Summary'!J7</f>
        <v>395</v>
      </c>
      <c r="H4" s="28">
        <f>'Hawaii Summary'!K7</f>
        <v>911609.4375</v>
      </c>
      <c r="I4" s="41"/>
    </row>
    <row r="6" spans="1:9" x14ac:dyDescent="0.2">
      <c r="A6" t="s">
        <v>75</v>
      </c>
      <c r="B6" s="48">
        <f>'Hawaii Summary'!B11</f>
        <v>3.04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8487072</v>
      </c>
      <c r="C10" s="28">
        <f>B4*B7*'Notional Analysis'!C8</f>
        <v>58627800</v>
      </c>
      <c r="E10" t="s">
        <v>122</v>
      </c>
      <c r="G10" s="20">
        <f>B4*B6*'Notional Analysis'!C8</f>
        <v>8487072</v>
      </c>
    </row>
    <row r="11" spans="1:9" x14ac:dyDescent="0.2">
      <c r="A11" t="s">
        <v>108</v>
      </c>
      <c r="B11" s="20">
        <f>D4+H4</f>
        <v>30216143.367334478</v>
      </c>
      <c r="C11" s="28">
        <f>B11</f>
        <v>30216143.367334478</v>
      </c>
      <c r="E11" t="s">
        <v>123</v>
      </c>
      <c r="G11" s="54">
        <f>D4+H4</f>
        <v>30216143.367334478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-21729071.367334478</v>
      </c>
    </row>
    <row r="13" spans="1:9" x14ac:dyDescent="0.2">
      <c r="C13" s="28"/>
      <c r="E13" t="s">
        <v>75</v>
      </c>
      <c r="F13" s="20">
        <f>B4*B6*'Notional Analysis'!C8</f>
        <v>8487072</v>
      </c>
    </row>
    <row r="14" spans="1:9" x14ac:dyDescent="0.2">
      <c r="A14" t="s">
        <v>109</v>
      </c>
      <c r="B14" s="20">
        <f>D4</f>
        <v>29304533.929834478</v>
      </c>
      <c r="C14" s="28">
        <f>B14</f>
        <v>29304533.929834478</v>
      </c>
      <c r="E14" t="s">
        <v>104</v>
      </c>
      <c r="F14" s="20">
        <f>B7*B4*'Notional Analysis'!C8</f>
        <v>58627800</v>
      </c>
    </row>
    <row r="15" spans="1:9" x14ac:dyDescent="0.2">
      <c r="A15" t="s">
        <v>110</v>
      </c>
      <c r="B15" s="54">
        <f>B10-E4+B12</f>
        <v>8487072</v>
      </c>
      <c r="C15" s="59">
        <f>C10-E4+C12</f>
        <v>57727445</v>
      </c>
      <c r="F15" s="20"/>
      <c r="G15" s="20">
        <f>-F14+F13</f>
        <v>-50140728</v>
      </c>
    </row>
    <row r="16" spans="1:9" ht="13.5" thickBot="1" x14ac:dyDescent="0.25">
      <c r="A16" t="s">
        <v>117</v>
      </c>
      <c r="B16" s="20">
        <f>B15-B14</f>
        <v>-20817461.929834478</v>
      </c>
      <c r="C16" s="60">
        <f>C15-C14</f>
        <v>28422911.070165522</v>
      </c>
      <c r="D16" s="61" t="s">
        <v>115</v>
      </c>
      <c r="F16" s="20"/>
      <c r="G16" s="17">
        <f>G12-G15</f>
        <v>28411656.632665522</v>
      </c>
      <c r="H16" s="20">
        <f>C16-G16</f>
        <v>11254.4375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57727445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49240373</v>
      </c>
      <c r="C20" s="28"/>
      <c r="F20" s="20"/>
    </row>
    <row r="21" spans="1:6" x14ac:dyDescent="0.2">
      <c r="A21" t="s">
        <v>116</v>
      </c>
      <c r="B21" s="20">
        <f>-B14+B15-B19+B20</f>
        <v>28422911.070165522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R3 258 NP</vt:lpstr>
      <vt:lpstr>50 NP</vt:lpstr>
      <vt:lpstr>Initial</vt:lpstr>
      <vt:lpstr>Financials QTR</vt:lpstr>
      <vt:lpstr>A_Debt</vt:lpstr>
      <vt:lpstr>A_Equity</vt:lpstr>
      <vt:lpstr>BD_Debt</vt:lpstr>
      <vt:lpstr>BD_Equity</vt:lpstr>
      <vt:lpstr>C_Debt</vt:lpstr>
      <vt:lpstr>C_Equity</vt:lpstr>
      <vt:lpstr>Lg_Pay2</vt:lpstr>
      <vt:lpstr>Lg_Payable</vt:lpstr>
      <vt:lpstr>Note_Receivable</vt:lpstr>
      <vt:lpstr>'258 NP'!Print_Area</vt:lpstr>
      <vt:lpstr>'50 NP'!Print_Area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2001-08-31T17:10:55Z</cp:lastPrinted>
  <dcterms:created xsi:type="dcterms:W3CDTF">2000-10-03T19:16:39Z</dcterms:created>
  <dcterms:modified xsi:type="dcterms:W3CDTF">2023-09-18T19:15:43Z</dcterms:modified>
</cp:coreProperties>
</file>