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F43B07-FB99-4C7C-84F9-76B80F9BF76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externalReferences>
    <externalReference r:id="rId10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B124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<sst xmlns="http://schemas.openxmlformats.org/spreadsheetml/2006/main" count="314" uniqueCount="227">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</sst>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aptor1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MPR Raptor"/>
    </sheetNames>
    <sheetDataSet>
      <sheetData sheetId="0">
        <row r="5">
          <cell r="C5">
            <v>36962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21" sqref="E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f>+[1]Summary!$C$5</f>
        <v>36962</v>
      </c>
      <c r="D5" s="61" t="s">
        <v>16</v>
      </c>
      <c r="E5" s="62">
        <f>+C5-1</f>
        <v>36961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-198640541.98282489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121" activePane="bottomLeft" state="frozen"/>
      <selection pane="bottomLeft" activeCell="A139" sqref="A139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118" spans="1:2" x14ac:dyDescent="0.25">
      <c r="A118" s="143">
        <v>36935</v>
      </c>
      <c r="B118" s="121">
        <v>81.150000000000006</v>
      </c>
    </row>
    <row r="119" spans="1:2" x14ac:dyDescent="0.25">
      <c r="A119" s="143">
        <v>36936</v>
      </c>
      <c r="B119" s="121">
        <v>80</v>
      </c>
    </row>
    <row r="120" spans="1:2" x14ac:dyDescent="0.25">
      <c r="A120" s="143">
        <v>36937</v>
      </c>
      <c r="B120" s="121">
        <v>77.900000000000006</v>
      </c>
    </row>
    <row r="121" spans="1:2" x14ac:dyDescent="0.25">
      <c r="A121" s="143">
        <v>36938</v>
      </c>
      <c r="B121" s="121">
        <v>76.19</v>
      </c>
    </row>
    <row r="122" spans="1:2" x14ac:dyDescent="0.25">
      <c r="A122" s="143">
        <v>36942</v>
      </c>
      <c r="B122" s="121">
        <v>75.09</v>
      </c>
    </row>
    <row r="123" spans="1:2" x14ac:dyDescent="0.25">
      <c r="A123" s="143">
        <v>36943</v>
      </c>
      <c r="B123" s="121">
        <v>73.09</v>
      </c>
    </row>
    <row r="124" spans="1:2" x14ac:dyDescent="0.25">
      <c r="A124" s="143">
        <v>36944</v>
      </c>
      <c r="B124" s="121">
        <f>72.15</f>
        <v>72.150000000000006</v>
      </c>
    </row>
    <row r="125" spans="1:2" x14ac:dyDescent="0.25">
      <c r="A125" s="143">
        <v>36945</v>
      </c>
      <c r="B125" s="121">
        <v>71</v>
      </c>
    </row>
    <row r="126" spans="1:2" x14ac:dyDescent="0.25">
      <c r="A126" s="143">
        <v>36948</v>
      </c>
      <c r="B126" s="121">
        <v>70.56</v>
      </c>
    </row>
    <row r="127" spans="1:2" x14ac:dyDescent="0.25">
      <c r="A127" s="143">
        <v>36949</v>
      </c>
      <c r="B127" s="121">
        <v>70.040000000000006</v>
      </c>
    </row>
    <row r="128" spans="1:2" x14ac:dyDescent="0.25">
      <c r="A128" s="143">
        <v>36950</v>
      </c>
      <c r="B128" s="121">
        <v>68.5</v>
      </c>
    </row>
    <row r="129" spans="1:2" x14ac:dyDescent="0.25">
      <c r="A129" s="143">
        <v>36951</v>
      </c>
      <c r="B129" s="121">
        <v>68.680000000000007</v>
      </c>
    </row>
    <row r="130" spans="1:2" x14ac:dyDescent="0.25">
      <c r="A130" s="143">
        <v>36952</v>
      </c>
      <c r="B130" s="121">
        <v>70.19</v>
      </c>
    </row>
    <row r="131" spans="1:2" x14ac:dyDescent="0.25">
      <c r="A131" s="143">
        <v>36955</v>
      </c>
      <c r="B131" s="121">
        <v>70.11</v>
      </c>
    </row>
    <row r="132" spans="1:2" x14ac:dyDescent="0.25">
      <c r="A132" s="143">
        <v>36956</v>
      </c>
      <c r="B132" s="121">
        <v>68.87</v>
      </c>
    </row>
    <row r="133" spans="1:2" x14ac:dyDescent="0.25">
      <c r="A133" s="143">
        <v>36957</v>
      </c>
      <c r="B133" s="121">
        <v>70</v>
      </c>
    </row>
    <row r="134" spans="1:2" x14ac:dyDescent="0.25">
      <c r="A134" s="143">
        <v>36958</v>
      </c>
      <c r="B134" s="121">
        <v>70.59</v>
      </c>
    </row>
    <row r="135" spans="1:2" x14ac:dyDescent="0.25">
      <c r="A135" s="143">
        <v>36959</v>
      </c>
      <c r="B135" s="121">
        <v>68.84</v>
      </c>
    </row>
    <row r="136" spans="1:2" x14ac:dyDescent="0.25">
      <c r="A136" s="143">
        <v>36962</v>
      </c>
      <c r="B136" s="121">
        <v>61.27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workbookViewId="0">
      <selection activeCell="A5" sqref="A5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3" workbookViewId="0">
      <selection activeCell="H3" sqref="H3:I3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36962</v>
      </c>
      <c r="I2" s="166"/>
      <c r="J2" s="90"/>
      <c r="L2" s="166">
        <f>H2</f>
        <v>36962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61.27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36962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35360629.816454068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0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36962</v>
      </c>
      <c r="J11" s="13"/>
      <c r="L11" s="7" t="s">
        <v>40</v>
      </c>
      <c r="M11" s="7">
        <f>+Amort!B28</f>
        <v>116666.66666666667</v>
      </c>
      <c r="O11" s="7" t="s">
        <v>34</v>
      </c>
      <c r="P11" s="7">
        <f>E7-I16+'Cash-Int-Trans'!B9</f>
        <v>421581796.31594563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3069591.5942318537</v>
      </c>
      <c r="J13" s="29"/>
      <c r="L13" s="7" t="s">
        <v>225</v>
      </c>
      <c r="M13" s="7">
        <f>IF(I19&gt;0,I19,0)</f>
        <v>137464957.84999999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1876388.888888889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-198639541.98282489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32946257.889840182</v>
      </c>
      <c r="J15" s="32" t="s">
        <v>53</v>
      </c>
      <c r="L15" s="85" t="s">
        <v>7</v>
      </c>
      <c r="M15" s="12">
        <f>SUM(M8:M14)</f>
        <v>222942254.33312073</v>
      </c>
      <c r="N15" s="20"/>
      <c r="O15" s="85" t="s">
        <v>7</v>
      </c>
      <c r="P15" s="12">
        <f>SUM(P8:P14)</f>
        <v>222942254.33312073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-15100765.315945622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57310442.0570153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222942254.33312073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137464957.84999999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-382946257.88984019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223942254.33312073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-245481300.03984019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6763056.080860246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-188170857.98282489</v>
      </c>
      <c r="J25" s="13"/>
      <c r="L25" s="7" t="s">
        <v>54</v>
      </c>
      <c r="P25" s="7">
        <f>P13</f>
        <v>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Failed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-6763056.080860246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0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-188170857.98282489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0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-186923069.375</v>
      </c>
      <c r="J35" s="41"/>
      <c r="L35" s="7" t="s">
        <v>72</v>
      </c>
      <c r="M35" s="7">
        <f>I25</f>
        <v>-188170857.98282489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-198640541.98282489</v>
      </c>
      <c r="K37" s="7"/>
      <c r="L37" s="7" t="s">
        <v>74</v>
      </c>
      <c r="M37" s="7">
        <f>SUM(M34:M36)</f>
        <v>-198639541.98282489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-198639541.98282489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+E9+I34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workbookViewId="0">
      <selection activeCell="E1" sqref="E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-1759722.2222222222</v>
      </c>
      <c r="C15" s="7"/>
      <c r="D15" s="1">
        <v>36961</v>
      </c>
    </row>
    <row r="16" spans="1:8" x14ac:dyDescent="0.25">
      <c r="A16" s="7" t="s">
        <v>186</v>
      </c>
      <c r="B16" s="14">
        <f>-B15</f>
        <v>1759722.2222222222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-188170857.98282489</v>
      </c>
    </row>
    <row r="23" spans="1:5" x14ac:dyDescent="0.25">
      <c r="A23" t="s">
        <v>100</v>
      </c>
      <c r="B23" s="7">
        <f>-Financials!I15</f>
        <v>-32946257.889840182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245481300.03984019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-116666.66666666667</v>
      </c>
    </row>
    <row r="29" spans="1:5" x14ac:dyDescent="0.25">
      <c r="A29" t="s">
        <v>105</v>
      </c>
      <c r="B29" s="7">
        <f>-Financials!E7+Financials!P11</f>
        <v>21581796.315945625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35360629.816454068</v>
      </c>
      <c r="D35" s="7">
        <f>+B20+B12+B13+B38+B16</f>
        <v>35360629.816454075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3069591.5942318537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36962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193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2808520.1579166665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36962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45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261071.43631518743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15100765.315945622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15059178.700362287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36950</v>
      </c>
    </row>
    <row r="61" spans="1:6" x14ac:dyDescent="0.25">
      <c r="A61" t="s">
        <v>75</v>
      </c>
      <c r="B61" s="3">
        <f>+B60-B58</f>
        <v>33</v>
      </c>
    </row>
    <row r="62" spans="1:6" x14ac:dyDescent="0.25">
      <c r="A62" t="s">
        <v>168</v>
      </c>
      <c r="B62" s="48">
        <f>+B59*0.07/360*B61</f>
        <v>41586.615583333332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36962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36962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workbookViewId="0">
      <selection activeCell="D1" sqref="D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36962</v>
      </c>
      <c r="B23" s="178"/>
      <c r="E23" s="97" t="s">
        <v>85</v>
      </c>
      <c r="F23" s="97">
        <f>VLOOKUP(+A23,Amort,2)</f>
        <v>1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36950</v>
      </c>
    </row>
    <row r="25" spans="1:9" s="97" customFormat="1" x14ac:dyDescent="0.25">
      <c r="A25" s="97" t="s">
        <v>83</v>
      </c>
      <c r="B25" s="123">
        <f>VLOOKUP(+A23,Note,8)</f>
        <v>1759722.2222222222</v>
      </c>
      <c r="E25" s="97" t="s">
        <v>86</v>
      </c>
      <c r="F25" s="97">
        <f>VLOOKUP(+F23+1,NotePeriod,5)</f>
        <v>1788888.888888889</v>
      </c>
    </row>
    <row r="26" spans="1:9" s="97" customFormat="1" x14ac:dyDescent="0.25">
      <c r="A26" s="111" t="s">
        <v>84</v>
      </c>
      <c r="B26" s="97">
        <f>+B24+B25</f>
        <v>1759722.2222222222</v>
      </c>
      <c r="E26" s="97" t="s">
        <v>87</v>
      </c>
      <c r="F26" s="111">
        <f>VLOOKUP(+F23+1,NotePeriod,8)</f>
        <v>37134</v>
      </c>
    </row>
    <row r="27" spans="1:9" s="97" customFormat="1" x14ac:dyDescent="0.25">
      <c r="A27" s="111" t="s">
        <v>88</v>
      </c>
      <c r="B27" s="97">
        <f>A23-F24</f>
        <v>12</v>
      </c>
      <c r="E27" s="111"/>
    </row>
    <row r="28" spans="1:9" s="97" customFormat="1" x14ac:dyDescent="0.25">
      <c r="A28" s="111" t="s">
        <v>26</v>
      </c>
      <c r="B28" s="97">
        <f>F25*B27/(F26-F24)</f>
        <v>116666.66666666667</v>
      </c>
    </row>
    <row r="29" spans="1:9" s="97" customFormat="1" x14ac:dyDescent="0.25">
      <c r="A29" s="111" t="s">
        <v>27</v>
      </c>
      <c r="B29" s="97">
        <f>+B25+B28</f>
        <v>1876388.888888889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6522617.6155833332</v>
      </c>
      <c r="E43" s="7">
        <v>0</v>
      </c>
      <c r="F43" s="7">
        <f>C43*$B$38/360*(A43-A42)</f>
        <v>14077777.777777778</v>
      </c>
      <c r="G43" s="7">
        <f>+C43+D43+E43+F43</f>
        <v>420600395.39336115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420600395.39336115</v>
      </c>
      <c r="D44" s="7">
        <v>0</v>
      </c>
      <c r="E44" s="7">
        <v>0</v>
      </c>
      <c r="F44" s="7">
        <f t="shared" ref="F44:F52" si="13">C44*$B$38/360*(A44-A43)</f>
        <v>15048147.479629144</v>
      </c>
      <c r="G44" s="7">
        <f t="shared" ref="G44:G52" si="14">+C44+D44+E44+F44</f>
        <v>435648542.87299031</v>
      </c>
      <c r="H44" s="7">
        <f t="shared" si="12"/>
        <v>29125925.25740692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435648542.87299031</v>
      </c>
      <c r="D45" s="7">
        <v>0</v>
      </c>
      <c r="E45" s="7">
        <v>0</v>
      </c>
      <c r="F45" s="7">
        <f t="shared" si="13"/>
        <v>15332408.439446634</v>
      </c>
      <c r="G45" s="7">
        <f t="shared" si="14"/>
        <v>450980951.31243694</v>
      </c>
      <c r="H45" s="7">
        <f t="shared" si="12"/>
        <v>44458333.696853556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450980951.31243694</v>
      </c>
      <c r="D46" s="7">
        <v>0</v>
      </c>
      <c r="E46" s="7">
        <v>0</v>
      </c>
      <c r="F46" s="7">
        <f t="shared" si="13"/>
        <v>16135096.258067189</v>
      </c>
      <c r="G46" s="7">
        <f t="shared" si="14"/>
        <v>467116047.57050413</v>
      </c>
      <c r="H46" s="7">
        <f t="shared" si="12"/>
        <v>60593429.954920746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467116047.57050413</v>
      </c>
      <c r="D47" s="7">
        <v>0</v>
      </c>
      <c r="E47" s="7">
        <v>0</v>
      </c>
      <c r="F47" s="7">
        <f t="shared" si="13"/>
        <v>16439889.785328578</v>
      </c>
      <c r="G47" s="7">
        <f t="shared" si="14"/>
        <v>483555937.3558327</v>
      </c>
      <c r="H47" s="7">
        <f t="shared" si="12"/>
        <v>77033319.740249321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483555937.3558327</v>
      </c>
      <c r="D48" s="7">
        <v>0</v>
      </c>
      <c r="E48" s="7">
        <v>0</v>
      </c>
      <c r="F48" s="7">
        <f t="shared" si="13"/>
        <v>17300556.869842015</v>
      </c>
      <c r="G48" s="7">
        <f t="shared" si="14"/>
        <v>500856494.22567469</v>
      </c>
      <c r="H48" s="7">
        <f t="shared" si="12"/>
        <v>94333876.610091329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500856494.22567469</v>
      </c>
      <c r="D49" s="7">
        <v>0</v>
      </c>
      <c r="E49" s="7">
        <v>0</v>
      </c>
      <c r="F49" s="7">
        <f t="shared" si="13"/>
        <v>17724754.823430821</v>
      </c>
      <c r="G49" s="7">
        <f t="shared" si="14"/>
        <v>518581249.04910553</v>
      </c>
      <c r="H49" s="7">
        <f t="shared" si="12"/>
        <v>112058631.43352215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518581249.04910553</v>
      </c>
      <c r="D50" s="7">
        <v>0</v>
      </c>
      <c r="E50" s="7">
        <v>0</v>
      </c>
      <c r="F50" s="7">
        <f t="shared" si="13"/>
        <v>18553684.688201334</v>
      </c>
      <c r="G50" s="7">
        <f t="shared" si="14"/>
        <v>537134933.73730683</v>
      </c>
      <c r="H50" s="7">
        <f t="shared" si="12"/>
        <v>130612316.12172349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537134933.73730683</v>
      </c>
      <c r="D51" s="7">
        <v>0</v>
      </c>
      <c r="E51" s="7">
        <v>0</v>
      </c>
      <c r="F51" s="7">
        <f t="shared" si="13"/>
        <v>18904165.584587999</v>
      </c>
      <c r="G51" s="7">
        <f t="shared" si="14"/>
        <v>556039099.32189488</v>
      </c>
      <c r="H51" s="7">
        <f t="shared" si="12"/>
        <v>149516481.70631149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556039099.32189488</v>
      </c>
      <c r="D52" s="7">
        <v>0</v>
      </c>
      <c r="E52" s="7">
        <v>0</v>
      </c>
      <c r="F52" s="7">
        <f t="shared" si="13"/>
        <v>19893843.331294466</v>
      </c>
      <c r="G52" s="7">
        <f t="shared" si="14"/>
        <v>575932942.6531893</v>
      </c>
      <c r="H52" s="7">
        <f t="shared" si="12"/>
        <v>169410325.03760597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6522617.6155833332</v>
      </c>
      <c r="E53" s="12">
        <f>SUM(E43:E52)</f>
        <v>0</v>
      </c>
      <c r="F53" s="12">
        <f>SUM(F43:F52)</f>
        <v>169410325.03760597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36962</v>
      </c>
      <c r="B55" s="178"/>
      <c r="E55" s="97" t="s">
        <v>85</v>
      </c>
      <c r="F55" s="97">
        <f>VLOOKUP(+A55,Note,2)</f>
        <v>1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36950</v>
      </c>
      <c r="G56" s="97"/>
    </row>
    <row r="57" spans="1:9" x14ac:dyDescent="0.25">
      <c r="A57" s="97" t="s">
        <v>161</v>
      </c>
      <c r="B57" s="123">
        <f>VLOOKUP(+A55,Loan,8)</f>
        <v>14077777.777777778</v>
      </c>
      <c r="C57" s="97"/>
      <c r="D57" s="97"/>
      <c r="E57" s="97" t="s">
        <v>86</v>
      </c>
      <c r="F57" s="97">
        <f>VLOOKUP(+F55+1,LoanPeriod,5)</f>
        <v>15048147.479629144</v>
      </c>
      <c r="G57" s="97"/>
    </row>
    <row r="58" spans="1:9" x14ac:dyDescent="0.25">
      <c r="A58" s="111" t="s">
        <v>7</v>
      </c>
      <c r="B58" s="97">
        <f>+B56+B57</f>
        <v>14077777.777777778</v>
      </c>
      <c r="C58" s="97"/>
      <c r="D58" s="97"/>
      <c r="E58" s="97" t="s">
        <v>87</v>
      </c>
      <c r="F58" s="111">
        <f>VLOOKUP(+F55+1,NotePeriod,8)</f>
        <v>37134</v>
      </c>
      <c r="G58" s="97"/>
    </row>
    <row r="59" spans="1:9" x14ac:dyDescent="0.25">
      <c r="A59" s="111" t="s">
        <v>88</v>
      </c>
      <c r="B59" s="97">
        <f>A55-F56</f>
        <v>12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981400.92258450936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15059178.700362287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36950</v>
      </c>
      <c r="E65" s="158">
        <f>+'Cash-Int-Trans'!B62</f>
        <v>41586.615583333332</v>
      </c>
    </row>
    <row r="66" spans="1:5" x14ac:dyDescent="0.25">
      <c r="E66" s="7">
        <f>SUM(E64:E65)</f>
        <v>6522617.6155833332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4" sqref="E14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  <col min="6" max="6" width="14.5" customWidth="1"/>
  </cols>
  <sheetData>
    <row r="1" spans="1:6" x14ac:dyDescent="0.25">
      <c r="D1" s="155" t="s">
        <v>194</v>
      </c>
      <c r="E1" s="52" t="s">
        <v>195</v>
      </c>
    </row>
    <row r="2" spans="1:6" x14ac:dyDescent="0.25">
      <c r="A2" s="58" t="s">
        <v>203</v>
      </c>
      <c r="C2" s="130"/>
      <c r="D2" s="2">
        <f>+Financials!I5</f>
        <v>61.27</v>
      </c>
    </row>
    <row r="3" spans="1:6" x14ac:dyDescent="0.25">
      <c r="A3" t="s">
        <v>196</v>
      </c>
      <c r="B3" s="3">
        <v>50000000</v>
      </c>
      <c r="D3" s="5">
        <f>B3*D2</f>
        <v>3063500000</v>
      </c>
      <c r="E3" s="3">
        <f>ROUND(D3/D2+0.49,0)</f>
        <v>50000000</v>
      </c>
    </row>
    <row r="4" spans="1:6" x14ac:dyDescent="0.25">
      <c r="A4" t="s">
        <v>197</v>
      </c>
      <c r="D4" s="50">
        <f>1400000000+1027000000+500000</f>
        <v>2427500000</v>
      </c>
      <c r="E4" s="153">
        <f>ROUND(D4/D2+0.49,0)</f>
        <v>39619717</v>
      </c>
    </row>
    <row r="5" spans="1:6" x14ac:dyDescent="0.25">
      <c r="A5" t="s">
        <v>198</v>
      </c>
      <c r="D5" s="4">
        <f>D3-D4</f>
        <v>636000000</v>
      </c>
      <c r="E5" s="48">
        <f>E3-E4</f>
        <v>10380283</v>
      </c>
    </row>
    <row r="6" spans="1:6" x14ac:dyDescent="0.25">
      <c r="A6" t="s">
        <v>199</v>
      </c>
      <c r="D6" s="2"/>
    </row>
    <row r="7" spans="1:6" x14ac:dyDescent="0.25">
      <c r="A7" t="s">
        <v>200</v>
      </c>
      <c r="B7" s="3">
        <v>3876755</v>
      </c>
      <c r="D7" s="4">
        <f>+B7*D2</f>
        <v>237528778.85000002</v>
      </c>
      <c r="E7" s="3">
        <v>3876755</v>
      </c>
    </row>
    <row r="8" spans="1:6" x14ac:dyDescent="0.25">
      <c r="A8" t="s">
        <v>201</v>
      </c>
      <c r="B8" s="3">
        <v>7809790</v>
      </c>
      <c r="D8" s="4">
        <f>+B8*D2</f>
        <v>478505833.30000001</v>
      </c>
      <c r="E8" s="3">
        <v>7809790</v>
      </c>
    </row>
    <row r="9" spans="1:6" x14ac:dyDescent="0.25">
      <c r="A9" t="s">
        <v>202</v>
      </c>
      <c r="B9" s="3">
        <v>6326045</v>
      </c>
      <c r="D9" s="50">
        <f>+B9*D2</f>
        <v>387596777.15000004</v>
      </c>
      <c r="E9" s="15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25</v>
      </c>
      <c r="D11" s="51">
        <f>D5-SUM(D7:D9)</f>
        <v>-467631389.30000019</v>
      </c>
      <c r="E11" s="154">
        <f>E5-SUM(E7:E9)</f>
        <v>-7632307</v>
      </c>
    </row>
    <row r="12" spans="1:6" ht="16.5" thickTop="1" x14ac:dyDescent="0.25">
      <c r="A12" s="3" t="s">
        <v>226</v>
      </c>
      <c r="D12" s="131">
        <f>+D11/(B3-SUM(B7:B9))</f>
        <v>-14.619232669978601</v>
      </c>
      <c r="E12" s="48"/>
      <c r="F12" s="3"/>
    </row>
    <row r="13" spans="1:6" x14ac:dyDescent="0.25">
      <c r="D13" s="5"/>
      <c r="E13" s="130"/>
      <c r="F13" s="3"/>
    </row>
    <row r="14" spans="1:6" x14ac:dyDescent="0.25">
      <c r="A14" t="s">
        <v>204</v>
      </c>
      <c r="B14" s="3">
        <f>IF(E11&gt;0,B9,IF(B9+E11&gt;0,+B9+E11,0))</f>
        <v>0</v>
      </c>
      <c r="D14" s="5"/>
      <c r="F14" s="3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32946257.889840182</v>
      </c>
      <c r="E20" s="156">
        <f>(+Financials!H2-Financials!A3)/(3*365)</f>
        <v>0.17625570776255708</v>
      </c>
      <c r="F20">
        <f>+D18*E20+D20</f>
        <v>0</v>
      </c>
    </row>
    <row r="21" spans="1:6" x14ac:dyDescent="0.25">
      <c r="A21" t="s">
        <v>209</v>
      </c>
      <c r="D21" s="4">
        <f>+D19+D20</f>
        <v>382946257.88984019</v>
      </c>
      <c r="E21" s="156">
        <f>+D21/D17</f>
        <v>0.71322369950616016</v>
      </c>
    </row>
    <row r="22" spans="1:6" x14ac:dyDescent="0.25">
      <c r="D22" s="4"/>
    </row>
    <row r="23" spans="1:6" x14ac:dyDescent="0.25">
      <c r="A23" t="s">
        <v>210</v>
      </c>
      <c r="B23" s="3">
        <f>+B14</f>
        <v>0</v>
      </c>
      <c r="C23" s="2">
        <f>+C17</f>
        <v>84.875</v>
      </c>
      <c r="D23" s="4">
        <f>+B23*C23</f>
        <v>0</v>
      </c>
    </row>
    <row r="24" spans="1:6" x14ac:dyDescent="0.25">
      <c r="A24" t="s">
        <v>206</v>
      </c>
      <c r="D24" s="4">
        <f>D18/D17*D23</f>
        <v>0</v>
      </c>
      <c r="E24" s="156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207</v>
      </c>
      <c r="D26" s="4">
        <f>-D24*E20</f>
        <v>0</v>
      </c>
      <c r="E26" s="156">
        <f>+E20</f>
        <v>0.17625570776255708</v>
      </c>
      <c r="F26">
        <f>+D24*E26+D26</f>
        <v>0</v>
      </c>
    </row>
    <row r="27" spans="1:6" x14ac:dyDescent="0.25">
      <c r="A27" t="s">
        <v>208</v>
      </c>
      <c r="D27" s="4">
        <f>+D25+D26</f>
        <v>0</v>
      </c>
      <c r="E27" s="156" t="e">
        <f>+D27/D23</f>
        <v>#DIV/0!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6326045</v>
      </c>
      <c r="D30" s="4">
        <f>+D21-D27</f>
        <v>382946257.88984019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2023-09-18T19:16:45Z</dcterms:modified>
</cp:coreProperties>
</file>