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A7EF2B-9DA4-441A-8848-D53B8790C82E}" xr6:coauthVersionLast="47" xr6:coauthVersionMax="47" xr10:uidLastSave="{00000000-0000-0000-0000-000000000000}"/>
  <bookViews>
    <workbookView xWindow="-120" yWindow="-120" windowWidth="38640" windowHeight="15720"/>
  </bookViews>
  <sheets>
    <sheet name="May 17 Hedge Recommendation" sheetId="14" r:id="rId1"/>
    <sheet name="Sheet3" sheetId="3" r:id="rId2"/>
  </sheets>
  <definedNames>
    <definedName name="_xlnm.Print_Area" localSheetId="0">'May 17 Hedge Recommendation'!$B$1:$M$43</definedName>
    <definedName name="_xlnm.Print_Titles" localSheetId="0">'May 17 Hedge Recommendation'!$A:$A</definedName>
  </definedNames>
  <calcPr calcId="0" fullCalcOnLoad="1"/>
</workbook>
</file>

<file path=xl/calcChain.xml><?xml version="1.0" encoding="utf-8"?>
<calcChain xmlns="http://schemas.openxmlformats.org/spreadsheetml/2006/main">
  <c r="K9" i="14" l="1"/>
  <c r="J10" i="14"/>
  <c r="K10" i="14"/>
  <c r="L10" i="14"/>
  <c r="M10" i="14"/>
  <c r="J11" i="14"/>
  <c r="K11" i="14"/>
  <c r="L11" i="14"/>
  <c r="M11" i="14"/>
  <c r="K12" i="14"/>
  <c r="L12" i="14"/>
  <c r="M12" i="14"/>
  <c r="F13" i="14"/>
  <c r="G13" i="14"/>
  <c r="H13" i="14"/>
  <c r="J13" i="14"/>
  <c r="K13" i="14"/>
  <c r="L13" i="14"/>
  <c r="M13" i="14"/>
  <c r="B14" i="14"/>
  <c r="C14" i="14"/>
  <c r="D14" i="14"/>
  <c r="E14" i="14"/>
  <c r="F14" i="14"/>
  <c r="G14" i="14"/>
  <c r="H14" i="14"/>
  <c r="J14" i="14"/>
  <c r="K14" i="14"/>
  <c r="L14" i="14"/>
  <c r="M14" i="14"/>
  <c r="B15" i="14"/>
  <c r="C15" i="14"/>
  <c r="D15" i="14"/>
  <c r="E15" i="14"/>
  <c r="F15" i="14"/>
  <c r="G15" i="14"/>
  <c r="H15" i="14"/>
  <c r="J15" i="14"/>
  <c r="K15" i="14"/>
  <c r="L15" i="14"/>
  <c r="M15" i="14"/>
  <c r="B17" i="14"/>
  <c r="C17" i="14"/>
  <c r="D17" i="14"/>
  <c r="E17" i="14"/>
  <c r="F17" i="14"/>
  <c r="G17" i="14"/>
  <c r="H17" i="14"/>
  <c r="J17" i="14"/>
  <c r="K17" i="14"/>
  <c r="L17" i="14"/>
  <c r="M17" i="14"/>
  <c r="B23" i="14"/>
  <c r="C23" i="14"/>
  <c r="D23" i="14"/>
  <c r="E23" i="14"/>
  <c r="F23" i="14"/>
  <c r="G23" i="14"/>
  <c r="H23" i="14"/>
  <c r="J23" i="14"/>
  <c r="K23" i="14"/>
  <c r="L23" i="14"/>
  <c r="M23" i="14"/>
  <c r="B25" i="14"/>
  <c r="C25" i="14"/>
  <c r="D25" i="14"/>
  <c r="E25" i="14"/>
  <c r="F25" i="14"/>
  <c r="G25" i="14"/>
  <c r="H25" i="14"/>
  <c r="J25" i="14"/>
  <c r="K25" i="14"/>
  <c r="L25" i="14"/>
  <c r="M25" i="14"/>
  <c r="B30" i="14"/>
  <c r="C30" i="14"/>
  <c r="D30" i="14"/>
  <c r="E30" i="14"/>
  <c r="F30" i="14"/>
  <c r="G30" i="14"/>
  <c r="H30" i="14"/>
  <c r="J30" i="14"/>
  <c r="K30" i="14"/>
  <c r="L30" i="14"/>
  <c r="M30" i="14"/>
  <c r="B33" i="14"/>
  <c r="C33" i="14"/>
  <c r="D33" i="14"/>
  <c r="E33" i="14"/>
  <c r="F33" i="14"/>
  <c r="G33" i="14"/>
  <c r="H33" i="14"/>
  <c r="J33" i="14"/>
  <c r="K33" i="14"/>
  <c r="L33" i="14"/>
  <c r="M33" i="14"/>
  <c r="B38" i="14"/>
  <c r="C38" i="14"/>
  <c r="D38" i="14"/>
  <c r="E38" i="14"/>
  <c r="F38" i="14"/>
  <c r="G38" i="14"/>
  <c r="H38" i="14"/>
  <c r="J38" i="14"/>
  <c r="K38" i="14"/>
  <c r="L38" i="14"/>
  <c r="M38" i="14"/>
  <c r="B39" i="14"/>
  <c r="C39" i="14"/>
  <c r="D39" i="14"/>
  <c r="E39" i="14"/>
  <c r="F39" i="14"/>
  <c r="G39" i="14"/>
  <c r="H39" i="14"/>
  <c r="J39" i="14"/>
  <c r="K39" i="14"/>
  <c r="L39" i="14"/>
  <c r="M39" i="14"/>
  <c r="B40" i="14"/>
  <c r="C40" i="14"/>
  <c r="D40" i="14"/>
  <c r="E40" i="14"/>
  <c r="F40" i="14"/>
  <c r="G40" i="14"/>
  <c r="H40" i="14"/>
  <c r="J40" i="14"/>
  <c r="K40" i="14"/>
  <c r="L40" i="14"/>
  <c r="M40" i="14"/>
  <c r="A41" i="14"/>
  <c r="B41" i="14"/>
  <c r="C41" i="14"/>
  <c r="D41" i="14"/>
  <c r="E41" i="14"/>
  <c r="F41" i="14"/>
  <c r="G41" i="14"/>
  <c r="H41" i="14"/>
  <c r="J41" i="14"/>
  <c r="K41" i="14"/>
  <c r="L41" i="14"/>
  <c r="M41" i="14"/>
  <c r="B42" i="14"/>
  <c r="C42" i="14"/>
  <c r="D42" i="14"/>
  <c r="E42" i="14"/>
  <c r="F42" i="14"/>
  <c r="G42" i="14"/>
  <c r="H42" i="14"/>
  <c r="J42" i="14"/>
  <c r="K42" i="14"/>
  <c r="L42" i="14"/>
  <c r="M42" i="14"/>
</calcChain>
</file>

<file path=xl/sharedStrings.xml><?xml version="1.0" encoding="utf-8"?>
<sst xmlns="http://schemas.openxmlformats.org/spreadsheetml/2006/main" count="42" uniqueCount="36">
  <si>
    <t>Oct</t>
  </si>
  <si>
    <t>Nov</t>
  </si>
  <si>
    <t>Dec</t>
  </si>
  <si>
    <t>Jun</t>
  </si>
  <si>
    <t>Jul</t>
  </si>
  <si>
    <t>Aug</t>
  </si>
  <si>
    <t>Sept</t>
  </si>
  <si>
    <t xml:space="preserve"> </t>
  </si>
  <si>
    <t>Mariner Energy, Inc.</t>
  </si>
  <si>
    <t>Gas Hedging Recommendation</t>
  </si>
  <si>
    <t>Volumes in Mmbtu per day</t>
  </si>
  <si>
    <t>Remaining Volume Available for Hedging</t>
  </si>
  <si>
    <t xml:space="preserve">Hedges in Place </t>
  </si>
  <si>
    <t xml:space="preserve">    Long-Term Swap ($2.185)</t>
  </si>
  <si>
    <t xml:space="preserve">     Put Options  ($3.50 floor)</t>
  </si>
  <si>
    <t xml:space="preserve">     Costless Collar ($3.50 floor/$4.92 cap)</t>
  </si>
  <si>
    <t>Total Hedges in Place</t>
  </si>
  <si>
    <t xml:space="preserve">     after New Hedge Positions</t>
  </si>
  <si>
    <t xml:space="preserve">Volume Available for Hedging </t>
  </si>
  <si>
    <t xml:space="preserve"> Covered by Hedge Positions:</t>
  </si>
  <si>
    <t>Total Covered by hedges</t>
  </si>
  <si>
    <t>Crater Lake</t>
  </si>
  <si>
    <t>Qtr 1</t>
  </si>
  <si>
    <t>Qtr 2</t>
  </si>
  <si>
    <t>Qtr 3</t>
  </si>
  <si>
    <t>Qtr 4</t>
  </si>
  <si>
    <t>Less: non-PDP:  GC472 King Kong</t>
  </si>
  <si>
    <t>GC516 Yosemite (&amp; modeled)</t>
  </si>
  <si>
    <t>MC305 Aconcagua (6/1/02)</t>
  </si>
  <si>
    <t>Daily Forecast in MMBtu (PDP only)</t>
  </si>
  <si>
    <t>Production (Mcf) per Latest Forecast (4/25/01)</t>
  </si>
  <si>
    <t>Daily Forecast in Mcf (Current PDP only)</t>
  </si>
  <si>
    <t>Percentage of Forecasted PDP Production</t>
  </si>
  <si>
    <t>Volume Available for Hedging at 85%</t>
  </si>
  <si>
    <t xml:space="preserve">    Swap ($4.43)</t>
  </si>
  <si>
    <t>New Hedge Position Recommended: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</si>
</sst>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u val="singleAccounting"/>
      <sz val="12"/>
      <name val="Arial"/>
      <family val="2"/>
    </font>
    <font>
      <u val="doubleAccounting"/>
      <sz val="12"/>
      <name val="Arial"/>
      <family val="2"/>
    </font>
    <font>
      <b/>
      <sz val="12"/>
      <name val="Arial"/>
      <family val="2"/>
    </font>
    <font>
      <u val="double"/>
      <sz val="12"/>
      <name val="Arial"/>
      <family val="2"/>
    </font>
    <font>
      <b/>
      <u val="singleAccounting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65" fontId="1" fillId="0" borderId="0" xfId="1" applyNumberFormat="1"/>
    <xf numFmtId="165" fontId="1" fillId="0" borderId="0" xfId="1" applyNumberFormat="1" applyAlignment="1">
      <alignment horizontal="right"/>
    </xf>
    <xf numFmtId="165" fontId="1" fillId="0" borderId="0" xfId="1" applyNumberFormat="1" applyFont="1" applyAlignment="1">
      <alignment horizontal="right"/>
    </xf>
    <xf numFmtId="1" fontId="1" fillId="0" borderId="0" xfId="1" applyNumberFormat="1"/>
    <xf numFmtId="165" fontId="3" fillId="0" borderId="0" xfId="1" applyNumberFormat="1" applyFont="1"/>
    <xf numFmtId="165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Continuous"/>
    </xf>
    <xf numFmtId="165" fontId="1" fillId="0" borderId="0" xfId="1" applyNumberFormat="1" applyAlignment="1">
      <alignment horizontal="centerContinuous"/>
    </xf>
    <xf numFmtId="165" fontId="3" fillId="0" borderId="0" xfId="1" applyNumberFormat="1" applyFont="1" applyFill="1"/>
    <xf numFmtId="165" fontId="7" fillId="0" borderId="0" xfId="1" applyNumberFormat="1" applyFont="1" applyFill="1"/>
    <xf numFmtId="165" fontId="1" fillId="0" borderId="0" xfId="1" applyNumberFormat="1" applyAlignment="1">
      <alignment horizontal="centerContinuous" vertical="top"/>
    </xf>
    <xf numFmtId="165" fontId="5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left"/>
    </xf>
    <xf numFmtId="1" fontId="4" fillId="0" borderId="0" xfId="1" applyNumberFormat="1" applyFont="1"/>
    <xf numFmtId="165" fontId="2" fillId="0" borderId="0" xfId="1" applyNumberFormat="1" applyFont="1" applyAlignment="1">
      <alignment horizontal="left" vertical="top"/>
    </xf>
    <xf numFmtId="165" fontId="3" fillId="0" borderId="0" xfId="1" applyNumberFormat="1" applyFont="1" applyAlignment="1">
      <alignment horizontal="left" vertical="top"/>
    </xf>
    <xf numFmtId="165" fontId="7" fillId="0" borderId="0" xfId="1" applyNumberFormat="1" applyFont="1"/>
    <xf numFmtId="165" fontId="9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1" fontId="1" fillId="0" borderId="0" xfId="1" applyNumberFormat="1" applyAlignment="1">
      <alignment horizontal="right"/>
    </xf>
    <xf numFmtId="165" fontId="3" fillId="0" borderId="0" xfId="1" applyNumberFormat="1" applyFont="1" applyFill="1" applyAlignment="1">
      <alignment horizontal="right"/>
    </xf>
    <xf numFmtId="165" fontId="5" fillId="0" borderId="0" xfId="1" applyNumberFormat="1" applyFont="1" applyFill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3" fillId="0" borderId="0" xfId="1" applyNumberFormat="1" applyFont="1" applyAlignment="1">
      <alignment horizontal="right" vertical="justify"/>
    </xf>
    <xf numFmtId="165" fontId="6" fillId="0" borderId="0" xfId="1" applyNumberFormat="1" applyFont="1" applyFill="1" applyAlignment="1">
      <alignment horizontal="right"/>
    </xf>
    <xf numFmtId="9" fontId="3" fillId="0" borderId="0" xfId="2" applyFont="1" applyFill="1" applyAlignment="1">
      <alignment horizontal="right"/>
    </xf>
    <xf numFmtId="9" fontId="4" fillId="0" borderId="0" xfId="2" applyFont="1" applyFill="1" applyAlignment="1">
      <alignment horizontal="right"/>
    </xf>
    <xf numFmtId="165" fontId="4" fillId="0" borderId="0" xfId="1" applyNumberFormat="1" applyFont="1" applyAlignment="1">
      <alignment horizontal="right"/>
    </xf>
    <xf numFmtId="9" fontId="8" fillId="0" borderId="0" xfId="2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8"/>
  <sheetViews>
    <sheetView tabSelected="1" workbookViewId="0">
      <pane xSplit="1" ySplit="8" topLeftCell="G9" activePane="bottomRight" state="frozen"/>
      <selection pane="topRight" activeCell="B1" sqref="B1"/>
      <selection pane="bottomLeft" activeCell="A7" sqref="A7"/>
      <selection pane="bottomRight" activeCell="M9" sqref="M9"/>
    </sheetView>
  </sheetViews>
  <sheetFormatPr defaultRowHeight="12.75" x14ac:dyDescent="0.2"/>
  <cols>
    <col min="1" max="1" width="48" style="1" customWidth="1"/>
    <col min="2" max="7" width="12.85546875" style="1" bestFit="1" customWidth="1"/>
    <col min="8" max="8" width="13" style="1" bestFit="1" customWidth="1"/>
    <col min="9" max="9" width="6.85546875" style="1" customWidth="1"/>
    <col min="10" max="13" width="12.85546875" style="1" customWidth="1"/>
    <col min="14" max="16384" width="9.140625" style="1"/>
  </cols>
  <sheetData>
    <row r="1" spans="1:35" ht="23.25" x14ac:dyDescent="0.2">
      <c r="A1" s="16" t="s">
        <v>8</v>
      </c>
      <c r="B1" s="12"/>
      <c r="C1" s="12"/>
      <c r="D1" s="12"/>
      <c r="E1" s="12"/>
      <c r="F1" s="9"/>
      <c r="G1" s="9"/>
      <c r="H1" s="9"/>
    </row>
    <row r="2" spans="1:35" ht="15" x14ac:dyDescent="0.2">
      <c r="A2" s="17" t="s">
        <v>9</v>
      </c>
      <c r="B2" s="12"/>
      <c r="C2" s="12"/>
      <c r="D2" s="12"/>
      <c r="E2" s="12"/>
      <c r="F2" s="9"/>
      <c r="G2" s="9"/>
      <c r="H2" s="9"/>
    </row>
    <row r="3" spans="1:35" ht="15" x14ac:dyDescent="0.2">
      <c r="A3" s="14" t="s">
        <v>10</v>
      </c>
      <c r="B3" s="12"/>
      <c r="C3" s="12"/>
      <c r="D3" s="12"/>
      <c r="E3" s="12"/>
      <c r="F3" s="9"/>
      <c r="G3" s="9"/>
      <c r="H3" s="9"/>
    </row>
    <row r="4" spans="1:35" ht="15" x14ac:dyDescent="0.2">
      <c r="A4" s="8"/>
      <c r="B4" s="12"/>
      <c r="C4" s="12"/>
      <c r="D4" s="12"/>
      <c r="E4" s="12"/>
    </row>
    <row r="5" spans="1:35" ht="15" x14ac:dyDescent="0.2">
      <c r="A5" s="8"/>
      <c r="B5" s="12"/>
      <c r="C5" s="12"/>
      <c r="D5" s="12"/>
      <c r="E5" s="12"/>
    </row>
    <row r="7" spans="1:35" ht="15" x14ac:dyDescent="0.2">
      <c r="A7" s="7"/>
      <c r="B7" s="6" t="s">
        <v>3</v>
      </c>
      <c r="C7" s="6" t="s">
        <v>4</v>
      </c>
      <c r="D7" s="6" t="s">
        <v>5</v>
      </c>
      <c r="E7" s="6" t="s">
        <v>6</v>
      </c>
      <c r="F7" s="6" t="s">
        <v>0</v>
      </c>
      <c r="G7" s="6" t="s">
        <v>1</v>
      </c>
      <c r="H7" s="6" t="s">
        <v>2</v>
      </c>
      <c r="I7" s="2"/>
      <c r="J7" s="6" t="s">
        <v>22</v>
      </c>
      <c r="K7" s="6" t="s">
        <v>23</v>
      </c>
      <c r="L7" s="6" t="s">
        <v>24</v>
      </c>
      <c r="M7" s="6" t="s">
        <v>25</v>
      </c>
    </row>
    <row r="8" spans="1:35" ht="15" x14ac:dyDescent="0.2">
      <c r="A8" s="6" t="s">
        <v>7</v>
      </c>
      <c r="B8" s="20">
        <v>2001</v>
      </c>
      <c r="C8" s="20">
        <v>2001</v>
      </c>
      <c r="D8" s="20">
        <v>2001</v>
      </c>
      <c r="E8" s="20">
        <v>2001</v>
      </c>
      <c r="F8" s="20">
        <v>2001</v>
      </c>
      <c r="G8" s="20">
        <v>2001</v>
      </c>
      <c r="H8" s="20">
        <v>2001</v>
      </c>
      <c r="I8" s="4"/>
      <c r="J8" s="15">
        <v>2002</v>
      </c>
      <c r="K8" s="15">
        <v>2002</v>
      </c>
      <c r="L8" s="15">
        <v>2002</v>
      </c>
      <c r="M8" s="15">
        <v>2002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" x14ac:dyDescent="0.2">
      <c r="A9" s="14" t="s">
        <v>30</v>
      </c>
      <c r="B9" s="6">
        <v>61050</v>
      </c>
      <c r="C9" s="6">
        <v>57878</v>
      </c>
      <c r="D9" s="6">
        <v>57340</v>
      </c>
      <c r="E9" s="6">
        <v>66371</v>
      </c>
      <c r="F9" s="6">
        <v>61043</v>
      </c>
      <c r="G9" s="6">
        <v>60593</v>
      </c>
      <c r="H9" s="6">
        <v>58004</v>
      </c>
      <c r="I9" s="21"/>
      <c r="J9" s="6">
        <v>107525</v>
      </c>
      <c r="K9" s="6">
        <f>10165728/92</f>
        <v>110497.04347826086</v>
      </c>
      <c r="L9" s="6">
        <v>123938</v>
      </c>
      <c r="M9" s="6">
        <v>124244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ht="15" x14ac:dyDescent="0.2">
      <c r="A10" s="6" t="s">
        <v>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21"/>
      <c r="J10" s="6">
        <f>2979533/92</f>
        <v>32386.228260869564</v>
      </c>
      <c r="K10" s="6">
        <f>2872937/92</f>
        <v>31227.57608695652</v>
      </c>
      <c r="L10" s="6">
        <f>2774972/92</f>
        <v>30162.739130434784</v>
      </c>
      <c r="M10" s="6">
        <f>2656912/92</f>
        <v>28879.478260869564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ht="15" x14ac:dyDescent="0.2">
      <c r="A11" s="6" t="s">
        <v>27</v>
      </c>
      <c r="B11" s="6"/>
      <c r="C11" s="6"/>
      <c r="D11" s="6"/>
      <c r="E11" s="6"/>
      <c r="F11" s="6"/>
      <c r="G11" s="6"/>
      <c r="H11" s="6"/>
      <c r="I11" s="21"/>
      <c r="J11" s="6">
        <f>1640235/92</f>
        <v>17828.641304347828</v>
      </c>
      <c r="K11" s="6">
        <f>1743009/92</f>
        <v>18945.75</v>
      </c>
      <c r="L11" s="6">
        <f>1853018/92</f>
        <v>20141.5</v>
      </c>
      <c r="M11" s="6">
        <f>2254052/92</f>
        <v>24500.565217391304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5" x14ac:dyDescent="0.2">
      <c r="A12" s="6" t="s">
        <v>28</v>
      </c>
      <c r="B12" s="6"/>
      <c r="C12" s="6"/>
      <c r="D12" s="6"/>
      <c r="E12" s="6"/>
      <c r="F12" s="6"/>
      <c r="G12" s="6"/>
      <c r="H12" s="6"/>
      <c r="I12" s="21"/>
      <c r="J12" s="6">
        <v>0</v>
      </c>
      <c r="K12" s="6">
        <f>646542/92</f>
        <v>7027.630434782609</v>
      </c>
      <c r="L12" s="6">
        <f>1982729/92</f>
        <v>21551.402173913044</v>
      </c>
      <c r="M12" s="6">
        <f>1982729/92</f>
        <v>21551.402173913044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7.25" x14ac:dyDescent="0.35">
      <c r="A13" s="6" t="s">
        <v>21</v>
      </c>
      <c r="B13" s="13">
        <v>0</v>
      </c>
      <c r="C13" s="13">
        <v>0</v>
      </c>
      <c r="D13" s="13">
        <v>0</v>
      </c>
      <c r="E13" s="13">
        <v>0</v>
      </c>
      <c r="F13" s="13">
        <f>326365/31</f>
        <v>10527.903225806451</v>
      </c>
      <c r="G13" s="13">
        <f>326365/30</f>
        <v>10878.833333333334</v>
      </c>
      <c r="H13" s="13">
        <f>326365/31</f>
        <v>10527.903225806451</v>
      </c>
      <c r="I13" s="21"/>
      <c r="J13" s="13">
        <f>979095/92</f>
        <v>10642.33695652174</v>
      </c>
      <c r="K13" s="13">
        <f>958203/92</f>
        <v>10415.25</v>
      </c>
      <c r="L13" s="13">
        <f>944520/92</f>
        <v>10266.521739130434</v>
      </c>
      <c r="M13" s="13">
        <f>854382/92</f>
        <v>9286.7608695652179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ht="17.25" x14ac:dyDescent="0.35">
      <c r="A14" s="5" t="s">
        <v>31</v>
      </c>
      <c r="B14" s="13">
        <f t="shared" ref="B14:H14" si="0">+B9-B10-B13</f>
        <v>61050</v>
      </c>
      <c r="C14" s="13">
        <f t="shared" si="0"/>
        <v>57878</v>
      </c>
      <c r="D14" s="13">
        <f t="shared" si="0"/>
        <v>57340</v>
      </c>
      <c r="E14" s="13">
        <f t="shared" si="0"/>
        <v>66371</v>
      </c>
      <c r="F14" s="13">
        <f t="shared" si="0"/>
        <v>50515.096774193546</v>
      </c>
      <c r="G14" s="13">
        <f t="shared" si="0"/>
        <v>49714.166666666664</v>
      </c>
      <c r="H14" s="13">
        <f t="shared" si="0"/>
        <v>47476.096774193546</v>
      </c>
      <c r="I14" s="2"/>
      <c r="J14" s="13">
        <f>+J9-J10-J11-J12-J13</f>
        <v>46667.793478260865</v>
      </c>
      <c r="K14" s="13">
        <f>+K9-K10-K11-K12-K13</f>
        <v>42880.836956521744</v>
      </c>
      <c r="L14" s="13">
        <f>+L9-L10-L11-L12-L13</f>
        <v>41815.836956521744</v>
      </c>
      <c r="M14" s="13">
        <f>+M9-M10-M11-M12-M13</f>
        <v>40025.793478260879</v>
      </c>
    </row>
    <row r="15" spans="1:35" ht="17.25" x14ac:dyDescent="0.35">
      <c r="A15" s="5" t="s">
        <v>29</v>
      </c>
      <c r="B15" s="13">
        <f t="shared" ref="B15:H15" si="1">+B14*1.05</f>
        <v>64102.5</v>
      </c>
      <c r="C15" s="13">
        <f t="shared" si="1"/>
        <v>60771.9</v>
      </c>
      <c r="D15" s="13">
        <f t="shared" si="1"/>
        <v>60207</v>
      </c>
      <c r="E15" s="13">
        <f t="shared" si="1"/>
        <v>69689.55</v>
      </c>
      <c r="F15" s="13">
        <f t="shared" si="1"/>
        <v>53040.851612903229</v>
      </c>
      <c r="G15" s="13">
        <f t="shared" si="1"/>
        <v>52199.875</v>
      </c>
      <c r="H15" s="13">
        <f t="shared" si="1"/>
        <v>49849.901612903224</v>
      </c>
      <c r="I15" s="2"/>
      <c r="J15" s="13">
        <f>+J14*1.05</f>
        <v>49001.183152173908</v>
      </c>
      <c r="K15" s="13">
        <f>+K14*1.05</f>
        <v>45024.878804347834</v>
      </c>
      <c r="L15" s="13">
        <f>+L14*1.05</f>
        <v>43906.628804347834</v>
      </c>
      <c r="M15" s="13">
        <f>+M14*1.05</f>
        <v>42027.083152173924</v>
      </c>
    </row>
    <row r="16" spans="1:35" ht="15" x14ac:dyDescent="0.2">
      <c r="A16" s="5"/>
      <c r="B16" s="6"/>
      <c r="C16" s="6"/>
      <c r="D16" s="6"/>
      <c r="E16" s="6"/>
      <c r="F16" s="6"/>
      <c r="G16" s="6"/>
      <c r="H16" s="6"/>
      <c r="I16" s="2"/>
      <c r="J16" s="6"/>
      <c r="K16" s="6"/>
      <c r="L16" s="6"/>
      <c r="M16" s="6"/>
    </row>
    <row r="17" spans="1:13" ht="15" x14ac:dyDescent="0.2">
      <c r="A17" s="5" t="s">
        <v>33</v>
      </c>
      <c r="B17" s="6">
        <f t="shared" ref="B17:H17" si="2">+B15*0.85</f>
        <v>54487.125</v>
      </c>
      <c r="C17" s="6">
        <f t="shared" si="2"/>
        <v>51656.114999999998</v>
      </c>
      <c r="D17" s="6">
        <f t="shared" si="2"/>
        <v>51175.95</v>
      </c>
      <c r="E17" s="6">
        <f t="shared" si="2"/>
        <v>59236.1175</v>
      </c>
      <c r="F17" s="6">
        <f t="shared" si="2"/>
        <v>45084.72387096774</v>
      </c>
      <c r="G17" s="6">
        <f t="shared" si="2"/>
        <v>44369.893749999996</v>
      </c>
      <c r="H17" s="6">
        <f t="shared" si="2"/>
        <v>42372.416370967738</v>
      </c>
      <c r="I17" s="2"/>
      <c r="J17" s="6">
        <f>+J15*0.85</f>
        <v>41651.005679347822</v>
      </c>
      <c r="K17" s="6">
        <f>+K15*0.85</f>
        <v>38271.14698369566</v>
      </c>
      <c r="L17" s="6">
        <f>+L15*0.85</f>
        <v>37320.634483695656</v>
      </c>
      <c r="M17" s="6">
        <f>+M15*0.85</f>
        <v>35723.020679347836</v>
      </c>
    </row>
    <row r="18" spans="1:13" ht="15" x14ac:dyDescent="0.2">
      <c r="A18" s="5"/>
      <c r="B18" s="6"/>
      <c r="C18" s="6"/>
      <c r="D18" s="6"/>
      <c r="E18" s="6"/>
      <c r="F18" s="6"/>
      <c r="G18" s="6"/>
      <c r="H18" s="6"/>
      <c r="I18" s="2"/>
      <c r="J18" s="6"/>
      <c r="K18" s="6"/>
      <c r="L18" s="6"/>
      <c r="M18" s="6"/>
    </row>
    <row r="19" spans="1:13" ht="15" x14ac:dyDescent="0.2">
      <c r="A19" s="5" t="s">
        <v>12</v>
      </c>
      <c r="B19" s="6"/>
      <c r="C19" s="6"/>
      <c r="D19" s="6"/>
      <c r="E19" s="6"/>
      <c r="F19" s="6"/>
      <c r="G19" s="6"/>
      <c r="H19" s="6"/>
      <c r="I19" s="2"/>
      <c r="J19" s="6"/>
      <c r="K19" s="6"/>
      <c r="L19" s="6"/>
      <c r="M19" s="6"/>
    </row>
    <row r="20" spans="1:13" ht="15" x14ac:dyDescent="0.2">
      <c r="A20" s="5" t="s">
        <v>13</v>
      </c>
      <c r="B20" s="6">
        <v>13000</v>
      </c>
      <c r="C20" s="6">
        <v>12350</v>
      </c>
      <c r="D20" s="6">
        <v>11800</v>
      </c>
      <c r="E20" s="6">
        <v>11700</v>
      </c>
      <c r="F20" s="6">
        <v>11200</v>
      </c>
      <c r="G20" s="6">
        <v>7200</v>
      </c>
      <c r="H20" s="6">
        <v>6800</v>
      </c>
      <c r="I20" s="2"/>
      <c r="J20" s="6">
        <v>6533</v>
      </c>
      <c r="K20" s="6">
        <v>5967</v>
      </c>
      <c r="L20" s="6">
        <v>5700</v>
      </c>
      <c r="M20" s="6">
        <v>0</v>
      </c>
    </row>
    <row r="21" spans="1:13" ht="15" x14ac:dyDescent="0.2">
      <c r="A21" s="10" t="s">
        <v>14</v>
      </c>
      <c r="B21" s="22">
        <v>15809</v>
      </c>
      <c r="C21" s="22">
        <v>13839</v>
      </c>
      <c r="D21" s="22">
        <v>14114</v>
      </c>
      <c r="E21" s="22">
        <v>14164</v>
      </c>
      <c r="F21" s="22">
        <v>0</v>
      </c>
      <c r="G21" s="22">
        <v>0</v>
      </c>
      <c r="H21" s="22">
        <v>0</v>
      </c>
      <c r="I21" s="2"/>
      <c r="J21" s="6">
        <v>0</v>
      </c>
      <c r="K21" s="6">
        <v>0</v>
      </c>
      <c r="L21" s="6">
        <v>0</v>
      </c>
      <c r="M21" s="6">
        <v>0</v>
      </c>
    </row>
    <row r="22" spans="1:13" ht="17.25" x14ac:dyDescent="0.35">
      <c r="A22" s="10" t="s">
        <v>15</v>
      </c>
      <c r="B22" s="23">
        <v>15809.666666666664</v>
      </c>
      <c r="C22" s="23">
        <v>13838.333333333336</v>
      </c>
      <c r="D22" s="23">
        <v>14113.333333333336</v>
      </c>
      <c r="E22" s="23">
        <v>14163.333333333336</v>
      </c>
      <c r="F22" s="23">
        <v>0</v>
      </c>
      <c r="G22" s="23">
        <v>0</v>
      </c>
      <c r="H22" s="23">
        <v>0</v>
      </c>
      <c r="I22" s="2"/>
      <c r="J22" s="23">
        <v>0</v>
      </c>
      <c r="K22" s="23">
        <v>0</v>
      </c>
      <c r="L22" s="23">
        <v>0</v>
      </c>
      <c r="M22" s="23">
        <v>0</v>
      </c>
    </row>
    <row r="23" spans="1:13" ht="17.25" x14ac:dyDescent="0.35">
      <c r="A23" s="10" t="s">
        <v>16</v>
      </c>
      <c r="B23" s="23">
        <f t="shared" ref="B23:H23" si="3">SUM(B20:B22)</f>
        <v>44618.666666666664</v>
      </c>
      <c r="C23" s="23">
        <f t="shared" si="3"/>
        <v>40027.333333333336</v>
      </c>
      <c r="D23" s="23">
        <f t="shared" si="3"/>
        <v>40027.333333333336</v>
      </c>
      <c r="E23" s="23">
        <f t="shared" si="3"/>
        <v>40027.333333333336</v>
      </c>
      <c r="F23" s="23">
        <f t="shared" si="3"/>
        <v>11200</v>
      </c>
      <c r="G23" s="23">
        <f t="shared" si="3"/>
        <v>7200</v>
      </c>
      <c r="H23" s="23">
        <f t="shared" si="3"/>
        <v>6800</v>
      </c>
      <c r="I23" s="2"/>
      <c r="J23" s="23">
        <f>SUM(J20:J22)</f>
        <v>6533</v>
      </c>
      <c r="K23" s="23">
        <f>SUM(K20:K22)</f>
        <v>5967</v>
      </c>
      <c r="L23" s="23">
        <f>SUM(L20:L22)</f>
        <v>5700</v>
      </c>
      <c r="M23" s="23">
        <f>SUM(M20:M22)</f>
        <v>0</v>
      </c>
    </row>
    <row r="24" spans="1:13" ht="15" x14ac:dyDescent="0.2">
      <c r="A24" s="5"/>
      <c r="B24" s="6"/>
      <c r="C24" s="6"/>
      <c r="D24" s="6"/>
      <c r="E24" s="6"/>
      <c r="F24" s="6"/>
      <c r="G24" s="6"/>
      <c r="H24" s="6"/>
      <c r="I24" s="2"/>
      <c r="J24" s="6"/>
      <c r="K24" s="6"/>
      <c r="L24" s="6"/>
      <c r="M24" s="6"/>
    </row>
    <row r="25" spans="1:13" ht="17.25" x14ac:dyDescent="0.35">
      <c r="A25" s="5" t="s">
        <v>11</v>
      </c>
      <c r="B25" s="24">
        <f t="shared" ref="B25:H25" si="4">+B17-B23</f>
        <v>9868.4583333333358</v>
      </c>
      <c r="C25" s="24">
        <f t="shared" si="4"/>
        <v>11628.781666666662</v>
      </c>
      <c r="D25" s="24">
        <f t="shared" si="4"/>
        <v>11148.616666666661</v>
      </c>
      <c r="E25" s="24">
        <f t="shared" si="4"/>
        <v>19208.784166666665</v>
      </c>
      <c r="F25" s="24">
        <f t="shared" si="4"/>
        <v>33884.72387096774</v>
      </c>
      <c r="G25" s="24">
        <f t="shared" si="4"/>
        <v>37169.893749999996</v>
      </c>
      <c r="H25" s="24">
        <f t="shared" si="4"/>
        <v>35572.416370967738</v>
      </c>
      <c r="I25" s="2"/>
      <c r="J25" s="24">
        <f>+J17-J23</f>
        <v>35118.005679347822</v>
      </c>
      <c r="K25" s="24">
        <f>+K17-K23</f>
        <v>32304.14698369566</v>
      </c>
      <c r="L25" s="24">
        <f>+L17-L23</f>
        <v>31620.634483695656</v>
      </c>
      <c r="M25" s="24">
        <f>+M17-M23</f>
        <v>35723.020679347836</v>
      </c>
    </row>
    <row r="26" spans="1:13" ht="17.25" x14ac:dyDescent="0.35">
      <c r="A26" s="5"/>
      <c r="B26" s="24"/>
      <c r="C26" s="24"/>
      <c r="D26" s="24"/>
      <c r="E26" s="24"/>
      <c r="F26" s="3" t="s">
        <v>7</v>
      </c>
      <c r="G26" s="3" t="s">
        <v>7</v>
      </c>
      <c r="H26" s="2"/>
      <c r="I26" s="2"/>
      <c r="J26" s="6"/>
      <c r="K26" s="6"/>
      <c r="L26" s="6"/>
      <c r="M26" s="6"/>
    </row>
    <row r="27" spans="1:13" ht="17.25" x14ac:dyDescent="0.35">
      <c r="A27" s="5"/>
      <c r="B27" s="24"/>
      <c r="C27" s="24"/>
      <c r="D27" s="24"/>
      <c r="E27" s="24"/>
      <c r="F27" s="2"/>
      <c r="G27" s="2"/>
      <c r="H27" s="2"/>
      <c r="I27" s="2"/>
      <c r="J27" s="6"/>
      <c r="K27" s="6"/>
      <c r="L27" s="6"/>
      <c r="M27" s="6"/>
    </row>
    <row r="28" spans="1:13" s="5" customFormat="1" ht="15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s="5" customFormat="1" ht="15.75" x14ac:dyDescent="0.25">
      <c r="A29" s="18" t="s">
        <v>35</v>
      </c>
      <c r="B29" s="6"/>
      <c r="C29" s="6"/>
      <c r="D29" s="6"/>
      <c r="E29" s="6"/>
      <c r="F29" s="25" t="s">
        <v>7</v>
      </c>
      <c r="G29" s="25"/>
      <c r="H29" s="25"/>
      <c r="I29" s="6"/>
      <c r="J29" s="6"/>
      <c r="K29" s="6"/>
      <c r="L29" s="6"/>
      <c r="M29" s="6"/>
    </row>
    <row r="30" spans="1:13" s="5" customFormat="1" ht="20.25" x14ac:dyDescent="0.55000000000000004">
      <c r="A30" s="18" t="s">
        <v>34</v>
      </c>
      <c r="B30" s="19">
        <f>ROUND(B25,-3)</f>
        <v>10000</v>
      </c>
      <c r="C30" s="19">
        <f>ROUND(C25,-3)</f>
        <v>12000</v>
      </c>
      <c r="D30" s="19">
        <f>ROUND(D25,-3)</f>
        <v>11000</v>
      </c>
      <c r="E30" s="19">
        <f>ROUND(E25,-3)</f>
        <v>19000</v>
      </c>
      <c r="F30" s="19">
        <f>ROUND(F25,-3)-1000</f>
        <v>33000</v>
      </c>
      <c r="G30" s="19">
        <f>ROUND(G25,-3)</f>
        <v>37000</v>
      </c>
      <c r="H30" s="19">
        <f>ROUND(H25,-3)-1000</f>
        <v>35000</v>
      </c>
      <c r="I30" s="19"/>
      <c r="J30" s="19">
        <f>ROUND(J25,-3)</f>
        <v>35000</v>
      </c>
      <c r="K30" s="19">
        <f>ROUND(K25,-3)</f>
        <v>32000</v>
      </c>
      <c r="L30" s="19">
        <f>ROUND(L25,-3)-1000</f>
        <v>31000</v>
      </c>
      <c r="M30" s="19">
        <f>ROUND(M25,-3)-1000</f>
        <v>35000</v>
      </c>
    </row>
    <row r="31" spans="1:13" s="5" customFormat="1" ht="15" x14ac:dyDescent="0.2">
      <c r="A31" s="10"/>
      <c r="B31" s="22"/>
      <c r="C31" s="22"/>
      <c r="D31" s="22"/>
      <c r="E31" s="22"/>
      <c r="F31" s="6"/>
      <c r="G31" s="6"/>
      <c r="H31" s="6"/>
      <c r="I31" s="6"/>
      <c r="J31" s="6"/>
      <c r="K31" s="6"/>
      <c r="L31" s="6"/>
      <c r="M31" s="6"/>
    </row>
    <row r="32" spans="1:13" s="5" customFormat="1" ht="17.25" x14ac:dyDescent="0.35">
      <c r="A32" s="10" t="s">
        <v>18</v>
      </c>
      <c r="B32" s="23"/>
      <c r="C32" s="23"/>
      <c r="D32" s="23"/>
      <c r="E32" s="23"/>
      <c r="F32" s="6"/>
      <c r="G32" s="6"/>
      <c r="H32" s="6"/>
      <c r="I32" s="6"/>
      <c r="J32" s="6"/>
      <c r="K32" s="6"/>
      <c r="L32" s="6"/>
      <c r="M32" s="6"/>
    </row>
    <row r="33" spans="1:13" s="5" customFormat="1" ht="17.25" x14ac:dyDescent="0.35">
      <c r="A33" s="10" t="s">
        <v>17</v>
      </c>
      <c r="B33" s="26">
        <f t="shared" ref="B33:H33" si="5">+B25-B30</f>
        <v>-131.54166666666424</v>
      </c>
      <c r="C33" s="26">
        <f t="shared" si="5"/>
        <v>-371.2183333333378</v>
      </c>
      <c r="D33" s="26">
        <f t="shared" si="5"/>
        <v>148.61666666666133</v>
      </c>
      <c r="E33" s="26">
        <f t="shared" si="5"/>
        <v>208.78416666666453</v>
      </c>
      <c r="F33" s="26">
        <f t="shared" si="5"/>
        <v>884.72387096774037</v>
      </c>
      <c r="G33" s="26">
        <f t="shared" si="5"/>
        <v>169.89374999999563</v>
      </c>
      <c r="H33" s="26">
        <f t="shared" si="5"/>
        <v>572.41637096773775</v>
      </c>
      <c r="I33" s="2"/>
      <c r="J33" s="26">
        <f>+J25-J30</f>
        <v>118.00567934782157</v>
      </c>
      <c r="K33" s="26">
        <f>+K25-K30</f>
        <v>304.14698369566031</v>
      </c>
      <c r="L33" s="26">
        <f>+L25-L30</f>
        <v>620.63448369565594</v>
      </c>
      <c r="M33" s="26">
        <f>+M25-M30</f>
        <v>723.02067934783554</v>
      </c>
    </row>
    <row r="34" spans="1:13" s="5" customFormat="1" ht="17.25" x14ac:dyDescent="0.35">
      <c r="A34" s="10"/>
      <c r="B34" s="23"/>
      <c r="C34" s="23"/>
      <c r="D34" s="23"/>
      <c r="E34" s="23"/>
      <c r="F34" s="6"/>
      <c r="G34" s="6"/>
      <c r="H34" s="6"/>
      <c r="I34" s="6"/>
      <c r="J34" s="6"/>
      <c r="K34" s="6"/>
      <c r="L34" s="6"/>
      <c r="M34" s="6"/>
    </row>
    <row r="35" spans="1:13" s="5" customFormat="1" ht="17.25" x14ac:dyDescent="0.35">
      <c r="A35" s="10"/>
      <c r="B35" s="23"/>
      <c r="C35" s="23"/>
      <c r="D35" s="23"/>
      <c r="E35" s="23"/>
      <c r="F35" s="6"/>
      <c r="G35" s="6"/>
      <c r="H35" s="6"/>
      <c r="I35" s="6"/>
      <c r="J35" s="6"/>
      <c r="K35" s="6"/>
      <c r="L35" s="6"/>
      <c r="M35" s="6"/>
    </row>
    <row r="36" spans="1:13" s="5" customFormat="1" ht="17.25" x14ac:dyDescent="0.35">
      <c r="A36" s="10" t="s">
        <v>32</v>
      </c>
      <c r="B36" s="23"/>
      <c r="C36" s="23"/>
      <c r="D36" s="23"/>
      <c r="E36" s="23"/>
      <c r="F36" s="6"/>
      <c r="G36" s="6"/>
      <c r="H36" s="6"/>
      <c r="I36" s="6"/>
      <c r="J36" s="6"/>
      <c r="K36" s="6"/>
      <c r="L36" s="6"/>
      <c r="M36" s="6"/>
    </row>
    <row r="37" spans="1:13" s="5" customFormat="1" ht="17.25" x14ac:dyDescent="0.35">
      <c r="A37" s="10" t="s">
        <v>19</v>
      </c>
      <c r="B37" s="23"/>
      <c r="C37" s="23"/>
      <c r="D37" s="23"/>
      <c r="E37" s="23"/>
      <c r="F37" s="6"/>
      <c r="G37" s="6"/>
      <c r="H37" s="6"/>
      <c r="I37" s="6"/>
      <c r="J37" s="6"/>
      <c r="K37" s="6"/>
      <c r="L37" s="6"/>
      <c r="M37" s="6"/>
    </row>
    <row r="38" spans="1:13" s="5" customFormat="1" ht="15" x14ac:dyDescent="0.2">
      <c r="A38" s="5" t="s">
        <v>13</v>
      </c>
      <c r="B38" s="27">
        <f t="shared" ref="B38:H40" si="6">+B20/B$15</f>
        <v>0.20280020280020281</v>
      </c>
      <c r="C38" s="27">
        <f t="shared" si="6"/>
        <v>0.20321892190305058</v>
      </c>
      <c r="D38" s="27">
        <f t="shared" si="6"/>
        <v>0.19599049944358629</v>
      </c>
      <c r="E38" s="27">
        <f t="shared" si="6"/>
        <v>0.16788743793007702</v>
      </c>
      <c r="F38" s="27">
        <f t="shared" si="6"/>
        <v>0.21115799726856913</v>
      </c>
      <c r="G38" s="27">
        <f t="shared" si="6"/>
        <v>0.13793136477817236</v>
      </c>
      <c r="H38" s="27">
        <f t="shared" si="6"/>
        <v>0.13640949690941573</v>
      </c>
      <c r="I38" s="6"/>
      <c r="J38" s="27">
        <f>+J20/J$15</f>
        <v>0.13332331139253659</v>
      </c>
      <c r="K38" s="27">
        <f t="shared" ref="K38:M40" si="7">+K20/K$15</f>
        <v>0.13252673096421075</v>
      </c>
      <c r="L38" s="27">
        <f t="shared" si="7"/>
        <v>0.12982094401735439</v>
      </c>
      <c r="M38" s="27">
        <f t="shared" si="7"/>
        <v>0</v>
      </c>
    </row>
    <row r="39" spans="1:13" s="5" customFormat="1" ht="15" x14ac:dyDescent="0.2">
      <c r="A39" s="10" t="s">
        <v>14</v>
      </c>
      <c r="B39" s="27">
        <f t="shared" si="6"/>
        <v>0.24662064662064662</v>
      </c>
      <c r="C39" s="27">
        <f t="shared" si="6"/>
        <v>0.22772037734545078</v>
      </c>
      <c r="D39" s="27">
        <f t="shared" si="6"/>
        <v>0.23442456857176075</v>
      </c>
      <c r="E39" s="27">
        <f t="shared" si="6"/>
        <v>0.20324424537107785</v>
      </c>
      <c r="F39" s="27">
        <f t="shared" si="6"/>
        <v>0</v>
      </c>
      <c r="G39" s="27">
        <f t="shared" si="6"/>
        <v>0</v>
      </c>
      <c r="H39" s="27">
        <f t="shared" si="6"/>
        <v>0</v>
      </c>
      <c r="I39" s="6"/>
      <c r="J39" s="27">
        <f>+J21/J$15</f>
        <v>0</v>
      </c>
      <c r="K39" s="27">
        <f t="shared" si="7"/>
        <v>0</v>
      </c>
      <c r="L39" s="27">
        <f t="shared" si="7"/>
        <v>0</v>
      </c>
      <c r="M39" s="27">
        <f t="shared" si="7"/>
        <v>0</v>
      </c>
    </row>
    <row r="40" spans="1:13" s="5" customFormat="1" ht="15" x14ac:dyDescent="0.2">
      <c r="A40" s="10" t="s">
        <v>15</v>
      </c>
      <c r="B40" s="27">
        <f t="shared" si="6"/>
        <v>0.2466310466310466</v>
      </c>
      <c r="C40" s="27">
        <f t="shared" si="6"/>
        <v>0.22770940736316184</v>
      </c>
      <c r="D40" s="27">
        <f t="shared" si="6"/>
        <v>0.23441349566218772</v>
      </c>
      <c r="E40" s="27">
        <f t="shared" si="6"/>
        <v>0.20323467913529841</v>
      </c>
      <c r="F40" s="27">
        <f t="shared" si="6"/>
        <v>0</v>
      </c>
      <c r="G40" s="27">
        <f t="shared" si="6"/>
        <v>0</v>
      </c>
      <c r="H40" s="27">
        <f t="shared" si="6"/>
        <v>0</v>
      </c>
      <c r="I40" s="6"/>
      <c r="J40" s="27">
        <f>+J22/J$15</f>
        <v>0</v>
      </c>
      <c r="K40" s="27">
        <f t="shared" si="7"/>
        <v>0</v>
      </c>
      <c r="L40" s="27">
        <f t="shared" si="7"/>
        <v>0</v>
      </c>
      <c r="M40" s="27">
        <f t="shared" si="7"/>
        <v>0</v>
      </c>
    </row>
    <row r="41" spans="1:13" s="5" customFormat="1" ht="15.75" x14ac:dyDescent="0.25">
      <c r="A41" s="11" t="str">
        <f>+A30</f>
        <v xml:space="preserve">    Swap ($4.43)</v>
      </c>
      <c r="B41" s="28">
        <f t="shared" ref="B41:H41" si="8">+B30/B$15</f>
        <v>0.15600015600015599</v>
      </c>
      <c r="C41" s="28">
        <f t="shared" si="8"/>
        <v>0.19745968120134469</v>
      </c>
      <c r="D41" s="28">
        <f t="shared" si="8"/>
        <v>0.18270300795588554</v>
      </c>
      <c r="E41" s="28">
        <f t="shared" si="8"/>
        <v>0.27263771971550971</v>
      </c>
      <c r="F41" s="28">
        <f t="shared" si="8"/>
        <v>0.62216195623774828</v>
      </c>
      <c r="G41" s="28">
        <f t="shared" si="8"/>
        <v>0.70881395788783019</v>
      </c>
      <c r="H41" s="28">
        <f t="shared" si="8"/>
        <v>0.70210770468081618</v>
      </c>
      <c r="I41" s="29"/>
      <c r="J41" s="28">
        <f>+J30/J$15</f>
        <v>0.71426846758591478</v>
      </c>
      <c r="K41" s="28">
        <f>+K30/K$15</f>
        <v>0.71071818180907387</v>
      </c>
      <c r="L41" s="28">
        <f>+L30/L$15</f>
        <v>0.70604373062069936</v>
      </c>
      <c r="M41" s="28">
        <f>+M30/M$15</f>
        <v>0.83279631549184885</v>
      </c>
    </row>
    <row r="42" spans="1:13" s="5" customFormat="1" ht="15" x14ac:dyDescent="0.2">
      <c r="A42" s="5" t="s">
        <v>20</v>
      </c>
      <c r="B42" s="30">
        <f t="shared" ref="B42:H42" si="9">SUM(B38:B41)</f>
        <v>0.85205205205205203</v>
      </c>
      <c r="C42" s="30">
        <f t="shared" si="9"/>
        <v>0.85610838781300791</v>
      </c>
      <c r="D42" s="30">
        <f t="shared" si="9"/>
        <v>0.8475315716334203</v>
      </c>
      <c r="E42" s="30">
        <f t="shared" si="9"/>
        <v>0.84700408215196288</v>
      </c>
      <c r="F42" s="30">
        <f t="shared" si="9"/>
        <v>0.83331995350631738</v>
      </c>
      <c r="G42" s="30">
        <f t="shared" si="9"/>
        <v>0.84674532266600255</v>
      </c>
      <c r="H42" s="30">
        <f t="shared" si="9"/>
        <v>0.83851720159023191</v>
      </c>
      <c r="I42" s="6"/>
      <c r="J42" s="30">
        <f>SUM(J38:J41)</f>
        <v>0.84759177897845139</v>
      </c>
      <c r="K42" s="30">
        <f>SUM(K38:K41)</f>
        <v>0.84324491277328462</v>
      </c>
      <c r="L42" s="30">
        <f>SUM(L38:L41)</f>
        <v>0.83586467463805381</v>
      </c>
      <c r="M42" s="30">
        <f>SUM(M38:M41)</f>
        <v>0.83279631549184885</v>
      </c>
    </row>
    <row r="43" spans="1:13" s="5" customFormat="1" ht="15" x14ac:dyDescent="0.2"/>
    <row r="44" spans="1:13" s="5" customFormat="1" ht="15" x14ac:dyDescent="0.2"/>
    <row r="45" spans="1:13" s="5" customFormat="1" ht="15" x14ac:dyDescent="0.2"/>
    <row r="46" spans="1:13" s="5" customFormat="1" ht="15" x14ac:dyDescent="0.2"/>
    <row r="47" spans="1:13" s="5" customFormat="1" ht="15" x14ac:dyDescent="0.2"/>
    <row r="48" spans="1:13" s="5" customFormat="1" ht="15" x14ac:dyDescent="0.2"/>
    <row r="49" s="5" customFormat="1" ht="15" x14ac:dyDescent="0.2"/>
    <row r="50" s="5" customFormat="1" ht="15" x14ac:dyDescent="0.2"/>
    <row r="51" s="5" customFormat="1" ht="15" x14ac:dyDescent="0.2"/>
    <row r="52" s="5" customFormat="1" ht="15" x14ac:dyDescent="0.2"/>
    <row r="53" s="5" customFormat="1" ht="15" x14ac:dyDescent="0.2"/>
    <row r="54" s="5" customFormat="1" ht="15" x14ac:dyDescent="0.2"/>
    <row r="55" s="5" customFormat="1" ht="15" x14ac:dyDescent="0.2"/>
    <row r="56" s="5" customFormat="1" ht="15" x14ac:dyDescent="0.2"/>
    <row r="57" s="5" customFormat="1" ht="15" x14ac:dyDescent="0.2"/>
    <row r="58" s="5" customFormat="1" ht="15" x14ac:dyDescent="0.2"/>
    <row r="59" s="5" customFormat="1" ht="15" x14ac:dyDescent="0.2"/>
    <row r="60" s="5" customFormat="1" ht="15" x14ac:dyDescent="0.2"/>
    <row r="61" s="5" customFormat="1" ht="15" x14ac:dyDescent="0.2"/>
    <row r="62" s="5" customFormat="1" ht="15" x14ac:dyDescent="0.2"/>
    <row r="63" s="5" customFormat="1" ht="15" x14ac:dyDescent="0.2"/>
    <row r="64" s="5" customFormat="1" ht="15" x14ac:dyDescent="0.2"/>
    <row r="65" s="5" customFormat="1" ht="15" x14ac:dyDescent="0.2"/>
    <row r="66" s="5" customFormat="1" ht="15" x14ac:dyDescent="0.2"/>
    <row r="67" s="5" customFormat="1" ht="15" x14ac:dyDescent="0.2"/>
    <row r="68" s="5" customFormat="1" ht="15" x14ac:dyDescent="0.2"/>
    <row r="69" s="5" customFormat="1" ht="15" x14ac:dyDescent="0.2"/>
    <row r="70" s="5" customFormat="1" ht="15" x14ac:dyDescent="0.2"/>
    <row r="71" s="5" customFormat="1" ht="15" x14ac:dyDescent="0.2"/>
    <row r="72" s="5" customFormat="1" ht="15" x14ac:dyDescent="0.2"/>
    <row r="73" s="5" customFormat="1" ht="15" x14ac:dyDescent="0.2"/>
    <row r="74" s="5" customFormat="1" ht="15" x14ac:dyDescent="0.2"/>
    <row r="75" s="5" customFormat="1" ht="15" x14ac:dyDescent="0.2"/>
    <row r="76" s="5" customFormat="1" ht="15" x14ac:dyDescent="0.2"/>
    <row r="77" s="5" customFormat="1" ht="15" x14ac:dyDescent="0.2"/>
    <row r="78" s="5" customFormat="1" ht="15" x14ac:dyDescent="0.2"/>
  </sheetData>
  <pageMargins left="0.75" right="0.75" top="1" bottom="1" header="0.5" footer="0.5"/>
  <pageSetup scale="63" orientation="landscape" r:id="rId1"/>
  <headerFooter alignWithMargins="0">
    <oddFooter>&amp;L&amp;D   &amp;C&amp;F  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May 17 Hedge Recommendation</vt:lpstr>
      <vt:lpstr>Sheet3</vt:lpstr>
      <vt:lpstr>'May 17 Hedge Recommendation'!Print_Area</vt:lpstr>
      <vt:lpstr>'May 17 Hedge Recommendation'!Print_Titles</vt:lpstr>
    </vt:vector>
  </TitlesOfParts>
  <Company>Mariner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Pici</dc:creator>
  <cp:lastModifiedBy>Jan Havlíček</cp:lastModifiedBy>
  <cp:lastPrinted>2001-05-17T20:43:47Z</cp:lastPrinted>
  <dcterms:created xsi:type="dcterms:W3CDTF">2000-08-15T12:54:27Z</dcterms:created>
  <dcterms:modified xsi:type="dcterms:W3CDTF">2023-09-18T19:23:29Z</dcterms:modified>
</cp:coreProperties>
</file>