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05B7EC-3317-4903-9FEF-88BC9D0B6A8E}" xr6:coauthVersionLast="47" xr6:coauthVersionMax="47" xr10:uidLastSave="{00000000-0000-0000-0000-000000000000}"/>
  <bookViews>
    <workbookView xWindow="-120" yWindow="-120" windowWidth="38640" windowHeight="15720"/>
  </bookViews>
  <sheets>
    <sheet name="Page1" sheetId="1" r:id="rId1"/>
    <sheet name="Page2" sheetId="4" r:id="rId2"/>
    <sheet name="Page3" sheetId="12" r:id="rId3"/>
    <sheet name="Page4" sheetId="13" state="hidden" r:id="rId4"/>
    <sheet name="Data" sheetId="5" state="hidden" r:id="rId5"/>
  </sheets>
  <externalReferences>
    <externalReference r:id="rId6"/>
  </externalReferences>
  <definedNames>
    <definedName name="_xlnm._FilterDatabase" localSheetId="1" hidden="1">Page2!$L$4:$V$23</definedName>
    <definedName name="_xlnm.Print_Area" localSheetId="4">Data!$A$1:$Y$25</definedName>
    <definedName name="_xlnm.Print_Area" localSheetId="0">Page1!$A$1:$R$98</definedName>
    <definedName name="_xlnm.Print_Area" localSheetId="1">Page2!$A$1:$V$111</definedName>
    <definedName name="_xlnm.Print_Area" localSheetId="2">Page3!$A$1:$Y$76</definedName>
    <definedName name="_xlnm.Print_Area" localSheetId="3">Page4!$A$1:$AA$73</definedName>
  </definedNames>
  <calcPr calcId="0" calcMode="manual"/>
</workbook>
</file>

<file path=xl/calcChain.xml><?xml version="1.0" encoding="utf-8"?>
<calcChain xmlns="http://schemas.openxmlformats.org/spreadsheetml/2006/main">
  <c r="F5" i="5" l="1"/>
  <c r="G5" i="5"/>
  <c r="L5" i="5"/>
  <c r="M5" i="5"/>
  <c r="R5" i="5"/>
  <c r="S5" i="5"/>
  <c r="X5" i="5"/>
  <c r="Y5" i="5"/>
  <c r="AB5" i="5"/>
  <c r="AC5" i="5"/>
  <c r="F6" i="5"/>
  <c r="G6" i="5"/>
  <c r="L6" i="5"/>
  <c r="M6" i="5"/>
  <c r="R6" i="5"/>
  <c r="S6" i="5"/>
  <c r="X6" i="5"/>
  <c r="Y6" i="5"/>
  <c r="AB6" i="5"/>
  <c r="AC6" i="5"/>
  <c r="F7" i="5"/>
  <c r="G7" i="5"/>
  <c r="L7" i="5"/>
  <c r="M7" i="5"/>
  <c r="R7" i="5"/>
  <c r="S7" i="5"/>
  <c r="X7" i="5"/>
  <c r="Y7" i="5"/>
  <c r="AB7" i="5"/>
  <c r="AC7" i="5"/>
  <c r="F8" i="5"/>
  <c r="G8" i="5"/>
  <c r="L8" i="5"/>
  <c r="M8" i="5"/>
  <c r="R8" i="5"/>
  <c r="S8" i="5"/>
  <c r="X8" i="5"/>
  <c r="Y8" i="5"/>
  <c r="AB8" i="5"/>
  <c r="AC8" i="5"/>
  <c r="F9" i="5"/>
  <c r="G9" i="5"/>
  <c r="L9" i="5"/>
  <c r="M9" i="5"/>
  <c r="R9" i="5"/>
  <c r="S9" i="5"/>
  <c r="X9" i="5"/>
  <c r="Y9" i="5"/>
  <c r="AB9" i="5"/>
  <c r="AC9" i="5"/>
  <c r="F10" i="5"/>
  <c r="G10" i="5"/>
  <c r="L10" i="5"/>
  <c r="M10" i="5"/>
  <c r="R10" i="5"/>
  <c r="S10" i="5"/>
  <c r="X10" i="5"/>
  <c r="Y10" i="5"/>
  <c r="AB10" i="5"/>
  <c r="AC10" i="5"/>
  <c r="F11" i="5"/>
  <c r="G11" i="5"/>
  <c r="L11" i="5"/>
  <c r="M11" i="5"/>
  <c r="R11" i="5"/>
  <c r="S11" i="5"/>
  <c r="X11" i="5"/>
  <c r="Y11" i="5"/>
  <c r="AB11" i="5"/>
  <c r="AC11" i="5"/>
  <c r="F12" i="5"/>
  <c r="G12" i="5"/>
  <c r="L12" i="5"/>
  <c r="M12" i="5"/>
  <c r="R12" i="5"/>
  <c r="S12" i="5"/>
  <c r="X12" i="5"/>
  <c r="Y12" i="5"/>
  <c r="AB12" i="5"/>
  <c r="AC12" i="5"/>
  <c r="F13" i="5"/>
  <c r="G13" i="5"/>
  <c r="L13" i="5"/>
  <c r="M13" i="5"/>
  <c r="R13" i="5"/>
  <c r="S13" i="5"/>
  <c r="X13" i="5"/>
  <c r="Y13" i="5"/>
  <c r="AB13" i="5"/>
  <c r="AC13" i="5"/>
  <c r="F14" i="5"/>
  <c r="G14" i="5"/>
  <c r="L14" i="5"/>
  <c r="M14" i="5"/>
  <c r="R14" i="5"/>
  <c r="S14" i="5"/>
  <c r="X14" i="5"/>
  <c r="Y14" i="5"/>
  <c r="AB14" i="5"/>
  <c r="AC14" i="5"/>
  <c r="F15" i="5"/>
  <c r="G15" i="5"/>
  <c r="L15" i="5"/>
  <c r="M15" i="5"/>
  <c r="R15" i="5"/>
  <c r="S15" i="5"/>
  <c r="X15" i="5"/>
  <c r="Y15" i="5"/>
  <c r="AB15" i="5"/>
  <c r="AC15" i="5"/>
  <c r="F16" i="5"/>
  <c r="G16" i="5"/>
  <c r="L16" i="5"/>
  <c r="M16" i="5"/>
  <c r="R16" i="5"/>
  <c r="S16" i="5"/>
  <c r="X16" i="5"/>
  <c r="Y16" i="5"/>
  <c r="F17" i="5"/>
  <c r="G17" i="5"/>
  <c r="L17" i="5"/>
  <c r="M17" i="5"/>
  <c r="R17" i="5"/>
  <c r="S17" i="5"/>
  <c r="X17" i="5"/>
  <c r="Y17" i="5"/>
  <c r="F18" i="5"/>
  <c r="G18" i="5"/>
  <c r="L18" i="5"/>
  <c r="M18" i="5"/>
  <c r="R18" i="5"/>
  <c r="S18" i="5"/>
  <c r="X18" i="5"/>
  <c r="Y18" i="5"/>
  <c r="F19" i="5"/>
  <c r="G19" i="5"/>
  <c r="L19" i="5"/>
  <c r="M19" i="5"/>
  <c r="R19" i="5"/>
  <c r="S19" i="5"/>
  <c r="X19" i="5"/>
  <c r="Y19" i="5"/>
  <c r="F20" i="5"/>
  <c r="G20" i="5"/>
  <c r="L20" i="5"/>
  <c r="M20" i="5"/>
  <c r="R20" i="5"/>
  <c r="S20" i="5"/>
  <c r="X20" i="5"/>
  <c r="Y20" i="5"/>
  <c r="F21" i="5"/>
  <c r="G21" i="5"/>
  <c r="L21" i="5"/>
  <c r="M21" i="5"/>
  <c r="R21" i="5"/>
  <c r="S21" i="5"/>
  <c r="X21" i="5"/>
  <c r="Y21" i="5"/>
  <c r="AD21" i="5"/>
  <c r="F22" i="5"/>
  <c r="G22" i="5"/>
  <c r="L22" i="5"/>
  <c r="M22" i="5"/>
  <c r="R22" i="5"/>
  <c r="S22" i="5"/>
  <c r="X22" i="5"/>
  <c r="Y22" i="5"/>
  <c r="AD22" i="5"/>
  <c r="F23" i="5"/>
  <c r="G23" i="5"/>
  <c r="L23" i="5"/>
  <c r="M23" i="5"/>
  <c r="R23" i="5"/>
  <c r="S23" i="5"/>
  <c r="X23" i="5"/>
  <c r="Y23" i="5"/>
  <c r="AD23" i="5"/>
  <c r="F24" i="5"/>
  <c r="G24" i="5"/>
  <c r="L24" i="5"/>
  <c r="M24" i="5"/>
  <c r="R24" i="5"/>
  <c r="S24" i="5"/>
  <c r="X24" i="5"/>
  <c r="Y24" i="5"/>
  <c r="AB24" i="5"/>
  <c r="AD24" i="5"/>
  <c r="AB25" i="5"/>
  <c r="AC25" i="5"/>
  <c r="AD25" i="5"/>
  <c r="AE25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E42" i="5"/>
  <c r="F42" i="5"/>
  <c r="H42" i="5"/>
  <c r="I42" i="5"/>
  <c r="K42" i="5"/>
  <c r="L42" i="5"/>
  <c r="B43" i="5"/>
  <c r="C43" i="5"/>
  <c r="E43" i="5"/>
  <c r="F43" i="5"/>
  <c r="H43" i="5"/>
  <c r="I43" i="5"/>
  <c r="K43" i="5"/>
  <c r="L43" i="5"/>
  <c r="B44" i="5"/>
  <c r="C44" i="5"/>
  <c r="E44" i="5"/>
  <c r="F44" i="5"/>
  <c r="H44" i="5"/>
  <c r="I44" i="5"/>
  <c r="K44" i="5"/>
  <c r="L44" i="5"/>
  <c r="B45" i="5"/>
  <c r="C45" i="5"/>
  <c r="E45" i="5"/>
  <c r="F45" i="5"/>
  <c r="H45" i="5"/>
  <c r="I45" i="5"/>
  <c r="K45" i="5"/>
  <c r="L45" i="5"/>
  <c r="B46" i="5"/>
  <c r="C46" i="5"/>
  <c r="E46" i="5"/>
  <c r="F46" i="5"/>
  <c r="H46" i="5"/>
  <c r="I46" i="5"/>
  <c r="K46" i="5"/>
  <c r="L46" i="5"/>
  <c r="B47" i="5"/>
  <c r="C47" i="5"/>
  <c r="E47" i="5"/>
  <c r="F47" i="5"/>
  <c r="H47" i="5"/>
  <c r="I47" i="5"/>
  <c r="K47" i="5"/>
  <c r="L47" i="5"/>
  <c r="B48" i="5"/>
  <c r="C48" i="5"/>
  <c r="E48" i="5"/>
  <c r="F48" i="5"/>
  <c r="H48" i="5"/>
  <c r="I48" i="5"/>
  <c r="K48" i="5"/>
  <c r="L48" i="5"/>
  <c r="B49" i="5"/>
  <c r="C49" i="5"/>
  <c r="E49" i="5"/>
  <c r="F49" i="5"/>
  <c r="H49" i="5"/>
  <c r="I49" i="5"/>
  <c r="K49" i="5"/>
  <c r="L49" i="5"/>
  <c r="B50" i="5"/>
  <c r="C50" i="5"/>
  <c r="E50" i="5"/>
  <c r="F50" i="5"/>
  <c r="H50" i="5"/>
  <c r="I50" i="5"/>
  <c r="K50" i="5"/>
  <c r="L50" i="5"/>
  <c r="B51" i="5"/>
  <c r="C51" i="5"/>
  <c r="E51" i="5"/>
  <c r="F51" i="5"/>
  <c r="H51" i="5"/>
  <c r="I51" i="5"/>
  <c r="K51" i="5"/>
  <c r="L51" i="5"/>
  <c r="D54" i="5"/>
  <c r="E54" i="5"/>
  <c r="F54" i="5"/>
  <c r="G54" i="5"/>
  <c r="H54" i="5"/>
  <c r="D55" i="5"/>
  <c r="E55" i="5"/>
  <c r="F55" i="5"/>
  <c r="G55" i="5"/>
  <c r="H55" i="5"/>
  <c r="D56" i="5"/>
  <c r="E56" i="5"/>
  <c r="F56" i="5"/>
  <c r="G56" i="5"/>
  <c r="H56" i="5"/>
  <c r="D57" i="5"/>
  <c r="E57" i="5"/>
  <c r="F57" i="5"/>
  <c r="G57" i="5"/>
  <c r="H57" i="5"/>
  <c r="B9" i="1"/>
  <c r="C9" i="1"/>
  <c r="D9" i="1"/>
  <c r="H9" i="1"/>
  <c r="I9" i="1"/>
  <c r="J9" i="1"/>
  <c r="K9" i="1"/>
  <c r="L9" i="1"/>
  <c r="R9" i="1"/>
  <c r="B10" i="1"/>
  <c r="C10" i="1"/>
  <c r="D10" i="1"/>
  <c r="H10" i="1"/>
  <c r="I10" i="1"/>
  <c r="J10" i="1"/>
  <c r="K10" i="1"/>
  <c r="L10" i="1"/>
  <c r="R10" i="1"/>
  <c r="B11" i="1"/>
  <c r="C11" i="1"/>
  <c r="D11" i="1"/>
  <c r="H11" i="1"/>
  <c r="I11" i="1"/>
  <c r="J11" i="1"/>
  <c r="K11" i="1"/>
  <c r="L11" i="1"/>
  <c r="B12" i="1"/>
  <c r="C12" i="1"/>
  <c r="D12" i="1"/>
  <c r="H12" i="1"/>
  <c r="I12" i="1"/>
  <c r="J12" i="1"/>
  <c r="K12" i="1"/>
  <c r="L12" i="1"/>
  <c r="B13" i="1"/>
  <c r="C13" i="1"/>
  <c r="D13" i="1"/>
  <c r="H13" i="1"/>
  <c r="I13" i="1"/>
  <c r="J13" i="1"/>
  <c r="K13" i="1"/>
  <c r="L13" i="1"/>
  <c r="B14" i="1"/>
  <c r="C14" i="1"/>
  <c r="D14" i="1"/>
  <c r="H14" i="1"/>
  <c r="I14" i="1"/>
  <c r="J14" i="1"/>
  <c r="K14" i="1"/>
  <c r="L14" i="1"/>
  <c r="B15" i="1"/>
  <c r="C15" i="1"/>
  <c r="D15" i="1"/>
  <c r="H15" i="1"/>
  <c r="I15" i="1"/>
  <c r="J15" i="1"/>
  <c r="K15" i="1"/>
  <c r="L15" i="1"/>
  <c r="B16" i="1"/>
  <c r="C16" i="1"/>
  <c r="D16" i="1"/>
  <c r="H16" i="1"/>
  <c r="I16" i="1"/>
  <c r="J16" i="1"/>
  <c r="K16" i="1"/>
  <c r="L16" i="1"/>
  <c r="B17" i="1"/>
  <c r="C17" i="1"/>
  <c r="D17" i="1"/>
  <c r="H17" i="1"/>
  <c r="I17" i="1"/>
  <c r="J17" i="1"/>
  <c r="K17" i="1"/>
  <c r="L17" i="1"/>
  <c r="B18" i="1"/>
  <c r="C18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B21" i="1"/>
  <c r="C21" i="1"/>
  <c r="D21" i="1"/>
  <c r="H21" i="1"/>
  <c r="I21" i="1"/>
  <c r="J21" i="1"/>
  <c r="K21" i="1"/>
  <c r="L21" i="1"/>
  <c r="B22" i="1"/>
  <c r="C22" i="1"/>
  <c r="D22" i="1"/>
  <c r="H22" i="1"/>
  <c r="I22" i="1"/>
  <c r="J22" i="1"/>
  <c r="K22" i="1"/>
  <c r="L22" i="1"/>
  <c r="B23" i="1"/>
  <c r="C23" i="1"/>
  <c r="D23" i="1"/>
  <c r="H23" i="1"/>
  <c r="I23" i="1"/>
  <c r="J23" i="1"/>
  <c r="K23" i="1"/>
  <c r="L23" i="1"/>
  <c r="B24" i="1"/>
  <c r="C24" i="1"/>
  <c r="D24" i="1"/>
  <c r="H24" i="1"/>
  <c r="I24" i="1"/>
  <c r="J24" i="1"/>
  <c r="K24" i="1"/>
  <c r="L24" i="1"/>
  <c r="R24" i="1"/>
  <c r="B25" i="1"/>
  <c r="C25" i="1"/>
  <c r="D25" i="1"/>
  <c r="H25" i="1"/>
  <c r="I25" i="1"/>
  <c r="J25" i="1"/>
  <c r="K25" i="1"/>
  <c r="L25" i="1"/>
  <c r="R25" i="1"/>
  <c r="B26" i="1"/>
  <c r="C26" i="1"/>
  <c r="D26" i="1"/>
  <c r="B27" i="1"/>
  <c r="C27" i="1"/>
  <c r="H27" i="1"/>
  <c r="I27" i="1"/>
  <c r="J27" i="1"/>
  <c r="K27" i="1"/>
  <c r="L27" i="1"/>
  <c r="H28" i="1"/>
  <c r="I28" i="1"/>
  <c r="J28" i="1"/>
  <c r="K28" i="1"/>
  <c r="L28" i="1"/>
  <c r="B30" i="1"/>
  <c r="C30" i="1"/>
  <c r="D30" i="1"/>
  <c r="H30" i="1"/>
  <c r="I30" i="1"/>
  <c r="J30" i="1"/>
  <c r="K30" i="1"/>
  <c r="L30" i="1"/>
  <c r="B31" i="1"/>
  <c r="C31" i="1"/>
  <c r="D31" i="1"/>
  <c r="H31" i="1"/>
  <c r="I31" i="1"/>
  <c r="J31" i="1"/>
  <c r="K31" i="1"/>
  <c r="L31" i="1"/>
  <c r="B32" i="1"/>
  <c r="C32" i="1"/>
  <c r="D32" i="1"/>
  <c r="H32" i="1"/>
  <c r="I32" i="1"/>
  <c r="J32" i="1"/>
  <c r="K32" i="1"/>
  <c r="L32" i="1"/>
  <c r="B33" i="1"/>
  <c r="C33" i="1"/>
  <c r="D33" i="1"/>
  <c r="B34" i="1"/>
  <c r="C34" i="1"/>
  <c r="D34" i="1"/>
  <c r="H34" i="1"/>
  <c r="I34" i="1"/>
  <c r="J34" i="1"/>
  <c r="K34" i="1"/>
  <c r="L34" i="1"/>
  <c r="B35" i="1"/>
  <c r="C35" i="1"/>
  <c r="D35" i="1"/>
  <c r="H35" i="1"/>
  <c r="I35" i="1"/>
  <c r="J35" i="1"/>
  <c r="K35" i="1"/>
  <c r="L35" i="1"/>
  <c r="B36" i="1"/>
  <c r="C36" i="1"/>
  <c r="B39" i="1"/>
  <c r="C39" i="1"/>
  <c r="D39" i="1"/>
  <c r="B40" i="1"/>
  <c r="C40" i="1"/>
  <c r="D40" i="1"/>
  <c r="B41" i="1"/>
  <c r="C41" i="1"/>
  <c r="D41" i="1"/>
  <c r="J41" i="1"/>
  <c r="K41" i="1"/>
  <c r="Q41" i="1"/>
  <c r="R41" i="1"/>
  <c r="B42" i="1"/>
  <c r="C42" i="1"/>
  <c r="D42" i="1"/>
  <c r="J42" i="1"/>
  <c r="K42" i="1"/>
  <c r="Q42" i="1"/>
  <c r="R42" i="1"/>
  <c r="B43" i="1"/>
  <c r="C43" i="1"/>
  <c r="D43" i="1"/>
  <c r="J43" i="1"/>
  <c r="Q43" i="1"/>
  <c r="B44" i="1"/>
  <c r="C44" i="1"/>
  <c r="D44" i="1"/>
  <c r="J44" i="1"/>
  <c r="Q44" i="1"/>
  <c r="B45" i="1"/>
  <c r="C45" i="1"/>
  <c r="J45" i="1"/>
  <c r="Q45" i="1"/>
  <c r="J46" i="1"/>
  <c r="Q46" i="1"/>
  <c r="B47" i="1"/>
  <c r="D47" i="1"/>
  <c r="J47" i="1"/>
  <c r="Q47" i="1"/>
  <c r="B48" i="1"/>
  <c r="C48" i="1"/>
  <c r="D48" i="1"/>
  <c r="J48" i="1"/>
  <c r="Q48" i="1"/>
  <c r="B49" i="1"/>
  <c r="C49" i="1"/>
  <c r="J49" i="1"/>
  <c r="Q49" i="1"/>
  <c r="J50" i="1"/>
  <c r="Q50" i="1"/>
  <c r="J51" i="1"/>
  <c r="Q51" i="1"/>
  <c r="J52" i="1"/>
  <c r="Q52" i="1"/>
  <c r="N53" i="1"/>
  <c r="O53" i="1"/>
  <c r="Q53" i="1"/>
  <c r="B54" i="1"/>
  <c r="C54" i="1"/>
  <c r="D54" i="1"/>
  <c r="B55" i="1"/>
  <c r="C55" i="1"/>
  <c r="D55" i="1"/>
  <c r="B56" i="1"/>
  <c r="C56" i="1"/>
  <c r="D56" i="1"/>
  <c r="B57" i="1"/>
  <c r="C57" i="1"/>
  <c r="D57" i="1"/>
  <c r="J57" i="1"/>
  <c r="K57" i="1"/>
  <c r="B58" i="1"/>
  <c r="C58" i="1"/>
  <c r="D58" i="1"/>
  <c r="J58" i="1"/>
  <c r="K58" i="1"/>
  <c r="B59" i="1"/>
  <c r="C59" i="1"/>
  <c r="D59" i="1"/>
  <c r="J59" i="1"/>
  <c r="B60" i="1"/>
  <c r="C60" i="1"/>
  <c r="D60" i="1"/>
  <c r="J60" i="1"/>
  <c r="B61" i="1"/>
  <c r="C61" i="1"/>
  <c r="J61" i="1"/>
  <c r="J62" i="1"/>
  <c r="J63" i="1"/>
  <c r="B64" i="1"/>
  <c r="J64" i="1"/>
  <c r="B65" i="1"/>
  <c r="J65" i="1"/>
  <c r="B66" i="1"/>
  <c r="C66" i="1"/>
  <c r="J66" i="1"/>
  <c r="J67" i="1"/>
  <c r="J68" i="1"/>
  <c r="C5" i="4"/>
  <c r="D5" i="4"/>
  <c r="E5" i="4"/>
  <c r="F5" i="4"/>
  <c r="G5" i="4"/>
  <c r="H5" i="4"/>
  <c r="I5" i="4"/>
  <c r="J5" i="4"/>
  <c r="K5" i="4"/>
  <c r="N5" i="4"/>
  <c r="P5" i="4"/>
  <c r="Q5" i="4"/>
  <c r="R5" i="4"/>
  <c r="S5" i="4"/>
  <c r="T5" i="4"/>
  <c r="U5" i="4"/>
  <c r="W5" i="4"/>
  <c r="C6" i="4"/>
  <c r="D6" i="4"/>
  <c r="E6" i="4"/>
  <c r="F6" i="4"/>
  <c r="G6" i="4"/>
  <c r="H6" i="4"/>
  <c r="I6" i="4"/>
  <c r="J6" i="4"/>
  <c r="K6" i="4"/>
  <c r="N6" i="4"/>
  <c r="O6" i="4"/>
  <c r="P6" i="4"/>
  <c r="Q6" i="4"/>
  <c r="R6" i="4"/>
  <c r="S6" i="4"/>
  <c r="T6" i="4"/>
  <c r="U6" i="4"/>
  <c r="W6" i="4"/>
  <c r="C7" i="4"/>
  <c r="D7" i="4"/>
  <c r="E7" i="4"/>
  <c r="F7" i="4"/>
  <c r="G7" i="4"/>
  <c r="H7" i="4"/>
  <c r="I7" i="4"/>
  <c r="J7" i="4"/>
  <c r="K7" i="4"/>
  <c r="O7" i="4"/>
  <c r="P7" i="4"/>
  <c r="Q7" i="4"/>
  <c r="R7" i="4"/>
  <c r="S7" i="4"/>
  <c r="T7" i="4"/>
  <c r="U7" i="4"/>
  <c r="W7" i="4"/>
  <c r="C8" i="4"/>
  <c r="D8" i="4"/>
  <c r="E8" i="4"/>
  <c r="F8" i="4"/>
  <c r="G8" i="4"/>
  <c r="H8" i="4"/>
  <c r="I8" i="4"/>
  <c r="J8" i="4"/>
  <c r="K8" i="4"/>
  <c r="N8" i="4"/>
  <c r="O8" i="4"/>
  <c r="P8" i="4"/>
  <c r="Q8" i="4"/>
  <c r="R8" i="4"/>
  <c r="S8" i="4"/>
  <c r="T8" i="4"/>
  <c r="U8" i="4"/>
  <c r="W8" i="4"/>
  <c r="C9" i="4"/>
  <c r="D9" i="4"/>
  <c r="E9" i="4"/>
  <c r="F9" i="4"/>
  <c r="G9" i="4"/>
  <c r="H9" i="4"/>
  <c r="I9" i="4"/>
  <c r="J9" i="4"/>
  <c r="K9" i="4"/>
  <c r="N9" i="4"/>
  <c r="O9" i="4"/>
  <c r="P9" i="4"/>
  <c r="Q9" i="4"/>
  <c r="R9" i="4"/>
  <c r="S9" i="4"/>
  <c r="T9" i="4"/>
  <c r="U9" i="4"/>
  <c r="W9" i="4"/>
  <c r="C10" i="4"/>
  <c r="D10" i="4"/>
  <c r="E10" i="4"/>
  <c r="F10" i="4"/>
  <c r="G10" i="4"/>
  <c r="H10" i="4"/>
  <c r="I10" i="4"/>
  <c r="J10" i="4"/>
  <c r="K10" i="4"/>
  <c r="N10" i="4"/>
  <c r="O10" i="4"/>
  <c r="P10" i="4"/>
  <c r="Q10" i="4"/>
  <c r="R10" i="4"/>
  <c r="S10" i="4"/>
  <c r="T10" i="4"/>
  <c r="U10" i="4"/>
  <c r="W10" i="4"/>
  <c r="C11" i="4"/>
  <c r="D11" i="4"/>
  <c r="E11" i="4"/>
  <c r="F11" i="4"/>
  <c r="G11" i="4"/>
  <c r="H11" i="4"/>
  <c r="I11" i="4"/>
  <c r="J11" i="4"/>
  <c r="K11" i="4"/>
  <c r="N11" i="4"/>
  <c r="O11" i="4"/>
  <c r="P11" i="4"/>
  <c r="Q11" i="4"/>
  <c r="R11" i="4"/>
  <c r="S11" i="4"/>
  <c r="T11" i="4"/>
  <c r="U11" i="4"/>
  <c r="W11" i="4"/>
  <c r="C12" i="4"/>
  <c r="D12" i="4"/>
  <c r="E12" i="4"/>
  <c r="F12" i="4"/>
  <c r="G12" i="4"/>
  <c r="H12" i="4"/>
  <c r="I12" i="4"/>
  <c r="J12" i="4"/>
  <c r="K12" i="4"/>
  <c r="N12" i="4"/>
  <c r="O12" i="4"/>
  <c r="P12" i="4"/>
  <c r="Q12" i="4"/>
  <c r="R12" i="4"/>
  <c r="S12" i="4"/>
  <c r="T12" i="4"/>
  <c r="U12" i="4"/>
  <c r="W12" i="4"/>
  <c r="C13" i="4"/>
  <c r="D13" i="4"/>
  <c r="E13" i="4"/>
  <c r="F13" i="4"/>
  <c r="G13" i="4"/>
  <c r="H13" i="4"/>
  <c r="I13" i="4"/>
  <c r="J13" i="4"/>
  <c r="K13" i="4"/>
  <c r="N13" i="4"/>
  <c r="O13" i="4"/>
  <c r="P13" i="4"/>
  <c r="Q13" i="4"/>
  <c r="R13" i="4"/>
  <c r="S13" i="4"/>
  <c r="T13" i="4"/>
  <c r="U13" i="4"/>
  <c r="W13" i="4"/>
  <c r="C14" i="4"/>
  <c r="D14" i="4"/>
  <c r="E14" i="4"/>
  <c r="F14" i="4"/>
  <c r="G14" i="4"/>
  <c r="H14" i="4"/>
  <c r="I14" i="4"/>
  <c r="J14" i="4"/>
  <c r="K14" i="4"/>
  <c r="N14" i="4"/>
  <c r="O14" i="4"/>
  <c r="P14" i="4"/>
  <c r="Q14" i="4"/>
  <c r="R14" i="4"/>
  <c r="S14" i="4"/>
  <c r="T14" i="4"/>
  <c r="U14" i="4"/>
  <c r="W14" i="4"/>
  <c r="C15" i="4"/>
  <c r="D15" i="4"/>
  <c r="E15" i="4"/>
  <c r="F15" i="4"/>
  <c r="G15" i="4"/>
  <c r="H15" i="4"/>
  <c r="I15" i="4"/>
  <c r="J15" i="4"/>
  <c r="K15" i="4"/>
  <c r="N15" i="4"/>
  <c r="O15" i="4"/>
  <c r="P15" i="4"/>
  <c r="Q15" i="4"/>
  <c r="R15" i="4"/>
  <c r="S15" i="4"/>
  <c r="T15" i="4"/>
  <c r="U15" i="4"/>
  <c r="W15" i="4"/>
  <c r="C16" i="4"/>
  <c r="D16" i="4"/>
  <c r="E16" i="4"/>
  <c r="F16" i="4"/>
  <c r="G16" i="4"/>
  <c r="H16" i="4"/>
  <c r="I16" i="4"/>
  <c r="J16" i="4"/>
  <c r="K16" i="4"/>
  <c r="N16" i="4"/>
  <c r="O16" i="4"/>
  <c r="P16" i="4"/>
  <c r="Q16" i="4"/>
  <c r="R16" i="4"/>
  <c r="S16" i="4"/>
  <c r="T16" i="4"/>
  <c r="U16" i="4"/>
  <c r="W16" i="4"/>
  <c r="C17" i="4"/>
  <c r="D17" i="4"/>
  <c r="E17" i="4"/>
  <c r="F17" i="4"/>
  <c r="G17" i="4"/>
  <c r="H17" i="4"/>
  <c r="I17" i="4"/>
  <c r="J17" i="4"/>
  <c r="K17" i="4"/>
  <c r="N17" i="4"/>
  <c r="O17" i="4"/>
  <c r="P17" i="4"/>
  <c r="Q17" i="4"/>
  <c r="R17" i="4"/>
  <c r="S17" i="4"/>
  <c r="T17" i="4"/>
  <c r="U17" i="4"/>
  <c r="W17" i="4"/>
  <c r="C18" i="4"/>
  <c r="D18" i="4"/>
  <c r="E18" i="4"/>
  <c r="F18" i="4"/>
  <c r="G18" i="4"/>
  <c r="H18" i="4"/>
  <c r="I18" i="4"/>
  <c r="J18" i="4"/>
  <c r="K18" i="4"/>
  <c r="N18" i="4"/>
  <c r="O18" i="4"/>
  <c r="P18" i="4"/>
  <c r="Q18" i="4"/>
  <c r="R18" i="4"/>
  <c r="S18" i="4"/>
  <c r="T18" i="4"/>
  <c r="U18" i="4"/>
  <c r="W18" i="4"/>
  <c r="C19" i="4"/>
  <c r="D19" i="4"/>
  <c r="E19" i="4"/>
  <c r="F19" i="4"/>
  <c r="G19" i="4"/>
  <c r="H19" i="4"/>
  <c r="I19" i="4"/>
  <c r="J19" i="4"/>
  <c r="K19" i="4"/>
  <c r="N19" i="4"/>
  <c r="O19" i="4"/>
  <c r="P19" i="4"/>
  <c r="Q19" i="4"/>
  <c r="R19" i="4"/>
  <c r="S19" i="4"/>
  <c r="T19" i="4"/>
  <c r="U19" i="4"/>
  <c r="W19" i="4"/>
  <c r="C20" i="4"/>
  <c r="D20" i="4"/>
  <c r="E20" i="4"/>
  <c r="F20" i="4"/>
  <c r="G20" i="4"/>
  <c r="H20" i="4"/>
  <c r="I20" i="4"/>
  <c r="J20" i="4"/>
  <c r="K20" i="4"/>
  <c r="N20" i="4"/>
  <c r="O20" i="4"/>
  <c r="P20" i="4"/>
  <c r="Q20" i="4"/>
  <c r="R20" i="4"/>
  <c r="S20" i="4"/>
  <c r="T20" i="4"/>
  <c r="U20" i="4"/>
  <c r="W20" i="4"/>
  <c r="C21" i="4"/>
  <c r="D21" i="4"/>
  <c r="E21" i="4"/>
  <c r="F21" i="4"/>
  <c r="G21" i="4"/>
  <c r="H21" i="4"/>
  <c r="I21" i="4"/>
  <c r="J21" i="4"/>
  <c r="K21" i="4"/>
  <c r="N21" i="4"/>
  <c r="O21" i="4"/>
  <c r="P21" i="4"/>
  <c r="Q21" i="4"/>
  <c r="R21" i="4"/>
  <c r="S21" i="4"/>
  <c r="T21" i="4"/>
  <c r="U21" i="4"/>
  <c r="W21" i="4"/>
  <c r="C22" i="4"/>
  <c r="D22" i="4"/>
  <c r="E22" i="4"/>
  <c r="F22" i="4"/>
  <c r="G22" i="4"/>
  <c r="H22" i="4"/>
  <c r="I22" i="4"/>
  <c r="J22" i="4"/>
  <c r="K22" i="4"/>
  <c r="N22" i="4"/>
  <c r="O22" i="4"/>
  <c r="P22" i="4"/>
  <c r="Q22" i="4"/>
  <c r="R22" i="4"/>
  <c r="S22" i="4"/>
  <c r="T22" i="4"/>
  <c r="U22" i="4"/>
  <c r="W22" i="4"/>
  <c r="C23" i="4"/>
  <c r="D23" i="4"/>
  <c r="E23" i="4"/>
  <c r="F23" i="4"/>
  <c r="G23" i="4"/>
  <c r="H23" i="4"/>
  <c r="I23" i="4"/>
  <c r="J23" i="4"/>
  <c r="K23" i="4"/>
  <c r="N23" i="4"/>
  <c r="O23" i="4"/>
  <c r="P23" i="4"/>
  <c r="Q23" i="4"/>
  <c r="R23" i="4"/>
  <c r="S23" i="4"/>
  <c r="T23" i="4"/>
  <c r="U23" i="4"/>
  <c r="W23" i="4"/>
  <c r="C24" i="4"/>
  <c r="D24" i="4"/>
  <c r="E24" i="4"/>
  <c r="F24" i="4"/>
  <c r="G24" i="4"/>
  <c r="H24" i="4"/>
  <c r="I24" i="4"/>
  <c r="J24" i="4"/>
  <c r="K24" i="4"/>
  <c r="N24" i="4"/>
  <c r="O24" i="4"/>
  <c r="P24" i="4"/>
  <c r="Q24" i="4"/>
  <c r="R24" i="4"/>
  <c r="S24" i="4"/>
  <c r="T24" i="4"/>
  <c r="U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7" i="4"/>
  <c r="D27" i="4"/>
  <c r="E27" i="4"/>
  <c r="F27" i="4"/>
  <c r="G27" i="4"/>
  <c r="H27" i="4"/>
  <c r="I27" i="4"/>
  <c r="J27" i="4"/>
  <c r="K27" i="4"/>
  <c r="C28" i="4"/>
  <c r="D28" i="4"/>
  <c r="E28" i="4"/>
  <c r="F28" i="4"/>
  <c r="G28" i="4"/>
  <c r="H28" i="4"/>
  <c r="I28" i="4"/>
  <c r="J28" i="4"/>
  <c r="K28" i="4"/>
  <c r="C29" i="4"/>
  <c r="D29" i="4"/>
  <c r="E29" i="4"/>
  <c r="F29" i="4"/>
  <c r="G29" i="4"/>
  <c r="H29" i="4"/>
  <c r="I29" i="4"/>
  <c r="J29" i="4"/>
  <c r="K29" i="4"/>
  <c r="C30" i="4"/>
  <c r="D30" i="4"/>
  <c r="E30" i="4"/>
  <c r="F30" i="4"/>
  <c r="G30" i="4"/>
  <c r="H30" i="4"/>
  <c r="I30" i="4"/>
  <c r="J30" i="4"/>
  <c r="K30" i="4"/>
  <c r="C31" i="4"/>
  <c r="D31" i="4"/>
  <c r="E31" i="4"/>
  <c r="F31" i="4"/>
  <c r="G31" i="4"/>
  <c r="H31" i="4"/>
  <c r="I31" i="4"/>
  <c r="J31" i="4"/>
  <c r="K31" i="4"/>
  <c r="C32" i="4"/>
  <c r="D32" i="4"/>
  <c r="E32" i="4"/>
  <c r="F32" i="4"/>
  <c r="G32" i="4"/>
  <c r="H32" i="4"/>
  <c r="I32" i="4"/>
  <c r="J32" i="4"/>
  <c r="K32" i="4"/>
  <c r="C33" i="4"/>
  <c r="D33" i="4"/>
  <c r="E33" i="4"/>
  <c r="F33" i="4"/>
  <c r="G33" i="4"/>
  <c r="H33" i="4"/>
  <c r="I33" i="4"/>
  <c r="J33" i="4"/>
  <c r="K33" i="4"/>
  <c r="C34" i="4"/>
  <c r="D34" i="4"/>
  <c r="E34" i="4"/>
  <c r="F34" i="4"/>
  <c r="G34" i="4"/>
  <c r="H34" i="4"/>
  <c r="I34" i="4"/>
  <c r="J34" i="4"/>
  <c r="K34" i="4"/>
  <c r="C35" i="4"/>
  <c r="D35" i="4"/>
  <c r="E35" i="4"/>
  <c r="F35" i="4"/>
  <c r="G35" i="4"/>
  <c r="H35" i="4"/>
  <c r="I35" i="4"/>
  <c r="J35" i="4"/>
  <c r="K35" i="4"/>
  <c r="C36" i="4"/>
  <c r="D36" i="4"/>
  <c r="E36" i="4"/>
  <c r="F36" i="4"/>
  <c r="G36" i="4"/>
  <c r="H36" i="4"/>
  <c r="I36" i="4"/>
  <c r="J36" i="4"/>
  <c r="K36" i="4"/>
  <c r="C37" i="4"/>
  <c r="D37" i="4"/>
  <c r="E37" i="4"/>
  <c r="F37" i="4"/>
  <c r="G37" i="4"/>
  <c r="H37" i="4"/>
  <c r="I37" i="4"/>
  <c r="J37" i="4"/>
  <c r="K37" i="4"/>
  <c r="C38" i="4"/>
  <c r="D38" i="4"/>
  <c r="E38" i="4"/>
  <c r="F38" i="4"/>
  <c r="G38" i="4"/>
  <c r="H38" i="4"/>
  <c r="I38" i="4"/>
  <c r="J38" i="4"/>
  <c r="K38" i="4"/>
  <c r="C39" i="4"/>
  <c r="D39" i="4"/>
  <c r="E39" i="4"/>
  <c r="F39" i="4"/>
  <c r="G39" i="4"/>
  <c r="H39" i="4"/>
  <c r="I39" i="4"/>
  <c r="J39" i="4"/>
  <c r="K39" i="4"/>
  <c r="C40" i="4"/>
  <c r="D40" i="4"/>
  <c r="E40" i="4"/>
  <c r="F40" i="4"/>
  <c r="G40" i="4"/>
  <c r="H40" i="4"/>
  <c r="I40" i="4"/>
  <c r="J40" i="4"/>
  <c r="K40" i="4"/>
  <c r="C41" i="4"/>
  <c r="D41" i="4"/>
  <c r="E41" i="4"/>
  <c r="F41" i="4"/>
  <c r="G41" i="4"/>
  <c r="H41" i="4"/>
  <c r="I41" i="4"/>
  <c r="J41" i="4"/>
  <c r="K41" i="4"/>
  <c r="C42" i="4"/>
  <c r="D42" i="4"/>
  <c r="E42" i="4"/>
  <c r="F42" i="4"/>
  <c r="G42" i="4"/>
  <c r="H42" i="4"/>
  <c r="I42" i="4"/>
  <c r="J42" i="4"/>
  <c r="K42" i="4"/>
  <c r="C43" i="4"/>
  <c r="D43" i="4"/>
  <c r="E43" i="4"/>
  <c r="F43" i="4"/>
  <c r="G43" i="4"/>
  <c r="H43" i="4"/>
  <c r="I43" i="4"/>
  <c r="J43" i="4"/>
  <c r="K43" i="4"/>
  <c r="C44" i="4"/>
  <c r="D44" i="4"/>
  <c r="E44" i="4"/>
  <c r="F44" i="4"/>
  <c r="G44" i="4"/>
  <c r="H44" i="4"/>
  <c r="I44" i="4"/>
  <c r="J44" i="4"/>
  <c r="K44" i="4"/>
  <c r="C45" i="4"/>
  <c r="D45" i="4"/>
  <c r="E45" i="4"/>
  <c r="F45" i="4"/>
  <c r="G45" i="4"/>
  <c r="H45" i="4"/>
  <c r="I45" i="4"/>
  <c r="J45" i="4"/>
  <c r="K45" i="4"/>
  <c r="C46" i="4"/>
  <c r="D46" i="4"/>
  <c r="E46" i="4"/>
  <c r="F46" i="4"/>
  <c r="G46" i="4"/>
  <c r="H46" i="4"/>
  <c r="I46" i="4"/>
  <c r="J46" i="4"/>
  <c r="K46" i="4"/>
  <c r="C47" i="4"/>
  <c r="D47" i="4"/>
  <c r="E47" i="4"/>
  <c r="F47" i="4"/>
  <c r="G47" i="4"/>
  <c r="H47" i="4"/>
  <c r="I47" i="4"/>
  <c r="J47" i="4"/>
  <c r="K47" i="4"/>
  <c r="C48" i="4"/>
  <c r="D48" i="4"/>
  <c r="E48" i="4"/>
  <c r="F48" i="4"/>
  <c r="G48" i="4"/>
  <c r="H48" i="4"/>
  <c r="I48" i="4"/>
  <c r="J48" i="4"/>
  <c r="K48" i="4"/>
  <c r="C49" i="4"/>
  <c r="D49" i="4"/>
  <c r="E49" i="4"/>
  <c r="F49" i="4"/>
  <c r="G49" i="4"/>
  <c r="H49" i="4"/>
  <c r="I49" i="4"/>
  <c r="J49" i="4"/>
  <c r="K49" i="4"/>
  <c r="C50" i="4"/>
  <c r="D50" i="4"/>
  <c r="E50" i="4"/>
  <c r="F50" i="4"/>
  <c r="G50" i="4"/>
  <c r="H50" i="4"/>
  <c r="I50" i="4"/>
  <c r="J50" i="4"/>
  <c r="K50" i="4"/>
  <c r="C51" i="4"/>
  <c r="D51" i="4"/>
  <c r="E51" i="4"/>
  <c r="F51" i="4"/>
  <c r="G51" i="4"/>
  <c r="H51" i="4"/>
  <c r="I51" i="4"/>
  <c r="J51" i="4"/>
  <c r="K51" i="4"/>
  <c r="C52" i="4"/>
  <c r="D52" i="4"/>
  <c r="E52" i="4"/>
  <c r="F52" i="4"/>
  <c r="G52" i="4"/>
  <c r="H52" i="4"/>
  <c r="I52" i="4"/>
  <c r="J52" i="4"/>
  <c r="K52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C55" i="4"/>
  <c r="D55" i="4"/>
  <c r="E55" i="4"/>
  <c r="F55" i="4"/>
  <c r="G55" i="4"/>
  <c r="H55" i="4"/>
  <c r="I55" i="4"/>
  <c r="J55" i="4"/>
  <c r="K55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8" i="4"/>
  <c r="D58" i="4"/>
  <c r="E58" i="4"/>
  <c r="F58" i="4"/>
  <c r="G58" i="4"/>
  <c r="H58" i="4"/>
  <c r="I58" i="4"/>
  <c r="J58" i="4"/>
  <c r="K58" i="4"/>
  <c r="C59" i="4"/>
  <c r="D59" i="4"/>
  <c r="E59" i="4"/>
  <c r="F59" i="4"/>
  <c r="G59" i="4"/>
  <c r="H59" i="4"/>
  <c r="I59" i="4"/>
  <c r="J59" i="4"/>
  <c r="K59" i="4"/>
  <c r="C60" i="4"/>
  <c r="D60" i="4"/>
  <c r="E60" i="4"/>
  <c r="F60" i="4"/>
  <c r="G60" i="4"/>
  <c r="H60" i="4"/>
  <c r="I60" i="4"/>
  <c r="J60" i="4"/>
  <c r="K60" i="4"/>
  <c r="C61" i="4"/>
  <c r="D61" i="4"/>
  <c r="E61" i="4"/>
  <c r="F61" i="4"/>
  <c r="G61" i="4"/>
  <c r="H61" i="4"/>
  <c r="I61" i="4"/>
  <c r="J61" i="4"/>
  <c r="K61" i="4"/>
  <c r="C62" i="4"/>
  <c r="D62" i="4"/>
  <c r="E62" i="4"/>
  <c r="F62" i="4"/>
  <c r="G62" i="4"/>
  <c r="H62" i="4"/>
  <c r="I62" i="4"/>
  <c r="J62" i="4"/>
  <c r="K62" i="4"/>
  <c r="C63" i="4"/>
  <c r="D63" i="4"/>
  <c r="E63" i="4"/>
  <c r="F63" i="4"/>
  <c r="G63" i="4"/>
  <c r="H63" i="4"/>
  <c r="I63" i="4"/>
  <c r="J63" i="4"/>
  <c r="K63" i="4"/>
  <c r="C64" i="4"/>
  <c r="D64" i="4"/>
  <c r="E64" i="4"/>
  <c r="F64" i="4"/>
  <c r="G64" i="4"/>
  <c r="H64" i="4"/>
  <c r="I64" i="4"/>
  <c r="J64" i="4"/>
  <c r="K64" i="4"/>
  <c r="C65" i="4"/>
  <c r="D65" i="4"/>
  <c r="E65" i="4"/>
  <c r="F65" i="4"/>
  <c r="G65" i="4"/>
  <c r="H65" i="4"/>
  <c r="I65" i="4"/>
  <c r="J65" i="4"/>
  <c r="K65" i="4"/>
  <c r="C66" i="4"/>
  <c r="D66" i="4"/>
  <c r="E66" i="4"/>
  <c r="F66" i="4"/>
  <c r="G66" i="4"/>
  <c r="H66" i="4"/>
  <c r="I66" i="4"/>
  <c r="J66" i="4"/>
  <c r="K66" i="4"/>
  <c r="C67" i="4"/>
  <c r="D67" i="4"/>
  <c r="E67" i="4"/>
  <c r="F67" i="4"/>
  <c r="G67" i="4"/>
  <c r="H67" i="4"/>
  <c r="I67" i="4"/>
  <c r="J67" i="4"/>
  <c r="K67" i="4"/>
  <c r="C68" i="4"/>
  <c r="D68" i="4"/>
  <c r="E68" i="4"/>
  <c r="F68" i="4"/>
  <c r="G68" i="4"/>
  <c r="H68" i="4"/>
  <c r="I68" i="4"/>
  <c r="J68" i="4"/>
  <c r="K68" i="4"/>
  <c r="C69" i="4"/>
  <c r="D69" i="4"/>
  <c r="E69" i="4"/>
  <c r="F69" i="4"/>
  <c r="G69" i="4"/>
  <c r="H69" i="4"/>
  <c r="I69" i="4"/>
  <c r="J69" i="4"/>
  <c r="K69" i="4"/>
  <c r="C70" i="4"/>
  <c r="D70" i="4"/>
  <c r="E70" i="4"/>
  <c r="F70" i="4"/>
  <c r="G70" i="4"/>
  <c r="H70" i="4"/>
  <c r="I70" i="4"/>
  <c r="J70" i="4"/>
  <c r="K70" i="4"/>
  <c r="K71" i="4"/>
  <c r="C72" i="4"/>
  <c r="D72" i="4"/>
  <c r="E72" i="4"/>
  <c r="F72" i="4"/>
  <c r="G72" i="4"/>
  <c r="H72" i="4"/>
  <c r="I72" i="4"/>
  <c r="J72" i="4"/>
  <c r="K72" i="4"/>
  <c r="C73" i="4"/>
  <c r="D73" i="4"/>
  <c r="E73" i="4"/>
  <c r="F73" i="4"/>
  <c r="G73" i="4"/>
  <c r="H73" i="4"/>
  <c r="I73" i="4"/>
  <c r="J73" i="4"/>
  <c r="K73" i="4"/>
  <c r="C74" i="4"/>
  <c r="D74" i="4"/>
  <c r="E74" i="4"/>
  <c r="F74" i="4"/>
  <c r="G74" i="4"/>
  <c r="H74" i="4"/>
  <c r="I74" i="4"/>
  <c r="J74" i="4"/>
  <c r="C75" i="4"/>
  <c r="D75" i="4"/>
  <c r="E75" i="4"/>
  <c r="F75" i="4"/>
  <c r="G75" i="4"/>
  <c r="H75" i="4"/>
  <c r="I75" i="4"/>
  <c r="J75" i="4"/>
  <c r="K75" i="4"/>
  <c r="C76" i="4"/>
  <c r="D76" i="4"/>
  <c r="E76" i="4"/>
  <c r="F76" i="4"/>
  <c r="G76" i="4"/>
  <c r="H76" i="4"/>
  <c r="I76" i="4"/>
  <c r="J76" i="4"/>
  <c r="K76" i="4"/>
  <c r="C77" i="4"/>
  <c r="D77" i="4"/>
  <c r="E77" i="4"/>
  <c r="F77" i="4"/>
  <c r="G77" i="4"/>
  <c r="H77" i="4"/>
  <c r="I77" i="4"/>
  <c r="J77" i="4"/>
  <c r="K77" i="4"/>
  <c r="C78" i="4"/>
  <c r="D78" i="4"/>
  <c r="E78" i="4"/>
  <c r="F78" i="4"/>
  <c r="G78" i="4"/>
  <c r="H78" i="4"/>
  <c r="I78" i="4"/>
  <c r="J78" i="4"/>
  <c r="K78" i="4"/>
  <c r="C79" i="4"/>
  <c r="D79" i="4"/>
  <c r="E79" i="4"/>
  <c r="F79" i="4"/>
  <c r="G79" i="4"/>
  <c r="H79" i="4"/>
  <c r="I79" i="4"/>
  <c r="J79" i="4"/>
  <c r="K79" i="4"/>
  <c r="C80" i="4"/>
  <c r="E80" i="4"/>
  <c r="F80" i="4"/>
  <c r="G80" i="4"/>
  <c r="H80" i="4"/>
  <c r="I80" i="4"/>
  <c r="J80" i="4"/>
  <c r="K80" i="4"/>
  <c r="C81" i="4"/>
  <c r="D81" i="4"/>
  <c r="E81" i="4"/>
  <c r="F81" i="4"/>
  <c r="G81" i="4"/>
  <c r="H81" i="4"/>
  <c r="I81" i="4"/>
  <c r="J81" i="4"/>
  <c r="K81" i="4"/>
  <c r="C82" i="4"/>
  <c r="D82" i="4"/>
  <c r="E82" i="4"/>
  <c r="F82" i="4"/>
  <c r="G82" i="4"/>
  <c r="H82" i="4"/>
  <c r="I82" i="4"/>
  <c r="J82" i="4"/>
  <c r="K82" i="4"/>
  <c r="C83" i="4"/>
  <c r="E83" i="4"/>
  <c r="F83" i="4"/>
  <c r="G83" i="4"/>
  <c r="H83" i="4"/>
  <c r="I83" i="4"/>
  <c r="J83" i="4"/>
  <c r="K83" i="4"/>
  <c r="C84" i="4"/>
  <c r="D84" i="4"/>
  <c r="E84" i="4"/>
  <c r="F84" i="4"/>
  <c r="G84" i="4"/>
  <c r="H84" i="4"/>
  <c r="I84" i="4"/>
  <c r="J84" i="4"/>
  <c r="K84" i="4"/>
  <c r="C85" i="4"/>
  <c r="D85" i="4"/>
  <c r="E85" i="4"/>
  <c r="F85" i="4"/>
  <c r="G85" i="4"/>
  <c r="H85" i="4"/>
  <c r="I85" i="4"/>
  <c r="J85" i="4"/>
  <c r="K85" i="4"/>
  <c r="C86" i="4"/>
  <c r="D86" i="4"/>
  <c r="E86" i="4"/>
  <c r="F86" i="4"/>
  <c r="G86" i="4"/>
  <c r="H86" i="4"/>
  <c r="I86" i="4"/>
  <c r="J86" i="4"/>
  <c r="K86" i="4"/>
  <c r="C87" i="4"/>
  <c r="D87" i="4"/>
  <c r="E87" i="4"/>
  <c r="F87" i="4"/>
  <c r="G87" i="4"/>
  <c r="H87" i="4"/>
  <c r="I87" i="4"/>
  <c r="J87" i="4"/>
  <c r="K87" i="4"/>
  <c r="C88" i="4"/>
  <c r="D88" i="4"/>
  <c r="E88" i="4"/>
  <c r="F88" i="4"/>
  <c r="G88" i="4"/>
  <c r="H88" i="4"/>
  <c r="I88" i="4"/>
  <c r="J88" i="4"/>
  <c r="K88" i="4"/>
  <c r="C89" i="4"/>
  <c r="D89" i="4"/>
  <c r="E89" i="4"/>
  <c r="F89" i="4"/>
  <c r="G89" i="4"/>
  <c r="H89" i="4"/>
  <c r="I89" i="4"/>
  <c r="J89" i="4"/>
  <c r="K89" i="4"/>
  <c r="K90" i="4"/>
  <c r="C91" i="4"/>
  <c r="D91" i="4"/>
  <c r="E91" i="4"/>
  <c r="F91" i="4"/>
  <c r="G91" i="4"/>
  <c r="H91" i="4"/>
  <c r="I91" i="4"/>
  <c r="J91" i="4"/>
  <c r="K91" i="4"/>
  <c r="C92" i="4"/>
  <c r="D92" i="4"/>
  <c r="E92" i="4"/>
  <c r="F92" i="4"/>
  <c r="G92" i="4"/>
  <c r="H92" i="4"/>
  <c r="I92" i="4"/>
  <c r="J92" i="4"/>
  <c r="K92" i="4"/>
  <c r="C93" i="4"/>
  <c r="D93" i="4"/>
  <c r="E93" i="4"/>
  <c r="F93" i="4"/>
  <c r="G93" i="4"/>
  <c r="H93" i="4"/>
  <c r="I93" i="4"/>
  <c r="J93" i="4"/>
  <c r="K93" i="4"/>
  <c r="C94" i="4"/>
  <c r="D94" i="4"/>
  <c r="E94" i="4"/>
  <c r="F94" i="4"/>
  <c r="G94" i="4"/>
  <c r="H94" i="4"/>
  <c r="I94" i="4"/>
  <c r="J94" i="4"/>
  <c r="K94" i="4"/>
  <c r="C95" i="4"/>
  <c r="D95" i="4"/>
  <c r="E95" i="4"/>
  <c r="F95" i="4"/>
  <c r="G95" i="4"/>
  <c r="H95" i="4"/>
  <c r="I95" i="4"/>
  <c r="J95" i="4"/>
  <c r="K95" i="4"/>
  <c r="C96" i="4"/>
  <c r="D96" i="4"/>
  <c r="E96" i="4"/>
  <c r="F96" i="4"/>
  <c r="G96" i="4"/>
  <c r="H96" i="4"/>
  <c r="I96" i="4"/>
  <c r="J96" i="4"/>
  <c r="K96" i="4"/>
  <c r="C97" i="4"/>
  <c r="D97" i="4"/>
  <c r="E97" i="4"/>
  <c r="F97" i="4"/>
  <c r="G97" i="4"/>
  <c r="H97" i="4"/>
  <c r="I97" i="4"/>
  <c r="J97" i="4"/>
  <c r="K97" i="4"/>
  <c r="C98" i="4"/>
  <c r="D98" i="4"/>
  <c r="E98" i="4"/>
  <c r="F98" i="4"/>
  <c r="G98" i="4"/>
  <c r="H98" i="4"/>
  <c r="I98" i="4"/>
  <c r="J98" i="4"/>
  <c r="K98" i="4"/>
  <c r="C99" i="4"/>
  <c r="D99" i="4"/>
  <c r="E99" i="4"/>
  <c r="F99" i="4"/>
  <c r="G99" i="4"/>
  <c r="H99" i="4"/>
  <c r="I99" i="4"/>
  <c r="J99" i="4"/>
  <c r="K99" i="4"/>
  <c r="C100" i="4"/>
  <c r="D100" i="4"/>
  <c r="E100" i="4"/>
  <c r="F100" i="4"/>
  <c r="G100" i="4"/>
  <c r="H100" i="4"/>
  <c r="I100" i="4"/>
  <c r="J100" i="4"/>
  <c r="K100" i="4"/>
  <c r="C101" i="4"/>
  <c r="D101" i="4"/>
  <c r="E101" i="4"/>
  <c r="F101" i="4"/>
  <c r="G101" i="4"/>
  <c r="H101" i="4"/>
  <c r="I101" i="4"/>
  <c r="J101" i="4"/>
  <c r="K101" i="4"/>
  <c r="K102" i="4"/>
  <c r="C103" i="4"/>
  <c r="D103" i="4"/>
  <c r="E103" i="4"/>
  <c r="F103" i="4"/>
  <c r="G103" i="4"/>
  <c r="H103" i="4"/>
  <c r="I103" i="4"/>
  <c r="J103" i="4"/>
  <c r="K103" i="4"/>
  <c r="C104" i="4"/>
  <c r="D104" i="4"/>
  <c r="E104" i="4"/>
  <c r="F104" i="4"/>
  <c r="G104" i="4"/>
  <c r="H104" i="4"/>
  <c r="I104" i="4"/>
  <c r="J104" i="4"/>
  <c r="K104" i="4"/>
  <c r="C105" i="4"/>
  <c r="D105" i="4"/>
  <c r="E105" i="4"/>
  <c r="F105" i="4"/>
  <c r="G105" i="4"/>
  <c r="H105" i="4"/>
  <c r="I105" i="4"/>
  <c r="J105" i="4"/>
  <c r="K105" i="4"/>
  <c r="C106" i="4"/>
  <c r="D106" i="4"/>
  <c r="E106" i="4"/>
  <c r="F106" i="4"/>
  <c r="G106" i="4"/>
  <c r="H106" i="4"/>
  <c r="I106" i="4"/>
  <c r="J106" i="4"/>
  <c r="K106" i="4"/>
  <c r="K107" i="4"/>
  <c r="C108" i="4"/>
  <c r="D108" i="4"/>
  <c r="E108" i="4"/>
  <c r="F108" i="4"/>
  <c r="G108" i="4"/>
  <c r="H108" i="4"/>
  <c r="I108" i="4"/>
  <c r="J108" i="4"/>
  <c r="K108" i="4"/>
  <c r="B86" i="12"/>
  <c r="C86" i="12"/>
  <c r="D86" i="12"/>
  <c r="E86" i="12"/>
  <c r="Q4" i="13"/>
  <c r="R4" i="13"/>
  <c r="T4" i="13"/>
  <c r="U4" i="13"/>
  <c r="W4" i="13"/>
  <c r="X4" i="13"/>
  <c r="Z4" i="13"/>
  <c r="AA4" i="13"/>
  <c r="Q5" i="13"/>
  <c r="R5" i="13"/>
  <c r="T5" i="13"/>
  <c r="U5" i="13"/>
  <c r="W5" i="13"/>
  <c r="X5" i="13"/>
  <c r="Z5" i="13"/>
  <c r="AA5" i="13"/>
  <c r="Q6" i="13"/>
  <c r="R6" i="13"/>
  <c r="T6" i="13"/>
  <c r="U6" i="13"/>
  <c r="W6" i="13"/>
  <c r="X6" i="13"/>
  <c r="Z6" i="13"/>
  <c r="AA6" i="13"/>
  <c r="Q7" i="13"/>
  <c r="R7" i="13"/>
  <c r="T7" i="13"/>
  <c r="U7" i="13"/>
  <c r="W7" i="13"/>
  <c r="X7" i="13"/>
  <c r="Z7" i="13"/>
  <c r="AA7" i="13"/>
  <c r="Q8" i="13"/>
  <c r="R8" i="13"/>
  <c r="T8" i="13"/>
  <c r="U8" i="13"/>
  <c r="W8" i="13"/>
  <c r="X8" i="13"/>
  <c r="Z8" i="13"/>
  <c r="AA8" i="13"/>
  <c r="Q9" i="13"/>
  <c r="R9" i="13"/>
  <c r="T9" i="13"/>
  <c r="U9" i="13"/>
  <c r="W9" i="13"/>
  <c r="X9" i="13"/>
  <c r="Z9" i="13"/>
  <c r="AA9" i="13"/>
  <c r="Q10" i="13"/>
  <c r="R10" i="13"/>
  <c r="T10" i="13"/>
  <c r="U10" i="13"/>
  <c r="W10" i="13"/>
  <c r="X10" i="13"/>
  <c r="Z10" i="13"/>
  <c r="AA10" i="13"/>
  <c r="Q11" i="13"/>
  <c r="R11" i="13"/>
  <c r="T11" i="13"/>
  <c r="U11" i="13"/>
  <c r="W11" i="13"/>
  <c r="X11" i="13"/>
  <c r="Z11" i="13"/>
  <c r="AA11" i="13"/>
  <c r="Q12" i="13"/>
  <c r="R12" i="13"/>
  <c r="T12" i="13"/>
  <c r="U12" i="13"/>
  <c r="W12" i="13"/>
  <c r="X12" i="13"/>
  <c r="Z12" i="13"/>
  <c r="AA12" i="13"/>
  <c r="Q13" i="13"/>
  <c r="R13" i="13"/>
  <c r="T13" i="13"/>
  <c r="U13" i="13"/>
  <c r="W13" i="13"/>
  <c r="X13" i="13"/>
  <c r="Z13" i="13"/>
  <c r="AA13" i="13"/>
  <c r="Q14" i="13"/>
  <c r="R14" i="13"/>
  <c r="T14" i="13"/>
  <c r="U14" i="13"/>
  <c r="W14" i="13"/>
  <c r="X14" i="13"/>
  <c r="Z14" i="13"/>
  <c r="AA14" i="13"/>
  <c r="Q15" i="13"/>
  <c r="R15" i="13"/>
  <c r="T15" i="13"/>
  <c r="U15" i="13"/>
  <c r="W15" i="13"/>
  <c r="X15" i="13"/>
  <c r="Z15" i="13"/>
  <c r="AA15" i="13"/>
  <c r="Q22" i="13"/>
  <c r="R22" i="13"/>
  <c r="T22" i="13"/>
  <c r="U22" i="13"/>
  <c r="W22" i="13"/>
  <c r="X22" i="13"/>
  <c r="Z22" i="13"/>
  <c r="AA22" i="13"/>
  <c r="Q23" i="13"/>
  <c r="R23" i="13"/>
  <c r="T23" i="13"/>
  <c r="U23" i="13"/>
  <c r="W23" i="13"/>
  <c r="X23" i="13"/>
  <c r="Z23" i="13"/>
  <c r="AA23" i="13"/>
  <c r="Q24" i="13"/>
  <c r="R24" i="13"/>
  <c r="T24" i="13"/>
  <c r="U24" i="13"/>
  <c r="W24" i="13"/>
  <c r="X24" i="13"/>
  <c r="Z24" i="13"/>
  <c r="AA24" i="13"/>
  <c r="Q25" i="13"/>
  <c r="R25" i="13"/>
  <c r="T25" i="13"/>
  <c r="U25" i="13"/>
  <c r="W25" i="13"/>
  <c r="X25" i="13"/>
  <c r="Z25" i="13"/>
  <c r="AA25" i="13"/>
  <c r="Q26" i="13"/>
  <c r="R26" i="13"/>
  <c r="T26" i="13"/>
  <c r="U26" i="13"/>
  <c r="W26" i="13"/>
  <c r="X26" i="13"/>
  <c r="Z26" i="13"/>
  <c r="AA26" i="13"/>
  <c r="Q27" i="13"/>
  <c r="R27" i="13"/>
  <c r="T27" i="13"/>
  <c r="U27" i="13"/>
  <c r="W27" i="13"/>
  <c r="X27" i="13"/>
  <c r="Z27" i="13"/>
  <c r="AA27" i="13"/>
  <c r="Q28" i="13"/>
  <c r="R28" i="13"/>
  <c r="T28" i="13"/>
  <c r="U28" i="13"/>
  <c r="W28" i="13"/>
  <c r="X28" i="13"/>
  <c r="Z28" i="13"/>
  <c r="AA28" i="13"/>
  <c r="Q29" i="13"/>
  <c r="R29" i="13"/>
  <c r="T29" i="13"/>
  <c r="U29" i="13"/>
  <c r="W29" i="13"/>
  <c r="X29" i="13"/>
  <c r="Z29" i="13"/>
  <c r="AA29" i="13"/>
  <c r="Q30" i="13"/>
  <c r="R30" i="13"/>
  <c r="T30" i="13"/>
  <c r="U30" i="13"/>
  <c r="W30" i="13"/>
  <c r="X30" i="13"/>
  <c r="Z30" i="13"/>
  <c r="AA30" i="13"/>
  <c r="Q31" i="13"/>
  <c r="R31" i="13"/>
  <c r="T31" i="13"/>
  <c r="U31" i="13"/>
  <c r="W31" i="13"/>
  <c r="X31" i="13"/>
  <c r="Z31" i="13"/>
  <c r="AA31" i="13"/>
  <c r="Q32" i="13"/>
  <c r="R32" i="13"/>
  <c r="T32" i="13"/>
  <c r="U32" i="13"/>
  <c r="W32" i="13"/>
  <c r="X32" i="13"/>
  <c r="Z32" i="13"/>
  <c r="AA32" i="13"/>
  <c r="Q33" i="13"/>
  <c r="R33" i="13"/>
  <c r="T33" i="13"/>
  <c r="U33" i="13"/>
  <c r="W33" i="13"/>
  <c r="X33" i="13"/>
  <c r="Z33" i="13"/>
  <c r="AA33" i="13"/>
</calcChain>
</file>

<file path=xl/comments1.xml><?xml version="1.0" encoding="utf-8"?>
<comments xmlns="http://schemas.openxmlformats.org/spreadsheetml/2006/main">
  <authors>
    <author>Guy Ishikawa</author>
  </authors>
  <commentList>
    <comment ref="O5" authorId="0" shapeId="0">
      <text>
        <r>
          <rPr>
            <b/>
            <sz val="8"/>
            <color indexed="81"/>
            <rFont val="Tahoma"/>
          </rPr>
          <t>Guy Ishikawa:</t>
        </r>
        <r>
          <rPr>
            <sz val="8"/>
            <color indexed="81"/>
            <rFont val="Tahoma"/>
          </rPr>
          <t xml:space="preserve">
According Supply Database Angra I e II</t>
        </r>
      </text>
    </comment>
    <comment ref="O7" authorId="0" shapeId="0">
      <text>
        <r>
          <rPr>
            <b/>
            <sz val="8"/>
            <color indexed="81"/>
            <rFont val="Tahoma"/>
          </rPr>
          <t>Guy Ishikawa:</t>
        </r>
        <r>
          <rPr>
            <sz val="8"/>
            <color indexed="81"/>
            <rFont val="Tahoma"/>
          </rPr>
          <t xml:space="preserve">
According to supply data base -  Uruguaiana (Phase 1)</t>
        </r>
      </text>
    </comment>
  </commentList>
</comments>
</file>

<file path=xl/comments2.xml><?xml version="1.0" encoding="utf-8"?>
<comments xmlns="http://schemas.openxmlformats.org/spreadsheetml/2006/main">
  <authors>
    <author>Cecília Maria V.D.B. Mercio</author>
  </authors>
  <commentList>
    <comment ref="E21" authorId="0" shapeId="0">
      <text>
        <r>
          <rPr>
            <sz val="8"/>
            <color indexed="81"/>
            <rFont val="Tahoma"/>
          </rPr>
          <t>Valor d'Água Sudeste
Igual a TMO fora de ponta</t>
        </r>
      </text>
    </comment>
    <comment ref="K21" authorId="0" shapeId="0">
      <text>
        <r>
          <rPr>
            <sz val="8"/>
            <color indexed="81"/>
            <rFont val="Tahoma"/>
          </rPr>
          <t>Valor d'Água Sudeste
Igual a TMO fora de ponta</t>
        </r>
      </text>
    </comment>
  </commentList>
</comments>
</file>

<file path=xl/sharedStrings.xml><?xml version="1.0" encoding="utf-8"?>
<sst xmlns="http://schemas.openxmlformats.org/spreadsheetml/2006/main" count="819" uniqueCount="312">
  <si>
    <t>Itaipu 50 Hz</t>
  </si>
  <si>
    <t>Itaipu 60 Hz</t>
  </si>
  <si>
    <t>Itaipu</t>
  </si>
  <si>
    <t>VOLUME</t>
  </si>
  <si>
    <t>GRANDE</t>
  </si>
  <si>
    <t>FURNAS</t>
  </si>
  <si>
    <t>M.MORAES</t>
  </si>
  <si>
    <t>MARIMBONDO</t>
  </si>
  <si>
    <t>AGUA VERMELHA</t>
  </si>
  <si>
    <t>PARANAÍBA</t>
  </si>
  <si>
    <t>EMBORCAÇÃO</t>
  </si>
  <si>
    <t>NOVA PONTE</t>
  </si>
  <si>
    <t>ITUMBIARA</t>
  </si>
  <si>
    <t>SÃO SIMÃO</t>
  </si>
  <si>
    <t>PARANÁ</t>
  </si>
  <si>
    <t>ILHA SOLTEIRA</t>
  </si>
  <si>
    <t>JUPIÁ</t>
  </si>
  <si>
    <t>ITAIPU</t>
  </si>
  <si>
    <t>TIETE</t>
  </si>
  <si>
    <t>BARRA BONITA</t>
  </si>
  <si>
    <t>PROMISSÃO</t>
  </si>
  <si>
    <t>TRÊS IRMÃOS</t>
  </si>
  <si>
    <t>PARANAPANEMA</t>
  </si>
  <si>
    <t>JURUMIRIM</t>
  </si>
  <si>
    <t>CHAVANTES</t>
  </si>
  <si>
    <t>CAPIVARA</t>
  </si>
  <si>
    <t>IGUAÇU</t>
  </si>
  <si>
    <t>G.B.MUNHOZ</t>
  </si>
  <si>
    <t>SALTO SANTIAGO</t>
  </si>
  <si>
    <t>S.FRANCISCO</t>
  </si>
  <si>
    <t>TRES MARIAS</t>
  </si>
  <si>
    <t>SOBRADINHO</t>
  </si>
  <si>
    <t>LUIZ GONZAGA</t>
  </si>
  <si>
    <t>TOCANTINS</t>
  </si>
  <si>
    <t>SERRA DA MESA</t>
  </si>
  <si>
    <t>TUCURUI</t>
  </si>
  <si>
    <t>PCH CEB</t>
  </si>
  <si>
    <t>CAMARGOS</t>
  </si>
  <si>
    <t>G.AMORIM</t>
  </si>
  <si>
    <t>IGARAPAVA</t>
  </si>
  <si>
    <t>ITUTINGA</t>
  </si>
  <si>
    <t>JAGUARA</t>
  </si>
  <si>
    <t>MIRANDA</t>
  </si>
  <si>
    <t>PCH CEMIG</t>
  </si>
  <si>
    <t>S.GRANDE</t>
  </si>
  <si>
    <t>S.SIMÃO</t>
  </si>
  <si>
    <t>SOBRAGI</t>
  </si>
  <si>
    <t>Igarapé</t>
  </si>
  <si>
    <t>T.MARIAS</t>
  </si>
  <si>
    <t>V.GRANDE</t>
  </si>
  <si>
    <t>Piratininga</t>
  </si>
  <si>
    <t>PCH CELG</t>
  </si>
  <si>
    <t>PCH CPFL</t>
  </si>
  <si>
    <t>Campos</t>
  </si>
  <si>
    <t>PCH CERJ</t>
  </si>
  <si>
    <t>Sta Cruz</t>
  </si>
  <si>
    <t>A.VERMELHA</t>
  </si>
  <si>
    <t>B.BONITA</t>
  </si>
  <si>
    <t>Cuiabá</t>
  </si>
  <si>
    <t>BARIRI</t>
  </si>
  <si>
    <t>CACONDE</t>
  </si>
  <si>
    <t>P.Médici</t>
  </si>
  <si>
    <t>Figueira</t>
  </si>
  <si>
    <t>Alegrete</t>
  </si>
  <si>
    <t>CANOAS I</t>
  </si>
  <si>
    <t>Charqueadas</t>
  </si>
  <si>
    <t>CANOAS II</t>
  </si>
  <si>
    <t>J.Lacerda A</t>
  </si>
  <si>
    <t>J.Lacerda B</t>
  </si>
  <si>
    <t>E.CUNHA</t>
  </si>
  <si>
    <t>J.Lacerda C</t>
  </si>
  <si>
    <t>IBITINGA</t>
  </si>
  <si>
    <t>W.Arjona</t>
  </si>
  <si>
    <t>I.SOLTEIRA</t>
  </si>
  <si>
    <t>Nutepa</t>
  </si>
  <si>
    <t>JAGUARI</t>
  </si>
  <si>
    <t>S.Jerônimo</t>
  </si>
  <si>
    <t>JUPIA</t>
  </si>
  <si>
    <t>Uruguaiana</t>
  </si>
  <si>
    <t>Camaçari</t>
  </si>
  <si>
    <t>LIMOEIRO</t>
  </si>
  <si>
    <t>N. AVANHAN</t>
  </si>
  <si>
    <t>PARAIBUNA</t>
  </si>
  <si>
    <t>P.PRIMAVERA</t>
  </si>
  <si>
    <t>ROSANA</t>
  </si>
  <si>
    <t>S. GRANDE</t>
  </si>
  <si>
    <t>TAQUARUÇU</t>
  </si>
  <si>
    <t>T.IRMÃOS</t>
  </si>
  <si>
    <t>PCH CEMAT</t>
  </si>
  <si>
    <t>MASCARENHAS</t>
  </si>
  <si>
    <t>H.BORDEN Ext</t>
  </si>
  <si>
    <t>H.BORDEN Sub.</t>
  </si>
  <si>
    <t>PCH EPAULO</t>
  </si>
  <si>
    <t>P.COLOMBIA</t>
  </si>
  <si>
    <t>FUNIL</t>
  </si>
  <si>
    <t>ESTREITO</t>
  </si>
  <si>
    <t>S. MESA</t>
  </si>
  <si>
    <t>C.DOURADA</t>
  </si>
  <si>
    <t>FONTES</t>
  </si>
  <si>
    <t>I. POMBOS</t>
  </si>
  <si>
    <t>N.PEÇANHA</t>
  </si>
  <si>
    <t>P.PASSOS</t>
  </si>
  <si>
    <t>STA BRANCA</t>
  </si>
  <si>
    <t>PCH CEEE</t>
  </si>
  <si>
    <t>CANASTRA</t>
  </si>
  <si>
    <t>ITAUBA</t>
  </si>
  <si>
    <t>JACUI</t>
  </si>
  <si>
    <t>PASSO REAL</t>
  </si>
  <si>
    <t>GBM</t>
  </si>
  <si>
    <t>GPS</t>
  </si>
  <si>
    <t>S.CAXIAS</t>
  </si>
  <si>
    <t>SEGREDO</t>
  </si>
  <si>
    <t>P.FUNDO</t>
  </si>
  <si>
    <t>S.OSÓRIO</t>
  </si>
  <si>
    <t>S.SANTIAGO</t>
  </si>
  <si>
    <t>PCH ENERSUL</t>
  </si>
  <si>
    <t>ITAIPU 50 Hz</t>
  </si>
  <si>
    <t>ITAIPU 60 Hz</t>
  </si>
  <si>
    <t>PCH CHESF</t>
  </si>
  <si>
    <t>A SALLES</t>
  </si>
  <si>
    <t>B. ESPERANÇA</t>
  </si>
  <si>
    <t>L.GONZAGA</t>
  </si>
  <si>
    <t>P.AFONSO 1</t>
  </si>
  <si>
    <t>P.AFONSO 2</t>
  </si>
  <si>
    <t>P.AFONSO 3</t>
  </si>
  <si>
    <t>P.AFONSO 4</t>
  </si>
  <si>
    <t>XINGÓ</t>
  </si>
  <si>
    <t>TUCURUÍ</t>
  </si>
  <si>
    <t>%</t>
  </si>
  <si>
    <t>S</t>
  </si>
  <si>
    <t>N</t>
  </si>
  <si>
    <t>NE</t>
  </si>
  <si>
    <t>JAN</t>
  </si>
  <si>
    <t>MAR</t>
  </si>
  <si>
    <t>JUN</t>
  </si>
  <si>
    <t>JUL</t>
  </si>
  <si>
    <t>NOV</t>
  </si>
  <si>
    <t>Southeast</t>
  </si>
  <si>
    <t>South</t>
  </si>
  <si>
    <t>Itens</t>
  </si>
  <si>
    <t>Actual</t>
  </si>
  <si>
    <t>Dif %</t>
  </si>
  <si>
    <t>Northeast</t>
  </si>
  <si>
    <t>Hydro Gen</t>
  </si>
  <si>
    <t>Thermo Gen</t>
  </si>
  <si>
    <t>Angra Gen</t>
  </si>
  <si>
    <t>Total Gen</t>
  </si>
  <si>
    <t>Load</t>
  </si>
  <si>
    <t>SOUTH + SOUTHEAST</t>
  </si>
  <si>
    <t>Month</t>
  </si>
  <si>
    <t>FEB</t>
  </si>
  <si>
    <t>APR</t>
  </si>
  <si>
    <t>MAY</t>
  </si>
  <si>
    <t>AUG</t>
  </si>
  <si>
    <t>SEP</t>
  </si>
  <si>
    <t>OCT</t>
  </si>
  <si>
    <t>DEC</t>
  </si>
  <si>
    <t>NORTH + NORTHEAST</t>
  </si>
  <si>
    <t>Midwest</t>
  </si>
  <si>
    <t>FLOW - M3/S</t>
  </si>
  <si>
    <t>INFLOW</t>
  </si>
  <si>
    <t>OUTFLOW</t>
  </si>
  <si>
    <t>Interconnected System</t>
  </si>
  <si>
    <t>Thermo Generation - GWh</t>
  </si>
  <si>
    <t>Hydro Generation - GWh</t>
  </si>
  <si>
    <t>(%)</t>
  </si>
  <si>
    <t>SHED</t>
  </si>
  <si>
    <t>RIVER</t>
  </si>
  <si>
    <t>Plant</t>
  </si>
  <si>
    <t>System</t>
  </si>
  <si>
    <t>Hydro</t>
  </si>
  <si>
    <t>Thermo</t>
  </si>
  <si>
    <t>Total</t>
  </si>
  <si>
    <t>SOUTHEAST</t>
  </si>
  <si>
    <t>SOUTH</t>
  </si>
  <si>
    <t>NORTHEAST</t>
  </si>
  <si>
    <t>Schedule</t>
  </si>
  <si>
    <t>Inst Cap</t>
  </si>
  <si>
    <t>Dif (MW)</t>
  </si>
  <si>
    <t xml:space="preserve">Exc Inst Cap </t>
  </si>
  <si>
    <t>Exc Av Cap</t>
  </si>
  <si>
    <t>TOTAL</t>
  </si>
  <si>
    <t>Availab Cap</t>
  </si>
  <si>
    <t>Cost(R$/MWh)</t>
  </si>
  <si>
    <t>PCH ESCELSA</t>
  </si>
  <si>
    <t>CORUMBÁ</t>
  </si>
  <si>
    <t>Carioba</t>
  </si>
  <si>
    <t>H.BORDEN Sub</t>
  </si>
  <si>
    <t>APOLÔNIO SALLES</t>
  </si>
  <si>
    <t>BOA ESPERANÇA</t>
  </si>
  <si>
    <t>LUIS GONZAGA</t>
  </si>
  <si>
    <t>PCH CELESC</t>
  </si>
  <si>
    <t>PCH ESCELSA (*)</t>
  </si>
  <si>
    <t>PUS CEB</t>
  </si>
  <si>
    <t>PUS CELG</t>
  </si>
  <si>
    <t>PUS CEMAT</t>
  </si>
  <si>
    <t>PUS ENERSUL</t>
  </si>
  <si>
    <t>S.BRANCA</t>
  </si>
  <si>
    <t>S.OSORIO</t>
  </si>
  <si>
    <t>SERRA MESA</t>
  </si>
  <si>
    <t xml:space="preserve">CORUMBÁ </t>
  </si>
  <si>
    <t>Angra</t>
  </si>
  <si>
    <t>SÃO JERÔNIMO</t>
  </si>
  <si>
    <t>AUX. TUCURUI</t>
  </si>
  <si>
    <t>Carioba*</t>
  </si>
  <si>
    <t>ENA</t>
  </si>
  <si>
    <t>%MLT</t>
  </si>
  <si>
    <t>EAR</t>
  </si>
  <si>
    <t>North</t>
  </si>
  <si>
    <t>Legend</t>
  </si>
  <si>
    <t>ENA (Energia Natural Afluente as of % Média Longo Termo)</t>
  </si>
  <si>
    <t>EAR (Energia Armazenada)</t>
  </si>
  <si>
    <t>CURUA-UNA</t>
  </si>
  <si>
    <t>CURUÁ-UNA</t>
  </si>
  <si>
    <t>PCH COPEL</t>
  </si>
  <si>
    <t>NET INFLOW</t>
  </si>
  <si>
    <t>Interc. SE to S</t>
  </si>
  <si>
    <t>Interc. SE to N</t>
  </si>
  <si>
    <t>Interc. SE to NE</t>
  </si>
  <si>
    <t>Interc S to SE</t>
  </si>
  <si>
    <t>Interc. N to NE</t>
  </si>
  <si>
    <t>Interc. N to SE</t>
  </si>
  <si>
    <t>Interc. NE to N</t>
  </si>
  <si>
    <t>Interc. NE to SE</t>
  </si>
  <si>
    <t>SE + MW</t>
  </si>
  <si>
    <t>S + SE + MW</t>
  </si>
  <si>
    <t>N + NE</t>
  </si>
  <si>
    <t>Paraguai to Copel</t>
  </si>
  <si>
    <t>Argentina to Eletrosul</t>
  </si>
  <si>
    <t>5 - Reservoir Levels</t>
  </si>
  <si>
    <t>6 - Historical Generation</t>
  </si>
  <si>
    <t>7 - Storage Energy (%)</t>
  </si>
  <si>
    <t>8 - Historical Load - GWh</t>
  </si>
  <si>
    <t>Intern. Interc. to S</t>
  </si>
  <si>
    <t>ITÁ</t>
  </si>
  <si>
    <t xml:space="preserve"> Southeast</t>
  </si>
  <si>
    <t xml:space="preserve"> South</t>
  </si>
  <si>
    <t xml:space="preserve"> Northeast</t>
  </si>
  <si>
    <t xml:space="preserve"> North</t>
  </si>
  <si>
    <t>Note:  PCH Escelsa includes 40 MW from auto producers</t>
  </si>
  <si>
    <t>Generation</t>
  </si>
  <si>
    <t>EAR (MW)</t>
  </si>
  <si>
    <t>North Submarket</t>
  </si>
  <si>
    <t>Max EAR (MW)</t>
  </si>
  <si>
    <t>(% National System)</t>
  </si>
  <si>
    <t>South Submarket</t>
  </si>
  <si>
    <t>Northeast Submarket</t>
  </si>
  <si>
    <t>Southeast Submarket</t>
  </si>
  <si>
    <t>Check</t>
  </si>
  <si>
    <t>TMO (Tarifa Marginal da Operação - R$)</t>
  </si>
  <si>
    <t>DO NOT PRINT THIS CHECK LIST</t>
  </si>
  <si>
    <t>1 - Balance of Energy - Average MW</t>
  </si>
  <si>
    <t>NORTH *</t>
  </si>
  <si>
    <t>* North submarket is unbalanced due to an inconsistency in ONS report</t>
  </si>
  <si>
    <t>Heavy load price</t>
  </si>
  <si>
    <t>Medium load price</t>
  </si>
  <si>
    <t xml:space="preserve">     Light load price</t>
  </si>
  <si>
    <t>SUB-TOTAL</t>
  </si>
  <si>
    <t>Heavy</t>
  </si>
  <si>
    <t>Medium</t>
  </si>
  <si>
    <t>Light</t>
  </si>
  <si>
    <t>1999</t>
  </si>
  <si>
    <t xml:space="preserve">      Heavy Load</t>
  </si>
  <si>
    <t xml:space="preserve">      Light Load</t>
  </si>
  <si>
    <t xml:space="preserve">                      Average</t>
  </si>
  <si>
    <t xml:space="preserve">                  Medium Load</t>
  </si>
  <si>
    <t>2 - Available generation per system (MW)</t>
  </si>
  <si>
    <t>4 - Transmission Capacity (MW)</t>
  </si>
  <si>
    <t>SE</t>
  </si>
  <si>
    <t>MANSO</t>
  </si>
  <si>
    <t>Uruguaiana***</t>
  </si>
  <si>
    <t>BRAZIL POWER TRADING AND RISK MANAGEMENT DAILY REPORT</t>
  </si>
  <si>
    <t>3 - International Interconnections (MW)</t>
  </si>
  <si>
    <t>1998</t>
  </si>
  <si>
    <t>-</t>
  </si>
  <si>
    <t>EAR (Storage Energy - YoY change)</t>
  </si>
  <si>
    <t>ENA (Water Inflow - YoY change)</t>
  </si>
  <si>
    <t>ENA (Water Inflow as % of MLT - Monthly Historical Average)</t>
  </si>
  <si>
    <t>EAR (Storage Energy as % of Maximum Capacity)</t>
  </si>
  <si>
    <t>2001</t>
  </si>
  <si>
    <t>YoY change</t>
  </si>
  <si>
    <t>1999 / 2000</t>
  </si>
  <si>
    <t>2000 / 2001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</si>
  <si>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</si>
  <si>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</si>
  <si>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</si>
  <si>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</si>
  <si>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</si>
  <si>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</si>
  <si>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</si>
  <si>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</si>
  <si>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</si>
  <si>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</si>
  <si>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</si>
  <si>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</si>
  <si>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MLT (Historical data - Jan 11, 2001)</t>
  </si>
  <si>
    <t>from 1931 to 1996</t>
  </si>
  <si>
    <t>ENA (Water Inflow as % of MLT)</t>
  </si>
  <si>
    <t>10 - Generation</t>
  </si>
  <si>
    <t>10.1. Hydro generation and availability per plant</t>
  </si>
  <si>
    <t>10.2. Thermo generation</t>
  </si>
  <si>
    <t>EAR (Storage Energy as % of Max Capacity - end of month)</t>
  </si>
  <si>
    <t>D. FRANCISCA</t>
  </si>
  <si>
    <t xml:space="preserve">           PCH Copel includes 46 MW from Acaray</t>
  </si>
  <si>
    <t>Note:  Angra considers both Angra I and II thermoplants. It includes 1349 MW of Angra 2 unit on commission.</t>
  </si>
  <si>
    <t xml:space="preserve">          Includes 549 MW of Uruguaiana thermoplant on commission</t>
  </si>
  <si>
    <t>Feb 20th</t>
  </si>
  <si>
    <t>Mar 1st</t>
  </si>
  <si>
    <t>9 - ENA and EAR March Forecast (according ONS)</t>
  </si>
  <si>
    <t xml:space="preserve"> Date as of March 7th, 2001</t>
  </si>
  <si>
    <t>Mar 9th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</si>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</sst>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"/>
    <numFmt numFmtId="171" formatCode="_(* #,##0_);_(* \(#,##0\);_(* &quot;-&quot;??_);_(@_)"/>
    <numFmt numFmtId="174" formatCode="mmmm\ d\,\ yyyy"/>
    <numFmt numFmtId="180" formatCode="_(&quot;R$ &quot;* #,##0_);_(&quot;R$ &quot;* \(#,##0\);_(&quot;R$ &quot;* &quot;-&quot;_);_(@_)"/>
    <numFmt numFmtId="181" formatCode="_(&quot;R$ &quot;* #,##0.00_);_(&quot;R$ &quot;* \(#,##0.00\);_(&quot;R$ &quot;* &quot;-&quot;??_);_(@_)"/>
    <numFmt numFmtId="186" formatCode="_(&quot;R$&quot;* #,##0_);_(&quot;R$&quot;* \(#,##0\);_(&quot;R$&quot;* &quot;-&quot;_);_(@_)"/>
    <numFmt numFmtId="187" formatCode="_(&quot;R$&quot;* #,##0.00_);_(&quot;R$&quot;* \(#,##0.00\);_(&quot;R$&quot;* &quot;-&quot;??_);_(@_)"/>
    <numFmt numFmtId="189" formatCode="0.0%"/>
  </numFmts>
  <fonts count="2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color indexed="56"/>
      <name val="Arial"/>
      <family val="2"/>
    </font>
    <font>
      <b/>
      <sz val="8"/>
      <color indexed="56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8"/>
      <color indexed="12"/>
      <name val="Arial"/>
      <family val="2"/>
    </font>
    <font>
      <b/>
      <sz val="8"/>
      <color indexed="10"/>
      <name val="Arial"/>
      <family val="2"/>
    </font>
    <font>
      <i/>
      <u/>
      <sz val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6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8">
    <xf numFmtId="0" fontId="0" fillId="0" borderId="0" xfId="0"/>
    <xf numFmtId="0" fontId="2" fillId="0" borderId="0" xfId="0" applyFont="1"/>
    <xf numFmtId="0" fontId="0" fillId="0" borderId="0" xfId="0" applyBorder="1"/>
    <xf numFmtId="0" fontId="5" fillId="0" borderId="0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3" fontId="8" fillId="0" borderId="0" xfId="0" applyNumberFormat="1" applyFont="1" applyFill="1" applyBorder="1" applyAlignment="1">
      <alignment horizontal="center"/>
    </xf>
    <xf numFmtId="9" fontId="8" fillId="0" borderId="4" xfId="2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/>
    <xf numFmtId="0" fontId="4" fillId="0" borderId="1" xfId="0" quotePrefix="1" applyFont="1" applyFill="1" applyBorder="1" applyAlignment="1">
      <alignment horizontal="left"/>
    </xf>
    <xf numFmtId="2" fontId="8" fillId="0" borderId="4" xfId="0" applyNumberFormat="1" applyFont="1" applyFill="1" applyBorder="1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189" fontId="1" fillId="0" borderId="0" xfId="2" applyNumberFormat="1" applyAlignment="1">
      <alignment horizontal="center"/>
    </xf>
    <xf numFmtId="17" fontId="0" fillId="0" borderId="0" xfId="0" applyNumberFormat="1" applyAlignment="1">
      <alignment horizontal="center"/>
    </xf>
    <xf numFmtId="9" fontId="1" fillId="0" borderId="0" xfId="2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89" fontId="9" fillId="0" borderId="6" xfId="2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center"/>
    </xf>
    <xf numFmtId="0" fontId="2" fillId="0" borderId="16" xfId="0" applyFont="1" applyBorder="1"/>
    <xf numFmtId="164" fontId="10" fillId="0" borderId="0" xfId="0" applyNumberFormat="1" applyFont="1" applyAlignment="1">
      <alignment horizontal="right"/>
    </xf>
    <xf numFmtId="0" fontId="10" fillId="0" borderId="0" xfId="0" applyFont="1"/>
    <xf numFmtId="0" fontId="0" fillId="0" borderId="0" xfId="0" applyFill="1" applyBorder="1"/>
    <xf numFmtId="9" fontId="2" fillId="0" borderId="0" xfId="2" applyFont="1" applyFill="1" applyBorder="1"/>
    <xf numFmtId="0" fontId="2" fillId="0" borderId="0" xfId="0" applyFont="1" applyFill="1" applyBorder="1"/>
    <xf numFmtId="171" fontId="2" fillId="0" borderId="0" xfId="1" applyNumberFormat="1" applyFont="1" applyFill="1" applyBorder="1" applyAlignment="1">
      <alignment horizontal="right"/>
    </xf>
    <xf numFmtId="171" fontId="2" fillId="0" borderId="4" xfId="1" applyNumberFormat="1" applyFont="1" applyFill="1" applyBorder="1" applyAlignment="1"/>
    <xf numFmtId="38" fontId="0" fillId="0" borderId="0" xfId="0" applyNumberFormat="1"/>
    <xf numFmtId="0" fontId="0" fillId="0" borderId="0" xfId="0" applyAlignment="1">
      <alignment horizontal="left"/>
    </xf>
    <xf numFmtId="189" fontId="0" fillId="0" borderId="0" xfId="2" applyNumberFormat="1" applyFont="1" applyAlignment="1">
      <alignment horizontal="center"/>
    </xf>
    <xf numFmtId="3" fontId="0" fillId="0" borderId="0" xfId="1" applyNumberFormat="1" applyFont="1" applyAlignment="1">
      <alignment horizontal="center"/>
    </xf>
    <xf numFmtId="0" fontId="17" fillId="0" borderId="0" xfId="0" applyFont="1"/>
    <xf numFmtId="43" fontId="18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89" fontId="17" fillId="0" borderId="0" xfId="2" applyNumberFormat="1" applyFont="1" applyAlignment="1">
      <alignment horizontal="center"/>
    </xf>
    <xf numFmtId="3" fontId="17" fillId="0" borderId="0" xfId="1" applyNumberFormat="1" applyFont="1" applyAlignment="1">
      <alignment horizontal="center"/>
    </xf>
    <xf numFmtId="43" fontId="18" fillId="0" borderId="0" xfId="1" applyFont="1"/>
    <xf numFmtId="0" fontId="17" fillId="0" borderId="0" xfId="0" applyFont="1" applyBorder="1"/>
    <xf numFmtId="0" fontId="10" fillId="0" borderId="9" xfId="0" applyFont="1" applyBorder="1"/>
    <xf numFmtId="0" fontId="10" fillId="0" borderId="11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13" xfId="0" applyFont="1" applyBorder="1"/>
    <xf numFmtId="189" fontId="10" fillId="0" borderId="14" xfId="0" applyNumberFormat="1" applyFont="1" applyBorder="1" applyAlignment="1">
      <alignment horizontal="center"/>
    </xf>
    <xf numFmtId="0" fontId="9" fillId="0" borderId="8" xfId="0" applyFont="1" applyBorder="1"/>
    <xf numFmtId="0" fontId="0" fillId="0" borderId="0" xfId="0" applyBorder="1" applyAlignment="1">
      <alignment horizontal="left"/>
    </xf>
    <xf numFmtId="0" fontId="4" fillId="0" borderId="0" xfId="0" applyFont="1" applyFill="1" applyBorder="1"/>
    <xf numFmtId="38" fontId="2" fillId="0" borderId="0" xfId="0" applyNumberFormat="1" applyFont="1" applyFill="1" applyBorder="1"/>
    <xf numFmtId="38" fontId="2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189" fontId="0" fillId="0" borderId="0" xfId="2" applyNumberFormat="1" applyFont="1"/>
    <xf numFmtId="9" fontId="0" fillId="0" borderId="0" xfId="2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89" fontId="1" fillId="0" borderId="0" xfId="2" applyNumberFormat="1" applyBorder="1" applyAlignment="1">
      <alignment horizontal="center"/>
    </xf>
    <xf numFmtId="0" fontId="8" fillId="0" borderId="0" xfId="0" applyFont="1" applyFill="1" applyBorder="1"/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89" fontId="10" fillId="0" borderId="0" xfId="2" applyNumberFormat="1" applyFont="1" applyFill="1" applyAlignment="1">
      <alignment horizontal="center"/>
    </xf>
    <xf numFmtId="189" fontId="10" fillId="0" borderId="0" xfId="2" applyNumberFormat="1" applyFont="1" applyAlignment="1">
      <alignment horizontal="center"/>
    </xf>
    <xf numFmtId="9" fontId="0" fillId="0" borderId="0" xfId="2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right"/>
    </xf>
    <xf numFmtId="43" fontId="1" fillId="0" borderId="0" xfId="1" applyAlignment="1">
      <alignment horizont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3" fontId="8" fillId="0" borderId="18" xfId="0" applyNumberFormat="1" applyFont="1" applyFill="1" applyBorder="1" applyAlignment="1">
      <alignment horizontal="right"/>
    </xf>
    <xf numFmtId="3" fontId="8" fillId="0" borderId="19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right"/>
    </xf>
    <xf numFmtId="3" fontId="8" fillId="0" borderId="21" xfId="0" applyNumberFormat="1" applyFont="1" applyFill="1" applyBorder="1" applyAlignment="1">
      <alignment horizontal="right"/>
    </xf>
    <xf numFmtId="3" fontId="8" fillId="0" borderId="22" xfId="0" applyNumberFormat="1" applyFont="1" applyFill="1" applyBorder="1" applyAlignment="1">
      <alignment horizontal="right"/>
    </xf>
    <xf numFmtId="164" fontId="8" fillId="0" borderId="23" xfId="0" applyNumberFormat="1" applyFont="1" applyFill="1" applyBorder="1" applyAlignment="1">
      <alignment horizontal="right"/>
    </xf>
    <xf numFmtId="0" fontId="8" fillId="2" borderId="24" xfId="0" applyFont="1" applyFill="1" applyBorder="1" applyAlignment="1">
      <alignment horizontal="left"/>
    </xf>
    <xf numFmtId="0" fontId="8" fillId="2" borderId="24" xfId="0" quotePrefix="1" applyFont="1" applyFill="1" applyBorder="1" applyAlignment="1">
      <alignment horizontal="left"/>
    </xf>
    <xf numFmtId="0" fontId="8" fillId="2" borderId="25" xfId="0" quotePrefix="1" applyFont="1" applyFill="1" applyBorder="1" applyAlignment="1">
      <alignment horizontal="left"/>
    </xf>
    <xf numFmtId="3" fontId="8" fillId="0" borderId="26" xfId="0" applyNumberFormat="1" applyFont="1" applyFill="1" applyBorder="1" applyAlignment="1">
      <alignment horizontal="right"/>
    </xf>
    <xf numFmtId="3" fontId="8" fillId="0" borderId="27" xfId="0" applyNumberFormat="1" applyFont="1" applyFill="1" applyBorder="1" applyAlignment="1">
      <alignment horizontal="right"/>
    </xf>
    <xf numFmtId="164" fontId="8" fillId="0" borderId="28" xfId="0" applyNumberFormat="1" applyFont="1" applyFill="1" applyBorder="1" applyAlignment="1">
      <alignment horizontal="right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8" fillId="0" borderId="32" xfId="0" applyNumberFormat="1" applyFont="1" applyFill="1" applyBorder="1" applyAlignment="1">
      <alignment horizontal="right"/>
    </xf>
    <xf numFmtId="3" fontId="8" fillId="0" borderId="15" xfId="0" applyNumberFormat="1" applyFont="1" applyFill="1" applyBorder="1" applyAlignment="1">
      <alignment horizontal="right"/>
    </xf>
    <xf numFmtId="3" fontId="8" fillId="0" borderId="33" xfId="0" applyNumberFormat="1" applyFont="1" applyFill="1" applyBorder="1" applyAlignment="1">
      <alignment horizontal="right"/>
    </xf>
    <xf numFmtId="0" fontId="8" fillId="2" borderId="34" xfId="0" applyFont="1" applyFill="1" applyBorder="1" applyAlignment="1">
      <alignment horizontal="center"/>
    </xf>
    <xf numFmtId="3" fontId="8" fillId="0" borderId="19" xfId="0" quotePrefix="1" applyNumberFormat="1" applyFont="1" applyFill="1" applyBorder="1" applyAlignment="1">
      <alignment horizontal="right"/>
    </xf>
    <xf numFmtId="1" fontId="8" fillId="2" borderId="5" xfId="0" quotePrefix="1" applyNumberFormat="1" applyFont="1" applyFill="1" applyBorder="1" applyAlignment="1">
      <alignment horizontal="left"/>
    </xf>
    <xf numFmtId="0" fontId="9" fillId="3" borderId="35" xfId="0" applyFont="1" applyFill="1" applyBorder="1" applyAlignment="1">
      <alignment horizontal="left"/>
    </xf>
    <xf numFmtId="0" fontId="9" fillId="3" borderId="36" xfId="0" applyFont="1" applyFill="1" applyBorder="1" applyAlignment="1">
      <alignment horizontal="left"/>
    </xf>
    <xf numFmtId="0" fontId="10" fillId="3" borderId="37" xfId="0" applyFont="1" applyFill="1" applyBorder="1"/>
    <xf numFmtId="0" fontId="10" fillId="3" borderId="38" xfId="0" applyFont="1" applyFill="1" applyBorder="1"/>
    <xf numFmtId="171" fontId="8" fillId="0" borderId="15" xfId="1" applyNumberFormat="1" applyFont="1" applyFill="1" applyBorder="1" applyAlignment="1">
      <alignment horizontal="right"/>
    </xf>
    <xf numFmtId="171" fontId="8" fillId="0" borderId="27" xfId="1" applyNumberFormat="1" applyFont="1" applyFill="1" applyBorder="1" applyAlignment="1">
      <alignment horizontal="right"/>
    </xf>
    <xf numFmtId="171" fontId="8" fillId="0" borderId="28" xfId="1" applyNumberFormat="1" applyFont="1" applyFill="1" applyBorder="1" applyAlignment="1"/>
    <xf numFmtId="171" fontId="8" fillId="0" borderId="32" xfId="1" applyNumberFormat="1" applyFont="1" applyFill="1" applyBorder="1" applyAlignment="1">
      <alignment horizontal="right"/>
    </xf>
    <xf numFmtId="171" fontId="8" fillId="0" borderId="19" xfId="1" applyNumberFormat="1" applyFont="1" applyFill="1" applyBorder="1" applyAlignment="1">
      <alignment horizontal="right"/>
    </xf>
    <xf numFmtId="171" fontId="8" fillId="0" borderId="20" xfId="1" applyNumberFormat="1" applyFont="1" applyFill="1" applyBorder="1" applyAlignment="1"/>
    <xf numFmtId="37" fontId="8" fillId="0" borderId="19" xfId="1" applyNumberFormat="1" applyFont="1" applyFill="1" applyBorder="1" applyAlignment="1">
      <alignment horizontal="right"/>
    </xf>
    <xf numFmtId="171" fontId="8" fillId="0" borderId="33" xfId="1" applyNumberFormat="1" applyFont="1" applyFill="1" applyBorder="1" applyAlignment="1">
      <alignment horizontal="right"/>
    </xf>
    <xf numFmtId="171" fontId="8" fillId="0" borderId="22" xfId="1" applyNumberFormat="1" applyFont="1" applyFill="1" applyBorder="1" applyAlignment="1">
      <alignment horizontal="right"/>
    </xf>
    <xf numFmtId="171" fontId="8" fillId="0" borderId="23" xfId="1" applyNumberFormat="1" applyFont="1" applyFill="1" applyBorder="1" applyAlignment="1"/>
    <xf numFmtId="164" fontId="8" fillId="2" borderId="17" xfId="0" applyNumberFormat="1" applyFont="1" applyFill="1" applyBorder="1" applyAlignment="1">
      <alignment horizontal="centerContinuous"/>
    </xf>
    <xf numFmtId="164" fontId="8" fillId="2" borderId="39" xfId="0" applyNumberFormat="1" applyFont="1" applyFill="1" applyBorder="1" applyAlignment="1">
      <alignment horizontal="left"/>
    </xf>
    <xf numFmtId="164" fontId="8" fillId="2" borderId="24" xfId="0" quotePrefix="1" applyNumberFormat="1" applyFont="1" applyFill="1" applyBorder="1" applyAlignment="1">
      <alignment horizontal="left"/>
    </xf>
    <xf numFmtId="164" fontId="8" fillId="2" borderId="24" xfId="0" applyNumberFormat="1" applyFont="1" applyFill="1" applyBorder="1" applyAlignment="1">
      <alignment horizontal="left"/>
    </xf>
    <xf numFmtId="164" fontId="8" fillId="2" borderId="25" xfId="0" applyNumberFormat="1" applyFont="1" applyFill="1" applyBorder="1" applyAlignment="1">
      <alignment horizontal="right"/>
    </xf>
    <xf numFmtId="164" fontId="8" fillId="2" borderId="34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31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71" fontId="8" fillId="0" borderId="0" xfId="1" applyNumberFormat="1" applyFont="1" applyFill="1" applyBorder="1" applyAlignment="1">
      <alignment horizontal="right"/>
    </xf>
    <xf numFmtId="171" fontId="8" fillId="0" borderId="2" xfId="1" applyNumberFormat="1" applyFont="1" applyFill="1" applyBorder="1" applyAlignment="1">
      <alignment horizontal="right"/>
    </xf>
    <xf numFmtId="0" fontId="3" fillId="0" borderId="1" xfId="0" quotePrefix="1" applyFont="1" applyFill="1" applyBorder="1" applyAlignment="1">
      <alignment horizontal="left"/>
    </xf>
    <xf numFmtId="0" fontId="9" fillId="3" borderId="41" xfId="0" quotePrefix="1" applyFont="1" applyFill="1" applyBorder="1" applyAlignment="1">
      <alignment horizontal="left"/>
    </xf>
    <xf numFmtId="0" fontId="10" fillId="3" borderId="42" xfId="0" applyFont="1" applyFill="1" applyBorder="1"/>
    <xf numFmtId="0" fontId="10" fillId="3" borderId="43" xfId="0" applyFont="1" applyFill="1" applyBorder="1"/>
    <xf numFmtId="0" fontId="9" fillId="3" borderId="4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0" fillId="2" borderId="38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3" fontId="8" fillId="0" borderId="44" xfId="0" applyNumberFormat="1" applyFont="1" applyFill="1" applyBorder="1" applyAlignment="1">
      <alignment horizontal="right"/>
    </xf>
    <xf numFmtId="3" fontId="8" fillId="0" borderId="45" xfId="0" applyNumberFormat="1" applyFont="1" applyFill="1" applyBorder="1" applyAlignment="1">
      <alignment horizontal="right"/>
    </xf>
    <xf numFmtId="3" fontId="8" fillId="0" borderId="40" xfId="0" applyNumberFormat="1" applyFont="1" applyFill="1" applyBorder="1" applyAlignment="1">
      <alignment horizontal="right"/>
    </xf>
    <xf numFmtId="38" fontId="8" fillId="0" borderId="44" xfId="0" applyNumberFormat="1" applyFont="1" applyFill="1" applyBorder="1" applyAlignment="1">
      <alignment horizontal="right"/>
    </xf>
    <xf numFmtId="38" fontId="8" fillId="0" borderId="45" xfId="0" applyNumberFormat="1" applyFont="1" applyFill="1" applyBorder="1" applyAlignment="1">
      <alignment horizontal="right"/>
    </xf>
    <xf numFmtId="38" fontId="8" fillId="0" borderId="40" xfId="0" applyNumberFormat="1" applyFont="1" applyFill="1" applyBorder="1" applyAlignment="1">
      <alignment horizontal="right"/>
    </xf>
    <xf numFmtId="3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2" fontId="8" fillId="4" borderId="0" xfId="0" applyNumberFormat="1" applyFont="1" applyFill="1" applyBorder="1" applyAlignment="1">
      <alignment horizontal="right"/>
    </xf>
    <xf numFmtId="3" fontId="8" fillId="4" borderId="0" xfId="0" applyNumberFormat="1" applyFont="1" applyFill="1" applyBorder="1" applyAlignment="1">
      <alignment horizontal="right"/>
    </xf>
    <xf numFmtId="38" fontId="8" fillId="4" borderId="0" xfId="0" applyNumberFormat="1" applyFont="1" applyFill="1" applyBorder="1" applyAlignment="1">
      <alignment horizontal="right"/>
    </xf>
    <xf numFmtId="3" fontId="8" fillId="4" borderId="4" xfId="0" applyNumberFormat="1" applyFont="1" applyFill="1" applyBorder="1" applyAlignment="1">
      <alignment horizontal="right"/>
    </xf>
    <xf numFmtId="1" fontId="8" fillId="0" borderId="44" xfId="0" applyNumberFormat="1" applyFont="1" applyFill="1" applyBorder="1" applyAlignment="1">
      <alignment horizontal="right"/>
    </xf>
    <xf numFmtId="1" fontId="8" fillId="0" borderId="40" xfId="0" applyNumberFormat="1" applyFont="1" applyFill="1" applyBorder="1" applyAlignment="1">
      <alignment horizontal="right"/>
    </xf>
    <xf numFmtId="0" fontId="21" fillId="2" borderId="44" xfId="0" applyFont="1" applyFill="1" applyBorder="1" applyAlignment="1">
      <alignment horizontal="right"/>
    </xf>
    <xf numFmtId="0" fontId="22" fillId="2" borderId="44" xfId="0" applyFont="1" applyFill="1" applyBorder="1" applyAlignment="1">
      <alignment horizontal="right"/>
    </xf>
    <xf numFmtId="0" fontId="22" fillId="2" borderId="45" xfId="0" applyFont="1" applyFill="1" applyBorder="1" applyAlignment="1">
      <alignment horizontal="right"/>
    </xf>
    <xf numFmtId="0" fontId="21" fillId="2" borderId="45" xfId="0" applyFont="1" applyFill="1" applyBorder="1" applyAlignment="1">
      <alignment horizontal="right"/>
    </xf>
    <xf numFmtId="0" fontId="23" fillId="2" borderId="45" xfId="0" applyFont="1" applyFill="1" applyBorder="1" applyAlignment="1">
      <alignment horizontal="right"/>
    </xf>
    <xf numFmtId="0" fontId="23" fillId="2" borderId="40" xfId="0" applyFont="1" applyFill="1" applyBorder="1" applyAlignment="1">
      <alignment horizontal="right"/>
    </xf>
    <xf numFmtId="0" fontId="22" fillId="2" borderId="40" xfId="0" applyFont="1" applyFill="1" applyBorder="1" applyAlignment="1">
      <alignment horizontal="right"/>
    </xf>
    <xf numFmtId="0" fontId="24" fillId="2" borderId="44" xfId="0" applyFont="1" applyFill="1" applyBorder="1" applyAlignment="1">
      <alignment horizontal="right"/>
    </xf>
    <xf numFmtId="0" fontId="7" fillId="2" borderId="44" xfId="0" applyFont="1" applyFill="1" applyBorder="1" applyAlignment="1">
      <alignment horizontal="right"/>
    </xf>
    <xf numFmtId="0" fontId="7" fillId="2" borderId="40" xfId="0" applyFont="1" applyFill="1" applyBorder="1" applyAlignment="1">
      <alignment horizontal="right"/>
    </xf>
    <xf numFmtId="0" fontId="8" fillId="2" borderId="45" xfId="0" applyFont="1" applyFill="1" applyBorder="1" applyAlignment="1">
      <alignment horizontal="right"/>
    </xf>
    <xf numFmtId="0" fontId="7" fillId="2" borderId="45" xfId="0" applyFont="1" applyFill="1" applyBorder="1" applyAlignment="1">
      <alignment horizontal="right"/>
    </xf>
    <xf numFmtId="0" fontId="7" fillId="2" borderId="44" xfId="0" quotePrefix="1" applyFont="1" applyFill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2" borderId="42" xfId="0" applyFont="1" applyFill="1" applyBorder="1" applyAlignment="1">
      <alignment horizontal="center"/>
    </xf>
    <xf numFmtId="49" fontId="8" fillId="2" borderId="43" xfId="0" applyNumberFormat="1" applyFont="1" applyFill="1" applyBorder="1" applyAlignment="1">
      <alignment horizontal="center"/>
    </xf>
    <xf numFmtId="49" fontId="8" fillId="2" borderId="42" xfId="0" applyNumberFormat="1" applyFont="1" applyFill="1" applyBorder="1" applyAlignment="1">
      <alignment horizontal="center"/>
    </xf>
    <xf numFmtId="38" fontId="2" fillId="5" borderId="19" xfId="0" applyNumberFormat="1" applyFont="1" applyFill="1" applyBorder="1"/>
    <xf numFmtId="38" fontId="2" fillId="5" borderId="19" xfId="0" applyNumberFormat="1" applyFont="1" applyFill="1" applyBorder="1" applyAlignment="1">
      <alignment horizontal="right"/>
    </xf>
    <xf numFmtId="38" fontId="2" fillId="5" borderId="19" xfId="1" applyNumberFormat="1" applyFont="1" applyFill="1" applyBorder="1" applyAlignment="1">
      <alignment horizontal="right"/>
    </xf>
    <xf numFmtId="38" fontId="2" fillId="5" borderId="20" xfId="1" applyNumberFormat="1" applyFont="1" applyFill="1" applyBorder="1" applyAlignment="1">
      <alignment horizontal="right"/>
    </xf>
    <xf numFmtId="0" fontId="8" fillId="2" borderId="46" xfId="0" applyFont="1" applyFill="1" applyBorder="1" applyAlignment="1">
      <alignment horizontal="center"/>
    </xf>
    <xf numFmtId="0" fontId="23" fillId="2" borderId="46" xfId="0" applyFont="1" applyFill="1" applyBorder="1" applyAlignment="1">
      <alignment horizontal="center"/>
    </xf>
    <xf numFmtId="164" fontId="23" fillId="2" borderId="46" xfId="0" applyNumberFormat="1" applyFont="1" applyFill="1" applyBorder="1" applyAlignment="1">
      <alignment horizontal="centerContinuous"/>
    </xf>
    <xf numFmtId="164" fontId="23" fillId="2" borderId="46" xfId="0" applyNumberFormat="1" applyFont="1" applyFill="1" applyBorder="1" applyAlignment="1">
      <alignment horizontal="center"/>
    </xf>
    <xf numFmtId="164" fontId="23" fillId="2" borderId="47" xfId="0" applyNumberFormat="1" applyFont="1" applyFill="1" applyBorder="1" applyAlignment="1">
      <alignment horizontal="center"/>
    </xf>
    <xf numFmtId="38" fontId="2" fillId="5" borderId="48" xfId="0" applyNumberFormat="1" applyFont="1" applyFill="1" applyBorder="1"/>
    <xf numFmtId="38" fontId="2" fillId="5" borderId="49" xfId="0" applyNumberFormat="1" applyFont="1" applyFill="1" applyBorder="1" applyAlignment="1">
      <alignment horizontal="right"/>
    </xf>
    <xf numFmtId="38" fontId="2" fillId="5" borderId="49" xfId="0" applyNumberFormat="1" applyFont="1" applyFill="1" applyBorder="1"/>
    <xf numFmtId="38" fontId="2" fillId="5" borderId="49" xfId="1" applyNumberFormat="1" applyFont="1" applyFill="1" applyBorder="1" applyAlignment="1">
      <alignment horizontal="right"/>
    </xf>
    <xf numFmtId="38" fontId="2" fillId="5" borderId="50" xfId="1" applyNumberFormat="1" applyFont="1" applyFill="1" applyBorder="1" applyAlignment="1">
      <alignment horizontal="right"/>
    </xf>
    <xf numFmtId="38" fontId="2" fillId="5" borderId="18" xfId="0" applyNumberFormat="1" applyFont="1" applyFill="1" applyBorder="1"/>
    <xf numFmtId="0" fontId="8" fillId="2" borderId="51" xfId="0" applyFont="1" applyFill="1" applyBorder="1" applyAlignment="1">
      <alignment horizontal="center"/>
    </xf>
    <xf numFmtId="38" fontId="2" fillId="5" borderId="52" xfId="0" applyNumberFormat="1" applyFont="1" applyFill="1" applyBorder="1"/>
    <xf numFmtId="38" fontId="2" fillId="5" borderId="53" xfId="0" applyNumberFormat="1" applyFont="1" applyFill="1" applyBorder="1"/>
    <xf numFmtId="38" fontId="2" fillId="5" borderId="53" xfId="1" applyNumberFormat="1" applyFont="1" applyFill="1" applyBorder="1" applyAlignment="1">
      <alignment horizontal="right"/>
    </xf>
    <xf numFmtId="38" fontId="2" fillId="5" borderId="54" xfId="1" applyNumberFormat="1" applyFont="1" applyFill="1" applyBorder="1" applyAlignment="1">
      <alignment horizontal="right"/>
    </xf>
    <xf numFmtId="38" fontId="8" fillId="5" borderId="29" xfId="0" applyNumberFormat="1" applyFont="1" applyFill="1" applyBorder="1"/>
    <xf numFmtId="38" fontId="8" fillId="5" borderId="30" xfId="0" applyNumberFormat="1" applyFont="1" applyFill="1" applyBorder="1"/>
    <xf numFmtId="38" fontId="8" fillId="5" borderId="30" xfId="1" applyNumberFormat="1" applyFont="1" applyFill="1" applyBorder="1" applyAlignment="1">
      <alignment horizontal="right"/>
    </xf>
    <xf numFmtId="38" fontId="8" fillId="5" borderId="31" xfId="1" applyNumberFormat="1" applyFont="1" applyFill="1" applyBorder="1" applyAlignment="1">
      <alignment horizontal="right"/>
    </xf>
    <xf numFmtId="0" fontId="8" fillId="5" borderId="39" xfId="0" applyFont="1" applyFill="1" applyBorder="1"/>
    <xf numFmtId="0" fontId="8" fillId="5" borderId="55" xfId="0" applyFont="1" applyFill="1" applyBorder="1"/>
    <xf numFmtId="0" fontId="8" fillId="5" borderId="24" xfId="0" applyFont="1" applyFill="1" applyBorder="1"/>
    <xf numFmtId="0" fontId="8" fillId="5" borderId="24" xfId="0" applyFont="1" applyFill="1" applyBorder="1" applyAlignment="1">
      <alignment horizontal="left"/>
    </xf>
    <xf numFmtId="0" fontId="8" fillId="5" borderId="55" xfId="0" applyFont="1" applyFill="1" applyBorder="1" applyAlignment="1">
      <alignment horizontal="left"/>
    </xf>
    <xf numFmtId="0" fontId="8" fillId="5" borderId="24" xfId="0" quotePrefix="1" applyFont="1" applyFill="1" applyBorder="1" applyAlignment="1">
      <alignment horizontal="left"/>
    </xf>
    <xf numFmtId="0" fontId="8" fillId="5" borderId="55" xfId="0" quotePrefix="1" applyFont="1" applyFill="1" applyBorder="1" applyAlignment="1">
      <alignment horizontal="left"/>
    </xf>
    <xf numFmtId="0" fontId="8" fillId="5" borderId="56" xfId="0" applyFont="1" applyFill="1" applyBorder="1"/>
    <xf numFmtId="0" fontId="8" fillId="5" borderId="9" xfId="0" applyFont="1" applyFill="1" applyBorder="1"/>
    <xf numFmtId="0" fontId="8" fillId="5" borderId="17" xfId="0" applyFont="1" applyFill="1" applyBorder="1" applyAlignment="1">
      <alignment horizontal="right"/>
    </xf>
    <xf numFmtId="0" fontId="8" fillId="5" borderId="42" xfId="0" applyFont="1" applyFill="1" applyBorder="1"/>
    <xf numFmtId="38" fontId="2" fillId="6" borderId="19" xfId="0" applyNumberFormat="1" applyFont="1" applyFill="1" applyBorder="1"/>
    <xf numFmtId="38" fontId="2" fillId="6" borderId="19" xfId="1" applyNumberFormat="1" applyFont="1" applyFill="1" applyBorder="1" applyAlignment="1">
      <alignment horizontal="right"/>
    </xf>
    <xf numFmtId="38" fontId="2" fillId="6" borderId="19" xfId="0" applyNumberFormat="1" applyFont="1" applyFill="1" applyBorder="1" applyAlignment="1">
      <alignment horizontal="right"/>
    </xf>
    <xf numFmtId="38" fontId="2" fillId="6" borderId="48" xfId="0" applyNumberFormat="1" applyFont="1" applyFill="1" applyBorder="1"/>
    <xf numFmtId="38" fontId="2" fillId="6" borderId="49" xfId="0" applyNumberFormat="1" applyFont="1" applyFill="1" applyBorder="1"/>
    <xf numFmtId="38" fontId="2" fillId="6" borderId="49" xfId="1" applyNumberFormat="1" applyFont="1" applyFill="1" applyBorder="1" applyAlignment="1">
      <alignment horizontal="right"/>
    </xf>
    <xf numFmtId="38" fontId="2" fillId="6" borderId="50" xfId="1" applyNumberFormat="1" applyFont="1" applyFill="1" applyBorder="1" applyAlignment="1">
      <alignment horizontal="right"/>
    </xf>
    <xf numFmtId="38" fontId="2" fillId="6" borderId="18" xfId="0" applyNumberFormat="1" applyFont="1" applyFill="1" applyBorder="1"/>
    <xf numFmtId="38" fontId="2" fillId="6" borderId="20" xfId="1" applyNumberFormat="1" applyFont="1" applyFill="1" applyBorder="1" applyAlignment="1">
      <alignment horizontal="right"/>
    </xf>
    <xf numFmtId="38" fontId="2" fillId="6" borderId="18" xfId="0" applyNumberFormat="1" applyFont="1" applyFill="1" applyBorder="1" applyAlignment="1">
      <alignment horizontal="right"/>
    </xf>
    <xf numFmtId="38" fontId="2" fillId="6" borderId="52" xfId="0" applyNumberFormat="1" applyFont="1" applyFill="1" applyBorder="1"/>
    <xf numFmtId="38" fontId="2" fillId="6" borderId="53" xfId="0" applyNumberFormat="1" applyFont="1" applyFill="1" applyBorder="1"/>
    <xf numFmtId="38" fontId="2" fillId="6" borderId="53" xfId="1" applyNumberFormat="1" applyFont="1" applyFill="1" applyBorder="1" applyAlignment="1">
      <alignment horizontal="right"/>
    </xf>
    <xf numFmtId="38" fontId="2" fillId="6" borderId="54" xfId="1" applyNumberFormat="1" applyFont="1" applyFill="1" applyBorder="1" applyAlignment="1">
      <alignment horizontal="right"/>
    </xf>
    <xf numFmtId="38" fontId="8" fillId="6" borderId="29" xfId="0" applyNumberFormat="1" applyFont="1" applyFill="1" applyBorder="1"/>
    <xf numFmtId="38" fontId="8" fillId="6" borderId="30" xfId="0" applyNumberFormat="1" applyFont="1" applyFill="1" applyBorder="1"/>
    <xf numFmtId="38" fontId="8" fillId="6" borderId="30" xfId="1" applyNumberFormat="1" applyFont="1" applyFill="1" applyBorder="1" applyAlignment="1">
      <alignment horizontal="right"/>
    </xf>
    <xf numFmtId="38" fontId="8" fillId="6" borderId="31" xfId="1" applyNumberFormat="1" applyFont="1" applyFill="1" applyBorder="1" applyAlignment="1">
      <alignment horizontal="right"/>
    </xf>
    <xf numFmtId="0" fontId="8" fillId="6" borderId="57" xfId="0" applyFont="1" applyFill="1" applyBorder="1"/>
    <xf numFmtId="0" fontId="8" fillId="7" borderId="55" xfId="0" applyFont="1" applyFill="1" applyBorder="1"/>
    <xf numFmtId="0" fontId="8" fillId="6" borderId="24" xfId="0" applyFont="1" applyFill="1" applyBorder="1"/>
    <xf numFmtId="0" fontId="8" fillId="6" borderId="24" xfId="0" applyFont="1" applyFill="1" applyBorder="1" applyAlignment="1">
      <alignment horizontal="left"/>
    </xf>
    <xf numFmtId="0" fontId="8" fillId="7" borderId="55" xfId="0" applyFont="1" applyFill="1" applyBorder="1" applyAlignment="1">
      <alignment horizontal="left"/>
    </xf>
    <xf numFmtId="0" fontId="8" fillId="8" borderId="55" xfId="0" applyFont="1" applyFill="1" applyBorder="1"/>
    <xf numFmtId="0" fontId="8" fillId="6" borderId="56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left"/>
    </xf>
    <xf numFmtId="0" fontId="8" fillId="6" borderId="17" xfId="0" applyFont="1" applyFill="1" applyBorder="1" applyAlignment="1">
      <alignment horizontal="right"/>
    </xf>
    <xf numFmtId="0" fontId="8" fillId="7" borderId="42" xfId="0" applyFont="1" applyFill="1" applyBorder="1" applyAlignment="1">
      <alignment horizontal="left"/>
    </xf>
    <xf numFmtId="38" fontId="2" fillId="9" borderId="19" xfId="0" applyNumberFormat="1" applyFont="1" applyFill="1" applyBorder="1"/>
    <xf numFmtId="38" fontId="2" fillId="9" borderId="19" xfId="1" applyNumberFormat="1" applyFont="1" applyFill="1" applyBorder="1" applyAlignment="1">
      <alignment horizontal="right"/>
    </xf>
    <xf numFmtId="38" fontId="2" fillId="10" borderId="19" xfId="0" applyNumberFormat="1" applyFont="1" applyFill="1" applyBorder="1"/>
    <xf numFmtId="38" fontId="2" fillId="10" borderId="19" xfId="1" applyNumberFormat="1" applyFont="1" applyFill="1" applyBorder="1" applyAlignment="1">
      <alignment horizontal="right"/>
    </xf>
    <xf numFmtId="0" fontId="8" fillId="7" borderId="32" xfId="0" applyFont="1" applyFill="1" applyBorder="1"/>
    <xf numFmtId="0" fontId="8" fillId="9" borderId="57" xfId="0" applyFont="1" applyFill="1" applyBorder="1"/>
    <xf numFmtId="0" fontId="8" fillId="9" borderId="24" xfId="0" applyFont="1" applyFill="1" applyBorder="1"/>
    <xf numFmtId="38" fontId="2" fillId="9" borderId="48" xfId="0" applyNumberFormat="1" applyFont="1" applyFill="1" applyBorder="1"/>
    <xf numFmtId="38" fontId="2" fillId="9" borderId="49" xfId="0" applyNumberFormat="1" applyFont="1" applyFill="1" applyBorder="1"/>
    <xf numFmtId="38" fontId="2" fillId="9" borderId="49" xfId="1" applyNumberFormat="1" applyFont="1" applyFill="1" applyBorder="1" applyAlignment="1">
      <alignment horizontal="right"/>
    </xf>
    <xf numFmtId="38" fontId="2" fillId="9" borderId="50" xfId="1" applyNumberFormat="1" applyFont="1" applyFill="1" applyBorder="1" applyAlignment="1">
      <alignment horizontal="right"/>
    </xf>
    <xf numFmtId="38" fontId="2" fillId="9" borderId="18" xfId="0" applyNumberFormat="1" applyFont="1" applyFill="1" applyBorder="1"/>
    <xf numFmtId="38" fontId="2" fillId="9" borderId="20" xfId="1" applyNumberFormat="1" applyFont="1" applyFill="1" applyBorder="1" applyAlignment="1">
      <alignment horizontal="right"/>
    </xf>
    <xf numFmtId="0" fontId="8" fillId="9" borderId="56" xfId="0" applyFont="1" applyFill="1" applyBorder="1"/>
    <xf numFmtId="0" fontId="8" fillId="7" borderId="9" xfId="0" applyFont="1" applyFill="1" applyBorder="1"/>
    <xf numFmtId="38" fontId="2" fillId="9" borderId="52" xfId="0" applyNumberFormat="1" applyFont="1" applyFill="1" applyBorder="1"/>
    <xf numFmtId="38" fontId="2" fillId="9" borderId="53" xfId="0" applyNumberFormat="1" applyFont="1" applyFill="1" applyBorder="1"/>
    <xf numFmtId="38" fontId="2" fillId="9" borderId="53" xfId="1" applyNumberFormat="1" applyFont="1" applyFill="1" applyBorder="1" applyAlignment="1">
      <alignment horizontal="right"/>
    </xf>
    <xf numFmtId="38" fontId="2" fillId="9" borderId="54" xfId="1" applyNumberFormat="1" applyFont="1" applyFill="1" applyBorder="1" applyAlignment="1">
      <alignment horizontal="right"/>
    </xf>
    <xf numFmtId="0" fontId="8" fillId="9" borderId="17" xfId="0" applyFont="1" applyFill="1" applyBorder="1" applyAlignment="1">
      <alignment horizontal="right"/>
    </xf>
    <xf numFmtId="0" fontId="8" fillId="7" borderId="42" xfId="0" applyFont="1" applyFill="1" applyBorder="1"/>
    <xf numFmtId="38" fontId="8" fillId="9" borderId="29" xfId="0" applyNumberFormat="1" applyFont="1" applyFill="1" applyBorder="1"/>
    <xf numFmtId="38" fontId="8" fillId="9" borderId="30" xfId="0" applyNumberFormat="1" applyFont="1" applyFill="1" applyBorder="1"/>
    <xf numFmtId="38" fontId="8" fillId="9" borderId="30" xfId="1" applyNumberFormat="1" applyFont="1" applyFill="1" applyBorder="1" applyAlignment="1">
      <alignment horizontal="right"/>
    </xf>
    <xf numFmtId="38" fontId="8" fillId="9" borderId="31" xfId="1" applyNumberFormat="1" applyFont="1" applyFill="1" applyBorder="1" applyAlignment="1">
      <alignment horizontal="right"/>
    </xf>
    <xf numFmtId="38" fontId="8" fillId="10" borderId="30" xfId="0" applyNumberFormat="1" applyFont="1" applyFill="1" applyBorder="1"/>
    <xf numFmtId="38" fontId="8" fillId="10" borderId="30" xfId="1" applyNumberFormat="1" applyFont="1" applyFill="1" applyBorder="1" applyAlignment="1">
      <alignment horizontal="right"/>
    </xf>
    <xf numFmtId="38" fontId="8" fillId="10" borderId="31" xfId="1" applyNumberFormat="1" applyFont="1" applyFill="1" applyBorder="1" applyAlignment="1">
      <alignment horizontal="right"/>
    </xf>
    <xf numFmtId="38" fontId="2" fillId="10" borderId="49" xfId="0" applyNumberFormat="1" applyFont="1" applyFill="1" applyBorder="1"/>
    <xf numFmtId="38" fontId="2" fillId="10" borderId="49" xfId="1" applyNumberFormat="1" applyFont="1" applyFill="1" applyBorder="1" applyAlignment="1">
      <alignment horizontal="right"/>
    </xf>
    <xf numFmtId="38" fontId="2" fillId="10" borderId="50" xfId="1" applyNumberFormat="1" applyFont="1" applyFill="1" applyBorder="1" applyAlignment="1">
      <alignment horizontal="right"/>
    </xf>
    <xf numFmtId="38" fontId="2" fillId="10" borderId="20" xfId="1" applyNumberFormat="1" applyFont="1" applyFill="1" applyBorder="1" applyAlignment="1">
      <alignment horizontal="right"/>
    </xf>
    <xf numFmtId="38" fontId="2" fillId="10" borderId="22" xfId="0" applyNumberFormat="1" applyFont="1" applyFill="1" applyBorder="1"/>
    <xf numFmtId="38" fontId="2" fillId="10" borderId="22" xfId="1" applyNumberFormat="1" applyFont="1" applyFill="1" applyBorder="1" applyAlignment="1">
      <alignment horizontal="right"/>
    </xf>
    <xf numFmtId="38" fontId="2" fillId="10" borderId="23" xfId="1" applyNumberFormat="1" applyFont="1" applyFill="1" applyBorder="1" applyAlignment="1">
      <alignment horizontal="right"/>
    </xf>
    <xf numFmtId="0" fontId="8" fillId="8" borderId="51" xfId="0" applyFont="1" applyFill="1" applyBorder="1"/>
    <xf numFmtId="0" fontId="8" fillId="8" borderId="33" xfId="0" applyFont="1" applyFill="1" applyBorder="1"/>
    <xf numFmtId="0" fontId="8" fillId="8" borderId="34" xfId="0" applyFont="1" applyFill="1" applyBorder="1"/>
    <xf numFmtId="0" fontId="8" fillId="10" borderId="57" xfId="0" applyFont="1" applyFill="1" applyBorder="1"/>
    <xf numFmtId="0" fontId="8" fillId="10" borderId="24" xfId="0" applyFont="1" applyFill="1" applyBorder="1"/>
    <xf numFmtId="0" fontId="8" fillId="10" borderId="25" xfId="0" applyFont="1" applyFill="1" applyBorder="1"/>
    <xf numFmtId="0" fontId="8" fillId="10" borderId="17" xfId="0" applyFont="1" applyFill="1" applyBorder="1" applyAlignment="1">
      <alignment horizontal="right"/>
    </xf>
    <xf numFmtId="3" fontId="2" fillId="5" borderId="19" xfId="0" applyNumberFormat="1" applyFont="1" applyFill="1" applyBorder="1" applyAlignment="1">
      <alignment horizontal="right"/>
    </xf>
    <xf numFmtId="3" fontId="2" fillId="6" borderId="19" xfId="0" applyNumberFormat="1" applyFont="1" applyFill="1" applyBorder="1" applyAlignment="1">
      <alignment horizontal="right"/>
    </xf>
    <xf numFmtId="3" fontId="2" fillId="6" borderId="19" xfId="1" applyNumberFormat="1" applyFont="1" applyFill="1" applyBorder="1" applyAlignment="1">
      <alignment horizontal="right"/>
    </xf>
    <xf numFmtId="3" fontId="2" fillId="5" borderId="19" xfId="1" applyNumberFormat="1" applyFont="1" applyFill="1" applyBorder="1" applyAlignment="1">
      <alignment horizontal="right"/>
    </xf>
    <xf numFmtId="3" fontId="2" fillId="6" borderId="19" xfId="0" quotePrefix="1" applyNumberFormat="1" applyFont="1" applyFill="1" applyBorder="1" applyAlignment="1">
      <alignment horizontal="right"/>
    </xf>
    <xf numFmtId="3" fontId="2" fillId="5" borderId="19" xfId="0" quotePrefix="1" applyNumberFormat="1" applyFont="1" applyFill="1" applyBorder="1" applyAlignment="1">
      <alignment horizontal="right"/>
    </xf>
    <xf numFmtId="3" fontId="2" fillId="9" borderId="19" xfId="0" quotePrefix="1" applyNumberFormat="1" applyFont="1" applyFill="1" applyBorder="1" applyAlignment="1">
      <alignment horizontal="right"/>
    </xf>
    <xf numFmtId="3" fontId="2" fillId="9" borderId="19" xfId="0" applyNumberFormat="1" applyFont="1" applyFill="1" applyBorder="1" applyAlignment="1">
      <alignment horizontal="right"/>
    </xf>
    <xf numFmtId="3" fontId="2" fillId="9" borderId="19" xfId="1" applyNumberFormat="1" applyFont="1" applyFill="1" applyBorder="1" applyAlignment="1">
      <alignment horizontal="right"/>
    </xf>
    <xf numFmtId="3" fontId="2" fillId="5" borderId="27" xfId="0" applyNumberFormat="1" applyFont="1" applyFill="1" applyBorder="1" applyAlignment="1">
      <alignment horizontal="right"/>
    </xf>
    <xf numFmtId="38" fontId="2" fillId="5" borderId="27" xfId="1" applyNumberFormat="1" applyFont="1" applyFill="1" applyBorder="1" applyAlignment="1">
      <alignment horizontal="right"/>
    </xf>
    <xf numFmtId="3" fontId="2" fillId="6" borderId="53" xfId="0" applyNumberFormat="1" applyFont="1" applyFill="1" applyBorder="1" applyAlignment="1">
      <alignment horizontal="right"/>
    </xf>
    <xf numFmtId="3" fontId="2" fillId="6" borderId="53" xfId="1" applyNumberFormat="1" applyFont="1" applyFill="1" applyBorder="1" applyAlignment="1">
      <alignment horizontal="right"/>
    </xf>
    <xf numFmtId="40" fontId="2" fillId="5" borderId="28" xfId="1" applyNumberFormat="1" applyFont="1" applyFill="1" applyBorder="1" applyAlignment="1">
      <alignment horizontal="center"/>
    </xf>
    <xf numFmtId="40" fontId="2" fillId="6" borderId="20" xfId="1" applyNumberFormat="1" applyFont="1" applyFill="1" applyBorder="1" applyAlignment="1">
      <alignment horizontal="center"/>
    </xf>
    <xf numFmtId="40" fontId="2" fillId="5" borderId="20" xfId="1" applyNumberFormat="1" applyFont="1" applyFill="1" applyBorder="1" applyAlignment="1">
      <alignment horizontal="center"/>
    </xf>
    <xf numFmtId="40" fontId="2" fillId="9" borderId="20" xfId="1" applyNumberFormat="1" applyFont="1" applyFill="1" applyBorder="1" applyAlignment="1">
      <alignment horizontal="center"/>
    </xf>
    <xf numFmtId="40" fontId="2" fillId="6" borderId="54" xfId="1" applyNumberFormat="1" applyFont="1" applyFill="1" applyBorder="1" applyAlignment="1">
      <alignment horizontal="center"/>
    </xf>
    <xf numFmtId="0" fontId="9" fillId="3" borderId="42" xfId="0" quotePrefix="1" applyFont="1" applyFill="1" applyBorder="1" applyAlignment="1">
      <alignment horizontal="left"/>
    </xf>
    <xf numFmtId="0" fontId="9" fillId="3" borderId="37" xfId="0" quotePrefix="1" applyFont="1" applyFill="1" applyBorder="1" applyAlignment="1">
      <alignment horizontal="left"/>
    </xf>
    <xf numFmtId="164" fontId="23" fillId="2" borderId="30" xfId="0" applyNumberFormat="1" applyFont="1" applyFill="1" applyBorder="1" applyAlignment="1">
      <alignment horizontal="center"/>
    </xf>
    <xf numFmtId="0" fontId="23" fillId="2" borderId="30" xfId="0" applyFont="1" applyFill="1" applyBorder="1" applyAlignment="1">
      <alignment horizontal="center"/>
    </xf>
    <xf numFmtId="164" fontId="23" fillId="2" borderId="30" xfId="0" applyNumberFormat="1" applyFont="1" applyFill="1" applyBorder="1" applyAlignment="1">
      <alignment horizontal="centerContinuous"/>
    </xf>
    <xf numFmtId="0" fontId="23" fillId="2" borderId="30" xfId="0" quotePrefix="1" applyFont="1" applyFill="1" applyBorder="1" applyAlignment="1">
      <alignment horizontal="center"/>
    </xf>
    <xf numFmtId="164" fontId="23" fillId="2" borderId="31" xfId="0" applyNumberFormat="1" applyFont="1" applyFill="1" applyBorder="1" applyAlignment="1">
      <alignment horizontal="center"/>
    </xf>
    <xf numFmtId="0" fontId="8" fillId="5" borderId="15" xfId="0" applyFont="1" applyFill="1" applyBorder="1"/>
    <xf numFmtId="0" fontId="8" fillId="6" borderId="32" xfId="0" applyFont="1" applyFill="1" applyBorder="1"/>
    <xf numFmtId="0" fontId="8" fillId="5" borderId="32" xfId="0" applyFont="1" applyFill="1" applyBorder="1"/>
    <xf numFmtId="0" fontId="8" fillId="9" borderId="32" xfId="0" applyFont="1" applyFill="1" applyBorder="1"/>
    <xf numFmtId="0" fontId="8" fillId="6" borderId="56" xfId="0" applyFont="1" applyFill="1" applyBorder="1"/>
    <xf numFmtId="0" fontId="8" fillId="6" borderId="10" xfId="0" applyFont="1" applyFill="1" applyBorder="1"/>
    <xf numFmtId="0" fontId="25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25" fillId="0" borderId="0" xfId="0" applyFont="1" applyBorder="1"/>
    <xf numFmtId="0" fontId="10" fillId="0" borderId="0" xfId="0" applyFont="1" applyBorder="1"/>
    <xf numFmtId="38" fontId="2" fillId="2" borderId="19" xfId="0" applyNumberFormat="1" applyFont="1" applyFill="1" applyBorder="1"/>
    <xf numFmtId="0" fontId="8" fillId="0" borderId="17" xfId="0" applyFont="1" applyFill="1" applyBorder="1" applyAlignment="1">
      <alignment horizontal="right"/>
    </xf>
    <xf numFmtId="0" fontId="8" fillId="0" borderId="34" xfId="0" applyFont="1" applyFill="1" applyBorder="1"/>
    <xf numFmtId="38" fontId="8" fillId="0" borderId="30" xfId="0" applyNumberFormat="1" applyFont="1" applyFill="1" applyBorder="1"/>
    <xf numFmtId="38" fontId="8" fillId="0" borderId="30" xfId="1" applyNumberFormat="1" applyFont="1" applyFill="1" applyBorder="1" applyAlignment="1">
      <alignment horizontal="right"/>
    </xf>
    <xf numFmtId="38" fontId="8" fillId="0" borderId="31" xfId="1" applyNumberFormat="1" applyFont="1" applyFill="1" applyBorder="1" applyAlignment="1">
      <alignment horizontal="right"/>
    </xf>
    <xf numFmtId="0" fontId="8" fillId="0" borderId="17" xfId="0" applyFont="1" applyFill="1" applyBorder="1"/>
    <xf numFmtId="3" fontId="2" fillId="0" borderId="30" xfId="1" applyNumberFormat="1" applyFont="1" applyFill="1" applyBorder="1" applyAlignment="1">
      <alignment horizontal="right"/>
    </xf>
    <xf numFmtId="38" fontId="2" fillId="0" borderId="30" xfId="1" applyNumberFormat="1" applyFont="1" applyFill="1" applyBorder="1" applyAlignment="1">
      <alignment horizontal="right"/>
    </xf>
    <xf numFmtId="37" fontId="2" fillId="0" borderId="31" xfId="1" applyNumberFormat="1" applyFont="1" applyFill="1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9" fontId="8" fillId="0" borderId="3" xfId="2" applyFont="1" applyFill="1" applyBorder="1" applyAlignment="1">
      <alignment horizontal="center"/>
    </xf>
    <xf numFmtId="189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3" fontId="8" fillId="0" borderId="42" xfId="0" applyNumberFormat="1" applyFont="1" applyBorder="1" applyAlignment="1">
      <alignment horizontal="center"/>
    </xf>
    <xf numFmtId="0" fontId="28" fillId="0" borderId="0" xfId="0" applyFont="1"/>
    <xf numFmtId="0" fontId="17" fillId="0" borderId="1" xfId="0" applyFont="1" applyBorder="1" applyAlignment="1">
      <alignment horizontal="center"/>
    </xf>
    <xf numFmtId="0" fontId="18" fillId="0" borderId="1" xfId="0" applyFont="1" applyFill="1" applyBorder="1" applyAlignment="1"/>
    <xf numFmtId="49" fontId="18" fillId="0" borderId="21" xfId="0" applyNumberFormat="1" applyFont="1" applyFill="1" applyBorder="1" applyAlignment="1">
      <alignment horizontal="center"/>
    </xf>
    <xf numFmtId="49" fontId="18" fillId="0" borderId="22" xfId="0" applyNumberFormat="1" applyFont="1" applyFill="1" applyBorder="1" applyAlignment="1">
      <alignment horizontal="center"/>
    </xf>
    <xf numFmtId="49" fontId="18" fillId="0" borderId="23" xfId="0" applyNumberFormat="1" applyFont="1" applyFill="1" applyBorder="1" applyAlignment="1">
      <alignment horizontal="center"/>
    </xf>
    <xf numFmtId="0" fontId="18" fillId="0" borderId="36" xfId="0" applyFont="1" applyFill="1" applyBorder="1" applyAlignment="1">
      <alignment horizontal="center"/>
    </xf>
    <xf numFmtId="9" fontId="17" fillId="0" borderId="1" xfId="2" applyNumberFormat="1" applyFont="1" applyFill="1" applyBorder="1" applyAlignment="1">
      <alignment horizontal="center"/>
    </xf>
    <xf numFmtId="9" fontId="17" fillId="0" borderId="0" xfId="2" applyNumberFormat="1" applyFont="1" applyFill="1" applyBorder="1" applyAlignment="1">
      <alignment horizontal="center"/>
    </xf>
    <xf numFmtId="9" fontId="17" fillId="0" borderId="4" xfId="2" applyNumberFormat="1" applyFont="1" applyBorder="1" applyAlignment="1">
      <alignment horizontal="center"/>
    </xf>
    <xf numFmtId="9" fontId="17" fillId="0" borderId="0" xfId="2" applyNumberFormat="1" applyFont="1" applyBorder="1" applyAlignment="1">
      <alignment horizontal="center"/>
    </xf>
    <xf numFmtId="9" fontId="17" fillId="0" borderId="1" xfId="2" applyNumberFormat="1" applyFont="1" applyBorder="1" applyAlignment="1">
      <alignment horizontal="center"/>
    </xf>
    <xf numFmtId="0" fontId="17" fillId="0" borderId="1" xfId="2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9" fontId="17" fillId="0" borderId="16" xfId="2" applyNumberFormat="1" applyFont="1" applyFill="1" applyBorder="1" applyAlignment="1">
      <alignment horizontal="center"/>
    </xf>
    <xf numFmtId="9" fontId="17" fillId="0" borderId="2" xfId="2" applyNumberFormat="1" applyFont="1" applyFill="1" applyBorder="1" applyAlignment="1">
      <alignment horizontal="center"/>
    </xf>
    <xf numFmtId="9" fontId="17" fillId="0" borderId="3" xfId="2" applyNumberFormat="1" applyFont="1" applyBorder="1" applyAlignment="1">
      <alignment horizontal="center"/>
    </xf>
    <xf numFmtId="9" fontId="17" fillId="0" borderId="2" xfId="2" applyNumberFormat="1" applyFont="1" applyBorder="1" applyAlignment="1">
      <alignment horizontal="center"/>
    </xf>
    <xf numFmtId="0" fontId="17" fillId="0" borderId="16" xfId="2" applyNumberFormat="1" applyFont="1" applyFill="1" applyBorder="1" applyAlignment="1">
      <alignment horizontal="center"/>
    </xf>
    <xf numFmtId="0" fontId="17" fillId="0" borderId="0" xfId="0" applyFont="1" applyBorder="1" applyAlignment="1"/>
    <xf numFmtId="9" fontId="17" fillId="0" borderId="1" xfId="2" applyFont="1" applyFill="1" applyBorder="1" applyAlignment="1">
      <alignment horizontal="center"/>
    </xf>
    <xf numFmtId="9" fontId="17" fillId="0" borderId="16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27" fillId="3" borderId="42" xfId="0" applyFont="1" applyFill="1" applyBorder="1"/>
    <xf numFmtId="0" fontId="0" fillId="0" borderId="0" xfId="0" applyBorder="1" applyAlignment="1"/>
    <xf numFmtId="0" fontId="0" fillId="0" borderId="0" xfId="0" applyAlignment="1"/>
    <xf numFmtId="0" fontId="10" fillId="3" borderId="42" xfId="0" applyFont="1" applyFill="1" applyBorder="1" applyAlignment="1"/>
    <xf numFmtId="0" fontId="10" fillId="3" borderId="43" xfId="0" applyFont="1" applyFill="1" applyBorder="1" applyAlignment="1"/>
    <xf numFmtId="0" fontId="10" fillId="3" borderId="37" xfId="0" applyFont="1" applyFill="1" applyBorder="1" applyAlignment="1"/>
    <xf numFmtId="0" fontId="10" fillId="3" borderId="38" xfId="0" applyFont="1" applyFill="1" applyBorder="1" applyAlignment="1"/>
    <xf numFmtId="0" fontId="0" fillId="3" borderId="59" xfId="0" applyFill="1" applyBorder="1" applyAlignment="1"/>
    <xf numFmtId="0" fontId="0" fillId="3" borderId="60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0" xfId="0" applyFont="1" applyAlignment="1"/>
    <xf numFmtId="0" fontId="8" fillId="2" borderId="36" xfId="0" applyFont="1" applyFill="1" applyBorder="1" applyAlignment="1"/>
    <xf numFmtId="0" fontId="2" fillId="0" borderId="61" xfId="0" applyFont="1" applyBorder="1" applyAlignment="1"/>
    <xf numFmtId="0" fontId="2" fillId="0" borderId="9" xfId="0" applyFont="1" applyBorder="1" applyAlignment="1"/>
    <xf numFmtId="0" fontId="2" fillId="0" borderId="62" xfId="0" applyFont="1" applyBorder="1" applyAlignment="1"/>
    <xf numFmtId="0" fontId="2" fillId="2" borderId="16" xfId="0" applyFont="1" applyFill="1" applyBorder="1" applyAlignment="1"/>
    <xf numFmtId="0" fontId="7" fillId="2" borderId="3" xfId="0" applyFont="1" applyFill="1" applyBorder="1" applyAlignment="1"/>
    <xf numFmtId="0" fontId="8" fillId="0" borderId="1" xfId="0" applyFont="1" applyFill="1" applyBorder="1" applyAlignment="1"/>
    <xf numFmtId="0" fontId="7" fillId="0" borderId="0" xfId="0" applyFont="1" applyFill="1" applyBorder="1" applyAlignment="1"/>
    <xf numFmtId="0" fontId="2" fillId="0" borderId="0" xfId="0" applyFont="1" applyBorder="1" applyAlignment="1"/>
    <xf numFmtId="0" fontId="2" fillId="0" borderId="4" xfId="0" applyFont="1" applyBorder="1" applyAlignment="1"/>
    <xf numFmtId="0" fontId="8" fillId="2" borderId="17" xfId="0" applyFont="1" applyFill="1" applyBorder="1" applyAlignment="1"/>
    <xf numFmtId="0" fontId="8" fillId="2" borderId="57" xfId="0" applyFont="1" applyFill="1" applyBorder="1" applyAlignment="1"/>
    <xf numFmtId="0" fontId="8" fillId="2" borderId="45" xfId="0" applyFont="1" applyFill="1" applyBorder="1" applyAlignment="1"/>
    <xf numFmtId="0" fontId="8" fillId="2" borderId="24" xfId="0" applyFont="1" applyFill="1" applyBorder="1" applyAlignment="1"/>
    <xf numFmtId="0" fontId="23" fillId="2" borderId="45" xfId="0" applyFont="1" applyFill="1" applyBorder="1" applyAlignment="1"/>
    <xf numFmtId="0" fontId="8" fillId="2" borderId="40" xfId="0" applyFont="1" applyFill="1" applyBorder="1" applyAlignment="1"/>
    <xf numFmtId="0" fontId="8" fillId="2" borderId="39" xfId="0" applyFont="1" applyFill="1" applyBorder="1" applyAlignment="1"/>
    <xf numFmtId="164" fontId="2" fillId="0" borderId="0" xfId="0" applyNumberFormat="1" applyFont="1" applyAlignment="1"/>
    <xf numFmtId="0" fontId="7" fillId="0" borderId="0" xfId="0" applyFont="1" applyBorder="1" applyAlignment="1"/>
    <xf numFmtId="0" fontId="10" fillId="3" borderId="59" xfId="0" applyFont="1" applyFill="1" applyBorder="1" applyAlignment="1"/>
    <xf numFmtId="0" fontId="10" fillId="3" borderId="60" xfId="0" applyFont="1" applyFill="1" applyBorder="1" applyAlignment="1"/>
    <xf numFmtId="0" fontId="2" fillId="0" borderId="2" xfId="0" applyFont="1" applyBorder="1" applyAlignment="1"/>
    <xf numFmtId="0" fontId="2" fillId="0" borderId="1" xfId="0" applyFont="1" applyBorder="1" applyAlignment="1"/>
    <xf numFmtId="1" fontId="8" fillId="2" borderId="35" xfId="0" applyNumberFormat="1" applyFont="1" applyFill="1" applyBorder="1" applyAlignment="1"/>
    <xf numFmtId="3" fontId="8" fillId="0" borderId="57" xfId="0" applyNumberFormat="1" applyFont="1" applyFill="1" applyBorder="1" applyAlignment="1"/>
    <xf numFmtId="0" fontId="8" fillId="0" borderId="4" xfId="0" applyFont="1" applyBorder="1" applyAlignment="1"/>
    <xf numFmtId="1" fontId="8" fillId="2" borderId="63" xfId="0" applyNumberFormat="1" applyFont="1" applyFill="1" applyBorder="1" applyAlignment="1"/>
    <xf numFmtId="3" fontId="8" fillId="0" borderId="24" xfId="0" applyNumberFormat="1" applyFont="1" applyFill="1" applyBorder="1" applyAlignment="1"/>
    <xf numFmtId="3" fontId="8" fillId="0" borderId="25" xfId="0" applyNumberFormat="1" applyFont="1" applyFill="1" applyBorder="1" applyAlignment="1"/>
    <xf numFmtId="0" fontId="2" fillId="0" borderId="3" xfId="0" applyFont="1" applyBorder="1" applyAlignment="1"/>
    <xf numFmtId="0" fontId="19" fillId="0" borderId="0" xfId="0" applyFont="1" applyAlignment="1"/>
    <xf numFmtId="0" fontId="2" fillId="0" borderId="43" xfId="0" applyFont="1" applyBorder="1" applyAlignment="1"/>
    <xf numFmtId="0" fontId="0" fillId="3" borderId="42" xfId="0" applyFill="1" applyBorder="1" applyAlignment="1"/>
    <xf numFmtId="0" fontId="0" fillId="3" borderId="43" xfId="0" applyFill="1" applyBorder="1" applyAlignment="1"/>
    <xf numFmtId="0" fontId="16" fillId="0" borderId="2" xfId="0" applyFont="1" applyBorder="1" applyAlignment="1"/>
    <xf numFmtId="0" fontId="0" fillId="0" borderId="3" xfId="0" applyBorder="1" applyAlignment="1"/>
    <xf numFmtId="4" fontId="8" fillId="0" borderId="4" xfId="0" applyNumberFormat="1" applyFont="1" applyFill="1" applyBorder="1" applyAlignment="1"/>
    <xf numFmtId="4" fontId="8" fillId="0" borderId="0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2" fontId="2" fillId="0" borderId="0" xfId="0" applyNumberFormat="1" applyFont="1" applyAlignment="1"/>
    <xf numFmtId="0" fontId="2" fillId="0" borderId="16" xfId="0" applyFont="1" applyBorder="1" applyAlignment="1"/>
    <xf numFmtId="49" fontId="8" fillId="2" borderId="17" xfId="0" applyNumberFormat="1" applyFont="1" applyFill="1" applyBorder="1" applyAlignment="1">
      <alignment horizontal="center"/>
    </xf>
    <xf numFmtId="9" fontId="8" fillId="0" borderId="45" xfId="2" applyFont="1" applyFill="1" applyBorder="1" applyAlignment="1">
      <alignment horizontal="center"/>
    </xf>
    <xf numFmtId="9" fontId="8" fillId="0" borderId="40" xfId="2" applyFont="1" applyFill="1" applyBorder="1" applyAlignment="1">
      <alignment horizontal="center"/>
    </xf>
    <xf numFmtId="0" fontId="2" fillId="0" borderId="37" xfId="0" applyFont="1" applyBorder="1" applyAlignment="1"/>
    <xf numFmtId="171" fontId="0" fillId="0" borderId="0" xfId="1" applyNumberFormat="1" applyFont="1"/>
    <xf numFmtId="189" fontId="9" fillId="0" borderId="0" xfId="2" applyNumberFormat="1" applyFont="1" applyAlignment="1">
      <alignment horizontal="lef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8" fillId="0" borderId="36" xfId="0" applyFont="1" applyBorder="1" applyAlignment="1">
      <alignment horizontal="left"/>
    </xf>
    <xf numFmtId="0" fontId="2" fillId="0" borderId="38" xfId="0" applyFont="1" applyBorder="1" applyAlignment="1"/>
    <xf numFmtId="9" fontId="8" fillId="0" borderId="0" xfId="2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0" fontId="8" fillId="0" borderId="16" xfId="0" applyFont="1" applyFill="1" applyBorder="1" applyAlignment="1"/>
    <xf numFmtId="0" fontId="8" fillId="0" borderId="4" xfId="0" applyFont="1" applyFill="1" applyBorder="1" applyAlignment="1">
      <alignment horizontal="center"/>
    </xf>
    <xf numFmtId="49" fontId="18" fillId="0" borderId="64" xfId="0" applyNumberFormat="1" applyFont="1" applyFill="1" applyBorder="1" applyAlignment="1">
      <alignment horizontal="center"/>
    </xf>
    <xf numFmtId="171" fontId="8" fillId="0" borderId="4" xfId="1" applyNumberFormat="1" applyFont="1" applyFill="1" applyBorder="1" applyAlignment="1">
      <alignment horizontal="center"/>
    </xf>
    <xf numFmtId="189" fontId="8" fillId="0" borderId="42" xfId="2" applyNumberFormat="1" applyFont="1" applyBorder="1" applyAlignment="1">
      <alignment horizontal="center"/>
    </xf>
    <xf numFmtId="189" fontId="8" fillId="0" borderId="4" xfId="2" applyNumberFormat="1" applyFont="1" applyFill="1" applyBorder="1" applyAlignment="1">
      <alignment horizontal="center"/>
    </xf>
    <xf numFmtId="189" fontId="8" fillId="0" borderId="3" xfId="2" applyNumberFormat="1" applyFont="1" applyFill="1" applyBorder="1" applyAlignment="1">
      <alignment horizontal="center"/>
    </xf>
    <xf numFmtId="0" fontId="8" fillId="2" borderId="35" xfId="0" applyFont="1" applyFill="1" applyBorder="1" applyAlignment="1"/>
    <xf numFmtId="0" fontId="2" fillId="2" borderId="59" xfId="0" applyFont="1" applyFill="1" applyBorder="1" applyAlignment="1"/>
    <xf numFmtId="0" fontId="2" fillId="2" borderId="60" xfId="0" applyFont="1" applyFill="1" applyBorder="1"/>
    <xf numFmtId="3" fontId="8" fillId="2" borderId="59" xfId="0" applyNumberFormat="1" applyFont="1" applyFill="1" applyBorder="1" applyAlignment="1">
      <alignment horizontal="center"/>
    </xf>
    <xf numFmtId="9" fontId="8" fillId="2" borderId="59" xfId="2" applyFont="1" applyFill="1" applyBorder="1" applyAlignment="1">
      <alignment horizontal="center"/>
    </xf>
    <xf numFmtId="9" fontId="8" fillId="2" borderId="60" xfId="2" applyFont="1" applyFill="1" applyBorder="1" applyAlignment="1">
      <alignment horizontal="center"/>
    </xf>
    <xf numFmtId="0" fontId="2" fillId="0" borderId="43" xfId="0" applyFont="1" applyBorder="1"/>
    <xf numFmtId="0" fontId="2" fillId="0" borderId="6" xfId="0" applyFont="1" applyBorder="1" applyAlignment="1"/>
    <xf numFmtId="2" fontId="8" fillId="0" borderId="38" xfId="0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8" fillId="0" borderId="2" xfId="1" applyNumberFormat="1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164" fontId="8" fillId="0" borderId="2" xfId="2" applyNumberFormat="1" applyFont="1" applyFill="1" applyBorder="1" applyAlignment="1">
      <alignment horizontal="center"/>
    </xf>
    <xf numFmtId="164" fontId="8" fillId="0" borderId="0" xfId="2" quotePrefix="1" applyNumberFormat="1" applyFont="1" applyFill="1" applyBorder="1" applyAlignment="1">
      <alignment horizontal="center"/>
    </xf>
    <xf numFmtId="0" fontId="8" fillId="0" borderId="16" xfId="0" applyFont="1" applyBorder="1"/>
    <xf numFmtId="189" fontId="9" fillId="0" borderId="35" xfId="2" applyNumberFormat="1" applyFont="1" applyBorder="1" applyAlignment="1">
      <alignment horizontal="center"/>
    </xf>
    <xf numFmtId="189" fontId="9" fillId="0" borderId="59" xfId="2" applyNumberFormat="1" applyFont="1" applyBorder="1" applyAlignment="1">
      <alignment horizontal="center"/>
    </xf>
    <xf numFmtId="189" fontId="9" fillId="0" borderId="60" xfId="2" applyNumberFormat="1" applyFont="1" applyBorder="1" applyAlignment="1">
      <alignment horizontal="center"/>
    </xf>
    <xf numFmtId="43" fontId="0" fillId="0" borderId="0" xfId="1" applyFont="1" applyAlignment="1">
      <alignment horizontal="center"/>
    </xf>
    <xf numFmtId="9" fontId="17" fillId="0" borderId="0" xfId="2" applyNumberFormat="1" applyFont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174" fontId="9" fillId="0" borderId="16" xfId="0" applyNumberFormat="1" applyFont="1" applyBorder="1" applyAlignment="1">
      <alignment horizontal="center"/>
    </xf>
    <xf numFmtId="174" fontId="9" fillId="0" borderId="2" xfId="0" applyNumberFormat="1" applyFont="1" applyBorder="1" applyAlignment="1">
      <alignment horizontal="center"/>
    </xf>
    <xf numFmtId="174" fontId="9" fillId="0" borderId="3" xfId="0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18" fillId="3" borderId="41" xfId="0" applyFont="1" applyFill="1" applyBorder="1" applyAlignment="1">
      <alignment horizontal="center"/>
    </xf>
    <xf numFmtId="0" fontId="18" fillId="3" borderId="42" xfId="0" applyFont="1" applyFill="1" applyBorder="1" applyAlignment="1">
      <alignment horizontal="center"/>
    </xf>
    <xf numFmtId="0" fontId="18" fillId="3" borderId="43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60" xfId="0" applyFont="1" applyBorder="1" applyAlignment="1">
      <alignment horizontal="center"/>
    </xf>
    <xf numFmtId="0" fontId="18" fillId="2" borderId="41" xfId="0" applyFont="1" applyFill="1" applyBorder="1" applyAlignment="1">
      <alignment horizontal="center"/>
    </xf>
    <xf numFmtId="0" fontId="18" fillId="2" borderId="42" xfId="0" applyFont="1" applyFill="1" applyBorder="1" applyAlignment="1">
      <alignment horizontal="center"/>
    </xf>
    <xf numFmtId="0" fontId="18" fillId="2" borderId="43" xfId="0" applyFont="1" applyFill="1" applyBorder="1" applyAlignment="1">
      <alignment horizontal="center"/>
    </xf>
    <xf numFmtId="49" fontId="9" fillId="0" borderId="58" xfId="0" applyNumberFormat="1" applyFont="1" applyBorder="1" applyAlignment="1">
      <alignment horizontal="center"/>
    </xf>
    <xf numFmtId="49" fontId="9" fillId="0" borderId="55" xfId="0" applyNumberFormat="1" applyFont="1" applyBorder="1" applyAlignment="1">
      <alignment horizontal="center"/>
    </xf>
    <xf numFmtId="49" fontId="9" fillId="0" borderId="32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(% storage energy)</a:t>
            </a:r>
          </a:p>
        </c:rich>
      </c:tx>
      <c:layout>
        <c:manualLayout>
          <c:xMode val="edge"/>
          <c:yMode val="edge"/>
          <c:x val="0.3009478672985782"/>
          <c:y val="2.54237288135593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77725118483416E-2"/>
          <c:y val="0.10169491525423729"/>
          <c:w val="0.90284360189573465"/>
          <c:h val="0.80084745762711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Data!$B$40:$B$51</c:f>
              <c:numCache>
                <c:formatCode>0.0%</c:formatCode>
                <c:ptCount val="12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2-4F97-8D8E-6E73A6AB3062}"/>
            </c:ext>
          </c:extLst>
        </c:ser>
        <c:ser>
          <c:idx val="1"/>
          <c:order val="1"/>
          <c:tx>
            <c:strRef>
              <c:f>Data!$C$39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Data!$C$40:$C$51</c:f>
              <c:numCache>
                <c:formatCode>0.0%</c:formatCode>
                <c:ptCount val="12"/>
                <c:pt idx="0">
                  <c:v>0.29299999999999998</c:v>
                </c:pt>
                <c:pt idx="1">
                  <c:v>0.45</c:v>
                </c:pt>
                <c:pt idx="2">
                  <c:v>0.58499999999999996</c:v>
                </c:pt>
                <c:pt idx="3">
                  <c:v>0.59399999999999997</c:v>
                </c:pt>
                <c:pt idx="4">
                  <c:v>0.54100000000000004</c:v>
                </c:pt>
                <c:pt idx="5">
                  <c:v>0.47299999999999998</c:v>
                </c:pt>
                <c:pt idx="6">
                  <c:v>0.40200000000000002</c:v>
                </c:pt>
                <c:pt idx="7">
                  <c:v>0.32400000000000001</c:v>
                </c:pt>
                <c:pt idx="8">
                  <c:v>0.308</c:v>
                </c:pt>
                <c:pt idx="9">
                  <c:v>0.23</c:v>
                </c:pt>
                <c:pt idx="10">
                  <c:v>0.22090000000000001</c:v>
                </c:pt>
                <c:pt idx="11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2-4F97-8D8E-6E73A6AB3062}"/>
            </c:ext>
          </c:extLst>
        </c:ser>
        <c:ser>
          <c:idx val="2"/>
          <c:order val="2"/>
          <c:tx>
            <c:strRef>
              <c:f>Data!$D$39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Data!$D$40:$D$51</c:f>
              <c:numCache>
                <c:formatCode>0.0%</c:formatCode>
                <c:ptCount val="12"/>
                <c:pt idx="0">
                  <c:v>0.314</c:v>
                </c:pt>
                <c:pt idx="1">
                  <c:v>0.33439999999999998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2-4F97-8D8E-6E73A6AB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30544"/>
        <c:axId val="1"/>
      </c:barChart>
      <c:catAx>
        <c:axId val="10913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30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99526066350709"/>
          <c:y val="0.16949152542372881"/>
          <c:w val="9.9526066350710901E-2"/>
          <c:h val="0.245762711864406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Submarket</a:t>
            </a:r>
          </a:p>
        </c:rich>
      </c:tx>
      <c:layout>
        <c:manualLayout>
          <c:xMode val="edge"/>
          <c:yMode val="edge"/>
          <c:x val="0.41145166565130975"/>
          <c:y val="9.191184720373463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257027906169315E-2"/>
          <c:y val="3.8602975825568549E-2"/>
          <c:w val="0.90013374103652233"/>
          <c:h val="0.8694860745473296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Data!$W$2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DBE7-4009-854A-F252AD0337DD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BE7-4009-854A-F252AD0337DD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DBE7-4009-854A-F252AD0337DD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BE7-4009-854A-F252AD0337DD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DBE7-4009-854A-F252AD0337DD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BE7-4009-854A-F252AD0337DD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DBE7-4009-854A-F252AD0337DD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E7-4009-854A-F252AD0337DD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E7-4009-854A-F252AD0337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Data!$W$3:$W$31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 formatCode="0.0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E7-4009-854A-F252AD0337DD}"/>
            </c:ext>
          </c:extLst>
        </c:ser>
        <c:ser>
          <c:idx val="4"/>
          <c:order val="3"/>
          <c:tx>
            <c:strRef>
              <c:f>Data!$X$2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DBE7-4009-854A-F252AD0337DD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DBE7-4009-854A-F252AD0337DD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DBE7-4009-854A-F252AD0337DD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DBE7-4009-854A-F252AD0337DD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DBE7-4009-854A-F252AD0337DD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DBE7-4009-854A-F252AD0337DD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DBE7-4009-854A-F252AD0337DD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E7-4009-854A-F252AD0337DD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E7-4009-854A-F252AD0337DD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Data!$X$3:$X$31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103.54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BE7-4009-854A-F252AD0337DD}"/>
            </c:ext>
          </c:extLst>
        </c:ser>
        <c:ser>
          <c:idx val="5"/>
          <c:order val="4"/>
          <c:tx>
            <c:strRef>
              <c:f>Data!$Y$2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DBE7-4009-854A-F252AD0337DD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DBE7-4009-854A-F252AD0337DD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4-DBE7-4009-854A-F252AD0337DD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DBE7-4009-854A-F252AD0337DD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DBE7-4009-854A-F252AD0337DD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DBE7-4009-854A-F252AD0337DD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DBE7-4009-854A-F252AD0337DD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BE7-4009-854A-F252AD0337DD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BE7-4009-854A-F252AD0337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Data!$Y$3:$Y$31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66.06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103.54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BE7-4009-854A-F252AD03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Data!$U$2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Mode val="edge"/>
                  <c:yMode val="edge"/>
                  <c:x val="0.14380834915968108"/>
                  <c:y val="0.43933862963385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BE7-4009-854A-F252AD0337D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Data!$U$3:$U$31</c:f>
              <c:numCache>
                <c:formatCode>0%</c:formatCode>
                <c:ptCount val="27"/>
                <c:pt idx="0">
                  <c:v>0.79</c:v>
                </c:pt>
                <c:pt idx="1">
                  <c:v>0.56000000000000005</c:v>
                </c:pt>
                <c:pt idx="2">
                  <c:v>0.79</c:v>
                </c:pt>
                <c:pt idx="3">
                  <c:v>0.65</c:v>
                </c:pt>
                <c:pt idx="4">
                  <c:v>0.82</c:v>
                </c:pt>
                <c:pt idx="5">
                  <c:v>0.63</c:v>
                </c:pt>
                <c:pt idx="6">
                  <c:v>0.68</c:v>
                </c:pt>
                <c:pt idx="7">
                  <c:v>0.73</c:v>
                </c:pt>
                <c:pt idx="8">
                  <c:v>0.72</c:v>
                </c:pt>
                <c:pt idx="9">
                  <c:v>0.8</c:v>
                </c:pt>
                <c:pt idx="10">
                  <c:v>0.93</c:v>
                </c:pt>
                <c:pt idx="11">
                  <c:v>1.17</c:v>
                </c:pt>
                <c:pt idx="12">
                  <c:v>1.42</c:v>
                </c:pt>
                <c:pt idx="13">
                  <c:v>1.17</c:v>
                </c:pt>
                <c:pt idx="14">
                  <c:v>1.27</c:v>
                </c:pt>
                <c:pt idx="15">
                  <c:v>1.1100000000000001</c:v>
                </c:pt>
                <c:pt idx="16">
                  <c:v>1.1599999999999999</c:v>
                </c:pt>
                <c:pt idx="17">
                  <c:v>0.83</c:v>
                </c:pt>
                <c:pt idx="18">
                  <c:v>0.89</c:v>
                </c:pt>
                <c:pt idx="19">
                  <c:v>0.97</c:v>
                </c:pt>
                <c:pt idx="20">
                  <c:v>0.92</c:v>
                </c:pt>
                <c:pt idx="21">
                  <c:v>0.88</c:v>
                </c:pt>
                <c:pt idx="22">
                  <c:v>1.08</c:v>
                </c:pt>
                <c:pt idx="23">
                  <c:v>1.35</c:v>
                </c:pt>
                <c:pt idx="24">
                  <c:v>0.92</c:v>
                </c:pt>
                <c:pt idx="2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BE7-4009-854A-F252AD0337DD}"/>
            </c:ext>
          </c:extLst>
        </c:ser>
        <c:ser>
          <c:idx val="2"/>
          <c:order val="1"/>
          <c:tx>
            <c:strRef>
              <c:f>Data!$V$2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9.7203791561636277E-2"/>
                  <c:y val="0.4025738907523577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BE7-4009-854A-F252AD0337D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649808490897874"/>
                  <c:y val="0.3988974168642083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BE7-4009-854A-F252AD0337D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6511328977593012"/>
                  <c:y val="0.3915444690879095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BE7-4009-854A-F252AD0337D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9840225948881926"/>
                  <c:y val="0.3841915213116107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BE7-4009-854A-F252AD0337D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4367525829834849"/>
                  <c:y val="0.4154415493608805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BE7-4009-854A-F252AD0337DD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70306304033621858"/>
                  <c:y val="0.6305152718176195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BE7-4009-854A-F252AD0337D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Data!$V$3:$V$31</c:f>
              <c:numCache>
                <c:formatCode>0.0%</c:formatCode>
                <c:ptCount val="27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  <c:pt idx="12">
                  <c:v>0.755</c:v>
                </c:pt>
                <c:pt idx="13">
                  <c:v>0.80700000000000005</c:v>
                </c:pt>
                <c:pt idx="14">
                  <c:v>0.83299999999999996</c:v>
                </c:pt>
                <c:pt idx="15">
                  <c:v>0.83699999999999997</c:v>
                </c:pt>
                <c:pt idx="16">
                  <c:v>0.82099999999999995</c:v>
                </c:pt>
                <c:pt idx="17">
                  <c:v>0.81100000000000005</c:v>
                </c:pt>
                <c:pt idx="18">
                  <c:v>0.755</c:v>
                </c:pt>
                <c:pt idx="19">
                  <c:v>0.61499999999999999</c:v>
                </c:pt>
                <c:pt idx="20">
                  <c:v>0.45400000000000001</c:v>
                </c:pt>
                <c:pt idx="21">
                  <c:v>0.32100000000000001</c:v>
                </c:pt>
                <c:pt idx="22">
                  <c:v>0.29020000000000001</c:v>
                </c:pt>
                <c:pt idx="23">
                  <c:v>0.59299999999999997</c:v>
                </c:pt>
                <c:pt idx="24">
                  <c:v>0.71899999999999997</c:v>
                </c:pt>
                <c:pt idx="25">
                  <c:v>0.7248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BE7-4009-854A-F252AD03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27280"/>
        <c:axId val="1"/>
      </c:lineChart>
      <c:dateAx>
        <c:axId val="180127280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5"/>
          <c:min val="0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27280"/>
        <c:crosses val="autoZero"/>
        <c:crossBetween val="between"/>
        <c:majorUnit val="0.3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- ENA (as % of MLT)</a:t>
            </a:r>
          </a:p>
        </c:rich>
      </c:tx>
      <c:layout>
        <c:manualLayout>
          <c:xMode val="edge"/>
          <c:yMode val="edge"/>
          <c:x val="0.24415615381005709"/>
          <c:y val="1.95312872529740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8845333864313"/>
          <c:y val="0.14453152567200789"/>
          <c:w val="0.87792319135956698"/>
          <c:h val="0.65625125169992771"/>
        </c:manualLayout>
      </c:layout>
      <c:lineChart>
        <c:grouping val="standard"/>
        <c:varyColors val="0"/>
        <c:ser>
          <c:idx val="0"/>
          <c:order val="0"/>
          <c:tx>
            <c:strRef>
              <c:f>Page4!$B$20:$B$21</c:f>
              <c:strCache>
                <c:ptCount val="2"/>
                <c:pt idx="0">
                  <c:v>Southeast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Page4!$B$22:$B$33</c:f>
              <c:numCache>
                <c:formatCode>0%</c:formatCode>
                <c:ptCount val="12"/>
                <c:pt idx="0">
                  <c:v>0.78440334214096974</c:v>
                </c:pt>
                <c:pt idx="1">
                  <c:v>0.95914080498712562</c:v>
                </c:pt>
                <c:pt idx="2">
                  <c:v>0.98644337620177314</c:v>
                </c:pt>
                <c:pt idx="3">
                  <c:v>1.1635944769623292</c:v>
                </c:pt>
                <c:pt idx="4">
                  <c:v>1.1979923564413912</c:v>
                </c:pt>
                <c:pt idx="5">
                  <c:v>1.0729862609885772</c:v>
                </c:pt>
                <c:pt idx="6">
                  <c:v>0.99291956617139976</c:v>
                </c:pt>
                <c:pt idx="7">
                  <c:v>1.3348265895953757</c:v>
                </c:pt>
                <c:pt idx="8">
                  <c:v>1.3790159189580316</c:v>
                </c:pt>
                <c:pt idx="9">
                  <c:v>1.7702588801926553</c:v>
                </c:pt>
                <c:pt idx="10">
                  <c:v>1.0076989702627273</c:v>
                </c:pt>
                <c:pt idx="11">
                  <c:v>0.98114423851732468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F-451F-A566-27B686E19660}"/>
            </c:ext>
          </c:extLst>
        </c:ser>
        <c:ser>
          <c:idx val="1"/>
          <c:order val="1"/>
          <c:tx>
            <c:strRef>
              <c:f>Page4!$C$20:$C$21</c:f>
              <c:strCache>
                <c:ptCount val="2"/>
                <c:pt idx="0">
                  <c:v>Southeast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Page4!$C$22:$C$33</c:f>
              <c:numCache>
                <c:formatCode>0%</c:formatCode>
                <c:ptCount val="12"/>
                <c:pt idx="0">
                  <c:v>1.1100000000000001</c:v>
                </c:pt>
                <c:pt idx="1">
                  <c:v>0.88</c:v>
                </c:pt>
                <c:pt idx="2">
                  <c:v>1.0900000000000001</c:v>
                </c:pt>
                <c:pt idx="3">
                  <c:v>0.81</c:v>
                </c:pt>
                <c:pt idx="4">
                  <c:v>0.85</c:v>
                </c:pt>
                <c:pt idx="5">
                  <c:v>0.92</c:v>
                </c:pt>
                <c:pt idx="6">
                  <c:v>1.07</c:v>
                </c:pt>
                <c:pt idx="7">
                  <c:v>0.83</c:v>
                </c:pt>
                <c:pt idx="8">
                  <c:v>0.96</c:v>
                </c:pt>
                <c:pt idx="9">
                  <c:v>0.61</c:v>
                </c:pt>
                <c:pt idx="10">
                  <c:v>0.7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F-451F-A566-27B686E19660}"/>
            </c:ext>
          </c:extLst>
        </c:ser>
        <c:ser>
          <c:idx val="2"/>
          <c:order val="2"/>
          <c:tx>
            <c:strRef>
              <c:f>Page4!$D$20:$D$21</c:f>
              <c:strCache>
                <c:ptCount val="2"/>
                <c:pt idx="0">
                  <c:v>Southeast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Page4!$D$22:$D$33</c:f>
              <c:numCache>
                <c:formatCode>0%</c:formatCode>
                <c:ptCount val="12"/>
                <c:pt idx="0">
                  <c:v>0.97</c:v>
                </c:pt>
                <c:pt idx="1">
                  <c:v>1.1499999999999999</c:v>
                </c:pt>
                <c:pt idx="2">
                  <c:v>1.0900000000000001</c:v>
                </c:pt>
                <c:pt idx="3">
                  <c:v>0.85</c:v>
                </c:pt>
                <c:pt idx="4">
                  <c:v>0.74</c:v>
                </c:pt>
                <c:pt idx="5">
                  <c:v>0.77</c:v>
                </c:pt>
                <c:pt idx="6">
                  <c:v>0.86</c:v>
                </c:pt>
                <c:pt idx="7">
                  <c:v>0.97</c:v>
                </c:pt>
                <c:pt idx="8">
                  <c:v>0.95</c:v>
                </c:pt>
                <c:pt idx="9">
                  <c:v>0.92</c:v>
                </c:pt>
                <c:pt idx="10">
                  <c:v>1.0900000000000001</c:v>
                </c:pt>
                <c:pt idx="11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F-451F-A566-27B686E19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4000"/>
        <c:axId val="1"/>
      </c:lineChart>
      <c:catAx>
        <c:axId val="18013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168845333864313"/>
          <c:y val="0.9023454710874006"/>
          <c:w val="0.87792319135956698"/>
          <c:h val="8.59376639130857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- Storage Energy</a:t>
            </a:r>
          </a:p>
        </c:rich>
      </c:tx>
      <c:layout>
        <c:manualLayout>
          <c:xMode val="edge"/>
          <c:yMode val="edge"/>
          <c:x val="0.26493540094282791"/>
          <c:y val="1.95312872529740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04017989065024E-2"/>
          <c:y val="0.13671901077081827"/>
          <c:w val="0.89350762670914508"/>
          <c:h val="0.65625125169992771"/>
        </c:manualLayout>
      </c:layout>
      <c:lineChart>
        <c:grouping val="standard"/>
        <c:varyColors val="0"/>
        <c:ser>
          <c:idx val="0"/>
          <c:order val="0"/>
          <c:tx>
            <c:strRef>
              <c:f>Page4!$B$2:$B$3</c:f>
              <c:strCache>
                <c:ptCount val="2"/>
                <c:pt idx="0">
                  <c:v>Southeast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Page4!$B$4:$B$15</c:f>
              <c:numCache>
                <c:formatCode>0%</c:formatCode>
                <c:ptCount val="12"/>
                <c:pt idx="0">
                  <c:v>0.68799999999999994</c:v>
                </c:pt>
                <c:pt idx="1">
                  <c:v>0.79</c:v>
                </c:pt>
                <c:pt idx="2">
                  <c:v>0.83099999999999996</c:v>
                </c:pt>
                <c:pt idx="3">
                  <c:v>0.81799999999999995</c:v>
                </c:pt>
                <c:pt idx="4">
                  <c:v>0.80200000000000005</c:v>
                </c:pt>
                <c:pt idx="5">
                  <c:v>0.75700000000000001</c:v>
                </c:pt>
                <c:pt idx="6">
                  <c:v>0.67799999999999994</c:v>
                </c:pt>
                <c:pt idx="7">
                  <c:v>0.60499999999999998</c:v>
                </c:pt>
                <c:pt idx="8">
                  <c:v>0.52500000000000002</c:v>
                </c:pt>
                <c:pt idx="9">
                  <c:v>0.47799999999999998</c:v>
                </c:pt>
                <c:pt idx="10">
                  <c:v>0.435</c:v>
                </c:pt>
                <c:pt idx="11">
                  <c:v>0.46299999999999997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4-4105-9D91-135E7592DC7F}"/>
            </c:ext>
          </c:extLst>
        </c:ser>
        <c:ser>
          <c:idx val="1"/>
          <c:order val="1"/>
          <c:tx>
            <c:strRef>
              <c:f>Page4!$C$2:$C$3</c:f>
              <c:strCache>
                <c:ptCount val="2"/>
                <c:pt idx="0">
                  <c:v>Southeast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Page4!$C$4:$C$15</c:f>
              <c:numCache>
                <c:formatCode>0%</c:formatCode>
                <c:ptCount val="12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4-4105-9D91-135E7592DC7F}"/>
            </c:ext>
          </c:extLst>
        </c:ser>
        <c:ser>
          <c:idx val="2"/>
          <c:order val="2"/>
          <c:tx>
            <c:strRef>
              <c:f>Page4!$D$2:$D$3</c:f>
              <c:strCache>
                <c:ptCount val="2"/>
                <c:pt idx="0">
                  <c:v>Southeast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Page4!$D$4:$D$15</c:f>
              <c:numCache>
                <c:formatCode>0%</c:formatCode>
                <c:ptCount val="12"/>
                <c:pt idx="0">
                  <c:v>0.29299999999999998</c:v>
                </c:pt>
                <c:pt idx="1">
                  <c:v>0.45</c:v>
                </c:pt>
                <c:pt idx="2">
                  <c:v>0.58499999999999996</c:v>
                </c:pt>
                <c:pt idx="3">
                  <c:v>0.59399999999999997</c:v>
                </c:pt>
                <c:pt idx="4">
                  <c:v>0.54100000000000004</c:v>
                </c:pt>
                <c:pt idx="5">
                  <c:v>0.47299999999999998</c:v>
                </c:pt>
                <c:pt idx="6">
                  <c:v>0.40600000000000003</c:v>
                </c:pt>
                <c:pt idx="7">
                  <c:v>0.318</c:v>
                </c:pt>
                <c:pt idx="8">
                  <c:v>0.307</c:v>
                </c:pt>
                <c:pt idx="9">
                  <c:v>0.23</c:v>
                </c:pt>
                <c:pt idx="10">
                  <c:v>0.22090000000000001</c:v>
                </c:pt>
                <c:pt idx="11">
                  <c:v>0.28520000000000001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4-4105-9D91-135E7592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28720"/>
        <c:axId val="1"/>
      </c:lineChart>
      <c:catAx>
        <c:axId val="18012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2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168845333864313"/>
          <c:y val="0.9023454710874006"/>
          <c:w val="0.87792319135956698"/>
          <c:h val="8.59376639130857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- Storage Energy</a:t>
            </a:r>
          </a:p>
        </c:rich>
      </c:tx>
      <c:layout>
        <c:manualLayout>
          <c:xMode val="edge"/>
          <c:yMode val="edge"/>
          <c:x val="0.29792746113989638"/>
          <c:y val="1.9455252918287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896373056994"/>
          <c:y val="0.14007782101167315"/>
          <c:w val="0.87823834196891193"/>
          <c:h val="0.64980544747081714"/>
        </c:manualLayout>
      </c:layout>
      <c:lineChart>
        <c:grouping val="standard"/>
        <c:varyColors val="0"/>
        <c:ser>
          <c:idx val="0"/>
          <c:order val="0"/>
          <c:tx>
            <c:strRef>
              <c:f>Page4!$E$2:$E$3</c:f>
              <c:strCache>
                <c:ptCount val="2"/>
                <c:pt idx="0">
                  <c:v>South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Page4!$E$4:$E$15</c:f>
              <c:numCache>
                <c:formatCode>0%</c:formatCode>
                <c:ptCount val="12"/>
                <c:pt idx="0">
                  <c:v>0.97799999999999998</c:v>
                </c:pt>
                <c:pt idx="1">
                  <c:v>0.9890000000000001</c:v>
                </c:pt>
                <c:pt idx="2">
                  <c:v>0.95700000000000007</c:v>
                </c:pt>
                <c:pt idx="3">
                  <c:v>0.92799999999999994</c:v>
                </c:pt>
                <c:pt idx="4">
                  <c:v>0.93599999999999994</c:v>
                </c:pt>
                <c:pt idx="5">
                  <c:v>0.85099999999999998</c:v>
                </c:pt>
                <c:pt idx="6">
                  <c:v>0.95900000000000007</c:v>
                </c:pt>
                <c:pt idx="7">
                  <c:v>0.93400000000000005</c:v>
                </c:pt>
                <c:pt idx="8">
                  <c:v>0.93599999999999994</c:v>
                </c:pt>
                <c:pt idx="9">
                  <c:v>0.97499999999999998</c:v>
                </c:pt>
                <c:pt idx="10">
                  <c:v>0.879</c:v>
                </c:pt>
                <c:pt idx="11">
                  <c:v>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8CC-9C8E-118489B8A5F1}"/>
            </c:ext>
          </c:extLst>
        </c:ser>
        <c:ser>
          <c:idx val="1"/>
          <c:order val="1"/>
          <c:tx>
            <c:strRef>
              <c:f>Page4!$F$2:$F$3</c:f>
              <c:strCache>
                <c:ptCount val="2"/>
                <c:pt idx="0">
                  <c:v>South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Page4!$F$4:$F$15</c:f>
              <c:numCache>
                <c:formatCode>0%</c:formatCode>
                <c:ptCount val="12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8CC-9C8E-118489B8A5F1}"/>
            </c:ext>
          </c:extLst>
        </c:ser>
        <c:ser>
          <c:idx val="2"/>
          <c:order val="2"/>
          <c:tx>
            <c:strRef>
              <c:f>Page4!$G$2:$G$3</c:f>
              <c:strCache>
                <c:ptCount val="2"/>
                <c:pt idx="0">
                  <c:v>South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Page4!$G$4:$G$15</c:f>
              <c:numCache>
                <c:formatCode>0%</c:formatCode>
                <c:ptCount val="12"/>
                <c:pt idx="0">
                  <c:v>0.47499999999999998</c:v>
                </c:pt>
                <c:pt idx="1">
                  <c:v>0.47299999999999998</c:v>
                </c:pt>
                <c:pt idx="2">
                  <c:v>0.52300000000000002</c:v>
                </c:pt>
                <c:pt idx="3">
                  <c:v>0.4</c:v>
                </c:pt>
                <c:pt idx="4">
                  <c:v>0.30199999999999999</c:v>
                </c:pt>
                <c:pt idx="5">
                  <c:v>0.41</c:v>
                </c:pt>
                <c:pt idx="6">
                  <c:v>0.441</c:v>
                </c:pt>
                <c:pt idx="7">
                  <c:v>0.46200000000000002</c:v>
                </c:pt>
                <c:pt idx="8">
                  <c:v>0.86699999999999999</c:v>
                </c:pt>
                <c:pt idx="9">
                  <c:v>0.96199999999999997</c:v>
                </c:pt>
                <c:pt idx="10">
                  <c:v>0.92900000000000005</c:v>
                </c:pt>
                <c:pt idx="11">
                  <c:v>0.89370000000000005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D-48CC-9C8E-118489B8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068992"/>
        <c:axId val="1"/>
      </c:lineChart>
      <c:catAx>
        <c:axId val="21460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06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502590673575128"/>
          <c:y val="0.90272373540856032"/>
          <c:w val="0.71243523316062174"/>
          <c:h val="8.56031128404669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- ENA (as % of MLT)</a:t>
            </a:r>
          </a:p>
        </c:rich>
      </c:tx>
      <c:layout>
        <c:manualLayout>
          <c:xMode val="edge"/>
          <c:yMode val="edge"/>
          <c:x val="0.27720207253886009"/>
          <c:y val="1.9455252918287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896373056994"/>
          <c:y val="0.1556420233463035"/>
          <c:w val="0.87823834196891193"/>
          <c:h val="0.63813229571984431"/>
        </c:manualLayout>
      </c:layout>
      <c:lineChart>
        <c:grouping val="standard"/>
        <c:varyColors val="0"/>
        <c:ser>
          <c:idx val="0"/>
          <c:order val="0"/>
          <c:tx>
            <c:strRef>
              <c:f>Page4!$E$20:$E$21</c:f>
              <c:strCache>
                <c:ptCount val="2"/>
                <c:pt idx="0">
                  <c:v>South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Page4!$E$22:$E$33</c:f>
              <c:numCache>
                <c:formatCode>0%</c:formatCode>
                <c:ptCount val="12"/>
                <c:pt idx="0">
                  <c:v>2.4441532918440876</c:v>
                </c:pt>
                <c:pt idx="1">
                  <c:v>2.3677381303450309</c:v>
                </c:pt>
                <c:pt idx="2">
                  <c:v>2.5220588235294117</c:v>
                </c:pt>
                <c:pt idx="3">
                  <c:v>5.5457216305545352</c:v>
                </c:pt>
                <c:pt idx="4">
                  <c:v>2.5950503127549633</c:v>
                </c:pt>
                <c:pt idx="5">
                  <c:v>0.74217857958438005</c:v>
                </c:pt>
                <c:pt idx="6">
                  <c:v>1.3745995423340964</c:v>
                </c:pt>
                <c:pt idx="7">
                  <c:v>2.8206147323794384</c:v>
                </c:pt>
                <c:pt idx="8">
                  <c:v>2.4120181405895691</c:v>
                </c:pt>
                <c:pt idx="9">
                  <c:v>2.9214370311883142</c:v>
                </c:pt>
                <c:pt idx="10">
                  <c:v>0.96501384344324193</c:v>
                </c:pt>
                <c:pt idx="11">
                  <c:v>0.98477929984779289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8-449A-BACB-1638008EC96E}"/>
            </c:ext>
          </c:extLst>
        </c:ser>
        <c:ser>
          <c:idx val="1"/>
          <c:order val="1"/>
          <c:tx>
            <c:strRef>
              <c:f>Page4!$F$20:$F$21</c:f>
              <c:strCache>
                <c:ptCount val="2"/>
                <c:pt idx="0">
                  <c:v>South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Page4!$F$22:$F$33</c:f>
              <c:numCache>
                <c:formatCode>0%</c:formatCode>
                <c:ptCount val="12"/>
                <c:pt idx="0">
                  <c:v>0.96</c:v>
                </c:pt>
                <c:pt idx="1">
                  <c:v>1.41</c:v>
                </c:pt>
                <c:pt idx="2">
                  <c:v>1.03</c:v>
                </c:pt>
                <c:pt idx="3">
                  <c:v>1.33</c:v>
                </c:pt>
                <c:pt idx="4">
                  <c:v>0.56000000000000005</c:v>
                </c:pt>
                <c:pt idx="5">
                  <c:v>1.17</c:v>
                </c:pt>
                <c:pt idx="6">
                  <c:v>2.04</c:v>
                </c:pt>
                <c:pt idx="7">
                  <c:v>0.42</c:v>
                </c:pt>
                <c:pt idx="8">
                  <c:v>0.47</c:v>
                </c:pt>
                <c:pt idx="9">
                  <c:v>1.1599999999999999</c:v>
                </c:pt>
                <c:pt idx="10">
                  <c:v>0.57999999999999996</c:v>
                </c:pt>
                <c:pt idx="11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8-449A-BACB-1638008EC96E}"/>
            </c:ext>
          </c:extLst>
        </c:ser>
        <c:ser>
          <c:idx val="2"/>
          <c:order val="2"/>
          <c:tx>
            <c:strRef>
              <c:f>Page4!$G$20:$G$21</c:f>
              <c:strCache>
                <c:ptCount val="2"/>
                <c:pt idx="0">
                  <c:v>South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Page4!$G$22:$G$33</c:f>
              <c:numCache>
                <c:formatCode>0%</c:formatCode>
                <c:ptCount val="12"/>
                <c:pt idx="0">
                  <c:v>0.82</c:v>
                </c:pt>
                <c:pt idx="1">
                  <c:v>1.08</c:v>
                </c:pt>
                <c:pt idx="2">
                  <c:v>1.25</c:v>
                </c:pt>
                <c:pt idx="3">
                  <c:v>0.63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0.92</c:v>
                </c:pt>
                <c:pt idx="7">
                  <c:v>0.67</c:v>
                </c:pt>
                <c:pt idx="8">
                  <c:v>2.1</c:v>
                </c:pt>
                <c:pt idx="9">
                  <c:v>1.84</c:v>
                </c:pt>
                <c:pt idx="10">
                  <c:v>0.85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8-449A-BACB-1638008E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071392"/>
        <c:axId val="1"/>
      </c:lineChart>
      <c:catAx>
        <c:axId val="21460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071392"/>
        <c:crosses val="autoZero"/>
        <c:crossBetween val="between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39378238341968"/>
          <c:y val="0.90272373540856032"/>
          <c:w val="0.71243523316062174"/>
          <c:h val="8.56031128404669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- Storage Energy</a:t>
            </a:r>
          </a:p>
        </c:rich>
      </c:tx>
      <c:layout>
        <c:manualLayout>
          <c:xMode val="edge"/>
          <c:yMode val="edge"/>
          <c:x val="0.26873452825856009"/>
          <c:y val="1.93799183166724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607476399680036E-2"/>
          <c:y val="0.15503934653337925"/>
          <c:w val="0.8940591036294403"/>
          <c:h val="0.635661320786855"/>
        </c:manualLayout>
      </c:layout>
      <c:lineChart>
        <c:grouping val="standard"/>
        <c:varyColors val="0"/>
        <c:ser>
          <c:idx val="0"/>
          <c:order val="0"/>
          <c:tx>
            <c:strRef>
              <c:f>Page4!$H$2:$H$3</c:f>
              <c:strCache>
                <c:ptCount val="2"/>
                <c:pt idx="0">
                  <c:v>Northeast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Page4!$H$4:$H$15</c:f>
              <c:numCache>
                <c:formatCode>0%</c:formatCode>
                <c:ptCount val="12"/>
                <c:pt idx="0">
                  <c:v>0.79400000000000004</c:v>
                </c:pt>
                <c:pt idx="1">
                  <c:v>0.85699999999999998</c:v>
                </c:pt>
                <c:pt idx="2">
                  <c:v>0.81599999999999995</c:v>
                </c:pt>
                <c:pt idx="3">
                  <c:v>0.84099999999999997</c:v>
                </c:pt>
                <c:pt idx="4">
                  <c:v>0.78599999999999992</c:v>
                </c:pt>
                <c:pt idx="5">
                  <c:v>0.72799999999999998</c:v>
                </c:pt>
                <c:pt idx="6">
                  <c:v>0.63800000000000001</c:v>
                </c:pt>
                <c:pt idx="7">
                  <c:v>0.55100000000000005</c:v>
                </c:pt>
                <c:pt idx="8">
                  <c:v>0.442</c:v>
                </c:pt>
                <c:pt idx="9">
                  <c:v>0.34399999999999997</c:v>
                </c:pt>
                <c:pt idx="10">
                  <c:v>0.33700000000000002</c:v>
                </c:pt>
                <c:pt idx="11">
                  <c:v>0.39100000000000001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E-4ED8-A291-699EEC30A082}"/>
            </c:ext>
          </c:extLst>
        </c:ser>
        <c:ser>
          <c:idx val="1"/>
          <c:order val="1"/>
          <c:tx>
            <c:strRef>
              <c:f>Page4!$I$2:$I$3</c:f>
              <c:strCache>
                <c:ptCount val="2"/>
                <c:pt idx="0">
                  <c:v>Northeast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Page4!$I$4:$I$15</c:f>
              <c:numCache>
                <c:formatCode>0%</c:formatCode>
                <c:ptCount val="12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E-4ED8-A291-699EEC30A082}"/>
            </c:ext>
          </c:extLst>
        </c:ser>
        <c:ser>
          <c:idx val="2"/>
          <c:order val="2"/>
          <c:tx>
            <c:strRef>
              <c:f>Page4!$J$2:$J$3</c:f>
              <c:strCache>
                <c:ptCount val="2"/>
                <c:pt idx="0">
                  <c:v>Northeast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Page4!$J$4:$J$15</c:f>
              <c:numCache>
                <c:formatCode>0%</c:formatCode>
                <c:ptCount val="12"/>
                <c:pt idx="0">
                  <c:v>0.35700000000000004</c:v>
                </c:pt>
                <c:pt idx="1">
                  <c:v>0.54100000000000004</c:v>
                </c:pt>
                <c:pt idx="2">
                  <c:v>0.66</c:v>
                </c:pt>
                <c:pt idx="3">
                  <c:v>0.71199999999999997</c:v>
                </c:pt>
                <c:pt idx="4">
                  <c:v>0.67300000000000004</c:v>
                </c:pt>
                <c:pt idx="5">
                  <c:v>0.61799999999999999</c:v>
                </c:pt>
                <c:pt idx="6">
                  <c:v>0.55700000000000005</c:v>
                </c:pt>
                <c:pt idx="7">
                  <c:v>0.47</c:v>
                </c:pt>
                <c:pt idx="8">
                  <c:v>0.39300000000000002</c:v>
                </c:pt>
                <c:pt idx="9">
                  <c:v>0.28899999999999998</c:v>
                </c:pt>
                <c:pt idx="10">
                  <c:v>0.27539999999999998</c:v>
                </c:pt>
                <c:pt idx="11">
                  <c:v>0.36810000000000004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E-4ED8-A291-699EEC30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071872"/>
        <c:axId val="1"/>
      </c:lineChart>
      <c:catAx>
        <c:axId val="21460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07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78327828064004"/>
          <c:y val="0.90310419355693416"/>
          <c:w val="0.85788330174848026"/>
          <c:h val="8.5271640593358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- Storage Energy</a:t>
            </a:r>
          </a:p>
        </c:rich>
      </c:tx>
      <c:layout>
        <c:manualLayout>
          <c:xMode val="edge"/>
          <c:yMode val="edge"/>
          <c:x val="0.30232634429088007"/>
          <c:y val="1.93799183166724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39149152004"/>
          <c:y val="0.14341139554337581"/>
          <c:w val="0.87855518853760028"/>
          <c:h val="0.63953730445018941"/>
        </c:manualLayout>
      </c:layout>
      <c:lineChart>
        <c:grouping val="standard"/>
        <c:varyColors val="0"/>
        <c:ser>
          <c:idx val="0"/>
          <c:order val="0"/>
          <c:tx>
            <c:strRef>
              <c:f>Page4!$K$2:$K$3</c:f>
              <c:strCache>
                <c:ptCount val="2"/>
                <c:pt idx="0">
                  <c:v>North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Page4!$K$4:$K$15</c:f>
              <c:numCache>
                <c:formatCode>0%</c:formatCode>
                <c:ptCount val="12"/>
                <c:pt idx="0">
                  <c:v>0.96099999999999997</c:v>
                </c:pt>
                <c:pt idx="1">
                  <c:v>0.97</c:v>
                </c:pt>
                <c:pt idx="2">
                  <c:v>0.95499999999999996</c:v>
                </c:pt>
                <c:pt idx="3">
                  <c:v>1.04</c:v>
                </c:pt>
                <c:pt idx="4">
                  <c:v>1.0509999999999999</c:v>
                </c:pt>
                <c:pt idx="5">
                  <c:v>0.96799999999999997</c:v>
                </c:pt>
                <c:pt idx="6">
                  <c:v>0.81900000000000006</c:v>
                </c:pt>
                <c:pt idx="7">
                  <c:v>0.63700000000000001</c:v>
                </c:pt>
                <c:pt idx="8">
                  <c:v>0.44799999999999995</c:v>
                </c:pt>
                <c:pt idx="9">
                  <c:v>0.27399999999999997</c:v>
                </c:pt>
                <c:pt idx="10">
                  <c:v>0.27399999999999997</c:v>
                </c:pt>
                <c:pt idx="11">
                  <c:v>0.45799999999999996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2-4AB7-BD78-7DA784583A31}"/>
            </c:ext>
          </c:extLst>
        </c:ser>
        <c:ser>
          <c:idx val="1"/>
          <c:order val="1"/>
          <c:tx>
            <c:strRef>
              <c:f>Page4!$L$2:$L$3</c:f>
              <c:strCache>
                <c:ptCount val="2"/>
                <c:pt idx="0">
                  <c:v>North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Page4!$L$4:$L$15</c:f>
              <c:numCache>
                <c:formatCode>0%</c:formatCode>
                <c:ptCount val="12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2-4AB7-BD78-7DA784583A31}"/>
            </c:ext>
          </c:extLst>
        </c:ser>
        <c:ser>
          <c:idx val="2"/>
          <c:order val="2"/>
          <c:tx>
            <c:strRef>
              <c:f>Page4!$M$2:$M$3</c:f>
              <c:strCache>
                <c:ptCount val="2"/>
                <c:pt idx="0">
                  <c:v>North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Page4!$M$4:$M$15</c:f>
              <c:numCache>
                <c:formatCode>0%</c:formatCode>
                <c:ptCount val="12"/>
                <c:pt idx="0">
                  <c:v>0.755</c:v>
                </c:pt>
                <c:pt idx="1">
                  <c:v>0.80700000000000005</c:v>
                </c:pt>
                <c:pt idx="2">
                  <c:v>0.83299999999999996</c:v>
                </c:pt>
                <c:pt idx="3">
                  <c:v>0.83699999999999997</c:v>
                </c:pt>
                <c:pt idx="4">
                  <c:v>0.82099999999999995</c:v>
                </c:pt>
                <c:pt idx="5">
                  <c:v>0.81100000000000005</c:v>
                </c:pt>
                <c:pt idx="6">
                  <c:v>0.755</c:v>
                </c:pt>
                <c:pt idx="7">
                  <c:v>0.61499999999999999</c:v>
                </c:pt>
                <c:pt idx="8">
                  <c:v>0.45</c:v>
                </c:pt>
                <c:pt idx="9">
                  <c:v>0.32100000000000001</c:v>
                </c:pt>
                <c:pt idx="10">
                  <c:v>0.29020000000000001</c:v>
                </c:pt>
                <c:pt idx="11">
                  <c:v>0.59329999999999994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2-4AB7-BD78-7DA784583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1200"/>
        <c:axId val="1"/>
      </c:lineChart>
      <c:catAx>
        <c:axId val="1792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413488204256006"/>
          <c:y val="0.90310419355693416"/>
          <c:w val="0.69509219328416016"/>
          <c:h val="8.5271640593358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- ENA (as % of MLT)</a:t>
            </a:r>
          </a:p>
        </c:rich>
      </c:tx>
      <c:layout>
        <c:manualLayout>
          <c:xMode val="edge"/>
          <c:yMode val="edge"/>
          <c:x val="0.25064662731808007"/>
          <c:y val="1.93799183166724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39149152004"/>
          <c:y val="0.15116336287004478"/>
          <c:w val="0.87855518853760028"/>
          <c:h val="0.63953730445018941"/>
        </c:manualLayout>
      </c:layout>
      <c:lineChart>
        <c:grouping val="standard"/>
        <c:varyColors val="0"/>
        <c:ser>
          <c:idx val="0"/>
          <c:order val="0"/>
          <c:tx>
            <c:v>Northeast 1998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Page4!$H$22:$H$33</c:f>
              <c:numCache>
                <c:formatCode>0%</c:formatCode>
                <c:ptCount val="12"/>
                <c:pt idx="0">
                  <c:v>0.67376977152899831</c:v>
                </c:pt>
                <c:pt idx="1">
                  <c:v>0.64144290751288313</c:v>
                </c:pt>
                <c:pt idx="2">
                  <c:v>0.72852233676975942</c:v>
                </c:pt>
                <c:pt idx="3">
                  <c:v>0.47292035398230081</c:v>
                </c:pt>
                <c:pt idx="4">
                  <c:v>0.56402221905711436</c:v>
                </c:pt>
                <c:pt idx="5">
                  <c:v>0.74460580912863061</c:v>
                </c:pt>
                <c:pt idx="6">
                  <c:v>0.74454203262233376</c:v>
                </c:pt>
                <c:pt idx="7">
                  <c:v>0.79508196721311475</c:v>
                </c:pt>
                <c:pt idx="8">
                  <c:v>0.81163251817580961</c:v>
                </c:pt>
                <c:pt idx="9">
                  <c:v>0.68044890726520957</c:v>
                </c:pt>
                <c:pt idx="10">
                  <c:v>1.076007326007326</c:v>
                </c:pt>
                <c:pt idx="11">
                  <c:v>0.91911538855329167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1-41C9-813B-33BBDF780BBB}"/>
            </c:ext>
          </c:extLst>
        </c:ser>
        <c:ser>
          <c:idx val="1"/>
          <c:order val="1"/>
          <c:tx>
            <c:strRef>
              <c:f>Page4!$I$20:$I$21</c:f>
              <c:strCache>
                <c:ptCount val="2"/>
                <c:pt idx="0">
                  <c:v>Northeast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Page4!$I$22:$I$33</c:f>
              <c:numCache>
                <c:formatCode>0%</c:formatCode>
                <c:ptCount val="12"/>
                <c:pt idx="0">
                  <c:v>0.69</c:v>
                </c:pt>
                <c:pt idx="1">
                  <c:v>0.34</c:v>
                </c:pt>
                <c:pt idx="2">
                  <c:v>0.89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0.72</c:v>
                </c:pt>
                <c:pt idx="7">
                  <c:v>0.63</c:v>
                </c:pt>
                <c:pt idx="8">
                  <c:v>0.6</c:v>
                </c:pt>
                <c:pt idx="9">
                  <c:v>0.56999999999999995</c:v>
                </c:pt>
                <c:pt idx="10">
                  <c:v>0.75</c:v>
                </c:pt>
                <c:pt idx="11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1-41C9-813B-33BBDF780BBB}"/>
            </c:ext>
          </c:extLst>
        </c:ser>
        <c:ser>
          <c:idx val="2"/>
          <c:order val="2"/>
          <c:tx>
            <c:strRef>
              <c:f>Page4!$J$20:$J$21</c:f>
              <c:strCache>
                <c:ptCount val="2"/>
                <c:pt idx="0">
                  <c:v>Northeast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Page4!$J$22:$J$33</c:f>
              <c:numCache>
                <c:formatCode>0%</c:formatCode>
                <c:ptCount val="12"/>
                <c:pt idx="0">
                  <c:v>0.89</c:v>
                </c:pt>
                <c:pt idx="1">
                  <c:v>1.1000000000000001</c:v>
                </c:pt>
                <c:pt idx="2">
                  <c:v>0.91</c:v>
                </c:pt>
                <c:pt idx="3">
                  <c:v>0.9</c:v>
                </c:pt>
                <c:pt idx="4">
                  <c:v>0.73</c:v>
                </c:pt>
                <c:pt idx="5">
                  <c:v>0.76</c:v>
                </c:pt>
                <c:pt idx="6">
                  <c:v>0.78</c:v>
                </c:pt>
                <c:pt idx="7">
                  <c:v>0.73</c:v>
                </c:pt>
                <c:pt idx="8">
                  <c:v>0.83</c:v>
                </c:pt>
                <c:pt idx="9">
                  <c:v>0.69</c:v>
                </c:pt>
                <c:pt idx="10">
                  <c:v>0.9</c:v>
                </c:pt>
                <c:pt idx="11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1-41C9-813B-33BBDF78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1680"/>
        <c:axId val="1"/>
      </c:lineChart>
      <c:catAx>
        <c:axId val="1792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78327828064004"/>
          <c:y val="0.90310419355693416"/>
          <c:w val="0.85788330174848026"/>
          <c:h val="8.5271640593358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- ENA (as % of MLT)</a:t>
            </a:r>
          </a:p>
        </c:rich>
      </c:tx>
      <c:layout>
        <c:manualLayout>
          <c:xMode val="edge"/>
          <c:yMode val="edge"/>
          <c:x val="0.28423844335040011"/>
          <c:y val="1.93799183166724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39149152004"/>
          <c:y val="0.15503934653337925"/>
          <c:w val="0.87855518853760028"/>
          <c:h val="0.63953730445018941"/>
        </c:manualLayout>
      </c:layout>
      <c:lineChart>
        <c:grouping val="standard"/>
        <c:varyColors val="0"/>
        <c:ser>
          <c:idx val="0"/>
          <c:order val="0"/>
          <c:tx>
            <c:strRef>
              <c:f>Page4!$K$20:$K$21</c:f>
              <c:strCache>
                <c:ptCount val="2"/>
                <c:pt idx="0">
                  <c:v>North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Page4!$K$22:$K$33</c:f>
              <c:numCache>
                <c:formatCode>0%</c:formatCode>
                <c:ptCount val="12"/>
                <c:pt idx="0">
                  <c:v>0.64361290322580644</c:v>
                </c:pt>
                <c:pt idx="1">
                  <c:v>0.6601276068945815</c:v>
                </c:pt>
                <c:pt idx="2">
                  <c:v>0.77789602947196068</c:v>
                </c:pt>
                <c:pt idx="3">
                  <c:v>0.54964539007092195</c:v>
                </c:pt>
                <c:pt idx="4">
                  <c:v>0.45353586928772027</c:v>
                </c:pt>
                <c:pt idx="5">
                  <c:v>0.4190031152647975</c:v>
                </c:pt>
                <c:pt idx="6">
                  <c:v>0.60728565082185693</c:v>
                </c:pt>
                <c:pt idx="7">
                  <c:v>0.59532828282828287</c:v>
                </c:pt>
                <c:pt idx="8">
                  <c:v>0.63967611336032393</c:v>
                </c:pt>
                <c:pt idx="9">
                  <c:v>0.66425470332850944</c:v>
                </c:pt>
                <c:pt idx="10">
                  <c:v>0.76167400881057257</c:v>
                </c:pt>
                <c:pt idx="11">
                  <c:v>0.84423817070409779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F-422A-9296-606BEFC97AF0}"/>
            </c:ext>
          </c:extLst>
        </c:ser>
        <c:ser>
          <c:idx val="1"/>
          <c:order val="1"/>
          <c:tx>
            <c:strRef>
              <c:f>Page4!$L$20:$L$21</c:f>
              <c:strCache>
                <c:ptCount val="2"/>
                <c:pt idx="0">
                  <c:v>North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Page4!$L$22:$L$33</c:f>
              <c:numCache>
                <c:formatCode>0%</c:formatCode>
                <c:ptCount val="12"/>
                <c:pt idx="0">
                  <c:v>0.79</c:v>
                </c:pt>
                <c:pt idx="1">
                  <c:v>0.56000000000000005</c:v>
                </c:pt>
                <c:pt idx="2">
                  <c:v>0.79</c:v>
                </c:pt>
                <c:pt idx="3">
                  <c:v>0.65</c:v>
                </c:pt>
                <c:pt idx="4">
                  <c:v>0.82</c:v>
                </c:pt>
                <c:pt idx="5">
                  <c:v>0.63</c:v>
                </c:pt>
                <c:pt idx="6">
                  <c:v>0.68</c:v>
                </c:pt>
                <c:pt idx="7">
                  <c:v>0.73</c:v>
                </c:pt>
                <c:pt idx="8">
                  <c:v>0.72</c:v>
                </c:pt>
                <c:pt idx="9">
                  <c:v>0.8</c:v>
                </c:pt>
                <c:pt idx="10">
                  <c:v>0.93</c:v>
                </c:pt>
                <c:pt idx="11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F-422A-9296-606BEFC97AF0}"/>
            </c:ext>
          </c:extLst>
        </c:ser>
        <c:ser>
          <c:idx val="2"/>
          <c:order val="2"/>
          <c:tx>
            <c:strRef>
              <c:f>Page4!$M$20:$M$21</c:f>
              <c:strCache>
                <c:ptCount val="2"/>
                <c:pt idx="0">
                  <c:v>North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Page4!$M$22:$M$33</c:f>
              <c:numCache>
                <c:formatCode>0%</c:formatCode>
                <c:ptCount val="12"/>
                <c:pt idx="0">
                  <c:v>1.42</c:v>
                </c:pt>
                <c:pt idx="1">
                  <c:v>1.17</c:v>
                </c:pt>
                <c:pt idx="2">
                  <c:v>1.27</c:v>
                </c:pt>
                <c:pt idx="3">
                  <c:v>1.1100000000000001</c:v>
                </c:pt>
                <c:pt idx="4">
                  <c:v>1.1599999999999999</c:v>
                </c:pt>
                <c:pt idx="5">
                  <c:v>0.83</c:v>
                </c:pt>
                <c:pt idx="6">
                  <c:v>0.89</c:v>
                </c:pt>
                <c:pt idx="7">
                  <c:v>0.97</c:v>
                </c:pt>
                <c:pt idx="8">
                  <c:v>0.88</c:v>
                </c:pt>
                <c:pt idx="9">
                  <c:v>0.88</c:v>
                </c:pt>
                <c:pt idx="10">
                  <c:v>1.08</c:v>
                </c:pt>
                <c:pt idx="11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F-422A-9296-606BEFC97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2160"/>
        <c:axId val="1"/>
      </c:lineChart>
      <c:catAx>
        <c:axId val="1792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2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413488204256006"/>
          <c:y val="0.90310419355693416"/>
          <c:w val="0.69509219328416016"/>
          <c:h val="8.5271640593358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(% storage energy)</a:t>
            </a:r>
          </a:p>
        </c:rich>
      </c:tx>
      <c:layout>
        <c:manualLayout>
          <c:xMode val="edge"/>
          <c:yMode val="edge"/>
          <c:x val="0.33097003123622015"/>
          <c:y val="2.18341076907659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5508102255334"/>
          <c:y val="0.10043689537752323"/>
          <c:w val="0.88652686938273262"/>
          <c:h val="0.79912834148203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Data!$E$39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Data!$E$40:$E$51</c:f>
              <c:numCache>
                <c:formatCode>0.0%</c:formatCode>
                <c:ptCount val="12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5-4144-883E-29821D04A353}"/>
            </c:ext>
          </c:extLst>
        </c:ser>
        <c:ser>
          <c:idx val="1"/>
          <c:order val="1"/>
          <c:tx>
            <c:strRef>
              <c:f>Data!$F$39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Data!$F$40:$F$51</c:f>
              <c:numCache>
                <c:formatCode>0.0%</c:formatCode>
                <c:ptCount val="12"/>
                <c:pt idx="0">
                  <c:v>0.47499999999999998</c:v>
                </c:pt>
                <c:pt idx="1">
                  <c:v>0.47299999999999998</c:v>
                </c:pt>
                <c:pt idx="2">
                  <c:v>0.52300000000000002</c:v>
                </c:pt>
                <c:pt idx="3">
                  <c:v>0.4</c:v>
                </c:pt>
                <c:pt idx="4">
                  <c:v>0.30199999999999999</c:v>
                </c:pt>
                <c:pt idx="5">
                  <c:v>0.29599999999999999</c:v>
                </c:pt>
                <c:pt idx="6">
                  <c:v>0.441</c:v>
                </c:pt>
                <c:pt idx="7">
                  <c:v>0.47</c:v>
                </c:pt>
                <c:pt idx="8">
                  <c:v>0.85699999999999998</c:v>
                </c:pt>
                <c:pt idx="9">
                  <c:v>0.96199999999999997</c:v>
                </c:pt>
                <c:pt idx="10">
                  <c:v>0.92900000000000005</c:v>
                </c:pt>
                <c:pt idx="11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5-4144-883E-29821D04A353}"/>
            </c:ext>
          </c:extLst>
        </c:ser>
        <c:ser>
          <c:idx val="2"/>
          <c:order val="2"/>
          <c:tx>
            <c:strRef>
              <c:f>Data!$G$39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Data!$G$40:$G$51</c:f>
              <c:numCache>
                <c:formatCode>0.0%</c:formatCode>
                <c:ptCount val="12"/>
                <c:pt idx="0">
                  <c:v>0.98599999999999999</c:v>
                </c:pt>
                <c:pt idx="1">
                  <c:v>0.97389999999999999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5-4144-883E-29821D04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00448"/>
        <c:axId val="1"/>
      </c:barChart>
      <c:catAx>
        <c:axId val="1114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400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88909410344199"/>
          <c:y val="0.64628958764667122"/>
          <c:w val="9.9291009370866046E-2"/>
          <c:h val="0.25327564921288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(% storage energy)</a:t>
            </a:r>
          </a:p>
        </c:rich>
      </c:tx>
      <c:layout>
        <c:manualLayout>
          <c:xMode val="edge"/>
          <c:yMode val="edge"/>
          <c:x val="0.30607476635514019"/>
          <c:y val="2.54237288135593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448598130841117E-2"/>
          <c:y val="0.10169491525423729"/>
          <c:w val="0.90420560747663548"/>
          <c:h val="0.80084745762711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Data!$H$39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Data!$H$40:$H$51</c:f>
              <c:numCache>
                <c:formatCode>0.0%</c:formatCode>
                <c:ptCount val="12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C-4F92-93FB-E3FA9936984D}"/>
            </c:ext>
          </c:extLst>
        </c:ser>
        <c:ser>
          <c:idx val="1"/>
          <c:order val="1"/>
          <c:tx>
            <c:strRef>
              <c:f>Data!$I$39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Data!$I$40:$I$51</c:f>
              <c:numCache>
                <c:formatCode>0.0%</c:formatCode>
                <c:ptCount val="12"/>
                <c:pt idx="0">
                  <c:v>0.35700000000000004</c:v>
                </c:pt>
                <c:pt idx="1">
                  <c:v>0.54100000000000004</c:v>
                </c:pt>
                <c:pt idx="2">
                  <c:v>0.66</c:v>
                </c:pt>
                <c:pt idx="3">
                  <c:v>0.71199999999999997</c:v>
                </c:pt>
                <c:pt idx="4">
                  <c:v>0.67300000000000004</c:v>
                </c:pt>
                <c:pt idx="5">
                  <c:v>0.61799999999999999</c:v>
                </c:pt>
                <c:pt idx="6">
                  <c:v>0.54900000000000004</c:v>
                </c:pt>
                <c:pt idx="7">
                  <c:v>0.46800000000000003</c:v>
                </c:pt>
                <c:pt idx="8">
                  <c:v>0.39400000000000002</c:v>
                </c:pt>
                <c:pt idx="9">
                  <c:v>0.28899999999999998</c:v>
                </c:pt>
                <c:pt idx="10">
                  <c:v>0.27539999999999998</c:v>
                </c:pt>
                <c:pt idx="11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C-4F92-93FB-E3FA9936984D}"/>
            </c:ext>
          </c:extLst>
        </c:ser>
        <c:ser>
          <c:idx val="2"/>
          <c:order val="2"/>
          <c:tx>
            <c:strRef>
              <c:f>Data!$J$39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Data!$J$40:$J$51</c:f>
              <c:numCache>
                <c:formatCode>0.0%</c:formatCode>
                <c:ptCount val="12"/>
                <c:pt idx="0">
                  <c:v>0.41399999999999998</c:v>
                </c:pt>
                <c:pt idx="1">
                  <c:v>0.38169999999999998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C-4F92-93FB-E3FA9936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99488"/>
        <c:axId val="1"/>
      </c:barChart>
      <c:catAx>
        <c:axId val="1113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99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52336448598135"/>
          <c:y val="0.16949152542372881"/>
          <c:w val="9.8130841121495324E-2"/>
          <c:h val="0.245762711864406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(% storage energy)</a:t>
            </a:r>
          </a:p>
        </c:rich>
      </c:tx>
      <c:layout>
        <c:manualLayout>
          <c:xMode val="edge"/>
          <c:yMode val="edge"/>
          <c:x val="0.33489499654086075"/>
          <c:y val="2.17391304347826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51152951131794E-2"/>
          <c:y val="9.5652173913043481E-2"/>
          <c:w val="0.90164037530231733"/>
          <c:h val="0.804347826086956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Data!$K$39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Data!$K$40:$K$51</c:f>
              <c:numCache>
                <c:formatCode>0.0%</c:formatCode>
                <c:ptCount val="12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D-4EFD-A6F3-91BBBACAE80B}"/>
            </c:ext>
          </c:extLst>
        </c:ser>
        <c:ser>
          <c:idx val="1"/>
          <c:order val="1"/>
          <c:tx>
            <c:strRef>
              <c:f>Data!$L$39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Data!$L$40:$L$51</c:f>
              <c:numCache>
                <c:formatCode>0.0%</c:formatCode>
                <c:ptCount val="12"/>
                <c:pt idx="0">
                  <c:v>0.755</c:v>
                </c:pt>
                <c:pt idx="1">
                  <c:v>0.80700000000000005</c:v>
                </c:pt>
                <c:pt idx="2">
                  <c:v>0.83299999999999996</c:v>
                </c:pt>
                <c:pt idx="3">
                  <c:v>0.83699999999999997</c:v>
                </c:pt>
                <c:pt idx="4">
                  <c:v>0.82099999999999995</c:v>
                </c:pt>
                <c:pt idx="5">
                  <c:v>0.81100000000000005</c:v>
                </c:pt>
                <c:pt idx="6">
                  <c:v>0.755</c:v>
                </c:pt>
                <c:pt idx="7">
                  <c:v>0.61499999999999999</c:v>
                </c:pt>
                <c:pt idx="8">
                  <c:v>0.45400000000000001</c:v>
                </c:pt>
                <c:pt idx="9">
                  <c:v>0.32100000000000001</c:v>
                </c:pt>
                <c:pt idx="10">
                  <c:v>0.29020000000000001</c:v>
                </c:pt>
                <c:pt idx="11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D-4EFD-A6F3-91BBBACAE80B}"/>
            </c:ext>
          </c:extLst>
        </c:ser>
        <c:ser>
          <c:idx val="2"/>
          <c:order val="2"/>
          <c:tx>
            <c:strRef>
              <c:f>Data!$M$39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Data!$M$40:$M$51</c:f>
              <c:numCache>
                <c:formatCode>0.0%</c:formatCode>
                <c:ptCount val="12"/>
                <c:pt idx="0">
                  <c:v>0.71899999999999997</c:v>
                </c:pt>
                <c:pt idx="1">
                  <c:v>0.7248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D-4EFD-A6F3-91BBBACAE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96128"/>
        <c:axId val="1"/>
      </c:barChart>
      <c:catAx>
        <c:axId val="1113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9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24691393318433"/>
          <c:y val="0.64347826086956517"/>
          <c:w val="9.836076821479825E-2"/>
          <c:h val="0.252173913043478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Hydro Generation (GWh)</a:t>
            </a:r>
          </a:p>
        </c:rich>
      </c:tx>
      <c:layout>
        <c:manualLayout>
          <c:xMode val="edge"/>
          <c:yMode val="edge"/>
          <c:x val="0.33147632311977715"/>
          <c:y val="1.70068592117719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70473537604458"/>
          <c:y val="7.483018053179652E-2"/>
          <c:w val="0.85515320334261835"/>
          <c:h val="0.82313198584976166"/>
        </c:manualLayout>
      </c:layout>
      <c:barChart>
        <c:barDir val="col"/>
        <c:grouping val="clustered"/>
        <c:varyColors val="0"/>
        <c:ser>
          <c:idx val="0"/>
          <c:order val="0"/>
          <c:tx>
            <c:v>1999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Page1!$F$41:$F$52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Page1!$G$41:$G$52</c:f>
              <c:numCache>
                <c:formatCode>#,##0</c:formatCode>
                <c:ptCount val="12"/>
                <c:pt idx="0">
                  <c:v>27057.599999999999</c:v>
                </c:pt>
                <c:pt idx="1">
                  <c:v>25137</c:v>
                </c:pt>
                <c:pt idx="2">
                  <c:v>28507</c:v>
                </c:pt>
                <c:pt idx="3">
                  <c:v>26917</c:v>
                </c:pt>
                <c:pt idx="4">
                  <c:v>27147</c:v>
                </c:pt>
                <c:pt idx="5">
                  <c:v>26576</c:v>
                </c:pt>
                <c:pt idx="6">
                  <c:v>27818</c:v>
                </c:pt>
                <c:pt idx="7">
                  <c:v>27884</c:v>
                </c:pt>
                <c:pt idx="8">
                  <c:v>27287</c:v>
                </c:pt>
                <c:pt idx="9">
                  <c:v>27759</c:v>
                </c:pt>
                <c:pt idx="10">
                  <c:v>26734</c:v>
                </c:pt>
                <c:pt idx="11">
                  <c:v>27700.646999999997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1-468A-BE01-B46B941B6C48}"/>
            </c:ext>
          </c:extLst>
        </c:ser>
        <c:ser>
          <c:idx val="1"/>
          <c:order val="1"/>
          <c:tx>
            <c:v>2000</c:v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Page1!$F$41:$F$52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Page1!$H$41:$H$52</c:f>
              <c:numCache>
                <c:formatCode>#,##0</c:formatCode>
                <c:ptCount val="12"/>
                <c:pt idx="0">
                  <c:v>27687</c:v>
                </c:pt>
                <c:pt idx="1">
                  <c:v>26907</c:v>
                </c:pt>
                <c:pt idx="2">
                  <c:v>28799</c:v>
                </c:pt>
                <c:pt idx="3">
                  <c:v>27799</c:v>
                </c:pt>
                <c:pt idx="4">
                  <c:v>28801</c:v>
                </c:pt>
                <c:pt idx="5">
                  <c:v>27362</c:v>
                </c:pt>
                <c:pt idx="6">
                  <c:v>27666</c:v>
                </c:pt>
                <c:pt idx="7">
                  <c:v>27797.48</c:v>
                </c:pt>
                <c:pt idx="8">
                  <c:v>27472</c:v>
                </c:pt>
                <c:pt idx="9">
                  <c:v>30031</c:v>
                </c:pt>
                <c:pt idx="10">
                  <c:v>27567</c:v>
                </c:pt>
                <c:pt idx="11">
                  <c:v>27569.848678666665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1-468A-BE01-B46B941B6C48}"/>
            </c:ext>
          </c:extLst>
        </c:ser>
        <c:ser>
          <c:idx val="2"/>
          <c:order val="2"/>
          <c:tx>
            <c:v>2001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Page1!$I$41:$I$52</c:f>
              <c:numCache>
                <c:formatCode>_(* #,##0_);_(* \(#,##0\);_(* "-"??_);_(@_)</c:formatCode>
                <c:ptCount val="12"/>
                <c:pt idx="0">
                  <c:v>28958.029960000003</c:v>
                </c:pt>
                <c:pt idx="1">
                  <c:v>26950.175791666668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1-468A-BE01-B46B941B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00688"/>
        <c:axId val="1"/>
      </c:barChart>
      <c:catAx>
        <c:axId val="17740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0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860724233983289"/>
          <c:y val="0.91496902559333015"/>
          <c:w val="0.33983286908077992"/>
          <c:h val="7.483018053179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Thermo Generation (GWh)</a:t>
            </a:r>
          </a:p>
        </c:rich>
      </c:tx>
      <c:layout>
        <c:manualLayout>
          <c:xMode val="edge"/>
          <c:yMode val="edge"/>
          <c:x val="0.35714333622635891"/>
          <c:y val="2.04082310541263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8477016543904"/>
          <c:y val="9.8639783428277228E-2"/>
          <c:w val="0.87362754553832411"/>
          <c:h val="0.79251963926857216"/>
        </c:manualLayout>
      </c:layout>
      <c:barChart>
        <c:barDir val="col"/>
        <c:grouping val="clustered"/>
        <c:varyColors val="0"/>
        <c:ser>
          <c:idx val="0"/>
          <c:order val="0"/>
          <c:tx>
            <c:v>1999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Page1!$F$41:$F$52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Page1!$G$57:$G$68</c:f>
              <c:numCache>
                <c:formatCode>#,##0</c:formatCode>
                <c:ptCount val="12"/>
                <c:pt idx="0">
                  <c:v>1226.9000000000001</c:v>
                </c:pt>
                <c:pt idx="1">
                  <c:v>1207</c:v>
                </c:pt>
                <c:pt idx="2">
                  <c:v>1319</c:v>
                </c:pt>
                <c:pt idx="3">
                  <c:v>1239</c:v>
                </c:pt>
                <c:pt idx="4">
                  <c:v>1340</c:v>
                </c:pt>
                <c:pt idx="5">
                  <c:v>1272</c:v>
                </c:pt>
                <c:pt idx="6">
                  <c:v>988</c:v>
                </c:pt>
                <c:pt idx="7">
                  <c:v>1315</c:v>
                </c:pt>
                <c:pt idx="8">
                  <c:v>1378</c:v>
                </c:pt>
                <c:pt idx="9">
                  <c:v>1491</c:v>
                </c:pt>
                <c:pt idx="10">
                  <c:v>1647</c:v>
                </c:pt>
                <c:pt idx="11">
                  <c:v>1846.2555999999997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2-4733-8252-71316EE6AF0A}"/>
            </c:ext>
          </c:extLst>
        </c:ser>
        <c:ser>
          <c:idx val="1"/>
          <c:order val="1"/>
          <c:tx>
            <c:v>2000</c:v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Page1!$F$41:$F$52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Page1!$H$57:$H$68</c:f>
              <c:numCache>
                <c:formatCode>#,##0</c:formatCode>
                <c:ptCount val="12"/>
                <c:pt idx="0">
                  <c:v>1871</c:v>
                </c:pt>
                <c:pt idx="1">
                  <c:v>1775</c:v>
                </c:pt>
                <c:pt idx="2">
                  <c:v>1681</c:v>
                </c:pt>
                <c:pt idx="3">
                  <c:v>1415</c:v>
                </c:pt>
                <c:pt idx="4">
                  <c:v>1335</c:v>
                </c:pt>
                <c:pt idx="5">
                  <c:v>1413</c:v>
                </c:pt>
                <c:pt idx="6">
                  <c:v>1351</c:v>
                </c:pt>
                <c:pt idx="7">
                  <c:v>1982.83</c:v>
                </c:pt>
                <c:pt idx="8">
                  <c:v>1178</c:v>
                </c:pt>
                <c:pt idx="9">
                  <c:v>1500</c:v>
                </c:pt>
                <c:pt idx="10">
                  <c:v>2261</c:v>
                </c:pt>
                <c:pt idx="11">
                  <c:v>2635.073779166667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2-4733-8252-71316EE6AF0A}"/>
            </c:ext>
          </c:extLst>
        </c:ser>
        <c:ser>
          <c:idx val="2"/>
          <c:order val="2"/>
          <c:tx>
            <c:v>2001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Page1!$I$57:$I$68</c:f>
              <c:numCache>
                <c:formatCode>#,##0</c:formatCode>
                <c:ptCount val="12"/>
                <c:pt idx="0">
                  <c:v>2415.2691</c:v>
                </c:pt>
                <c:pt idx="1">
                  <c:v>2458.4604416666671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2-4733-8252-71316EE6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05008"/>
        <c:axId val="1"/>
      </c:barChart>
      <c:catAx>
        <c:axId val="17740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0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989059265886936"/>
          <c:y val="0.91496902559333015"/>
          <c:w val="0.33516528476627527"/>
          <c:h val="7.483018053179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Submarket</a:t>
            </a:r>
          </a:p>
        </c:rich>
      </c:tx>
      <c:layout>
        <c:manualLayout>
          <c:xMode val="edge"/>
          <c:yMode val="edge"/>
          <c:x val="0.38983050847457629"/>
          <c:y val="1.2635379061371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062581486310298E-2"/>
          <c:y val="8.3032490974729242E-2"/>
          <c:w val="0.90221642764015642"/>
          <c:h val="0.8267148014440433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Data!$E$2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A22-4CE1-9434-94ABA54FF1ED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0A22-4CE1-9434-94ABA54FF1ED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A22-4CE1-9434-94ABA54FF1ED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0A22-4CE1-9434-94ABA54FF1ED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A22-4CE1-9434-94ABA54FF1ED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0A22-4CE1-9434-94ABA54FF1ED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0A22-4CE1-9434-94ABA54FF1ED}"/>
              </c:ext>
            </c:extLst>
          </c:dPt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Data!$E$3:$E$31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  <c:pt idx="25">
                  <c:v>160.29</c:v>
                </c:pt>
                <c:pt idx="26">
                  <c:v>165.97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22-4CE1-9434-94ABA54FF1ED}"/>
            </c:ext>
          </c:extLst>
        </c:ser>
        <c:ser>
          <c:idx val="4"/>
          <c:order val="3"/>
          <c:tx>
            <c:strRef>
              <c:f>Data!$F$2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0A22-4CE1-9434-94ABA54FF1ED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0A22-4CE1-9434-94ABA54FF1ED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A22-4CE1-9434-94ABA54FF1ED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0A22-4CE1-9434-94ABA54FF1ED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0A22-4CE1-9434-94ABA54FF1ED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0A22-4CE1-9434-94ABA54FF1ED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0A22-4CE1-9434-94ABA54FF1ED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22-4CE1-9434-94ABA54FF1ED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Data!$F$3:$F$31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  <c:pt idx="25">
                  <c:v>160.29</c:v>
                </c:pt>
                <c:pt idx="26">
                  <c:v>165.97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22-4CE1-9434-94ABA54FF1ED}"/>
            </c:ext>
          </c:extLst>
        </c:ser>
        <c:ser>
          <c:idx val="5"/>
          <c:order val="4"/>
          <c:tx>
            <c:strRef>
              <c:f>Data!$G$2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0A22-4CE1-9434-94ABA54FF1ED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0A22-4CE1-9434-94ABA54FF1ED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0A22-4CE1-9434-94ABA54FF1ED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4-0A22-4CE1-9434-94ABA54FF1ED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0A22-4CE1-9434-94ABA54FF1ED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0A22-4CE1-9434-94ABA54FF1ED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0A22-4CE1-9434-94ABA54FF1ED}"/>
              </c:ext>
            </c:extLst>
          </c:dPt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Data!$G$3:$G$31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  <c:pt idx="25">
                  <c:v>160.29</c:v>
                </c:pt>
                <c:pt idx="26">
                  <c:v>165.97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A22-4CE1-9434-94ABA54F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Data!$C$3:$C$31</c:f>
              <c:numCache>
                <c:formatCode>0%</c:formatCode>
                <c:ptCount val="27"/>
                <c:pt idx="0">
                  <c:v>1.17</c:v>
                </c:pt>
                <c:pt idx="1">
                  <c:v>0.94</c:v>
                </c:pt>
                <c:pt idx="2">
                  <c:v>1.1100000000000001</c:v>
                </c:pt>
                <c:pt idx="3">
                  <c:v>0.8</c:v>
                </c:pt>
                <c:pt idx="4">
                  <c:v>0.86</c:v>
                </c:pt>
                <c:pt idx="5">
                  <c:v>0.96</c:v>
                </c:pt>
                <c:pt idx="6">
                  <c:v>1.08</c:v>
                </c:pt>
                <c:pt idx="7">
                  <c:v>0.83</c:v>
                </c:pt>
                <c:pt idx="8">
                  <c:v>0.96</c:v>
                </c:pt>
                <c:pt idx="9">
                  <c:v>0.61</c:v>
                </c:pt>
                <c:pt idx="10">
                  <c:v>0.7</c:v>
                </c:pt>
                <c:pt idx="11">
                  <c:v>0.68</c:v>
                </c:pt>
                <c:pt idx="12">
                  <c:v>0.97</c:v>
                </c:pt>
                <c:pt idx="13">
                  <c:v>1.1499999999999999</c:v>
                </c:pt>
                <c:pt idx="14">
                  <c:v>1.0900000000000001</c:v>
                </c:pt>
                <c:pt idx="15">
                  <c:v>0.85</c:v>
                </c:pt>
                <c:pt idx="16">
                  <c:v>0.74</c:v>
                </c:pt>
                <c:pt idx="17">
                  <c:v>0.77</c:v>
                </c:pt>
                <c:pt idx="18">
                  <c:v>0.89</c:v>
                </c:pt>
                <c:pt idx="19">
                  <c:v>0.99</c:v>
                </c:pt>
                <c:pt idx="20">
                  <c:v>1.8</c:v>
                </c:pt>
                <c:pt idx="21">
                  <c:v>0.92</c:v>
                </c:pt>
                <c:pt idx="22">
                  <c:v>1.0900000000000001</c:v>
                </c:pt>
                <c:pt idx="23">
                  <c:v>1.07</c:v>
                </c:pt>
                <c:pt idx="24">
                  <c:v>0.75</c:v>
                </c:pt>
                <c:pt idx="2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22-4CE1-9434-94ABA54FF1ED}"/>
            </c:ext>
          </c:extLst>
        </c:ser>
        <c:ser>
          <c:idx val="2"/>
          <c:order val="1"/>
          <c:tx>
            <c:strRef>
              <c:f>Data!$D$2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3"/>
              <c:layout>
                <c:manualLayout>
                  <c:xMode val="edge"/>
                  <c:yMode val="edge"/>
                  <c:x val="0.82529335071707954"/>
                  <c:y val="0.7617328519855595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A22-4CE1-9434-94ABA54FF1E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Data!$D$3:$D$31</c:f>
              <c:numCache>
                <c:formatCode>0.0%</c:formatCode>
                <c:ptCount val="27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  <c:pt idx="12">
                  <c:v>0.29299999999999998</c:v>
                </c:pt>
                <c:pt idx="13">
                  <c:v>0.45</c:v>
                </c:pt>
                <c:pt idx="14">
                  <c:v>0.58499999999999996</c:v>
                </c:pt>
                <c:pt idx="15">
                  <c:v>0.59399999999999997</c:v>
                </c:pt>
                <c:pt idx="16">
                  <c:v>0.54100000000000004</c:v>
                </c:pt>
                <c:pt idx="17">
                  <c:v>0.47299999999999998</c:v>
                </c:pt>
                <c:pt idx="18">
                  <c:v>0.40200000000000002</c:v>
                </c:pt>
                <c:pt idx="19">
                  <c:v>0.32400000000000001</c:v>
                </c:pt>
                <c:pt idx="20">
                  <c:v>0.308</c:v>
                </c:pt>
                <c:pt idx="21">
                  <c:v>0.23</c:v>
                </c:pt>
                <c:pt idx="22">
                  <c:v>0.22090000000000001</c:v>
                </c:pt>
                <c:pt idx="23">
                  <c:v>0.28499999999999998</c:v>
                </c:pt>
                <c:pt idx="24">
                  <c:v>0.314</c:v>
                </c:pt>
                <c:pt idx="25">
                  <c:v>0.33439999999999998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22-4CE1-9434-94ABA54F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6448"/>
        <c:axId val="1"/>
      </c:lineChart>
      <c:dateAx>
        <c:axId val="177406448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06448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Submarket</a:t>
            </a:r>
          </a:p>
        </c:rich>
      </c:tx>
      <c:layout>
        <c:manualLayout>
          <c:xMode val="edge"/>
          <c:yMode val="edge"/>
          <c:x val="0.40494843158522492"/>
          <c:y val="9.208119691168298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89654527860679E-2"/>
          <c:y val="3.8674102702906853E-2"/>
          <c:w val="0.90234489739087087"/>
          <c:h val="0.86924649884628735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Data!$K$2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7375-48EB-8FF9-007CF2735F64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7375-48EB-8FF9-007CF2735F64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7375-48EB-8FF9-007CF2735F64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7375-48EB-8FF9-007CF2735F64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375-48EB-8FF9-007CF2735F64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7375-48EB-8FF9-007CF2735F64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7375-48EB-8FF9-007CF2735F64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75-48EB-8FF9-007CF2735F64}"/>
                </c:ext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75-48EB-8FF9-007CF2735F64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75-48EB-8FF9-007CF2735F64}"/>
                </c:ext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75-48EB-8FF9-007CF2735F64}"/>
                </c:ext>
              </c:extLst>
            </c:dLbl>
            <c:dLbl>
              <c:idx val="25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75-48EB-8FF9-007CF2735F64}"/>
                </c:ext>
              </c:extLst>
            </c:dLbl>
            <c:dLbl>
              <c:idx val="26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75-48EB-8FF9-007CF2735F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Data!$K$3:$K$31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175.99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  <c:pt idx="25">
                  <c:v>160.29</c:v>
                </c:pt>
                <c:pt idx="26">
                  <c:v>165.97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75-48EB-8FF9-007CF2735F64}"/>
            </c:ext>
          </c:extLst>
        </c:ser>
        <c:ser>
          <c:idx val="4"/>
          <c:order val="3"/>
          <c:tx>
            <c:strRef>
              <c:f>Data!$L$2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7375-48EB-8FF9-007CF2735F64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7375-48EB-8FF9-007CF2735F64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7375-48EB-8FF9-007CF2735F64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7375-48EB-8FF9-007CF2735F64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7375-48EB-8FF9-007CF2735F64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7375-48EB-8FF9-007CF2735F64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7375-48EB-8FF9-007CF2735F64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375-48EB-8FF9-007CF2735F64}"/>
                </c:ext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75-48EB-8FF9-007CF2735F64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75-48EB-8FF9-007CF2735F64}"/>
                </c:ext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375-48EB-8FF9-007CF2735F64}"/>
                </c:ext>
              </c:extLst>
            </c:dLbl>
            <c:dLbl>
              <c:idx val="25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375-48EB-8FF9-007CF2735F64}"/>
                </c:ext>
              </c:extLst>
            </c:dLbl>
            <c:dLbl>
              <c:idx val="26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75-48EB-8FF9-007CF2735F64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Data!$L$3:$L$31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175.99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  <c:pt idx="25">
                  <c:v>153.47</c:v>
                </c:pt>
                <c:pt idx="26">
                  <c:v>149.84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75-48EB-8FF9-007CF2735F64}"/>
            </c:ext>
          </c:extLst>
        </c:ser>
        <c:ser>
          <c:idx val="5"/>
          <c:order val="4"/>
          <c:tx>
            <c:strRef>
              <c:f>Data!$M$2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7375-48EB-8FF9-007CF2735F64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7375-48EB-8FF9-007CF2735F64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7375-48EB-8FF9-007CF2735F64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4-7375-48EB-8FF9-007CF2735F64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7375-48EB-8FF9-007CF2735F64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7375-48EB-8FF9-007CF2735F64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7375-48EB-8FF9-007CF2735F64}"/>
              </c:ext>
            </c:extLst>
          </c:dPt>
          <c:dLbls>
            <c:dLbl>
              <c:idx val="26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375-48EB-8FF9-007CF2735F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Data!$M$3:$M$31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27.45</c:v>
                </c:pt>
                <c:pt idx="22">
                  <c:v>147.15</c:v>
                </c:pt>
                <c:pt idx="23">
                  <c:v>101.77</c:v>
                </c:pt>
                <c:pt idx="24">
                  <c:v>56.92</c:v>
                </c:pt>
                <c:pt idx="25">
                  <c:v>153.47</c:v>
                </c:pt>
                <c:pt idx="26">
                  <c:v>149.84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375-48EB-8FF9-007CF273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Data!$I$2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Data!$I$3:$I$31</c:f>
              <c:numCache>
                <c:formatCode>0%</c:formatCode>
                <c:ptCount val="27"/>
                <c:pt idx="0">
                  <c:v>0.96</c:v>
                </c:pt>
                <c:pt idx="1">
                  <c:v>1.41</c:v>
                </c:pt>
                <c:pt idx="2">
                  <c:v>1.03</c:v>
                </c:pt>
                <c:pt idx="3">
                  <c:v>1.33</c:v>
                </c:pt>
                <c:pt idx="4">
                  <c:v>0.56000000000000005</c:v>
                </c:pt>
                <c:pt idx="5">
                  <c:v>1.17</c:v>
                </c:pt>
                <c:pt idx="6">
                  <c:v>2.04</c:v>
                </c:pt>
                <c:pt idx="7">
                  <c:v>0.42</c:v>
                </c:pt>
                <c:pt idx="8">
                  <c:v>0.47</c:v>
                </c:pt>
                <c:pt idx="9">
                  <c:v>1.1599999999999999</c:v>
                </c:pt>
                <c:pt idx="10">
                  <c:v>0.57999999999999996</c:v>
                </c:pt>
                <c:pt idx="11">
                  <c:v>0.59</c:v>
                </c:pt>
                <c:pt idx="12">
                  <c:v>0.82</c:v>
                </c:pt>
                <c:pt idx="13">
                  <c:v>1.08</c:v>
                </c:pt>
                <c:pt idx="14">
                  <c:v>1.25</c:v>
                </c:pt>
                <c:pt idx="15">
                  <c:v>0.63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0.92</c:v>
                </c:pt>
                <c:pt idx="19">
                  <c:v>0.67</c:v>
                </c:pt>
                <c:pt idx="20">
                  <c:v>2.5099999999999998</c:v>
                </c:pt>
                <c:pt idx="21">
                  <c:v>1.84</c:v>
                </c:pt>
                <c:pt idx="22">
                  <c:v>0.85</c:v>
                </c:pt>
                <c:pt idx="23">
                  <c:v>0.78</c:v>
                </c:pt>
                <c:pt idx="24">
                  <c:v>2.0499999999999998</c:v>
                </c:pt>
                <c:pt idx="25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375-48EB-8FF9-007CF2735F64}"/>
            </c:ext>
          </c:extLst>
        </c:ser>
        <c:ser>
          <c:idx val="2"/>
          <c:order val="1"/>
          <c:tx>
            <c:strRef>
              <c:f>Data!$J$2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Data!$J$3:$J$31</c:f>
              <c:numCache>
                <c:formatCode>0.0%</c:formatCode>
                <c:ptCount val="27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  <c:pt idx="12">
                  <c:v>0.47499999999999998</c:v>
                </c:pt>
                <c:pt idx="13">
                  <c:v>0.47299999999999998</c:v>
                </c:pt>
                <c:pt idx="14">
                  <c:v>0.52300000000000002</c:v>
                </c:pt>
                <c:pt idx="15">
                  <c:v>0.4</c:v>
                </c:pt>
                <c:pt idx="16">
                  <c:v>0.30199999999999999</c:v>
                </c:pt>
                <c:pt idx="17">
                  <c:v>0.29599999999999999</c:v>
                </c:pt>
                <c:pt idx="18">
                  <c:v>0.441</c:v>
                </c:pt>
                <c:pt idx="19">
                  <c:v>0.47</c:v>
                </c:pt>
                <c:pt idx="20">
                  <c:v>0.85699999999999998</c:v>
                </c:pt>
                <c:pt idx="21">
                  <c:v>0.96199999999999997</c:v>
                </c:pt>
                <c:pt idx="22">
                  <c:v>0.92900000000000005</c:v>
                </c:pt>
                <c:pt idx="23">
                  <c:v>0.89400000000000002</c:v>
                </c:pt>
                <c:pt idx="24">
                  <c:v>0.98599999999999999</c:v>
                </c:pt>
                <c:pt idx="25">
                  <c:v>0.97389999999999999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375-48EB-8FF9-007CF273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3568"/>
        <c:axId val="1"/>
      </c:lineChart>
      <c:dateAx>
        <c:axId val="177403568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.8"/>
          <c:min val="0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03568"/>
        <c:crosses val="autoZero"/>
        <c:crossBetween val="between"/>
        <c:majorUnit val="0.4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Submarket</a:t>
            </a:r>
          </a:p>
        </c:rich>
      </c:tx>
      <c:layout>
        <c:manualLayout>
          <c:xMode val="edge"/>
          <c:yMode val="edge"/>
          <c:x val="0.3893234117169847"/>
          <c:y val="9.074410163339383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89654527860679E-2"/>
          <c:y val="6.8965517241379309E-2"/>
          <c:w val="0.90234489739087087"/>
          <c:h val="0.83847549909255903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Data!$Q$2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1298-4BBA-A269-53513A74104C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298-4BBA-A269-53513A74104C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1298-4BBA-A269-53513A74104C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298-4BBA-A269-53513A74104C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1298-4BBA-A269-53513A74104C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298-4BBA-A269-53513A74104C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1298-4BBA-A269-53513A74104C}"/>
              </c:ext>
            </c:extLst>
          </c:dPt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Data!$Q$3:$Q$31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 formatCode="0.0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98-4BBA-A269-53513A74104C}"/>
            </c:ext>
          </c:extLst>
        </c:ser>
        <c:ser>
          <c:idx val="4"/>
          <c:order val="3"/>
          <c:tx>
            <c:strRef>
              <c:f>Data!$R$2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1298-4BBA-A269-53513A74104C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1298-4BBA-A269-53513A74104C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1298-4BBA-A269-53513A74104C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1298-4BBA-A269-53513A74104C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1298-4BBA-A269-53513A74104C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1298-4BBA-A269-53513A74104C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1298-4BBA-A269-53513A74104C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298-4BBA-A269-53513A74104C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Data!$R$3:$R$31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98-4BBA-A269-53513A74104C}"/>
            </c:ext>
          </c:extLst>
        </c:ser>
        <c:ser>
          <c:idx val="5"/>
          <c:order val="4"/>
          <c:tx>
            <c:strRef>
              <c:f>Data!$S$2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1298-4BBA-A269-53513A74104C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1298-4BBA-A269-53513A74104C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4-1298-4BBA-A269-53513A74104C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1298-4BBA-A269-53513A74104C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1298-4BBA-A269-53513A74104C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1298-4BBA-A269-53513A74104C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1298-4BBA-A269-53513A74104C}"/>
              </c:ext>
            </c:extLst>
          </c:dPt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Data!$S$3:$S$31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298-4BBA-A269-53513A74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Data!$O$2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Data!$O$3:$O$31</c:f>
              <c:numCache>
                <c:formatCode>0%</c:formatCode>
                <c:ptCount val="27"/>
                <c:pt idx="0">
                  <c:v>0.69</c:v>
                </c:pt>
                <c:pt idx="1">
                  <c:v>0.34</c:v>
                </c:pt>
                <c:pt idx="2">
                  <c:v>0.9</c:v>
                </c:pt>
                <c:pt idx="3">
                  <c:v>0.57999999999999996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0.71</c:v>
                </c:pt>
                <c:pt idx="7">
                  <c:v>0.63</c:v>
                </c:pt>
                <c:pt idx="8">
                  <c:v>0.6</c:v>
                </c:pt>
                <c:pt idx="9">
                  <c:v>0.56999999999999995</c:v>
                </c:pt>
                <c:pt idx="10">
                  <c:v>0.75</c:v>
                </c:pt>
                <c:pt idx="11">
                  <c:v>0.96</c:v>
                </c:pt>
                <c:pt idx="12">
                  <c:v>0.89</c:v>
                </c:pt>
                <c:pt idx="13">
                  <c:v>1.1000000000000001</c:v>
                </c:pt>
                <c:pt idx="14">
                  <c:v>0.91</c:v>
                </c:pt>
                <c:pt idx="15">
                  <c:v>0.9</c:v>
                </c:pt>
                <c:pt idx="16">
                  <c:v>0.73</c:v>
                </c:pt>
                <c:pt idx="17">
                  <c:v>0.76</c:v>
                </c:pt>
                <c:pt idx="18">
                  <c:v>0.74</c:v>
                </c:pt>
                <c:pt idx="19">
                  <c:v>0.76</c:v>
                </c:pt>
                <c:pt idx="20">
                  <c:v>0.91</c:v>
                </c:pt>
                <c:pt idx="21">
                  <c:v>0.69</c:v>
                </c:pt>
                <c:pt idx="22">
                  <c:v>0.9</c:v>
                </c:pt>
                <c:pt idx="23">
                  <c:v>1.07</c:v>
                </c:pt>
                <c:pt idx="24">
                  <c:v>0.72</c:v>
                </c:pt>
                <c:pt idx="2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298-4BBA-A269-53513A74104C}"/>
            </c:ext>
          </c:extLst>
        </c:ser>
        <c:ser>
          <c:idx val="2"/>
          <c:order val="1"/>
          <c:tx>
            <c:strRef>
              <c:f>Data!$P$2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0"/>
              <c:layout>
                <c:manualLayout>
                  <c:xMode val="edge"/>
                  <c:yMode val="edge"/>
                  <c:x val="0.73698010378532886"/>
                  <c:y val="0.597096188747731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298-4BBA-A269-53513A74104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Data!$P$3:$P$31</c:f>
              <c:numCache>
                <c:formatCode>0.0%</c:formatCode>
                <c:ptCount val="27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  <c:pt idx="12">
                  <c:v>0.35700000000000004</c:v>
                </c:pt>
                <c:pt idx="13">
                  <c:v>0.54100000000000004</c:v>
                </c:pt>
                <c:pt idx="14">
                  <c:v>0.66</c:v>
                </c:pt>
                <c:pt idx="15">
                  <c:v>0.71199999999999997</c:v>
                </c:pt>
                <c:pt idx="16">
                  <c:v>0.67300000000000004</c:v>
                </c:pt>
                <c:pt idx="17">
                  <c:v>0.61799999999999999</c:v>
                </c:pt>
                <c:pt idx="18">
                  <c:v>0.54900000000000004</c:v>
                </c:pt>
                <c:pt idx="19">
                  <c:v>0.46800000000000003</c:v>
                </c:pt>
                <c:pt idx="20">
                  <c:v>0.39400000000000002</c:v>
                </c:pt>
                <c:pt idx="21">
                  <c:v>0.28899999999999998</c:v>
                </c:pt>
                <c:pt idx="22">
                  <c:v>0.27539999999999998</c:v>
                </c:pt>
                <c:pt idx="23">
                  <c:v>0.36799999999999999</c:v>
                </c:pt>
                <c:pt idx="24">
                  <c:v>0.41399999999999998</c:v>
                </c:pt>
                <c:pt idx="25">
                  <c:v>0.38169999999999998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298-4BBA-A269-53513A74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29200"/>
        <c:axId val="1"/>
      </c:lineChart>
      <c:dateAx>
        <c:axId val="180129200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2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29200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240"/>
          <c:min val="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4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69</xdr:row>
      <xdr:rowOff>0</xdr:rowOff>
    </xdr:from>
    <xdr:to>
      <xdr:col>10</xdr:col>
      <xdr:colOff>542925</xdr:colOff>
      <xdr:row>84</xdr:row>
      <xdr:rowOff>0</xdr:rowOff>
    </xdr:to>
    <xdr:graphicFrame macro="">
      <xdr:nvGraphicFramePr>
        <xdr:cNvPr id="2859" name="Chart 811">
          <a:extLst>
            <a:ext uri="{FF2B5EF4-FFF2-40B4-BE49-F238E27FC236}">
              <a16:creationId xmlns:a16="http://schemas.microsoft.com/office/drawing/2014/main" id="{3D9B5896-4B2C-C17F-BBC4-DCCD12EF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71</xdr:row>
      <xdr:rowOff>28575</xdr:rowOff>
    </xdr:from>
    <xdr:to>
      <xdr:col>1</xdr:col>
      <xdr:colOff>361950</xdr:colOff>
      <xdr:row>84</xdr:row>
      <xdr:rowOff>28131</xdr:rowOff>
    </xdr:to>
    <xdr:grpSp>
      <xdr:nvGrpSpPr>
        <xdr:cNvPr id="2652" name="Group 604">
          <a:extLst>
            <a:ext uri="{FF2B5EF4-FFF2-40B4-BE49-F238E27FC236}">
              <a16:creationId xmlns:a16="http://schemas.microsoft.com/office/drawing/2014/main" id="{EB307C65-1957-CFE3-F6B6-8209C47968C7}"/>
            </a:ext>
          </a:extLst>
        </xdr:cNvPr>
        <xdr:cNvGrpSpPr>
          <a:grpSpLocks/>
        </xdr:cNvGrpSpPr>
      </xdr:nvGrpSpPr>
      <xdr:grpSpPr bwMode="auto">
        <a:xfrm>
          <a:off x="200025" y="11010900"/>
          <a:ext cx="1352550" cy="1961706"/>
          <a:chOff x="144" y="1296"/>
          <a:chExt cx="1171" cy="1690"/>
        </a:xfrm>
      </xdr:grpSpPr>
      <xdr:sp macro="" textlink="">
        <xdr:nvSpPr>
          <xdr:cNvPr id="2653" name="Rectangle 605">
            <a:extLst>
              <a:ext uri="{FF2B5EF4-FFF2-40B4-BE49-F238E27FC236}">
                <a16:creationId xmlns:a16="http://schemas.microsoft.com/office/drawing/2014/main" id="{B8C4B178-76C4-402E-A909-AFC18243AC71}"/>
              </a:ext>
            </a:extLst>
          </xdr:cNvPr>
          <xdr:cNvSpPr>
            <a:spLocks noChangeArrowheads="1"/>
          </xdr:cNvSpPr>
        </xdr:nvSpPr>
        <xdr:spPr bwMode="auto">
          <a:xfrm>
            <a:off x="178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654" name="Line 606">
            <a:extLst>
              <a:ext uri="{FF2B5EF4-FFF2-40B4-BE49-F238E27FC236}">
                <a16:creationId xmlns:a16="http://schemas.microsoft.com/office/drawing/2014/main" id="{D5DF80A6-47B9-C03B-8DBB-1311668847AA}"/>
              </a:ext>
            </a:extLst>
          </xdr:cNvPr>
          <xdr:cNvSpPr>
            <a:spLocks noChangeShapeType="1"/>
          </xdr:cNvSpPr>
        </xdr:nvSpPr>
        <xdr:spPr bwMode="auto">
          <a:xfrm>
            <a:off x="706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5" name="Line 607">
            <a:extLst>
              <a:ext uri="{FF2B5EF4-FFF2-40B4-BE49-F238E27FC236}">
                <a16:creationId xmlns:a16="http://schemas.microsoft.com/office/drawing/2014/main" id="{D2A3703B-DA63-C068-6BA7-5E417D848286}"/>
              </a:ext>
            </a:extLst>
          </xdr:cNvPr>
          <xdr:cNvSpPr>
            <a:spLocks noChangeShapeType="1"/>
          </xdr:cNvSpPr>
        </xdr:nvSpPr>
        <xdr:spPr bwMode="auto">
          <a:xfrm>
            <a:off x="322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6" name="Text Box 608">
            <a:extLst>
              <a:ext uri="{FF2B5EF4-FFF2-40B4-BE49-F238E27FC236}">
                <a16:creationId xmlns:a16="http://schemas.microsoft.com/office/drawing/2014/main" id="{63D7187C-9DCC-EE56-753C-1C0778820F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4" y="1493"/>
            <a:ext cx="240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7" name="Text Box 609">
            <a:extLst>
              <a:ext uri="{FF2B5EF4-FFF2-40B4-BE49-F238E27FC236}">
                <a16:creationId xmlns:a16="http://schemas.microsoft.com/office/drawing/2014/main" id="{349B7AC2-57F1-B66F-9E5D-419B9CF6441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01" y="1485"/>
            <a:ext cx="314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8" name="Text Box 610">
            <a:extLst>
              <a:ext uri="{FF2B5EF4-FFF2-40B4-BE49-F238E27FC236}">
                <a16:creationId xmlns:a16="http://schemas.microsoft.com/office/drawing/2014/main" id="{B3E4D7A8-F755-D1DB-F485-BE1767FAC1BF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9" y="2732"/>
            <a:ext cx="74" cy="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9" name="AutoShape 611">
            <a:extLst>
              <a:ext uri="{FF2B5EF4-FFF2-40B4-BE49-F238E27FC236}">
                <a16:creationId xmlns:a16="http://schemas.microsoft.com/office/drawing/2014/main" id="{4021D7F2-11D0-CD5C-5965-CDD8E510C321}"/>
              </a:ext>
            </a:extLst>
          </xdr:cNvPr>
          <xdr:cNvSpPr>
            <a:spLocks noChangeArrowheads="1"/>
          </xdr:cNvSpPr>
        </xdr:nvSpPr>
        <xdr:spPr bwMode="auto">
          <a:xfrm>
            <a:off x="680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60" name="Line 612">
            <a:extLst>
              <a:ext uri="{FF2B5EF4-FFF2-40B4-BE49-F238E27FC236}">
                <a16:creationId xmlns:a16="http://schemas.microsoft.com/office/drawing/2014/main" id="{220C26B9-BB2D-8FD4-104C-32CDB8314FF2}"/>
              </a:ext>
            </a:extLst>
          </xdr:cNvPr>
          <xdr:cNvSpPr>
            <a:spLocks noChangeShapeType="1"/>
          </xdr:cNvSpPr>
        </xdr:nvSpPr>
        <xdr:spPr bwMode="auto">
          <a:xfrm>
            <a:off x="370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1" name="Line 613">
            <a:extLst>
              <a:ext uri="{FF2B5EF4-FFF2-40B4-BE49-F238E27FC236}">
                <a16:creationId xmlns:a16="http://schemas.microsoft.com/office/drawing/2014/main" id="{98BBE23A-D3F4-B105-8A7D-C724606C546D}"/>
              </a:ext>
            </a:extLst>
          </xdr:cNvPr>
          <xdr:cNvSpPr>
            <a:spLocks noChangeShapeType="1"/>
          </xdr:cNvSpPr>
        </xdr:nvSpPr>
        <xdr:spPr bwMode="auto">
          <a:xfrm>
            <a:off x="802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2" name="Line 614">
            <a:extLst>
              <a:ext uri="{FF2B5EF4-FFF2-40B4-BE49-F238E27FC236}">
                <a16:creationId xmlns:a16="http://schemas.microsoft.com/office/drawing/2014/main" id="{552081E4-A83E-6DF9-413F-6232778C8EFE}"/>
              </a:ext>
            </a:extLst>
          </xdr:cNvPr>
          <xdr:cNvSpPr>
            <a:spLocks noChangeShapeType="1"/>
          </xdr:cNvSpPr>
        </xdr:nvSpPr>
        <xdr:spPr bwMode="auto">
          <a:xfrm flipH="1">
            <a:off x="802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3" name="Line 615">
            <a:extLst>
              <a:ext uri="{FF2B5EF4-FFF2-40B4-BE49-F238E27FC236}">
                <a16:creationId xmlns:a16="http://schemas.microsoft.com/office/drawing/2014/main" id="{6CE5C791-E100-01F8-5A92-0432E991CE84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4" name="Line 616">
            <a:extLst>
              <a:ext uri="{FF2B5EF4-FFF2-40B4-BE49-F238E27FC236}">
                <a16:creationId xmlns:a16="http://schemas.microsoft.com/office/drawing/2014/main" id="{796AB8DE-1791-7F4C-767D-4AC1C4131437}"/>
              </a:ext>
            </a:extLst>
          </xdr:cNvPr>
          <xdr:cNvSpPr>
            <a:spLocks noChangeShapeType="1"/>
          </xdr:cNvSpPr>
        </xdr:nvSpPr>
        <xdr:spPr bwMode="auto">
          <a:xfrm flipV="1">
            <a:off x="610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5" name="Line 617">
            <a:extLst>
              <a:ext uri="{FF2B5EF4-FFF2-40B4-BE49-F238E27FC236}">
                <a16:creationId xmlns:a16="http://schemas.microsoft.com/office/drawing/2014/main" id="{B4A8D5E5-382B-0AA3-3F00-59B83ADC6C0B}"/>
              </a:ext>
            </a:extLst>
          </xdr:cNvPr>
          <xdr:cNvSpPr>
            <a:spLocks noChangeShapeType="1"/>
          </xdr:cNvSpPr>
        </xdr:nvSpPr>
        <xdr:spPr bwMode="auto">
          <a:xfrm flipV="1">
            <a:off x="802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6" name="Text Box 618">
            <a:extLst>
              <a:ext uri="{FF2B5EF4-FFF2-40B4-BE49-F238E27FC236}">
                <a16:creationId xmlns:a16="http://schemas.microsoft.com/office/drawing/2014/main" id="{7148474C-1F37-8DD8-0310-C98207ED7BC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" y="2018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938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7" name="Text Box 619">
            <a:extLst>
              <a:ext uri="{FF2B5EF4-FFF2-40B4-BE49-F238E27FC236}">
                <a16:creationId xmlns:a16="http://schemas.microsoft.com/office/drawing/2014/main" id="{385BE05C-34E3-E807-C641-F645E66D868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3" y="2018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8" name="Text Box 620">
            <a:extLst>
              <a:ext uri="{FF2B5EF4-FFF2-40B4-BE49-F238E27FC236}">
                <a16:creationId xmlns:a16="http://schemas.microsoft.com/office/drawing/2014/main" id="{516B38BD-B4A9-3FB7-3E2D-A248B2A101D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" y="1682"/>
            <a:ext cx="28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9" name="Text Box 621">
            <a:extLst>
              <a:ext uri="{FF2B5EF4-FFF2-40B4-BE49-F238E27FC236}">
                <a16:creationId xmlns:a16="http://schemas.microsoft.com/office/drawing/2014/main" id="{42F5318B-A21F-E5B7-B6E5-7647FA94B9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3" y="1682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676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0" name="Text Box 622">
            <a:extLst>
              <a:ext uri="{FF2B5EF4-FFF2-40B4-BE49-F238E27FC236}">
                <a16:creationId xmlns:a16="http://schemas.microsoft.com/office/drawing/2014/main" id="{770F4FA2-394B-CE8D-8D2D-43D274A581B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0" y="1353"/>
            <a:ext cx="280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1" name="Text Box 623">
            <a:extLst>
              <a:ext uri="{FF2B5EF4-FFF2-40B4-BE49-F238E27FC236}">
                <a16:creationId xmlns:a16="http://schemas.microsoft.com/office/drawing/2014/main" id="{B9D2F75A-0B99-83BA-0B65-5F319193601B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4" y="1353"/>
            <a:ext cx="231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491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2" name="Line 624">
            <a:extLst>
              <a:ext uri="{FF2B5EF4-FFF2-40B4-BE49-F238E27FC236}">
                <a16:creationId xmlns:a16="http://schemas.microsoft.com/office/drawing/2014/main" id="{B73CAF93-38AB-7C89-728B-4C7705405090}"/>
              </a:ext>
            </a:extLst>
          </xdr:cNvPr>
          <xdr:cNvSpPr>
            <a:spLocks noChangeShapeType="1"/>
          </xdr:cNvSpPr>
        </xdr:nvSpPr>
        <xdr:spPr bwMode="auto">
          <a:xfrm flipV="1">
            <a:off x="802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3" name="Text Box 625">
            <a:extLst>
              <a:ext uri="{FF2B5EF4-FFF2-40B4-BE49-F238E27FC236}">
                <a16:creationId xmlns:a16="http://schemas.microsoft.com/office/drawing/2014/main" id="{0D3C27AE-D9D5-BDA0-D408-038DCD3C7E72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4" y="2158"/>
            <a:ext cx="231" cy="2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4" name="Line 626">
            <a:extLst>
              <a:ext uri="{FF2B5EF4-FFF2-40B4-BE49-F238E27FC236}">
                <a16:creationId xmlns:a16="http://schemas.microsoft.com/office/drawing/2014/main" id="{148184E9-36B6-0E9B-B353-D5CCE8521971}"/>
              </a:ext>
            </a:extLst>
          </xdr:cNvPr>
          <xdr:cNvSpPr>
            <a:spLocks noChangeShapeType="1"/>
          </xdr:cNvSpPr>
        </xdr:nvSpPr>
        <xdr:spPr bwMode="auto">
          <a:xfrm flipV="1">
            <a:off x="610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5" name="Text Box 627">
            <a:extLst>
              <a:ext uri="{FF2B5EF4-FFF2-40B4-BE49-F238E27FC236}">
                <a16:creationId xmlns:a16="http://schemas.microsoft.com/office/drawing/2014/main" id="{5C0F3D3B-19D5-D479-6C0E-9839F3E6AC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4" y="2412"/>
            <a:ext cx="28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3323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6" name="Text Box 628">
            <a:extLst>
              <a:ext uri="{FF2B5EF4-FFF2-40B4-BE49-F238E27FC236}">
                <a16:creationId xmlns:a16="http://schemas.microsoft.com/office/drawing/2014/main" id="{966B9598-6079-0C5E-5C5F-7D335F8F3A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" y="2404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416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7" name="Rectangle 629">
            <a:extLst>
              <a:ext uri="{FF2B5EF4-FFF2-40B4-BE49-F238E27FC236}">
                <a16:creationId xmlns:a16="http://schemas.microsoft.com/office/drawing/2014/main" id="{84AE5053-2525-973C-8ED8-183341357777}"/>
              </a:ext>
            </a:extLst>
          </xdr:cNvPr>
          <xdr:cNvSpPr>
            <a:spLocks noChangeArrowheads="1"/>
          </xdr:cNvSpPr>
        </xdr:nvSpPr>
        <xdr:spPr bwMode="auto">
          <a:xfrm>
            <a:off x="680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78" name="Rectangle 630">
            <a:extLst>
              <a:ext uri="{FF2B5EF4-FFF2-40B4-BE49-F238E27FC236}">
                <a16:creationId xmlns:a16="http://schemas.microsoft.com/office/drawing/2014/main" id="{E3AF521F-5597-1B28-096E-3DCF6BE19A35}"/>
              </a:ext>
            </a:extLst>
          </xdr:cNvPr>
          <xdr:cNvSpPr>
            <a:spLocks noChangeArrowheads="1"/>
          </xdr:cNvSpPr>
        </xdr:nvSpPr>
        <xdr:spPr bwMode="auto">
          <a:xfrm>
            <a:off x="680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79" name="Rectangle 631">
            <a:extLst>
              <a:ext uri="{FF2B5EF4-FFF2-40B4-BE49-F238E27FC236}">
                <a16:creationId xmlns:a16="http://schemas.microsoft.com/office/drawing/2014/main" id="{CF989553-F99E-DA45-E2B0-EA90E1AFD6D4}"/>
              </a:ext>
            </a:extLst>
          </xdr:cNvPr>
          <xdr:cNvSpPr>
            <a:spLocks noChangeArrowheads="1"/>
          </xdr:cNvSpPr>
        </xdr:nvSpPr>
        <xdr:spPr bwMode="auto">
          <a:xfrm>
            <a:off x="317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80" name="Rectangle 632">
            <a:extLst>
              <a:ext uri="{FF2B5EF4-FFF2-40B4-BE49-F238E27FC236}">
                <a16:creationId xmlns:a16="http://schemas.microsoft.com/office/drawing/2014/main" id="{354BBA4A-80D6-C68C-08A2-BBA20A8B5CBD}"/>
              </a:ext>
            </a:extLst>
          </xdr:cNvPr>
          <xdr:cNvSpPr>
            <a:spLocks noChangeArrowheads="1"/>
          </xdr:cNvSpPr>
        </xdr:nvSpPr>
        <xdr:spPr bwMode="auto">
          <a:xfrm>
            <a:off x="994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466725</xdr:colOff>
      <xdr:row>71</xdr:row>
      <xdr:rowOff>28575</xdr:rowOff>
    </xdr:from>
    <xdr:to>
      <xdr:col>3</xdr:col>
      <xdr:colOff>534563</xdr:colOff>
      <xdr:row>84</xdr:row>
      <xdr:rowOff>37517</xdr:rowOff>
    </xdr:to>
    <xdr:grpSp>
      <xdr:nvGrpSpPr>
        <xdr:cNvPr id="2769" name="Group 721">
          <a:extLst>
            <a:ext uri="{FF2B5EF4-FFF2-40B4-BE49-F238E27FC236}">
              <a16:creationId xmlns:a16="http://schemas.microsoft.com/office/drawing/2014/main" id="{C439E0AD-A18A-118B-39C5-7A19C342673B}"/>
            </a:ext>
          </a:extLst>
        </xdr:cNvPr>
        <xdr:cNvGrpSpPr>
          <a:grpSpLocks/>
        </xdr:cNvGrpSpPr>
      </xdr:nvGrpSpPr>
      <xdr:grpSpPr bwMode="auto">
        <a:xfrm>
          <a:off x="1657350" y="11010900"/>
          <a:ext cx="1363238" cy="1971092"/>
          <a:chOff x="1680" y="1296"/>
          <a:chExt cx="1172" cy="1690"/>
        </a:xfrm>
      </xdr:grpSpPr>
      <xdr:sp macro="" textlink="">
        <xdr:nvSpPr>
          <xdr:cNvPr id="2770" name="Rectangle 722">
            <a:extLst>
              <a:ext uri="{FF2B5EF4-FFF2-40B4-BE49-F238E27FC236}">
                <a16:creationId xmlns:a16="http://schemas.microsoft.com/office/drawing/2014/main" id="{EDFF05F6-D01D-95EC-C786-936F71CE0709}"/>
              </a:ext>
            </a:extLst>
          </xdr:cNvPr>
          <xdr:cNvSpPr>
            <a:spLocks noChangeArrowheads="1"/>
          </xdr:cNvSpPr>
        </xdr:nvSpPr>
        <xdr:spPr bwMode="auto">
          <a:xfrm>
            <a:off x="1714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771" name="Line 723">
            <a:extLst>
              <a:ext uri="{FF2B5EF4-FFF2-40B4-BE49-F238E27FC236}">
                <a16:creationId xmlns:a16="http://schemas.microsoft.com/office/drawing/2014/main" id="{597F8A43-038A-4CE8-465D-B98D17F71949}"/>
              </a:ext>
            </a:extLst>
          </xdr:cNvPr>
          <xdr:cNvSpPr>
            <a:spLocks noChangeShapeType="1"/>
          </xdr:cNvSpPr>
        </xdr:nvSpPr>
        <xdr:spPr bwMode="auto">
          <a:xfrm>
            <a:off x="2242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2" name="Line 724">
            <a:extLst>
              <a:ext uri="{FF2B5EF4-FFF2-40B4-BE49-F238E27FC236}">
                <a16:creationId xmlns:a16="http://schemas.microsoft.com/office/drawing/2014/main" id="{09547BA7-EF29-AA4E-4EBA-EFC7EF2C431D}"/>
              </a:ext>
            </a:extLst>
          </xdr:cNvPr>
          <xdr:cNvSpPr>
            <a:spLocks noChangeShapeType="1"/>
          </xdr:cNvSpPr>
        </xdr:nvSpPr>
        <xdr:spPr bwMode="auto">
          <a:xfrm>
            <a:off x="1858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3" name="Text Box 725">
            <a:extLst>
              <a:ext uri="{FF2B5EF4-FFF2-40B4-BE49-F238E27FC236}">
                <a16:creationId xmlns:a16="http://schemas.microsoft.com/office/drawing/2014/main" id="{9D294271-AE9C-D22B-5D0C-3921C354BE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0" y="1492"/>
            <a:ext cx="238" cy="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4" name="Text Box 726">
            <a:extLst>
              <a:ext uri="{FF2B5EF4-FFF2-40B4-BE49-F238E27FC236}">
                <a16:creationId xmlns:a16="http://schemas.microsoft.com/office/drawing/2014/main" id="{198D6876-694C-EC4D-2AEF-492B4AD906B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" y="1492"/>
            <a:ext cx="312" cy="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5" name="Text Box 727">
            <a:extLst>
              <a:ext uri="{FF2B5EF4-FFF2-40B4-BE49-F238E27FC236}">
                <a16:creationId xmlns:a16="http://schemas.microsoft.com/office/drawing/2014/main" id="{432DC76D-C3FA-BDBE-1A17-4AD8805EBBE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11" y="2733"/>
            <a:ext cx="74" cy="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6" name="AutoShape 728">
            <a:extLst>
              <a:ext uri="{FF2B5EF4-FFF2-40B4-BE49-F238E27FC236}">
                <a16:creationId xmlns:a16="http://schemas.microsoft.com/office/drawing/2014/main" id="{66C3222A-C1BC-8A2E-B280-959F63FC487D}"/>
              </a:ext>
            </a:extLst>
          </xdr:cNvPr>
          <xdr:cNvSpPr>
            <a:spLocks noChangeArrowheads="1"/>
          </xdr:cNvSpPr>
        </xdr:nvSpPr>
        <xdr:spPr bwMode="auto">
          <a:xfrm>
            <a:off x="2216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77" name="Line 729">
            <a:extLst>
              <a:ext uri="{FF2B5EF4-FFF2-40B4-BE49-F238E27FC236}">
                <a16:creationId xmlns:a16="http://schemas.microsoft.com/office/drawing/2014/main" id="{7BB06178-49C7-6078-A264-C0CFE7DDF03B}"/>
              </a:ext>
            </a:extLst>
          </xdr:cNvPr>
          <xdr:cNvSpPr>
            <a:spLocks noChangeShapeType="1"/>
          </xdr:cNvSpPr>
        </xdr:nvSpPr>
        <xdr:spPr bwMode="auto">
          <a:xfrm>
            <a:off x="1906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8" name="Line 730">
            <a:extLst>
              <a:ext uri="{FF2B5EF4-FFF2-40B4-BE49-F238E27FC236}">
                <a16:creationId xmlns:a16="http://schemas.microsoft.com/office/drawing/2014/main" id="{3BB03BF1-5CB0-3F2F-C92D-008E912DCC71}"/>
              </a:ext>
            </a:extLst>
          </xdr:cNvPr>
          <xdr:cNvSpPr>
            <a:spLocks noChangeShapeType="1"/>
          </xdr:cNvSpPr>
        </xdr:nvSpPr>
        <xdr:spPr bwMode="auto">
          <a:xfrm>
            <a:off x="2338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9" name="Line 731">
            <a:extLst>
              <a:ext uri="{FF2B5EF4-FFF2-40B4-BE49-F238E27FC236}">
                <a16:creationId xmlns:a16="http://schemas.microsoft.com/office/drawing/2014/main" id="{BD132845-E8A8-D1D8-87FF-1F12869E52E0}"/>
              </a:ext>
            </a:extLst>
          </xdr:cNvPr>
          <xdr:cNvSpPr>
            <a:spLocks noChangeShapeType="1"/>
          </xdr:cNvSpPr>
        </xdr:nvSpPr>
        <xdr:spPr bwMode="auto">
          <a:xfrm flipH="1">
            <a:off x="2338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732">
            <a:extLst>
              <a:ext uri="{FF2B5EF4-FFF2-40B4-BE49-F238E27FC236}">
                <a16:creationId xmlns:a16="http://schemas.microsoft.com/office/drawing/2014/main" id="{26FD960C-3F41-91C8-E0D6-4E212CD89CFF}"/>
              </a:ext>
            </a:extLst>
          </xdr:cNvPr>
          <xdr:cNvSpPr>
            <a:spLocks noChangeShapeType="1"/>
          </xdr:cNvSpPr>
        </xdr:nvSpPr>
        <xdr:spPr bwMode="auto">
          <a:xfrm flipH="1">
            <a:off x="1858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1" name="Line 733">
            <a:extLst>
              <a:ext uri="{FF2B5EF4-FFF2-40B4-BE49-F238E27FC236}">
                <a16:creationId xmlns:a16="http://schemas.microsoft.com/office/drawing/2014/main" id="{C4F75ED9-20A5-D2E5-36DE-02864315FF53}"/>
              </a:ext>
            </a:extLst>
          </xdr:cNvPr>
          <xdr:cNvSpPr>
            <a:spLocks noChangeShapeType="1"/>
          </xdr:cNvSpPr>
        </xdr:nvSpPr>
        <xdr:spPr bwMode="auto">
          <a:xfrm flipV="1">
            <a:off x="2146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2" name="Line 734">
            <a:extLst>
              <a:ext uri="{FF2B5EF4-FFF2-40B4-BE49-F238E27FC236}">
                <a16:creationId xmlns:a16="http://schemas.microsoft.com/office/drawing/2014/main" id="{A88B873B-7A36-6FC0-8B91-97D6446915B1}"/>
              </a:ext>
            </a:extLst>
          </xdr:cNvPr>
          <xdr:cNvSpPr>
            <a:spLocks noChangeShapeType="1"/>
          </xdr:cNvSpPr>
        </xdr:nvSpPr>
        <xdr:spPr bwMode="auto">
          <a:xfrm flipV="1">
            <a:off x="233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3" name="Text Box 735">
            <a:extLst>
              <a:ext uri="{FF2B5EF4-FFF2-40B4-BE49-F238E27FC236}">
                <a16:creationId xmlns:a16="http://schemas.microsoft.com/office/drawing/2014/main" id="{3923CDCD-01AF-4406-5B6D-7A19E04F4DB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50" y="2015"/>
            <a:ext cx="230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4" name="Text Box 736">
            <a:extLst>
              <a:ext uri="{FF2B5EF4-FFF2-40B4-BE49-F238E27FC236}">
                <a16:creationId xmlns:a16="http://schemas.microsoft.com/office/drawing/2014/main" id="{7ABFF1BB-F899-D70C-55B3-1ECADF9297B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4" y="2015"/>
            <a:ext cx="230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5" name="Text Box 737">
            <a:extLst>
              <a:ext uri="{FF2B5EF4-FFF2-40B4-BE49-F238E27FC236}">
                <a16:creationId xmlns:a16="http://schemas.microsoft.com/office/drawing/2014/main" id="{12CB41EF-315A-EE19-BAE7-1CB80F069EC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9" y="1680"/>
            <a:ext cx="279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1620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6" name="Text Box 738">
            <a:extLst>
              <a:ext uri="{FF2B5EF4-FFF2-40B4-BE49-F238E27FC236}">
                <a16:creationId xmlns:a16="http://schemas.microsoft.com/office/drawing/2014/main" id="{4B450601-8221-341D-CE5C-42E07D5315D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4" y="1680"/>
            <a:ext cx="230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7" name="Text Box 739">
            <a:extLst>
              <a:ext uri="{FF2B5EF4-FFF2-40B4-BE49-F238E27FC236}">
                <a16:creationId xmlns:a16="http://schemas.microsoft.com/office/drawing/2014/main" id="{A1F69B8C-5989-C18E-F3C7-43EB0EC1865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9" y="1353"/>
            <a:ext cx="279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8" name="Text Box 740">
            <a:extLst>
              <a:ext uri="{FF2B5EF4-FFF2-40B4-BE49-F238E27FC236}">
                <a16:creationId xmlns:a16="http://schemas.microsoft.com/office/drawing/2014/main" id="{00A3A65C-379F-EB2A-8DC3-146FB4A1FF4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35" y="1353"/>
            <a:ext cx="229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350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9" name="Line 741">
            <a:extLst>
              <a:ext uri="{FF2B5EF4-FFF2-40B4-BE49-F238E27FC236}">
                <a16:creationId xmlns:a16="http://schemas.microsoft.com/office/drawing/2014/main" id="{1DD0389F-DC33-B174-BF95-C079E8A168E4}"/>
              </a:ext>
            </a:extLst>
          </xdr:cNvPr>
          <xdr:cNvSpPr>
            <a:spLocks noChangeShapeType="1"/>
          </xdr:cNvSpPr>
        </xdr:nvSpPr>
        <xdr:spPr bwMode="auto">
          <a:xfrm flipV="1">
            <a:off x="233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90" name="Text Box 742">
            <a:extLst>
              <a:ext uri="{FF2B5EF4-FFF2-40B4-BE49-F238E27FC236}">
                <a16:creationId xmlns:a16="http://schemas.microsoft.com/office/drawing/2014/main" id="{01341478-2C70-0084-D6FE-4A7F6E5C7C0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86" y="2162"/>
            <a:ext cx="229" cy="27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1" name="Line 743">
            <a:extLst>
              <a:ext uri="{FF2B5EF4-FFF2-40B4-BE49-F238E27FC236}">
                <a16:creationId xmlns:a16="http://schemas.microsoft.com/office/drawing/2014/main" id="{0827DEF5-796B-C309-956E-13E85058310F}"/>
              </a:ext>
            </a:extLst>
          </xdr:cNvPr>
          <xdr:cNvSpPr>
            <a:spLocks noChangeShapeType="1"/>
          </xdr:cNvSpPr>
        </xdr:nvSpPr>
        <xdr:spPr bwMode="auto">
          <a:xfrm flipV="1">
            <a:off x="2146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92" name="Text Box 744">
            <a:extLst>
              <a:ext uri="{FF2B5EF4-FFF2-40B4-BE49-F238E27FC236}">
                <a16:creationId xmlns:a16="http://schemas.microsoft.com/office/drawing/2014/main" id="{48FDD298-2DF0-D9D1-D392-833F959AFD1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35" y="2407"/>
            <a:ext cx="279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3498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3" name="Text Box 745">
            <a:extLst>
              <a:ext uri="{FF2B5EF4-FFF2-40B4-BE49-F238E27FC236}">
                <a16:creationId xmlns:a16="http://schemas.microsoft.com/office/drawing/2014/main" id="{157F248D-6E3C-8415-3681-5EEC1A3FD92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9" y="2399"/>
            <a:ext cx="131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4" name="Rectangle 746">
            <a:extLst>
              <a:ext uri="{FF2B5EF4-FFF2-40B4-BE49-F238E27FC236}">
                <a16:creationId xmlns:a16="http://schemas.microsoft.com/office/drawing/2014/main" id="{08879511-22B9-76D7-D47A-FDFDF373DDF8}"/>
              </a:ext>
            </a:extLst>
          </xdr:cNvPr>
          <xdr:cNvSpPr>
            <a:spLocks noChangeArrowheads="1"/>
          </xdr:cNvSpPr>
        </xdr:nvSpPr>
        <xdr:spPr bwMode="auto">
          <a:xfrm>
            <a:off x="2216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5" name="Rectangle 747">
            <a:extLst>
              <a:ext uri="{FF2B5EF4-FFF2-40B4-BE49-F238E27FC236}">
                <a16:creationId xmlns:a16="http://schemas.microsoft.com/office/drawing/2014/main" id="{6377E8B8-FB54-C0F0-DF65-F0EDFB1F17FA}"/>
              </a:ext>
            </a:extLst>
          </xdr:cNvPr>
          <xdr:cNvSpPr>
            <a:spLocks noChangeArrowheads="1"/>
          </xdr:cNvSpPr>
        </xdr:nvSpPr>
        <xdr:spPr bwMode="auto">
          <a:xfrm>
            <a:off x="2216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6" name="Rectangle 748">
            <a:extLst>
              <a:ext uri="{FF2B5EF4-FFF2-40B4-BE49-F238E27FC236}">
                <a16:creationId xmlns:a16="http://schemas.microsoft.com/office/drawing/2014/main" id="{DE232423-22C5-BE6E-8F0F-29A62D1EED73}"/>
              </a:ext>
            </a:extLst>
          </xdr:cNvPr>
          <xdr:cNvSpPr>
            <a:spLocks noChangeArrowheads="1"/>
          </xdr:cNvSpPr>
        </xdr:nvSpPr>
        <xdr:spPr bwMode="auto">
          <a:xfrm>
            <a:off x="1853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7" name="Rectangle 749">
            <a:extLst>
              <a:ext uri="{FF2B5EF4-FFF2-40B4-BE49-F238E27FC236}">
                <a16:creationId xmlns:a16="http://schemas.microsoft.com/office/drawing/2014/main" id="{6C7EFA1E-8EFE-8245-40A5-0338E5301A81}"/>
              </a:ext>
            </a:extLst>
          </xdr:cNvPr>
          <xdr:cNvSpPr>
            <a:spLocks noChangeArrowheads="1"/>
          </xdr:cNvSpPr>
        </xdr:nvSpPr>
        <xdr:spPr bwMode="auto">
          <a:xfrm>
            <a:off x="2530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200025</xdr:colOff>
      <xdr:row>85</xdr:row>
      <xdr:rowOff>47625</xdr:rowOff>
    </xdr:from>
    <xdr:to>
      <xdr:col>1</xdr:col>
      <xdr:colOff>372638</xdr:colOff>
      <xdr:row>97</xdr:row>
      <xdr:rowOff>66231</xdr:rowOff>
    </xdr:to>
    <xdr:grpSp>
      <xdr:nvGrpSpPr>
        <xdr:cNvPr id="2798" name="Group 750">
          <a:extLst>
            <a:ext uri="{FF2B5EF4-FFF2-40B4-BE49-F238E27FC236}">
              <a16:creationId xmlns:a16="http://schemas.microsoft.com/office/drawing/2014/main" id="{50D93DEF-C22F-223F-4B08-63E0340B9028}"/>
            </a:ext>
          </a:extLst>
        </xdr:cNvPr>
        <xdr:cNvGrpSpPr>
          <a:grpSpLocks/>
        </xdr:cNvGrpSpPr>
      </xdr:nvGrpSpPr>
      <xdr:grpSpPr bwMode="auto">
        <a:xfrm>
          <a:off x="200025" y="13154025"/>
          <a:ext cx="1363238" cy="1961706"/>
          <a:chOff x="3120" y="1296"/>
          <a:chExt cx="1172" cy="1690"/>
        </a:xfrm>
      </xdr:grpSpPr>
      <xdr:sp macro="" textlink="">
        <xdr:nvSpPr>
          <xdr:cNvPr id="2799" name="Rectangle 751">
            <a:extLst>
              <a:ext uri="{FF2B5EF4-FFF2-40B4-BE49-F238E27FC236}">
                <a16:creationId xmlns:a16="http://schemas.microsoft.com/office/drawing/2014/main" id="{6B0C22C0-AC77-7226-D8D0-27E13C3D3B1C}"/>
              </a:ext>
            </a:extLst>
          </xdr:cNvPr>
          <xdr:cNvSpPr>
            <a:spLocks noChangeArrowheads="1"/>
          </xdr:cNvSpPr>
        </xdr:nvSpPr>
        <xdr:spPr bwMode="auto">
          <a:xfrm>
            <a:off x="3154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800" name="Line 752">
            <a:extLst>
              <a:ext uri="{FF2B5EF4-FFF2-40B4-BE49-F238E27FC236}">
                <a16:creationId xmlns:a16="http://schemas.microsoft.com/office/drawing/2014/main" id="{F382F81E-25B2-A4A8-C116-16B32FB2D5F9}"/>
              </a:ext>
            </a:extLst>
          </xdr:cNvPr>
          <xdr:cNvSpPr>
            <a:spLocks noChangeShapeType="1"/>
          </xdr:cNvSpPr>
        </xdr:nvSpPr>
        <xdr:spPr bwMode="auto">
          <a:xfrm>
            <a:off x="3682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1" name="Line 753">
            <a:extLst>
              <a:ext uri="{FF2B5EF4-FFF2-40B4-BE49-F238E27FC236}">
                <a16:creationId xmlns:a16="http://schemas.microsoft.com/office/drawing/2014/main" id="{040A458C-9E25-F880-8DC2-46501DEBBDFA}"/>
              </a:ext>
            </a:extLst>
          </xdr:cNvPr>
          <xdr:cNvSpPr>
            <a:spLocks noChangeShapeType="1"/>
          </xdr:cNvSpPr>
        </xdr:nvSpPr>
        <xdr:spPr bwMode="auto">
          <a:xfrm>
            <a:off x="3298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2" name="Text Box 754">
            <a:extLst>
              <a:ext uri="{FF2B5EF4-FFF2-40B4-BE49-F238E27FC236}">
                <a16:creationId xmlns:a16="http://schemas.microsoft.com/office/drawing/2014/main" id="{494EDBC6-6B2C-69AA-6079-400904B36DF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20" y="1493"/>
            <a:ext cx="238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3" name="Text Box 755">
            <a:extLst>
              <a:ext uri="{FF2B5EF4-FFF2-40B4-BE49-F238E27FC236}">
                <a16:creationId xmlns:a16="http://schemas.microsoft.com/office/drawing/2014/main" id="{4A00FA4E-301C-0B73-3F01-78793909204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980" y="1485"/>
            <a:ext cx="312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4" name="Text Box 756">
            <a:extLst>
              <a:ext uri="{FF2B5EF4-FFF2-40B4-BE49-F238E27FC236}">
                <a16:creationId xmlns:a16="http://schemas.microsoft.com/office/drawing/2014/main" id="{8C4C3073-45B7-5FA4-95C3-6E180B94494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51" y="2732"/>
            <a:ext cx="74" cy="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5" name="AutoShape 757">
            <a:extLst>
              <a:ext uri="{FF2B5EF4-FFF2-40B4-BE49-F238E27FC236}">
                <a16:creationId xmlns:a16="http://schemas.microsoft.com/office/drawing/2014/main" id="{83D8C1C2-C7CF-6A8A-0008-C911B15C7DE4}"/>
              </a:ext>
            </a:extLst>
          </xdr:cNvPr>
          <xdr:cNvSpPr>
            <a:spLocks noChangeArrowheads="1"/>
          </xdr:cNvSpPr>
        </xdr:nvSpPr>
        <xdr:spPr bwMode="auto">
          <a:xfrm>
            <a:off x="3656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06" name="Line 758">
            <a:extLst>
              <a:ext uri="{FF2B5EF4-FFF2-40B4-BE49-F238E27FC236}">
                <a16:creationId xmlns:a16="http://schemas.microsoft.com/office/drawing/2014/main" id="{97035090-62AC-6683-8B4B-30F5C214B327}"/>
              </a:ext>
            </a:extLst>
          </xdr:cNvPr>
          <xdr:cNvSpPr>
            <a:spLocks noChangeShapeType="1"/>
          </xdr:cNvSpPr>
        </xdr:nvSpPr>
        <xdr:spPr bwMode="auto">
          <a:xfrm>
            <a:off x="3346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7" name="Line 759">
            <a:extLst>
              <a:ext uri="{FF2B5EF4-FFF2-40B4-BE49-F238E27FC236}">
                <a16:creationId xmlns:a16="http://schemas.microsoft.com/office/drawing/2014/main" id="{CC8F436D-0D7B-9DE9-E80E-CC46E8BDFF18}"/>
              </a:ext>
            </a:extLst>
          </xdr:cNvPr>
          <xdr:cNvSpPr>
            <a:spLocks noChangeShapeType="1"/>
          </xdr:cNvSpPr>
        </xdr:nvSpPr>
        <xdr:spPr bwMode="auto">
          <a:xfrm>
            <a:off x="3778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8" name="Line 760">
            <a:extLst>
              <a:ext uri="{FF2B5EF4-FFF2-40B4-BE49-F238E27FC236}">
                <a16:creationId xmlns:a16="http://schemas.microsoft.com/office/drawing/2014/main" id="{190D7D88-9395-B1B2-B23E-E563AD0B56E8}"/>
              </a:ext>
            </a:extLst>
          </xdr:cNvPr>
          <xdr:cNvSpPr>
            <a:spLocks noChangeShapeType="1"/>
          </xdr:cNvSpPr>
        </xdr:nvSpPr>
        <xdr:spPr bwMode="auto">
          <a:xfrm flipH="1">
            <a:off x="3778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9" name="Line 761">
            <a:extLst>
              <a:ext uri="{FF2B5EF4-FFF2-40B4-BE49-F238E27FC236}">
                <a16:creationId xmlns:a16="http://schemas.microsoft.com/office/drawing/2014/main" id="{166A3E15-4AE7-CA72-F1EF-A7EB93CA50F6}"/>
              </a:ext>
            </a:extLst>
          </xdr:cNvPr>
          <xdr:cNvSpPr>
            <a:spLocks noChangeShapeType="1"/>
          </xdr:cNvSpPr>
        </xdr:nvSpPr>
        <xdr:spPr bwMode="auto">
          <a:xfrm flipH="1">
            <a:off x="3298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0" name="Line 762">
            <a:extLst>
              <a:ext uri="{FF2B5EF4-FFF2-40B4-BE49-F238E27FC236}">
                <a16:creationId xmlns:a16="http://schemas.microsoft.com/office/drawing/2014/main" id="{4EC79015-7267-207D-2478-683096B4ADCC}"/>
              </a:ext>
            </a:extLst>
          </xdr:cNvPr>
          <xdr:cNvSpPr>
            <a:spLocks noChangeShapeType="1"/>
          </xdr:cNvSpPr>
        </xdr:nvSpPr>
        <xdr:spPr bwMode="auto">
          <a:xfrm flipV="1">
            <a:off x="3586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1" name="Line 763">
            <a:extLst>
              <a:ext uri="{FF2B5EF4-FFF2-40B4-BE49-F238E27FC236}">
                <a16:creationId xmlns:a16="http://schemas.microsoft.com/office/drawing/2014/main" id="{5B37D247-6D62-288C-EC21-133A59AF1D51}"/>
              </a:ext>
            </a:extLst>
          </xdr:cNvPr>
          <xdr:cNvSpPr>
            <a:spLocks noChangeShapeType="1"/>
          </xdr:cNvSpPr>
        </xdr:nvSpPr>
        <xdr:spPr bwMode="auto">
          <a:xfrm flipV="1">
            <a:off x="377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2" name="Text Box 764">
            <a:extLst>
              <a:ext uri="{FF2B5EF4-FFF2-40B4-BE49-F238E27FC236}">
                <a16:creationId xmlns:a16="http://schemas.microsoft.com/office/drawing/2014/main" id="{DACDF23A-3A39-DA13-4001-A25F6897B5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90" y="2018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3" name="Text Box 765">
            <a:extLst>
              <a:ext uri="{FF2B5EF4-FFF2-40B4-BE49-F238E27FC236}">
                <a16:creationId xmlns:a16="http://schemas.microsoft.com/office/drawing/2014/main" id="{F18767EF-1672-1920-81D9-5751646F2AC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824" y="2018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4" name="Text Box 766">
            <a:extLst>
              <a:ext uri="{FF2B5EF4-FFF2-40B4-BE49-F238E27FC236}">
                <a16:creationId xmlns:a16="http://schemas.microsoft.com/office/drawing/2014/main" id="{6850B855-7368-C930-D7B0-503E57FE0FB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49" y="168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1408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5" name="Text Box 767">
            <a:extLst>
              <a:ext uri="{FF2B5EF4-FFF2-40B4-BE49-F238E27FC236}">
                <a16:creationId xmlns:a16="http://schemas.microsoft.com/office/drawing/2014/main" id="{14E0639E-E32F-1D50-69DF-04CD2B71910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824" y="1682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6" name="Text Box 768">
            <a:extLst>
              <a:ext uri="{FF2B5EF4-FFF2-40B4-BE49-F238E27FC236}">
                <a16:creationId xmlns:a16="http://schemas.microsoft.com/office/drawing/2014/main" id="{0AA3999B-E1DD-CDAA-64D9-636B46CB274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49" y="1353"/>
            <a:ext cx="27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7" name="Text Box 769">
            <a:extLst>
              <a:ext uri="{FF2B5EF4-FFF2-40B4-BE49-F238E27FC236}">
                <a16:creationId xmlns:a16="http://schemas.microsoft.com/office/drawing/2014/main" id="{8C14745D-407B-97F7-D644-A9C143D8963E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75" y="1353"/>
            <a:ext cx="22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540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8" name="Line 770">
            <a:extLst>
              <a:ext uri="{FF2B5EF4-FFF2-40B4-BE49-F238E27FC236}">
                <a16:creationId xmlns:a16="http://schemas.microsoft.com/office/drawing/2014/main" id="{F37AA504-B7F7-8044-8CA4-E51211BD5285}"/>
              </a:ext>
            </a:extLst>
          </xdr:cNvPr>
          <xdr:cNvSpPr>
            <a:spLocks noChangeShapeType="1"/>
          </xdr:cNvSpPr>
        </xdr:nvSpPr>
        <xdr:spPr bwMode="auto">
          <a:xfrm flipV="1">
            <a:off x="377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9" name="Text Box 771">
            <a:extLst>
              <a:ext uri="{FF2B5EF4-FFF2-40B4-BE49-F238E27FC236}">
                <a16:creationId xmlns:a16="http://schemas.microsoft.com/office/drawing/2014/main" id="{F312D0E3-0646-E110-14A9-E406D57C0E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26" y="2158"/>
            <a:ext cx="229" cy="2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0" name="Line 772">
            <a:extLst>
              <a:ext uri="{FF2B5EF4-FFF2-40B4-BE49-F238E27FC236}">
                <a16:creationId xmlns:a16="http://schemas.microsoft.com/office/drawing/2014/main" id="{3D329D1F-797C-314A-4145-77F582488C0F}"/>
              </a:ext>
            </a:extLst>
          </xdr:cNvPr>
          <xdr:cNvSpPr>
            <a:spLocks noChangeShapeType="1"/>
          </xdr:cNvSpPr>
        </xdr:nvSpPr>
        <xdr:spPr bwMode="auto">
          <a:xfrm flipV="1">
            <a:off x="3586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21" name="Text Box 773">
            <a:extLst>
              <a:ext uri="{FF2B5EF4-FFF2-40B4-BE49-F238E27FC236}">
                <a16:creationId xmlns:a16="http://schemas.microsoft.com/office/drawing/2014/main" id="{D06B897D-23F3-0A08-91FF-DD06AC9E52B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75" y="241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3448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2" name="Text Box 774">
            <a:extLst>
              <a:ext uri="{FF2B5EF4-FFF2-40B4-BE49-F238E27FC236}">
                <a16:creationId xmlns:a16="http://schemas.microsoft.com/office/drawing/2014/main" id="{3D0840E2-A540-D34F-1B9E-B8A5E70AB39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49" y="2404"/>
            <a:ext cx="1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3" name="Rectangle 775">
            <a:extLst>
              <a:ext uri="{FF2B5EF4-FFF2-40B4-BE49-F238E27FC236}">
                <a16:creationId xmlns:a16="http://schemas.microsoft.com/office/drawing/2014/main" id="{52C375C5-93DB-6DC9-8EB0-F47667F2912E}"/>
              </a:ext>
            </a:extLst>
          </xdr:cNvPr>
          <xdr:cNvSpPr>
            <a:spLocks noChangeArrowheads="1"/>
          </xdr:cNvSpPr>
        </xdr:nvSpPr>
        <xdr:spPr bwMode="auto">
          <a:xfrm>
            <a:off x="3656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4" name="Rectangle 776">
            <a:extLst>
              <a:ext uri="{FF2B5EF4-FFF2-40B4-BE49-F238E27FC236}">
                <a16:creationId xmlns:a16="http://schemas.microsoft.com/office/drawing/2014/main" id="{4F10BB00-D5A7-F963-976F-DE181A90B39B}"/>
              </a:ext>
            </a:extLst>
          </xdr:cNvPr>
          <xdr:cNvSpPr>
            <a:spLocks noChangeArrowheads="1"/>
          </xdr:cNvSpPr>
        </xdr:nvSpPr>
        <xdr:spPr bwMode="auto">
          <a:xfrm>
            <a:off x="3656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5" name="Rectangle 777">
            <a:extLst>
              <a:ext uri="{FF2B5EF4-FFF2-40B4-BE49-F238E27FC236}">
                <a16:creationId xmlns:a16="http://schemas.microsoft.com/office/drawing/2014/main" id="{6D0775F7-994E-AD3F-EE07-F008F68C793D}"/>
              </a:ext>
            </a:extLst>
          </xdr:cNvPr>
          <xdr:cNvSpPr>
            <a:spLocks noChangeArrowheads="1"/>
          </xdr:cNvSpPr>
        </xdr:nvSpPr>
        <xdr:spPr bwMode="auto">
          <a:xfrm>
            <a:off x="3293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6" name="Rectangle 778">
            <a:extLst>
              <a:ext uri="{FF2B5EF4-FFF2-40B4-BE49-F238E27FC236}">
                <a16:creationId xmlns:a16="http://schemas.microsoft.com/office/drawing/2014/main" id="{88956175-C747-0CCA-0E0F-09D7082CC2D8}"/>
              </a:ext>
            </a:extLst>
          </xdr:cNvPr>
          <xdr:cNvSpPr>
            <a:spLocks noChangeArrowheads="1"/>
          </xdr:cNvSpPr>
        </xdr:nvSpPr>
        <xdr:spPr bwMode="auto">
          <a:xfrm>
            <a:off x="3970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466724</xdr:colOff>
      <xdr:row>85</xdr:row>
      <xdr:rowOff>47625</xdr:rowOff>
    </xdr:from>
    <xdr:to>
      <xdr:col>3</xdr:col>
      <xdr:colOff>534562</xdr:colOff>
      <xdr:row>97</xdr:row>
      <xdr:rowOff>66231</xdr:rowOff>
    </xdr:to>
    <xdr:grpSp>
      <xdr:nvGrpSpPr>
        <xdr:cNvPr id="2827" name="Group 779">
          <a:extLst>
            <a:ext uri="{FF2B5EF4-FFF2-40B4-BE49-F238E27FC236}">
              <a16:creationId xmlns:a16="http://schemas.microsoft.com/office/drawing/2014/main" id="{2AB01EFE-8D8D-2E0D-F59A-67D8D1091D1F}"/>
            </a:ext>
          </a:extLst>
        </xdr:cNvPr>
        <xdr:cNvGrpSpPr>
          <a:grpSpLocks/>
        </xdr:cNvGrpSpPr>
      </xdr:nvGrpSpPr>
      <xdr:grpSpPr bwMode="auto">
        <a:xfrm>
          <a:off x="1657349" y="13154025"/>
          <a:ext cx="1363238" cy="1961706"/>
          <a:chOff x="4512" y="1296"/>
          <a:chExt cx="1172" cy="1690"/>
        </a:xfrm>
      </xdr:grpSpPr>
      <xdr:sp macro="" textlink="">
        <xdr:nvSpPr>
          <xdr:cNvPr id="2828" name="Rectangle 780">
            <a:extLst>
              <a:ext uri="{FF2B5EF4-FFF2-40B4-BE49-F238E27FC236}">
                <a16:creationId xmlns:a16="http://schemas.microsoft.com/office/drawing/2014/main" id="{A2DA316E-EF14-B216-01BC-D1DF0D155A8B}"/>
              </a:ext>
            </a:extLst>
          </xdr:cNvPr>
          <xdr:cNvSpPr>
            <a:spLocks noChangeArrowheads="1"/>
          </xdr:cNvSpPr>
        </xdr:nvSpPr>
        <xdr:spPr bwMode="auto">
          <a:xfrm>
            <a:off x="4546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829" name="Line 781">
            <a:extLst>
              <a:ext uri="{FF2B5EF4-FFF2-40B4-BE49-F238E27FC236}">
                <a16:creationId xmlns:a16="http://schemas.microsoft.com/office/drawing/2014/main" id="{DB1F224A-14F2-6C08-8D4F-34DDF081DCE9}"/>
              </a:ext>
            </a:extLst>
          </xdr:cNvPr>
          <xdr:cNvSpPr>
            <a:spLocks noChangeShapeType="1"/>
          </xdr:cNvSpPr>
        </xdr:nvSpPr>
        <xdr:spPr bwMode="auto">
          <a:xfrm>
            <a:off x="5074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0" name="Line 782">
            <a:extLst>
              <a:ext uri="{FF2B5EF4-FFF2-40B4-BE49-F238E27FC236}">
                <a16:creationId xmlns:a16="http://schemas.microsoft.com/office/drawing/2014/main" id="{13F90DBD-7228-4EC8-D5A3-553A22C575FE}"/>
              </a:ext>
            </a:extLst>
          </xdr:cNvPr>
          <xdr:cNvSpPr>
            <a:spLocks noChangeShapeType="1"/>
          </xdr:cNvSpPr>
        </xdr:nvSpPr>
        <xdr:spPr bwMode="auto">
          <a:xfrm>
            <a:off x="4690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1" name="Text Box 783">
            <a:extLst>
              <a:ext uri="{FF2B5EF4-FFF2-40B4-BE49-F238E27FC236}">
                <a16:creationId xmlns:a16="http://schemas.microsoft.com/office/drawing/2014/main" id="{E66B597B-899C-E389-EA5C-A7617AA1817F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12" y="1493"/>
            <a:ext cx="238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2" name="Text Box 784">
            <a:extLst>
              <a:ext uri="{FF2B5EF4-FFF2-40B4-BE49-F238E27FC236}">
                <a16:creationId xmlns:a16="http://schemas.microsoft.com/office/drawing/2014/main" id="{4A0C4458-4A6F-9737-668B-A1B2664D014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72" y="1485"/>
            <a:ext cx="312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3" name="Text Box 785">
            <a:extLst>
              <a:ext uri="{FF2B5EF4-FFF2-40B4-BE49-F238E27FC236}">
                <a16:creationId xmlns:a16="http://schemas.microsoft.com/office/drawing/2014/main" id="{E4314CA5-E90E-5E34-E261-F9000EE0F30D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43" y="2732"/>
            <a:ext cx="74" cy="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4" name="AutoShape 786">
            <a:extLst>
              <a:ext uri="{FF2B5EF4-FFF2-40B4-BE49-F238E27FC236}">
                <a16:creationId xmlns:a16="http://schemas.microsoft.com/office/drawing/2014/main" id="{6D888B57-A09D-C80A-9A26-483262A48E91}"/>
              </a:ext>
            </a:extLst>
          </xdr:cNvPr>
          <xdr:cNvSpPr>
            <a:spLocks noChangeArrowheads="1"/>
          </xdr:cNvSpPr>
        </xdr:nvSpPr>
        <xdr:spPr bwMode="auto">
          <a:xfrm>
            <a:off x="5048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35" name="Line 787">
            <a:extLst>
              <a:ext uri="{FF2B5EF4-FFF2-40B4-BE49-F238E27FC236}">
                <a16:creationId xmlns:a16="http://schemas.microsoft.com/office/drawing/2014/main" id="{45ECF540-34DE-E780-BD49-EDA2B6BFE23E}"/>
              </a:ext>
            </a:extLst>
          </xdr:cNvPr>
          <xdr:cNvSpPr>
            <a:spLocks noChangeShapeType="1"/>
          </xdr:cNvSpPr>
        </xdr:nvSpPr>
        <xdr:spPr bwMode="auto">
          <a:xfrm>
            <a:off x="4738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6" name="Line 788">
            <a:extLst>
              <a:ext uri="{FF2B5EF4-FFF2-40B4-BE49-F238E27FC236}">
                <a16:creationId xmlns:a16="http://schemas.microsoft.com/office/drawing/2014/main" id="{382CC65C-3C9A-B305-46B7-EEEB30334DA8}"/>
              </a:ext>
            </a:extLst>
          </xdr:cNvPr>
          <xdr:cNvSpPr>
            <a:spLocks noChangeShapeType="1"/>
          </xdr:cNvSpPr>
        </xdr:nvSpPr>
        <xdr:spPr bwMode="auto">
          <a:xfrm>
            <a:off x="5170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7" name="Line 789">
            <a:extLst>
              <a:ext uri="{FF2B5EF4-FFF2-40B4-BE49-F238E27FC236}">
                <a16:creationId xmlns:a16="http://schemas.microsoft.com/office/drawing/2014/main" id="{42937541-ABA7-211B-DB45-4D588DB0AF7F}"/>
              </a:ext>
            </a:extLst>
          </xdr:cNvPr>
          <xdr:cNvSpPr>
            <a:spLocks noChangeShapeType="1"/>
          </xdr:cNvSpPr>
        </xdr:nvSpPr>
        <xdr:spPr bwMode="auto">
          <a:xfrm flipH="1">
            <a:off x="5170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8" name="Line 790">
            <a:extLst>
              <a:ext uri="{FF2B5EF4-FFF2-40B4-BE49-F238E27FC236}">
                <a16:creationId xmlns:a16="http://schemas.microsoft.com/office/drawing/2014/main" id="{1713F56D-F0EE-C47B-8C07-610467EA073C}"/>
              </a:ext>
            </a:extLst>
          </xdr:cNvPr>
          <xdr:cNvSpPr>
            <a:spLocks noChangeShapeType="1"/>
          </xdr:cNvSpPr>
        </xdr:nvSpPr>
        <xdr:spPr bwMode="auto">
          <a:xfrm flipH="1">
            <a:off x="4690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9" name="Line 791">
            <a:extLst>
              <a:ext uri="{FF2B5EF4-FFF2-40B4-BE49-F238E27FC236}">
                <a16:creationId xmlns:a16="http://schemas.microsoft.com/office/drawing/2014/main" id="{458E97CF-FD4E-E1A8-8123-09AD917682A6}"/>
              </a:ext>
            </a:extLst>
          </xdr:cNvPr>
          <xdr:cNvSpPr>
            <a:spLocks noChangeShapeType="1"/>
          </xdr:cNvSpPr>
        </xdr:nvSpPr>
        <xdr:spPr bwMode="auto">
          <a:xfrm flipV="1">
            <a:off x="497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792">
            <a:extLst>
              <a:ext uri="{FF2B5EF4-FFF2-40B4-BE49-F238E27FC236}">
                <a16:creationId xmlns:a16="http://schemas.microsoft.com/office/drawing/2014/main" id="{F38BC8AC-1540-A928-6F03-35F4A50F489E}"/>
              </a:ext>
            </a:extLst>
          </xdr:cNvPr>
          <xdr:cNvSpPr>
            <a:spLocks noChangeShapeType="1"/>
          </xdr:cNvSpPr>
        </xdr:nvSpPr>
        <xdr:spPr bwMode="auto">
          <a:xfrm flipV="1">
            <a:off x="5170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1" name="Text Box 793">
            <a:extLst>
              <a:ext uri="{FF2B5EF4-FFF2-40B4-BE49-F238E27FC236}">
                <a16:creationId xmlns:a16="http://schemas.microsoft.com/office/drawing/2014/main" id="{96E81D86-3324-ADA0-27F0-37B66C64295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9" y="2018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2" name="Text Box 794">
            <a:extLst>
              <a:ext uri="{FF2B5EF4-FFF2-40B4-BE49-F238E27FC236}">
                <a16:creationId xmlns:a16="http://schemas.microsoft.com/office/drawing/2014/main" id="{13F560AC-053B-E997-E10D-FD898B8002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16" y="2018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3" name="Text Box 795">
            <a:extLst>
              <a:ext uri="{FF2B5EF4-FFF2-40B4-BE49-F238E27FC236}">
                <a16:creationId xmlns:a16="http://schemas.microsoft.com/office/drawing/2014/main" id="{39DF1D07-6825-672D-04F4-3C85901DD7D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1" y="168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1074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4" name="Text Box 796">
            <a:extLst>
              <a:ext uri="{FF2B5EF4-FFF2-40B4-BE49-F238E27FC236}">
                <a16:creationId xmlns:a16="http://schemas.microsoft.com/office/drawing/2014/main" id="{75F33FC3-5A7B-AD61-F326-ACDA87EC822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16" y="1682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802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5" name="Text Box 797">
            <a:extLst>
              <a:ext uri="{FF2B5EF4-FFF2-40B4-BE49-F238E27FC236}">
                <a16:creationId xmlns:a16="http://schemas.microsoft.com/office/drawing/2014/main" id="{7503F42C-7ADF-3408-4158-E0935CD6B09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1" y="1353"/>
            <a:ext cx="27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6" name="Text Box 798">
            <a:extLst>
              <a:ext uri="{FF2B5EF4-FFF2-40B4-BE49-F238E27FC236}">
                <a16:creationId xmlns:a16="http://schemas.microsoft.com/office/drawing/2014/main" id="{C6AF9957-1C0F-AB94-9ABE-315834471402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67" y="1353"/>
            <a:ext cx="22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560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7" name="Line 799">
            <a:extLst>
              <a:ext uri="{FF2B5EF4-FFF2-40B4-BE49-F238E27FC236}">
                <a16:creationId xmlns:a16="http://schemas.microsoft.com/office/drawing/2014/main" id="{24360EF3-3C94-8F24-9E78-5E36829FDF8D}"/>
              </a:ext>
            </a:extLst>
          </xdr:cNvPr>
          <xdr:cNvSpPr>
            <a:spLocks noChangeShapeType="1"/>
          </xdr:cNvSpPr>
        </xdr:nvSpPr>
        <xdr:spPr bwMode="auto">
          <a:xfrm flipV="1">
            <a:off x="5170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8" name="Text Box 800">
            <a:extLst>
              <a:ext uri="{FF2B5EF4-FFF2-40B4-BE49-F238E27FC236}">
                <a16:creationId xmlns:a16="http://schemas.microsoft.com/office/drawing/2014/main" id="{8F557FE7-4F5C-AF67-B79A-A7C4E9798D0D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18" y="2158"/>
            <a:ext cx="229" cy="2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9" name="Line 801">
            <a:extLst>
              <a:ext uri="{FF2B5EF4-FFF2-40B4-BE49-F238E27FC236}">
                <a16:creationId xmlns:a16="http://schemas.microsoft.com/office/drawing/2014/main" id="{68EC1E3E-8188-B6C3-EA59-4A73C82DBC83}"/>
              </a:ext>
            </a:extLst>
          </xdr:cNvPr>
          <xdr:cNvSpPr>
            <a:spLocks noChangeShapeType="1"/>
          </xdr:cNvSpPr>
        </xdr:nvSpPr>
        <xdr:spPr bwMode="auto">
          <a:xfrm flipV="1">
            <a:off x="497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50" name="Text Box 802">
            <a:extLst>
              <a:ext uri="{FF2B5EF4-FFF2-40B4-BE49-F238E27FC236}">
                <a16:creationId xmlns:a16="http://schemas.microsoft.com/office/drawing/2014/main" id="{862EF1A9-E098-B69A-69E7-356FDAD6C30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67" y="241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3093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51" name="Text Box 803">
            <a:extLst>
              <a:ext uri="{FF2B5EF4-FFF2-40B4-BE49-F238E27FC236}">
                <a16:creationId xmlns:a16="http://schemas.microsoft.com/office/drawing/2014/main" id="{E5447636-90B8-3C0F-8189-2E448F3F23B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1" y="2404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102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52" name="Rectangle 804">
            <a:extLst>
              <a:ext uri="{FF2B5EF4-FFF2-40B4-BE49-F238E27FC236}">
                <a16:creationId xmlns:a16="http://schemas.microsoft.com/office/drawing/2014/main" id="{93147D02-A641-CCDA-B573-522703F94E42}"/>
              </a:ext>
            </a:extLst>
          </xdr:cNvPr>
          <xdr:cNvSpPr>
            <a:spLocks noChangeArrowheads="1"/>
          </xdr:cNvSpPr>
        </xdr:nvSpPr>
        <xdr:spPr bwMode="auto">
          <a:xfrm>
            <a:off x="5048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3" name="Rectangle 805">
            <a:extLst>
              <a:ext uri="{FF2B5EF4-FFF2-40B4-BE49-F238E27FC236}">
                <a16:creationId xmlns:a16="http://schemas.microsoft.com/office/drawing/2014/main" id="{2C5283D1-7C60-1972-D784-2F00E6B9BF92}"/>
              </a:ext>
            </a:extLst>
          </xdr:cNvPr>
          <xdr:cNvSpPr>
            <a:spLocks noChangeArrowheads="1"/>
          </xdr:cNvSpPr>
        </xdr:nvSpPr>
        <xdr:spPr bwMode="auto">
          <a:xfrm>
            <a:off x="5048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4" name="Rectangle 806">
            <a:extLst>
              <a:ext uri="{FF2B5EF4-FFF2-40B4-BE49-F238E27FC236}">
                <a16:creationId xmlns:a16="http://schemas.microsoft.com/office/drawing/2014/main" id="{8628C581-1A7F-DDA6-7ABF-F640B821CB07}"/>
              </a:ext>
            </a:extLst>
          </xdr:cNvPr>
          <xdr:cNvSpPr>
            <a:spLocks noChangeArrowheads="1"/>
          </xdr:cNvSpPr>
        </xdr:nvSpPr>
        <xdr:spPr bwMode="auto">
          <a:xfrm>
            <a:off x="4685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5" name="Rectangle 807">
            <a:extLst>
              <a:ext uri="{FF2B5EF4-FFF2-40B4-BE49-F238E27FC236}">
                <a16:creationId xmlns:a16="http://schemas.microsoft.com/office/drawing/2014/main" id="{314FDBA2-4976-F7F3-CB3B-53B0957F4AE7}"/>
              </a:ext>
            </a:extLst>
          </xdr:cNvPr>
          <xdr:cNvSpPr>
            <a:spLocks noChangeArrowheads="1"/>
          </xdr:cNvSpPr>
        </xdr:nvSpPr>
        <xdr:spPr bwMode="auto">
          <a:xfrm>
            <a:off x="5362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5</xdr:col>
      <xdr:colOff>9525</xdr:colOff>
      <xdr:row>84</xdr:row>
      <xdr:rowOff>85725</xdr:rowOff>
    </xdr:from>
    <xdr:to>
      <xdr:col>10</xdr:col>
      <xdr:colOff>552450</xdr:colOff>
      <xdr:row>97</xdr:row>
      <xdr:rowOff>161925</xdr:rowOff>
    </xdr:to>
    <xdr:graphicFrame macro="">
      <xdr:nvGraphicFramePr>
        <xdr:cNvPr id="2864" name="Chart 816">
          <a:extLst>
            <a:ext uri="{FF2B5EF4-FFF2-40B4-BE49-F238E27FC236}">
              <a16:creationId xmlns:a16="http://schemas.microsoft.com/office/drawing/2014/main" id="{6AE33DC1-1A10-E171-2666-1BC22F9C8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69</xdr:row>
      <xdr:rowOff>0</xdr:rowOff>
    </xdr:from>
    <xdr:to>
      <xdr:col>18</xdr:col>
      <xdr:colOff>0</xdr:colOff>
      <xdr:row>84</xdr:row>
      <xdr:rowOff>0</xdr:rowOff>
    </xdr:to>
    <xdr:graphicFrame macro="">
      <xdr:nvGraphicFramePr>
        <xdr:cNvPr id="2865" name="Chart 817">
          <a:extLst>
            <a:ext uri="{FF2B5EF4-FFF2-40B4-BE49-F238E27FC236}">
              <a16:creationId xmlns:a16="http://schemas.microsoft.com/office/drawing/2014/main" id="{76A0F236-0510-DCF7-EF43-4B9069D5E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84</xdr:row>
      <xdr:rowOff>76200</xdr:rowOff>
    </xdr:from>
    <xdr:to>
      <xdr:col>17</xdr:col>
      <xdr:colOff>609600</xdr:colOff>
      <xdr:row>97</xdr:row>
      <xdr:rowOff>161925</xdr:rowOff>
    </xdr:to>
    <xdr:graphicFrame macro="">
      <xdr:nvGraphicFramePr>
        <xdr:cNvPr id="2866" name="Chart 818">
          <a:extLst>
            <a:ext uri="{FF2B5EF4-FFF2-40B4-BE49-F238E27FC236}">
              <a16:creationId xmlns:a16="http://schemas.microsoft.com/office/drawing/2014/main" id="{89ACFC7C-49B7-A64A-0C9B-91E91480C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35</xdr:row>
      <xdr:rowOff>0</xdr:rowOff>
    </xdr:from>
    <xdr:to>
      <xdr:col>16</xdr:col>
      <xdr:colOff>476250</xdr:colOff>
      <xdr:row>52</xdr:row>
      <xdr:rowOff>47625</xdr:rowOff>
    </xdr:to>
    <xdr:graphicFrame macro="">
      <xdr:nvGraphicFramePr>
        <xdr:cNvPr id="1140" name="Chart 116">
          <a:extLst>
            <a:ext uri="{FF2B5EF4-FFF2-40B4-BE49-F238E27FC236}">
              <a16:creationId xmlns:a16="http://schemas.microsoft.com/office/drawing/2014/main" id="{50FF595D-E802-7E70-C99E-13CB4D3A0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504825</xdr:colOff>
      <xdr:row>35</xdr:row>
      <xdr:rowOff>0</xdr:rowOff>
    </xdr:from>
    <xdr:to>
      <xdr:col>22</xdr:col>
      <xdr:colOff>0</xdr:colOff>
      <xdr:row>52</xdr:row>
      <xdr:rowOff>47625</xdr:rowOff>
    </xdr:to>
    <xdr:graphicFrame macro="">
      <xdr:nvGraphicFramePr>
        <xdr:cNvPr id="1141" name="Chart 117">
          <a:extLst>
            <a:ext uri="{FF2B5EF4-FFF2-40B4-BE49-F238E27FC236}">
              <a16:creationId xmlns:a16="http://schemas.microsoft.com/office/drawing/2014/main" id="{55C79AD9-5486-025A-AD83-AD97024EA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600075</xdr:colOff>
      <xdr:row>32</xdr:row>
      <xdr:rowOff>95250</xdr:rowOff>
    </xdr:to>
    <xdr:graphicFrame macro="">
      <xdr:nvGraphicFramePr>
        <xdr:cNvPr id="10251" name="Chart 11">
          <a:extLst>
            <a:ext uri="{FF2B5EF4-FFF2-40B4-BE49-F238E27FC236}">
              <a16:creationId xmlns:a16="http://schemas.microsoft.com/office/drawing/2014/main" id="{BF33BB36-B228-04B3-DBC3-FC011199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12</xdr:col>
      <xdr:colOff>0</xdr:colOff>
      <xdr:row>69</xdr:row>
      <xdr:rowOff>0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699957B5-88CA-78FC-8DD2-35B61C775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66675</xdr:rowOff>
    </xdr:from>
    <xdr:to>
      <xdr:col>25</xdr:col>
      <xdr:colOff>0</xdr:colOff>
      <xdr:row>32</xdr:row>
      <xdr:rowOff>133350</xdr:rowOff>
    </xdr:to>
    <xdr:graphicFrame macro="">
      <xdr:nvGraphicFramePr>
        <xdr:cNvPr id="10253" name="Chart 13">
          <a:extLst>
            <a:ext uri="{FF2B5EF4-FFF2-40B4-BE49-F238E27FC236}">
              <a16:creationId xmlns:a16="http://schemas.microsoft.com/office/drawing/2014/main" id="{A3E6B1B2-71ED-F6C3-F1C6-44E7E9C79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37</xdr:row>
      <xdr:rowOff>9525</xdr:rowOff>
    </xdr:from>
    <xdr:to>
      <xdr:col>24</xdr:col>
      <xdr:colOff>447675</xdr:colOff>
      <xdr:row>69</xdr:row>
      <xdr:rowOff>9525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C8A59C11-ECFF-4434-8940-825D0C8DA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447675</xdr:colOff>
      <xdr:row>74</xdr:row>
      <xdr:rowOff>19050</xdr:rowOff>
    </xdr:from>
    <xdr:to>
      <xdr:col>1</xdr:col>
      <xdr:colOff>561975</xdr:colOff>
      <xdr:row>74</xdr:row>
      <xdr:rowOff>133350</xdr:rowOff>
    </xdr:to>
    <xdr:sp macro="" textlink="">
      <xdr:nvSpPr>
        <xdr:cNvPr id="10257" name="Rectangle 17">
          <a:extLst>
            <a:ext uri="{FF2B5EF4-FFF2-40B4-BE49-F238E27FC236}">
              <a16:creationId xmlns:a16="http://schemas.microsoft.com/office/drawing/2014/main" id="{E3A35D75-C3A8-16EA-8A13-6926EF8C323B}"/>
            </a:ext>
          </a:extLst>
        </xdr:cNvPr>
        <xdr:cNvSpPr>
          <a:spLocks noChangeArrowheads="1"/>
        </xdr:cNvSpPr>
      </xdr:nvSpPr>
      <xdr:spPr bwMode="auto">
        <a:xfrm>
          <a:off x="1057275" y="12001500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74</xdr:row>
      <xdr:rowOff>57150</xdr:rowOff>
    </xdr:from>
    <xdr:to>
      <xdr:col>6</xdr:col>
      <xdr:colOff>561975</xdr:colOff>
      <xdr:row>74</xdr:row>
      <xdr:rowOff>114300</xdr:rowOff>
    </xdr:to>
    <xdr:grpSp>
      <xdr:nvGrpSpPr>
        <xdr:cNvPr id="10264" name="Group 24">
          <a:extLst>
            <a:ext uri="{FF2B5EF4-FFF2-40B4-BE49-F238E27FC236}">
              <a16:creationId xmlns:a16="http://schemas.microsoft.com/office/drawing/2014/main" id="{90CAAF07-9C14-30C1-0552-4C9048F99B46}"/>
            </a:ext>
          </a:extLst>
        </xdr:cNvPr>
        <xdr:cNvGrpSpPr>
          <a:grpSpLocks/>
        </xdr:cNvGrpSpPr>
      </xdr:nvGrpSpPr>
      <xdr:grpSpPr bwMode="auto">
        <a:xfrm>
          <a:off x="3790950" y="12039600"/>
          <a:ext cx="428625" cy="57150"/>
          <a:chOff x="398" y="1145"/>
          <a:chExt cx="45" cy="6"/>
        </a:xfrm>
      </xdr:grpSpPr>
      <xdr:sp macro="" textlink="">
        <xdr:nvSpPr>
          <xdr:cNvPr id="10258" name="Line 18">
            <a:extLst>
              <a:ext uri="{FF2B5EF4-FFF2-40B4-BE49-F238E27FC236}">
                <a16:creationId xmlns:a16="http://schemas.microsoft.com/office/drawing/2014/main" id="{758A9FFC-33F6-6DBA-1645-497725351C3F}"/>
              </a:ext>
            </a:extLst>
          </xdr:cNvPr>
          <xdr:cNvSpPr>
            <a:spLocks noChangeShapeType="1"/>
          </xdr:cNvSpPr>
        </xdr:nvSpPr>
        <xdr:spPr bwMode="auto">
          <a:xfrm>
            <a:off x="398" y="1148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9" name="Rectangle 19">
            <a:extLst>
              <a:ext uri="{FF2B5EF4-FFF2-40B4-BE49-F238E27FC236}">
                <a16:creationId xmlns:a16="http://schemas.microsoft.com/office/drawing/2014/main" id="{0E3F5963-DD9D-4513-F2FC-CA48954AD9B5}"/>
              </a:ext>
            </a:extLst>
          </xdr:cNvPr>
          <xdr:cNvSpPr>
            <a:spLocks noChangeArrowheads="1"/>
          </xdr:cNvSpPr>
        </xdr:nvSpPr>
        <xdr:spPr bwMode="auto">
          <a:xfrm>
            <a:off x="417" y="1145"/>
            <a:ext cx="6" cy="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ln w="9525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13</xdr:col>
      <xdr:colOff>133350</xdr:colOff>
      <xdr:row>74</xdr:row>
      <xdr:rowOff>38100</xdr:rowOff>
    </xdr:from>
    <xdr:to>
      <xdr:col>13</xdr:col>
      <xdr:colOff>561975</xdr:colOff>
      <xdr:row>74</xdr:row>
      <xdr:rowOff>114300</xdr:rowOff>
    </xdr:to>
    <xdr:grpSp>
      <xdr:nvGrpSpPr>
        <xdr:cNvPr id="10263" name="Group 23">
          <a:extLst>
            <a:ext uri="{FF2B5EF4-FFF2-40B4-BE49-F238E27FC236}">
              <a16:creationId xmlns:a16="http://schemas.microsoft.com/office/drawing/2014/main" id="{220C9D2E-5F44-42AD-5851-107155648D6A}"/>
            </a:ext>
          </a:extLst>
        </xdr:cNvPr>
        <xdr:cNvGrpSpPr>
          <a:grpSpLocks/>
        </xdr:cNvGrpSpPr>
      </xdr:nvGrpSpPr>
      <xdr:grpSpPr bwMode="auto">
        <a:xfrm>
          <a:off x="8058150" y="12020550"/>
          <a:ext cx="428625" cy="76200"/>
          <a:chOff x="846" y="1143"/>
          <a:chExt cx="45" cy="8"/>
        </a:xfrm>
      </xdr:grpSpPr>
      <xdr:sp macro="" textlink="">
        <xdr:nvSpPr>
          <xdr:cNvPr id="10260" name="Line 20">
            <a:extLst>
              <a:ext uri="{FF2B5EF4-FFF2-40B4-BE49-F238E27FC236}">
                <a16:creationId xmlns:a16="http://schemas.microsoft.com/office/drawing/2014/main" id="{A1195D80-39A6-3AAC-31BB-E726F0EA9BE2}"/>
              </a:ext>
            </a:extLst>
          </xdr:cNvPr>
          <xdr:cNvSpPr>
            <a:spLocks noChangeShapeType="1"/>
          </xdr:cNvSpPr>
        </xdr:nvSpPr>
        <xdr:spPr bwMode="auto">
          <a:xfrm>
            <a:off x="846" y="1148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6600" mc:Ignorable="a14" a14:legacySpreadsheetColorIndex="53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62" name="AutoShape 22">
            <a:extLst>
              <a:ext uri="{FF2B5EF4-FFF2-40B4-BE49-F238E27FC236}">
                <a16:creationId xmlns:a16="http://schemas.microsoft.com/office/drawing/2014/main" id="{105CB57B-5B1F-16B9-694F-98C3AF4A8E8C}"/>
              </a:ext>
            </a:extLst>
          </xdr:cNvPr>
          <xdr:cNvSpPr>
            <a:spLocks noChangeArrowheads="1"/>
          </xdr:cNvSpPr>
        </xdr:nvSpPr>
        <xdr:spPr bwMode="auto">
          <a:xfrm>
            <a:off x="865" y="1143"/>
            <a:ext cx="8" cy="8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ln w="9525">
            <a:solidFill>
              <a:srgbClr xmlns:mc="http://schemas.openxmlformats.org/markup-compatibility/2006" xmlns:a14="http://schemas.microsoft.com/office/drawing/2010/main" val="FF6600" mc:Ignorable="a14" a14:legacySpreadsheetColorIndex="53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0</xdr:colOff>
      <xdr:row>74</xdr:row>
      <xdr:rowOff>28575</xdr:rowOff>
    </xdr:from>
    <xdr:to>
      <xdr:col>22</xdr:col>
      <xdr:colOff>114300</xdr:colOff>
      <xdr:row>74</xdr:row>
      <xdr:rowOff>142875</xdr:rowOff>
    </xdr:to>
    <xdr:sp macro="" textlink="">
      <xdr:nvSpPr>
        <xdr:cNvPr id="10265" name="Rectangle 25">
          <a:extLst>
            <a:ext uri="{FF2B5EF4-FFF2-40B4-BE49-F238E27FC236}">
              <a16:creationId xmlns:a16="http://schemas.microsoft.com/office/drawing/2014/main" id="{E7CE964F-B11D-FA73-BD5B-E621CDB75312}"/>
            </a:ext>
          </a:extLst>
        </xdr:cNvPr>
        <xdr:cNvSpPr>
          <a:spLocks noChangeArrowheads="1"/>
        </xdr:cNvSpPr>
      </xdr:nvSpPr>
      <xdr:spPr bwMode="auto">
        <a:xfrm>
          <a:off x="13411200" y="12011025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457200</xdr:colOff>
      <xdr:row>74</xdr:row>
      <xdr:rowOff>28575</xdr:rowOff>
    </xdr:from>
    <xdr:to>
      <xdr:col>17</xdr:col>
      <xdr:colOff>571500</xdr:colOff>
      <xdr:row>74</xdr:row>
      <xdr:rowOff>142875</xdr:rowOff>
    </xdr:to>
    <xdr:sp macro="" textlink="">
      <xdr:nvSpPr>
        <xdr:cNvPr id="10266" name="Rectangle 26">
          <a:extLst>
            <a:ext uri="{FF2B5EF4-FFF2-40B4-BE49-F238E27FC236}">
              <a16:creationId xmlns:a16="http://schemas.microsoft.com/office/drawing/2014/main" id="{390A9791-BA37-2E8F-CC6D-E92A7F03ABEE}"/>
            </a:ext>
          </a:extLst>
        </xdr:cNvPr>
        <xdr:cNvSpPr>
          <a:spLocks noChangeArrowheads="1"/>
        </xdr:cNvSpPr>
      </xdr:nvSpPr>
      <xdr:spPr bwMode="auto">
        <a:xfrm>
          <a:off x="10820400" y="12011025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485775</xdr:colOff>
      <xdr:row>74</xdr:row>
      <xdr:rowOff>28575</xdr:rowOff>
    </xdr:from>
    <xdr:to>
      <xdr:col>19</xdr:col>
      <xdr:colOff>600075</xdr:colOff>
      <xdr:row>74</xdr:row>
      <xdr:rowOff>142875</xdr:rowOff>
    </xdr:to>
    <xdr:sp macro="" textlink="">
      <xdr:nvSpPr>
        <xdr:cNvPr id="10267" name="Rectangle 27">
          <a:extLst>
            <a:ext uri="{FF2B5EF4-FFF2-40B4-BE49-F238E27FC236}">
              <a16:creationId xmlns:a16="http://schemas.microsoft.com/office/drawing/2014/main" id="{173CC6CD-A195-75EA-0D2E-BB73673BC993}"/>
            </a:ext>
          </a:extLst>
        </xdr:cNvPr>
        <xdr:cNvSpPr>
          <a:spLocks noChangeArrowheads="1"/>
        </xdr:cNvSpPr>
      </xdr:nvSpPr>
      <xdr:spPr bwMode="auto">
        <a:xfrm>
          <a:off x="12068175" y="12011025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9525</xdr:rowOff>
    </xdr:from>
    <xdr:to>
      <xdr:col>6</xdr:col>
      <xdr:colOff>123825</xdr:colOff>
      <xdr:row>70</xdr:row>
      <xdr:rowOff>9525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AF2786D1-C38F-5CD3-E682-2B2592A5A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123825</xdr:colOff>
      <xdr:row>52</xdr:row>
      <xdr:rowOff>0</xdr:rowOff>
    </xdr:to>
    <xdr:graphicFrame macro="">
      <xdr:nvGraphicFramePr>
        <xdr:cNvPr id="12291" name="Chart 3">
          <a:extLst>
            <a:ext uri="{FF2B5EF4-FFF2-40B4-BE49-F238E27FC236}">
              <a16:creationId xmlns:a16="http://schemas.microsoft.com/office/drawing/2014/main" id="{FDB66DC2-CA1C-1054-5974-526DB237B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36</xdr:row>
      <xdr:rowOff>0</xdr:rowOff>
    </xdr:from>
    <xdr:to>
      <xdr:col>13</xdr:col>
      <xdr:colOff>0</xdr:colOff>
      <xdr:row>52</xdr:row>
      <xdr:rowOff>9525</xdr:rowOff>
    </xdr:to>
    <xdr:graphicFrame macro="">
      <xdr:nvGraphicFramePr>
        <xdr:cNvPr id="12294" name="Chart 6">
          <a:extLst>
            <a:ext uri="{FF2B5EF4-FFF2-40B4-BE49-F238E27FC236}">
              <a16:creationId xmlns:a16="http://schemas.microsoft.com/office/drawing/2014/main" id="{B39C4DC4-D515-1BD7-4BED-D0CCB6EC5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54</xdr:row>
      <xdr:rowOff>0</xdr:rowOff>
    </xdr:from>
    <xdr:to>
      <xdr:col>13</xdr:col>
      <xdr:colOff>0</xdr:colOff>
      <xdr:row>70</xdr:row>
      <xdr:rowOff>9525</xdr:rowOff>
    </xdr:to>
    <xdr:graphicFrame macro="">
      <xdr:nvGraphicFramePr>
        <xdr:cNvPr id="12295" name="Chart 7">
          <a:extLst>
            <a:ext uri="{FF2B5EF4-FFF2-40B4-BE49-F238E27FC236}">
              <a16:creationId xmlns:a16="http://schemas.microsoft.com/office/drawing/2014/main" id="{C84BC371-454B-DF9F-20AA-7217D2C54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20</xdr:col>
      <xdr:colOff>142875</xdr:colOff>
      <xdr:row>52</xdr:row>
      <xdr:rowOff>19050</xdr:rowOff>
    </xdr:to>
    <xdr:graphicFrame macro="">
      <xdr:nvGraphicFramePr>
        <xdr:cNvPr id="12296" name="Chart 8">
          <a:extLst>
            <a:ext uri="{FF2B5EF4-FFF2-40B4-BE49-F238E27FC236}">
              <a16:creationId xmlns:a16="http://schemas.microsoft.com/office/drawing/2014/main" id="{85683A9C-22D5-D9E3-8DA7-CAF1B5D05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447675</xdr:colOff>
      <xdr:row>36</xdr:row>
      <xdr:rowOff>0</xdr:rowOff>
    </xdr:from>
    <xdr:to>
      <xdr:col>27</xdr:col>
      <xdr:colOff>0</xdr:colOff>
      <xdr:row>52</xdr:row>
      <xdr:rowOff>19050</xdr:rowOff>
    </xdr:to>
    <xdr:graphicFrame macro="">
      <xdr:nvGraphicFramePr>
        <xdr:cNvPr id="12297" name="Chart 9">
          <a:extLst>
            <a:ext uri="{FF2B5EF4-FFF2-40B4-BE49-F238E27FC236}">
              <a16:creationId xmlns:a16="http://schemas.microsoft.com/office/drawing/2014/main" id="{BC3A8BDB-955F-306B-6252-9B59883A6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20</xdr:col>
      <xdr:colOff>142875</xdr:colOff>
      <xdr:row>70</xdr:row>
      <xdr:rowOff>19050</xdr:rowOff>
    </xdr:to>
    <xdr:graphicFrame macro="">
      <xdr:nvGraphicFramePr>
        <xdr:cNvPr id="12298" name="Chart 10">
          <a:extLst>
            <a:ext uri="{FF2B5EF4-FFF2-40B4-BE49-F238E27FC236}">
              <a16:creationId xmlns:a16="http://schemas.microsoft.com/office/drawing/2014/main" id="{56931FB3-925A-7C62-A0BE-CBA016280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447675</xdr:colOff>
      <xdr:row>54</xdr:row>
      <xdr:rowOff>0</xdr:rowOff>
    </xdr:from>
    <xdr:to>
      <xdr:col>27</xdr:col>
      <xdr:colOff>0</xdr:colOff>
      <xdr:row>70</xdr:row>
      <xdr:rowOff>19050</xdr:rowOff>
    </xdr:to>
    <xdr:graphicFrame macro="">
      <xdr:nvGraphicFramePr>
        <xdr:cNvPr id="12299" name="Chart 11">
          <a:extLst>
            <a:ext uri="{FF2B5EF4-FFF2-40B4-BE49-F238E27FC236}">
              <a16:creationId xmlns:a16="http://schemas.microsoft.com/office/drawing/2014/main" id="{C3108D02-CBC2-154D-E27E-297357B58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z%20Trading/ONS/Daily%20Reports/ADO/Rdia07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Índice"/>
      <sheetName val="1-Balanço Energético "/>
      <sheetName val="2-Carga Própria"/>
      <sheetName val="2.5-Dem. Hor.  Área Cont. e Reg"/>
      <sheetName val="3-Produção"/>
      <sheetName val="4-Disponibilidade"/>
      <sheetName val="5.1-Deslig. 23h59"/>
      <sheetName val="5.2-Deslig. no dia"/>
      <sheetName val="5.3-Deslig. 23h59 sem CO"/>
      <sheetName val="6-Reserva de Potência"/>
      <sheetName val="7-Operação RJ-ES e SP"/>
      <sheetName val="7.2-Diagrama - RJ-ES"/>
      <sheetName val="7.3-Diagrama - SP"/>
      <sheetName val="7.4-Cargas_Emp_Rio-ES"/>
      <sheetName val="8-Acomp. Hidrologia"/>
      <sheetName val="9-Energético"/>
      <sheetName val="EAR%-Regiões"/>
      <sheetName val="FUR_MAR"/>
      <sheetName val="EMB_ITB"/>
      <sheetName val="AGV_SSI"/>
      <sheetName val="ILS_CPV"/>
      <sheetName val="SME_TUC"/>
      <sheetName val="TMA_SOB"/>
      <sheetName val="GBM_SSA"/>
      <sheetName val="10-Principais Ocorrências"/>
      <sheetName val="DadosHidro"/>
      <sheetName val="Dados EAR%"/>
      <sheetName val="DadosFluxo"/>
    </sheetNames>
    <sheetDataSet>
      <sheetData sheetId="0"/>
      <sheetData sheetId="1">
        <row r="8">
          <cell r="B8">
            <v>15027</v>
          </cell>
          <cell r="C8">
            <v>15848.408333333336</v>
          </cell>
          <cell r="G8">
            <v>7501</v>
          </cell>
          <cell r="H8">
            <v>7585.25</v>
          </cell>
        </row>
        <row r="9">
          <cell r="B9">
            <v>1149</v>
          </cell>
          <cell r="C9">
            <v>784</v>
          </cell>
          <cell r="G9">
            <v>1468</v>
          </cell>
          <cell r="H9">
            <v>1362</v>
          </cell>
        </row>
        <row r="10">
          <cell r="B10">
            <v>1760</v>
          </cell>
          <cell r="C10">
            <v>1715</v>
          </cell>
        </row>
        <row r="11">
          <cell r="G11">
            <v>1867</v>
          </cell>
          <cell r="H11">
            <v>1871.8499479166669</v>
          </cell>
        </row>
        <row r="12">
          <cell r="B12">
            <v>7830</v>
          </cell>
          <cell r="C12">
            <v>7852.0458854166654</v>
          </cell>
          <cell r="G12">
            <v>8314</v>
          </cell>
          <cell r="H12">
            <v>8318.7375000000011</v>
          </cell>
        </row>
        <row r="13">
          <cell r="B13">
            <v>28778</v>
          </cell>
          <cell r="C13">
            <v>29171.3125</v>
          </cell>
          <cell r="G13">
            <v>2569</v>
          </cell>
          <cell r="H13">
            <v>2545.5749479166648</v>
          </cell>
        </row>
        <row r="14">
          <cell r="B14">
            <v>-2554</v>
          </cell>
          <cell r="C14">
            <v>-2545.5749479166661</v>
          </cell>
          <cell r="G14">
            <v>-47</v>
          </cell>
          <cell r="H14">
            <v>-45.212499999999999</v>
          </cell>
        </row>
        <row r="15">
          <cell r="B15">
            <v>-458</v>
          </cell>
          <cell r="C15">
            <v>-426.2833333333333</v>
          </cell>
        </row>
        <row r="16">
          <cell r="B16">
            <v>0</v>
          </cell>
          <cell r="C16">
            <v>1.4210854715202004E-12</v>
          </cell>
        </row>
        <row r="18">
          <cell r="G18">
            <v>5726.2250000000013</v>
          </cell>
        </row>
        <row r="19">
          <cell r="G19">
            <v>3997.6708333333336</v>
          </cell>
        </row>
        <row r="20">
          <cell r="G20">
            <v>-673.72500000000002</v>
          </cell>
        </row>
        <row r="24">
          <cell r="B24">
            <v>3634</v>
          </cell>
          <cell r="C24">
            <v>3334.2875000000004</v>
          </cell>
          <cell r="G24">
            <v>6027</v>
          </cell>
          <cell r="H24">
            <v>6183.1083333333327</v>
          </cell>
        </row>
        <row r="25">
          <cell r="B25">
            <v>0</v>
          </cell>
          <cell r="C25">
            <v>0</v>
          </cell>
          <cell r="G25">
            <v>40</v>
          </cell>
          <cell r="H25">
            <v>36</v>
          </cell>
        </row>
        <row r="27">
          <cell r="B27">
            <v>2570</v>
          </cell>
          <cell r="C27">
            <v>2442.041666666667</v>
          </cell>
          <cell r="G27">
            <v>6642</v>
          </cell>
          <cell r="H27">
            <v>6685.0708333333341</v>
          </cell>
        </row>
        <row r="28">
          <cell r="B28">
            <v>575</v>
          </cell>
          <cell r="C28">
            <v>465.96249999999998</v>
          </cell>
          <cell r="G28">
            <v>-575</v>
          </cell>
          <cell r="H28">
            <v>-465.96249999999998</v>
          </cell>
        </row>
        <row r="29">
          <cell r="B29">
            <v>458</v>
          </cell>
          <cell r="C29">
            <v>426.2833333333333</v>
          </cell>
          <cell r="G29">
            <v>0</v>
          </cell>
          <cell r="H29">
            <v>-1.4210854715202004E-12</v>
          </cell>
        </row>
      </sheetData>
      <sheetData sheetId="2"/>
      <sheetData sheetId="3"/>
      <sheetData sheetId="4">
        <row r="9">
          <cell r="A9" t="str">
            <v>PCH CEB</v>
          </cell>
          <cell r="B9">
            <v>12.708333333333334</v>
          </cell>
          <cell r="C9">
            <v>12.708333333333334</v>
          </cell>
        </row>
        <row r="10">
          <cell r="A10" t="str">
            <v>CAMARGOS</v>
          </cell>
          <cell r="B10">
            <v>9.5</v>
          </cell>
          <cell r="C10">
            <v>9.75</v>
          </cell>
        </row>
        <row r="11">
          <cell r="A11" t="str">
            <v>EMBORCAÇÃO</v>
          </cell>
          <cell r="B11">
            <v>135</v>
          </cell>
          <cell r="C11">
            <v>167.3</v>
          </cell>
        </row>
        <row r="12">
          <cell r="A12" t="str">
            <v>G.AMORIM</v>
          </cell>
          <cell r="B12">
            <v>36.895833333333336</v>
          </cell>
          <cell r="C12">
            <v>64.341666666666669</v>
          </cell>
        </row>
        <row r="13">
          <cell r="A13" t="str">
            <v>IGARAPAVA</v>
          </cell>
          <cell r="B13">
            <v>163.125</v>
          </cell>
          <cell r="C13">
            <v>163.29166666666671</v>
          </cell>
        </row>
        <row r="14">
          <cell r="A14" t="str">
            <v>ITUTINGA</v>
          </cell>
          <cell r="B14">
            <v>13.666666666666666</v>
          </cell>
          <cell r="C14">
            <v>14.85</v>
          </cell>
        </row>
        <row r="15">
          <cell r="A15" t="str">
            <v>JAGUARA</v>
          </cell>
          <cell r="B15">
            <v>394.79166666666669</v>
          </cell>
          <cell r="C15">
            <v>390.52083333333331</v>
          </cell>
        </row>
        <row r="16">
          <cell r="A16" t="str">
            <v>MIRANDA</v>
          </cell>
          <cell r="B16">
            <v>145.41666666666666</v>
          </cell>
          <cell r="C16">
            <v>190.27083333333334</v>
          </cell>
        </row>
        <row r="17">
          <cell r="A17" t="str">
            <v>NOVA PONTE</v>
          </cell>
          <cell r="B17">
            <v>111</v>
          </cell>
          <cell r="C17">
            <v>143.44166666666666</v>
          </cell>
        </row>
        <row r="18">
          <cell r="A18" t="str">
            <v>PCH CEMIG</v>
          </cell>
          <cell r="B18">
            <v>74.291666666666671</v>
          </cell>
          <cell r="C18">
            <v>74.291666666666671</v>
          </cell>
        </row>
        <row r="19">
          <cell r="A19" t="str">
            <v>S.GRANDE</v>
          </cell>
          <cell r="B19">
            <v>41.875</v>
          </cell>
          <cell r="C19">
            <v>41.733333333333334</v>
          </cell>
        </row>
        <row r="20">
          <cell r="A20" t="str">
            <v>S.SIMÃO</v>
          </cell>
          <cell r="B20">
            <v>1275.8333333333333</v>
          </cell>
          <cell r="C20">
            <v>1323.7833333333333</v>
          </cell>
        </row>
        <row r="21">
          <cell r="A21" t="str">
            <v>SOBRAGI</v>
          </cell>
          <cell r="B21">
            <v>24</v>
          </cell>
          <cell r="C21">
            <v>25.204166666666666</v>
          </cell>
        </row>
        <row r="22">
          <cell r="A22" t="str">
            <v>T.MARIAS</v>
          </cell>
          <cell r="B22">
            <v>177.5</v>
          </cell>
          <cell r="C22">
            <v>181.38749999999999</v>
          </cell>
        </row>
        <row r="23">
          <cell r="A23" t="str">
            <v>V.GRANDE</v>
          </cell>
          <cell r="B23">
            <v>255.83333333333334</v>
          </cell>
          <cell r="C23">
            <v>255.31666666666669</v>
          </cell>
        </row>
        <row r="24">
          <cell r="A24" t="str">
            <v>PCH CELG</v>
          </cell>
          <cell r="B24">
            <v>8.7083333333333339</v>
          </cell>
          <cell r="C24">
            <v>8.7083333333333339</v>
          </cell>
        </row>
        <row r="25">
          <cell r="A25" t="str">
            <v>PCH CPFL</v>
          </cell>
          <cell r="B25">
            <v>40</v>
          </cell>
          <cell r="C25">
            <v>40</v>
          </cell>
        </row>
        <row r="26">
          <cell r="A26" t="str">
            <v>PCH CERJ</v>
          </cell>
          <cell r="B26">
            <v>28.583333333333332</v>
          </cell>
          <cell r="C26">
            <v>28.583333333333332</v>
          </cell>
        </row>
        <row r="27">
          <cell r="A27" t="str">
            <v>A.VERMELHA</v>
          </cell>
          <cell r="B27">
            <v>746.875</v>
          </cell>
          <cell r="C27">
            <v>756.37916666666661</v>
          </cell>
        </row>
        <row r="28">
          <cell r="A28" t="str">
            <v>B.BONITA</v>
          </cell>
          <cell r="B28">
            <v>64.166666666666671</v>
          </cell>
          <cell r="C28">
            <v>72.362499999999997</v>
          </cell>
        </row>
        <row r="29">
          <cell r="A29" t="str">
            <v>BARIRI</v>
          </cell>
          <cell r="B29">
            <v>62.5</v>
          </cell>
          <cell r="C29">
            <v>76.400000000000006</v>
          </cell>
        </row>
        <row r="30">
          <cell r="A30" t="str">
            <v>CACONDE</v>
          </cell>
          <cell r="B30">
            <v>35.75</v>
          </cell>
          <cell r="C30">
            <v>35.487499999999997</v>
          </cell>
        </row>
        <row r="31">
          <cell r="A31" t="str">
            <v>CHAVANTES</v>
          </cell>
          <cell r="B31">
            <v>212.29166666666666</v>
          </cell>
          <cell r="C31">
            <v>194.87083333333337</v>
          </cell>
        </row>
        <row r="32">
          <cell r="A32" t="str">
            <v>CAPIVARA</v>
          </cell>
          <cell r="B32">
            <v>527.5</v>
          </cell>
          <cell r="C32">
            <v>501</v>
          </cell>
        </row>
        <row r="33">
          <cell r="A33" t="str">
            <v>CANOAS I</v>
          </cell>
          <cell r="B33">
            <v>77.5</v>
          </cell>
          <cell r="C33">
            <v>73.05416666666666</v>
          </cell>
        </row>
        <row r="34">
          <cell r="A34" t="str">
            <v>CANOAS II</v>
          </cell>
          <cell r="B34">
            <v>48</v>
          </cell>
          <cell r="C34">
            <v>48</v>
          </cell>
        </row>
        <row r="35">
          <cell r="A35" t="str">
            <v>Total CANOAS</v>
          </cell>
          <cell r="B35">
            <v>125.5</v>
          </cell>
          <cell r="C35">
            <v>121.05416666666666</v>
          </cell>
        </row>
        <row r="36">
          <cell r="A36" t="str">
            <v>E.CUNHA</v>
          </cell>
          <cell r="B36">
            <v>42.458333333333336</v>
          </cell>
          <cell r="C36">
            <v>53.983333333333341</v>
          </cell>
        </row>
        <row r="37">
          <cell r="A37" t="str">
            <v>IBITINGA</v>
          </cell>
          <cell r="B37">
            <v>80</v>
          </cell>
          <cell r="C37">
            <v>82.654166666666669</v>
          </cell>
        </row>
        <row r="38">
          <cell r="A38" t="str">
            <v>I.SOLTEIRA</v>
          </cell>
          <cell r="B38">
            <v>1981.25</v>
          </cell>
          <cell r="C38">
            <v>2122.0083333333328</v>
          </cell>
        </row>
        <row r="39">
          <cell r="A39" t="str">
            <v>JAGUARI</v>
          </cell>
          <cell r="B39">
            <v>4</v>
          </cell>
          <cell r="C39">
            <v>1.6541666666666668</v>
          </cell>
        </row>
        <row r="40">
          <cell r="A40" t="str">
            <v>JUPIA</v>
          </cell>
          <cell r="B40">
            <v>1137.5</v>
          </cell>
          <cell r="C40">
            <v>1135.6208333333338</v>
          </cell>
        </row>
        <row r="41">
          <cell r="A41" t="str">
            <v>JURUMIRIM</v>
          </cell>
          <cell r="B41">
            <v>96</v>
          </cell>
          <cell r="C41">
            <v>95.537499999999994</v>
          </cell>
        </row>
        <row r="42">
          <cell r="A42" t="str">
            <v>LIMOEIRO</v>
          </cell>
          <cell r="B42">
            <v>13.416666666666666</v>
          </cell>
          <cell r="C42">
            <v>16.324999999999999</v>
          </cell>
        </row>
        <row r="43">
          <cell r="A43" t="str">
            <v>N. AVANHAN</v>
          </cell>
          <cell r="B43">
            <v>295</v>
          </cell>
          <cell r="C43">
            <v>288.86666666666667</v>
          </cell>
        </row>
        <row r="44">
          <cell r="A44" t="str">
            <v>PARAIBUNA</v>
          </cell>
          <cell r="B44">
            <v>37</v>
          </cell>
          <cell r="C44">
            <v>37.395833333333336</v>
          </cell>
        </row>
        <row r="45">
          <cell r="A45" t="str">
            <v>PCH CESP</v>
          </cell>
          <cell r="B45">
            <v>0</v>
          </cell>
          <cell r="C45">
            <v>0</v>
          </cell>
        </row>
        <row r="46">
          <cell r="A46" t="str">
            <v>P.PRIMAVERA</v>
          </cell>
          <cell r="B46">
            <v>640</v>
          </cell>
          <cell r="C46">
            <v>601.33749999999998</v>
          </cell>
        </row>
        <row r="47">
          <cell r="A47" t="str">
            <v>PROMISSÃO</v>
          </cell>
          <cell r="B47">
            <v>218</v>
          </cell>
          <cell r="C47">
            <v>215.70833333333334</v>
          </cell>
        </row>
        <row r="48">
          <cell r="A48" t="str">
            <v>ROSANA</v>
          </cell>
          <cell r="B48">
            <v>256.66666666666669</v>
          </cell>
          <cell r="C48">
            <v>260.2208333333333</v>
          </cell>
        </row>
        <row r="49">
          <cell r="A49" t="str">
            <v>S. GRANDE</v>
          </cell>
          <cell r="B49">
            <v>53</v>
          </cell>
          <cell r="C49">
            <v>51.774999999999999</v>
          </cell>
        </row>
        <row r="50">
          <cell r="A50" t="str">
            <v>TAQUARUÇU</v>
          </cell>
          <cell r="B50">
            <v>272.5</v>
          </cell>
          <cell r="C50">
            <v>271.77499999999998</v>
          </cell>
        </row>
        <row r="51">
          <cell r="A51" t="str">
            <v>T.IRMÃOS</v>
          </cell>
          <cell r="B51">
            <v>205.83333333333334</v>
          </cell>
          <cell r="C51">
            <v>255.17083333333332</v>
          </cell>
        </row>
        <row r="52">
          <cell r="A52" t="str">
            <v>PCH CEMAT</v>
          </cell>
          <cell r="B52">
            <v>100.22083333333335</v>
          </cell>
          <cell r="C52">
            <v>100.22083333333335</v>
          </cell>
        </row>
        <row r="53">
          <cell r="A53" t="str">
            <v>MASCARENHAS</v>
          </cell>
          <cell r="B53">
            <v>66.958333333333329</v>
          </cell>
          <cell r="C53">
            <v>66.958333333333329</v>
          </cell>
        </row>
        <row r="54">
          <cell r="A54" t="str">
            <v>PCH ESCELSA</v>
          </cell>
          <cell r="B54">
            <v>25</v>
          </cell>
          <cell r="C54">
            <v>25</v>
          </cell>
        </row>
        <row r="55">
          <cell r="A55" t="str">
            <v>H.BORDEN Ext</v>
          </cell>
          <cell r="B55">
            <v>62.458333333333336</v>
          </cell>
          <cell r="C55">
            <v>57.733333333333341</v>
          </cell>
        </row>
        <row r="56">
          <cell r="A56" t="str">
            <v>H.BORDEN Sub.</v>
          </cell>
          <cell r="B56">
            <v>0</v>
          </cell>
          <cell r="C56">
            <v>47.995833333333337</v>
          </cell>
        </row>
        <row r="57">
          <cell r="A57" t="str">
            <v>Total H.BORDEN</v>
          </cell>
          <cell r="B57">
            <v>62.458333333333336</v>
          </cell>
          <cell r="C57">
            <v>105.72916666666669</v>
          </cell>
        </row>
        <row r="58">
          <cell r="A58" t="str">
            <v>PCH EPAULO</v>
          </cell>
          <cell r="B58">
            <v>20</v>
          </cell>
          <cell r="C58">
            <v>20</v>
          </cell>
        </row>
        <row r="59">
          <cell r="A59" t="str">
            <v>P.COLOMBIA</v>
          </cell>
          <cell r="B59">
            <v>208.33333333333334</v>
          </cell>
          <cell r="C59">
            <v>210.81666666666669</v>
          </cell>
        </row>
        <row r="60">
          <cell r="A60" t="str">
            <v xml:space="preserve">CORUMBÁ </v>
          </cell>
          <cell r="B60">
            <v>270</v>
          </cell>
          <cell r="C60">
            <v>270.41250000000002</v>
          </cell>
        </row>
        <row r="61">
          <cell r="A61" t="str">
            <v>FUNIL</v>
          </cell>
          <cell r="B61">
            <v>112.5</v>
          </cell>
          <cell r="C61">
            <v>131.1875</v>
          </cell>
        </row>
        <row r="62">
          <cell r="A62" t="str">
            <v>FURNAS</v>
          </cell>
          <cell r="B62">
            <v>430.20833333333331</v>
          </cell>
          <cell r="C62">
            <v>588.67916666666667</v>
          </cell>
        </row>
        <row r="63">
          <cell r="A63" t="str">
            <v>ITUMBIARA</v>
          </cell>
          <cell r="B63">
            <v>703.33333333333337</v>
          </cell>
          <cell r="C63">
            <v>789.61249999999995</v>
          </cell>
        </row>
        <row r="64">
          <cell r="A64" t="str">
            <v>ESTREITO</v>
          </cell>
          <cell r="B64">
            <v>497.91666666666669</v>
          </cell>
          <cell r="C64">
            <v>493.50833333333338</v>
          </cell>
        </row>
        <row r="65">
          <cell r="A65" t="str">
            <v>MANSO</v>
          </cell>
          <cell r="B65">
            <v>13</v>
          </cell>
          <cell r="C65">
            <v>13</v>
          </cell>
        </row>
        <row r="66">
          <cell r="A66" t="str">
            <v>M.MORAES</v>
          </cell>
          <cell r="B66">
            <v>339.58333333333331</v>
          </cell>
          <cell r="C66">
            <v>338.57083333333333</v>
          </cell>
        </row>
        <row r="67">
          <cell r="A67" t="str">
            <v>MARIMBONDO</v>
          </cell>
          <cell r="B67">
            <v>554.58333333333337</v>
          </cell>
          <cell r="C67">
            <v>646.61249999999995</v>
          </cell>
        </row>
        <row r="68">
          <cell r="A68" t="str">
            <v>S. MESA</v>
          </cell>
          <cell r="B68">
            <v>635.41666666666663</v>
          </cell>
          <cell r="C68">
            <v>716.04166666666686</v>
          </cell>
        </row>
        <row r="69">
          <cell r="A69" t="str">
            <v>C.DOURADA</v>
          </cell>
          <cell r="B69">
            <v>412.08333333333331</v>
          </cell>
          <cell r="C69">
            <v>343.76666666666659</v>
          </cell>
        </row>
        <row r="70">
          <cell r="A70" t="str">
            <v>FONTES</v>
          </cell>
          <cell r="B70">
            <v>108.70833333333333</v>
          </cell>
          <cell r="C70">
            <v>118.51666666666665</v>
          </cell>
        </row>
        <row r="71">
          <cell r="A71" t="str">
            <v>I. POMBOS</v>
          </cell>
          <cell r="B71">
            <v>42.166666666666664</v>
          </cell>
          <cell r="C71">
            <v>78.1875</v>
          </cell>
        </row>
        <row r="72">
          <cell r="A72" t="str">
            <v>N.PEÇANHA</v>
          </cell>
          <cell r="B72">
            <v>313.83333333333331</v>
          </cell>
          <cell r="C72">
            <v>347.0958333333333</v>
          </cell>
        </row>
        <row r="73">
          <cell r="A73" t="str">
            <v>P.PASSOS</v>
          </cell>
          <cell r="B73">
            <v>42.291666666666664</v>
          </cell>
          <cell r="C73">
            <v>49.279166666666661</v>
          </cell>
        </row>
        <row r="74">
          <cell r="A74" t="str">
            <v>STA BRANCA</v>
          </cell>
          <cell r="B74">
            <v>12</v>
          </cell>
          <cell r="C74">
            <v>12.925000000000001</v>
          </cell>
        </row>
        <row r="75">
          <cell r="A75" t="str">
            <v>PCH CEEE/ D.FRANCISCA</v>
          </cell>
          <cell r="B75">
            <v>24.541666666666668</v>
          </cell>
          <cell r="C75">
            <v>22.320833333333336</v>
          </cell>
        </row>
        <row r="76">
          <cell r="A76" t="str">
            <v>CANASTRA</v>
          </cell>
          <cell r="B76">
            <v>30.520833333333332</v>
          </cell>
          <cell r="C76">
            <v>21.770833333333332</v>
          </cell>
        </row>
        <row r="77">
          <cell r="A77" t="str">
            <v>ITAUBA</v>
          </cell>
          <cell r="B77">
            <v>179.02083333333334</v>
          </cell>
          <cell r="C77">
            <v>218.32499999999999</v>
          </cell>
        </row>
        <row r="78">
          <cell r="A78" t="str">
            <v>JACUI</v>
          </cell>
          <cell r="B78">
            <v>170.625</v>
          </cell>
          <cell r="C78">
            <v>156.35</v>
          </cell>
        </row>
        <row r="79">
          <cell r="A79" t="str">
            <v>PASSO REAL</v>
          </cell>
          <cell r="B79">
            <v>87.291666666666671</v>
          </cell>
          <cell r="C79">
            <v>81.75</v>
          </cell>
        </row>
        <row r="80">
          <cell r="A80" t="str">
            <v>GBM</v>
          </cell>
          <cell r="B80">
            <v>1048.75</v>
          </cell>
          <cell r="C80">
            <v>1088.5374999999999</v>
          </cell>
        </row>
        <row r="81">
          <cell r="A81" t="str">
            <v>GPS</v>
          </cell>
          <cell r="B81">
            <v>111.875</v>
          </cell>
          <cell r="C81">
            <v>137.37083333333334</v>
          </cell>
        </row>
        <row r="82">
          <cell r="A82" t="str">
            <v>PCH COPEL</v>
          </cell>
          <cell r="B82">
            <v>87</v>
          </cell>
          <cell r="C82">
            <v>86.808333333333351</v>
          </cell>
        </row>
        <row r="83">
          <cell r="A83" t="str">
            <v>S.CAXIAS</v>
          </cell>
          <cell r="B83">
            <v>1240</v>
          </cell>
          <cell r="C83">
            <v>1233.8958333333335</v>
          </cell>
        </row>
        <row r="84">
          <cell r="A84" t="str">
            <v>SEGREDO</v>
          </cell>
          <cell r="B84">
            <v>1122</v>
          </cell>
          <cell r="C84">
            <v>1116.4166666666665</v>
          </cell>
        </row>
        <row r="85">
          <cell r="A85" t="str">
            <v>ITÁ</v>
          </cell>
          <cell r="B85">
            <v>1050</v>
          </cell>
          <cell r="C85">
            <v>1071.5125</v>
          </cell>
        </row>
        <row r="86">
          <cell r="A86" t="str">
            <v>P.FUNDO</v>
          </cell>
          <cell r="B86">
            <v>125.83333333333333</v>
          </cell>
          <cell r="C86">
            <v>130.13333333333335</v>
          </cell>
        </row>
        <row r="87">
          <cell r="A87" t="str">
            <v>S.OSÓRIO</v>
          </cell>
          <cell r="B87">
            <v>779.375</v>
          </cell>
          <cell r="C87">
            <v>845.03333333333342</v>
          </cell>
        </row>
        <row r="88">
          <cell r="A88" t="str">
            <v>S.SANTIAGO</v>
          </cell>
          <cell r="B88">
            <v>1293.0416666666667</v>
          </cell>
          <cell r="C88">
            <v>1221.0333333333331</v>
          </cell>
        </row>
        <row r="89">
          <cell r="A89" t="str">
            <v>PCH ENERSUL</v>
          </cell>
          <cell r="B89">
            <v>27.75</v>
          </cell>
          <cell r="C89">
            <v>30.879166666666659</v>
          </cell>
        </row>
        <row r="90">
          <cell r="A90" t="str">
            <v>PCH CELESC</v>
          </cell>
          <cell r="B90">
            <v>60</v>
          </cell>
          <cell r="C90">
            <v>60</v>
          </cell>
        </row>
        <row r="91">
          <cell r="A91" t="str">
            <v>ITAIPU 50 Hz</v>
          </cell>
          <cell r="B91">
            <v>5793.75</v>
          </cell>
          <cell r="C91">
            <v>5726.2250000000013</v>
          </cell>
        </row>
        <row r="92">
          <cell r="A92" t="str">
            <v>ITAIPU 60 Hz</v>
          </cell>
          <cell r="B92">
            <v>3903.125</v>
          </cell>
          <cell r="C92">
            <v>3997.6708333333336</v>
          </cell>
        </row>
        <row r="93">
          <cell r="A93" t="str">
            <v>PCH CHESF</v>
          </cell>
          <cell r="B93">
            <v>5.833333333333333</v>
          </cell>
          <cell r="C93">
            <v>7.9666666666666677</v>
          </cell>
        </row>
        <row r="94">
          <cell r="A94" t="str">
            <v>A SALLES</v>
          </cell>
          <cell r="B94">
            <v>169.41666666666666</v>
          </cell>
          <cell r="C94">
            <v>173.42083333333335</v>
          </cell>
        </row>
        <row r="95">
          <cell r="A95" t="str">
            <v>B. ESPERANÇA</v>
          </cell>
          <cell r="B95">
            <v>129.5</v>
          </cell>
          <cell r="C95">
            <v>141.51666666666665</v>
          </cell>
        </row>
        <row r="96">
          <cell r="A96" t="str">
            <v>L.GONZAGA</v>
          </cell>
          <cell r="B96">
            <v>952.08333333333337</v>
          </cell>
          <cell r="C96">
            <v>950.57500000000005</v>
          </cell>
        </row>
        <row r="97">
          <cell r="A97" t="str">
            <v>SOBRADINHO</v>
          </cell>
          <cell r="B97">
            <v>506.25</v>
          </cell>
          <cell r="C97">
            <v>511.26249999999999</v>
          </cell>
        </row>
        <row r="98">
          <cell r="A98" t="str">
            <v>P.AFONSO 1</v>
          </cell>
          <cell r="B98">
            <v>120</v>
          </cell>
          <cell r="C98">
            <v>114.35</v>
          </cell>
        </row>
        <row r="99">
          <cell r="A99" t="str">
            <v>P.AFONSO 2</v>
          </cell>
          <cell r="B99">
            <v>210</v>
          </cell>
          <cell r="C99">
            <v>221.38749999999999</v>
          </cell>
        </row>
        <row r="100">
          <cell r="A100" t="str">
            <v>P.AFONSO 3</v>
          </cell>
          <cell r="B100">
            <v>385.41666666666669</v>
          </cell>
          <cell r="C100">
            <v>391.14583333333331</v>
          </cell>
        </row>
        <row r="101">
          <cell r="A101" t="str">
            <v>P.AFONSO 4</v>
          </cell>
          <cell r="B101">
            <v>1304.4166666666667</v>
          </cell>
          <cell r="C101">
            <v>1264.5374999999999</v>
          </cell>
        </row>
        <row r="102">
          <cell r="A102" t="str">
            <v>XINGÓ</v>
          </cell>
          <cell r="B102">
            <v>2243.75</v>
          </cell>
          <cell r="C102">
            <v>2407.4416666666666</v>
          </cell>
        </row>
        <row r="103">
          <cell r="A103" t="str">
            <v>TUCURUÍ</v>
          </cell>
          <cell r="B103">
            <v>3603.75</v>
          </cell>
          <cell r="C103">
            <v>3305.2875000000004</v>
          </cell>
        </row>
        <row r="104">
          <cell r="A104" t="str">
            <v>CURUÁ-UNA</v>
          </cell>
          <cell r="B104">
            <v>30</v>
          </cell>
          <cell r="C104">
            <v>29</v>
          </cell>
        </row>
        <row r="125">
          <cell r="A125" t="str">
            <v>Igarapé</v>
          </cell>
          <cell r="B125">
            <v>131</v>
          </cell>
          <cell r="C125">
            <v>130.70833333333337</v>
          </cell>
        </row>
        <row r="126">
          <cell r="A126" t="str">
            <v>Carioba*</v>
          </cell>
          <cell r="B126">
            <v>0</v>
          </cell>
          <cell r="C126">
            <v>0</v>
          </cell>
        </row>
        <row r="127">
          <cell r="A127" t="str">
            <v>Piratininga</v>
          </cell>
          <cell r="B127">
            <v>237.5</v>
          </cell>
          <cell r="C127">
            <v>196.99166666666665</v>
          </cell>
        </row>
        <row r="128">
          <cell r="A128" t="str">
            <v>Angra</v>
          </cell>
          <cell r="B128">
            <v>1760</v>
          </cell>
          <cell r="C128">
            <v>1714.6291666666664</v>
          </cell>
        </row>
        <row r="129">
          <cell r="A129" t="str">
            <v>Campos</v>
          </cell>
          <cell r="B129">
            <v>30</v>
          </cell>
          <cell r="C129">
            <v>26</v>
          </cell>
        </row>
        <row r="130">
          <cell r="A130" t="str">
            <v>Sta Cruz</v>
          </cell>
          <cell r="B130">
            <v>300</v>
          </cell>
          <cell r="C130">
            <v>295.04583333333329</v>
          </cell>
        </row>
        <row r="131">
          <cell r="A131" t="str">
            <v>S. Gonçalo</v>
          </cell>
          <cell r="B131">
            <v>0</v>
          </cell>
          <cell r="C131">
            <v>0</v>
          </cell>
        </row>
        <row r="132">
          <cell r="A132" t="str">
            <v>Cuiabá</v>
          </cell>
          <cell r="B132">
            <v>450</v>
          </cell>
          <cell r="C132">
            <v>135</v>
          </cell>
        </row>
        <row r="133">
          <cell r="A133" t="str">
            <v>PCT CE</v>
          </cell>
          <cell r="C133">
            <v>4</v>
          </cell>
        </row>
        <row r="134">
          <cell r="A134" t="str">
            <v>P.Médici</v>
          </cell>
          <cell r="B134">
            <v>260.20833333333331</v>
          </cell>
          <cell r="C134">
            <v>169.96666666666667</v>
          </cell>
        </row>
        <row r="135">
          <cell r="A135" t="str">
            <v>Figueira</v>
          </cell>
          <cell r="B135">
            <v>6</v>
          </cell>
          <cell r="C135">
            <v>3.1583333333333337</v>
          </cell>
        </row>
        <row r="136">
          <cell r="A136" t="str">
            <v>Alegrete</v>
          </cell>
          <cell r="B136">
            <v>13</v>
          </cell>
          <cell r="C136">
            <v>13</v>
          </cell>
        </row>
        <row r="137">
          <cell r="A137" t="str">
            <v>Charqueadas</v>
          </cell>
          <cell r="B137">
            <v>25</v>
          </cell>
          <cell r="C137">
            <v>40.87083333333333</v>
          </cell>
        </row>
        <row r="138">
          <cell r="A138" t="str">
            <v>J.Lacerda A</v>
          </cell>
          <cell r="B138">
            <v>158.75</v>
          </cell>
          <cell r="C138">
            <v>67.379166666666663</v>
          </cell>
        </row>
        <row r="139">
          <cell r="A139" t="str">
            <v>J.Lacerda B</v>
          </cell>
          <cell r="B139">
            <v>208.54166666666666</v>
          </cell>
          <cell r="C139">
            <v>213.26249999999999</v>
          </cell>
        </row>
        <row r="140">
          <cell r="A140" t="str">
            <v>J.Lacerda C</v>
          </cell>
          <cell r="B140">
            <v>288.125</v>
          </cell>
          <cell r="C140">
            <v>296.32083333333333</v>
          </cell>
        </row>
        <row r="141">
          <cell r="A141" t="str">
            <v>W.Arjona</v>
          </cell>
          <cell r="B141">
            <v>2.9166666666666665</v>
          </cell>
          <cell r="C141">
            <v>5.083333333333333</v>
          </cell>
        </row>
        <row r="142">
          <cell r="A142" t="str">
            <v>Nutepa</v>
          </cell>
          <cell r="B142">
            <v>0</v>
          </cell>
          <cell r="C142">
            <v>0</v>
          </cell>
        </row>
        <row r="143">
          <cell r="A143" t="str">
            <v>S.Jerônimo</v>
          </cell>
          <cell r="B143">
            <v>5</v>
          </cell>
        </row>
        <row r="144">
          <cell r="A144" t="str">
            <v>Uruguaiana</v>
          </cell>
          <cell r="B144">
            <v>500</v>
          </cell>
          <cell r="C144">
            <v>549.15416666666658</v>
          </cell>
        </row>
        <row r="145">
          <cell r="A145" t="str">
            <v>Camaçari</v>
          </cell>
          <cell r="B145">
            <v>40</v>
          </cell>
          <cell r="C145">
            <v>35.570833333333333</v>
          </cell>
        </row>
        <row r="146">
          <cell r="A146" t="str">
            <v>S.Luis</v>
          </cell>
          <cell r="B146">
            <v>0</v>
          </cell>
          <cell r="C146">
            <v>0</v>
          </cell>
        </row>
      </sheetData>
      <sheetData sheetId="5">
        <row r="8">
          <cell r="A8" t="str">
            <v>PUS CEB</v>
          </cell>
          <cell r="B8">
            <v>70.422538757324219</v>
          </cell>
          <cell r="C8">
            <v>25</v>
          </cell>
          <cell r="E8" t="str">
            <v>IGARAPÉ</v>
          </cell>
          <cell r="F8">
            <v>99.771514892578125</v>
          </cell>
          <cell r="G8">
            <v>131</v>
          </cell>
        </row>
        <row r="9">
          <cell r="A9" t="str">
            <v>CAMARGOS</v>
          </cell>
          <cell r="B9">
            <v>70.833335876464844</v>
          </cell>
          <cell r="C9">
            <v>34</v>
          </cell>
          <cell r="E9" t="str">
            <v>CARIOBA</v>
          </cell>
          <cell r="F9">
            <v>38.888889312744141</v>
          </cell>
          <cell r="G9">
            <v>14</v>
          </cell>
        </row>
        <row r="10">
          <cell r="A10" t="str">
            <v>EMBORCAÇÃO</v>
          </cell>
          <cell r="B10">
            <v>52.852348327636719</v>
          </cell>
          <cell r="C10">
            <v>630</v>
          </cell>
          <cell r="E10" t="str">
            <v>PIRATININGA</v>
          </cell>
          <cell r="F10">
            <v>59.574466705322266</v>
          </cell>
          <cell r="G10">
            <v>280</v>
          </cell>
        </row>
        <row r="11">
          <cell r="A11" t="str">
            <v>G.AMORIM</v>
          </cell>
          <cell r="B11">
            <v>102.85713958740234</v>
          </cell>
          <cell r="C11">
            <v>144</v>
          </cell>
          <cell r="E11" t="str">
            <v>ANGRA **</v>
          </cell>
          <cell r="F11" t="str">
            <v>-</v>
          </cell>
          <cell r="G11">
            <v>1712</v>
          </cell>
        </row>
        <row r="12">
          <cell r="A12" t="str">
            <v>IGARAPAVA</v>
          </cell>
          <cell r="B12">
            <v>100</v>
          </cell>
          <cell r="C12">
            <v>210</v>
          </cell>
          <cell r="E12" t="str">
            <v>CAMPOS</v>
          </cell>
          <cell r="F12">
            <v>81.25</v>
          </cell>
          <cell r="G12">
            <v>26</v>
          </cell>
        </row>
        <row r="13">
          <cell r="A13" t="str">
            <v>ITUTINGA</v>
          </cell>
          <cell r="B13">
            <v>75</v>
          </cell>
          <cell r="C13">
            <v>39</v>
          </cell>
          <cell r="E13" t="str">
            <v>STA CRUZ</v>
          </cell>
          <cell r="F13">
            <v>49.342105865478516</v>
          </cell>
          <cell r="G13">
            <v>300</v>
          </cell>
        </row>
        <row r="14">
          <cell r="A14" t="str">
            <v>JAGUARA</v>
          </cell>
          <cell r="B14">
            <v>95.754714965820313</v>
          </cell>
          <cell r="C14">
            <v>406</v>
          </cell>
          <cell r="E14" t="str">
            <v>NUTEPA</v>
          </cell>
          <cell r="F14">
            <v>0</v>
          </cell>
          <cell r="G14">
            <v>0</v>
          </cell>
        </row>
        <row r="15">
          <cell r="A15" t="str">
            <v>MIRANDA</v>
          </cell>
          <cell r="B15">
            <v>99.509803771972656</v>
          </cell>
          <cell r="C15">
            <v>406</v>
          </cell>
          <cell r="E15" t="str">
            <v>SÃO JERÔNIMO</v>
          </cell>
          <cell r="F15">
            <v>23.529411315917969</v>
          </cell>
          <cell r="G15">
            <v>4</v>
          </cell>
        </row>
        <row r="16">
          <cell r="A16" t="str">
            <v>NOVA PONTE</v>
          </cell>
          <cell r="B16">
            <v>54.901962280273438</v>
          </cell>
          <cell r="C16">
            <v>280</v>
          </cell>
          <cell r="E16" t="str">
            <v>P.MÉDICI</v>
          </cell>
          <cell r="F16">
            <v>40.358745574951172</v>
          </cell>
          <cell r="G16">
            <v>180</v>
          </cell>
        </row>
        <row r="17">
          <cell r="A17" t="str">
            <v>PCH CEMIG</v>
          </cell>
          <cell r="B17">
            <v>63.993831634521484</v>
          </cell>
          <cell r="C17">
            <v>83</v>
          </cell>
          <cell r="E17" t="str">
            <v>URUGUAIANA ***</v>
          </cell>
          <cell r="F17" t="str">
            <v>-</v>
          </cell>
          <cell r="G17">
            <v>543</v>
          </cell>
        </row>
        <row r="18">
          <cell r="A18" t="str">
            <v>S.GRANDE</v>
          </cell>
          <cell r="B18">
            <v>100</v>
          </cell>
          <cell r="C18">
            <v>102</v>
          </cell>
          <cell r="E18" t="str">
            <v>FIGUEIRA</v>
          </cell>
          <cell r="F18">
            <v>30</v>
          </cell>
          <cell r="G18">
            <v>6</v>
          </cell>
        </row>
        <row r="19">
          <cell r="A19" t="str">
            <v>S.SIMÃO</v>
          </cell>
          <cell r="B19">
            <v>83.333335876464844</v>
          </cell>
          <cell r="C19">
            <v>1425</v>
          </cell>
          <cell r="E19" t="str">
            <v>ALEGRETE</v>
          </cell>
          <cell r="F19">
            <v>19.696969985961914</v>
          </cell>
          <cell r="G19">
            <v>13</v>
          </cell>
        </row>
        <row r="20">
          <cell r="A20" t="str">
            <v>SOBRAGI</v>
          </cell>
          <cell r="B20">
            <v>65.359481811523438</v>
          </cell>
          <cell r="C20">
            <v>40</v>
          </cell>
          <cell r="E20" t="str">
            <v>CHARQUEADAS</v>
          </cell>
          <cell r="F20">
            <v>58.333332061767578</v>
          </cell>
          <cell r="G20">
            <v>42</v>
          </cell>
        </row>
        <row r="21">
          <cell r="A21" t="str">
            <v>T.MARIAS</v>
          </cell>
          <cell r="B21">
            <v>86.363639831542969</v>
          </cell>
          <cell r="C21">
            <v>342</v>
          </cell>
          <cell r="E21" t="str">
            <v>J.LACERDA A</v>
          </cell>
          <cell r="F21">
            <v>32.327587127685547</v>
          </cell>
          <cell r="G21">
            <v>75</v>
          </cell>
        </row>
        <row r="22">
          <cell r="A22" t="str">
            <v>V.GRANDE</v>
          </cell>
          <cell r="B22">
            <v>100</v>
          </cell>
          <cell r="C22">
            <v>380</v>
          </cell>
          <cell r="E22" t="str">
            <v>J.LACERDA B</v>
          </cell>
          <cell r="F22">
            <v>91.603050231933594</v>
          </cell>
          <cell r="G22">
            <v>240</v>
          </cell>
        </row>
        <row r="23">
          <cell r="A23" t="str">
            <v>PUS CELG</v>
          </cell>
          <cell r="B23">
            <v>85.665336608886719</v>
          </cell>
          <cell r="C23">
            <v>15</v>
          </cell>
          <cell r="E23" t="str">
            <v>J.LACERDA C</v>
          </cell>
          <cell r="F23">
            <v>99.173553466796875</v>
          </cell>
          <cell r="G23">
            <v>360</v>
          </cell>
        </row>
        <row r="24">
          <cell r="A24" t="str">
            <v>PCH CPFL</v>
          </cell>
          <cell r="B24">
            <v>33.958892822265625</v>
          </cell>
          <cell r="C24">
            <v>38</v>
          </cell>
          <cell r="E24" t="str">
            <v>W.ARJONA</v>
          </cell>
          <cell r="F24">
            <v>43.75</v>
          </cell>
          <cell r="G24">
            <v>35</v>
          </cell>
        </row>
        <row r="25">
          <cell r="A25" t="str">
            <v>PCH CERJ</v>
          </cell>
          <cell r="B25">
            <v>84.047462463378906</v>
          </cell>
          <cell r="C25">
            <v>51</v>
          </cell>
          <cell r="E25" t="str">
            <v>CAMAÇARI</v>
          </cell>
          <cell r="F25">
            <v>20</v>
          </cell>
          <cell r="G25">
            <v>40</v>
          </cell>
        </row>
        <row r="26">
          <cell r="A26" t="str">
            <v>A.VERMELHA</v>
          </cell>
          <cell r="B26">
            <v>87.982833862304688</v>
          </cell>
          <cell r="C26">
            <v>1230</v>
          </cell>
          <cell r="E26" t="str">
            <v>CUIABÁ</v>
          </cell>
          <cell r="F26">
            <v>28.125</v>
          </cell>
          <cell r="G26">
            <v>135</v>
          </cell>
        </row>
        <row r="27">
          <cell r="A27" t="str">
            <v>B.BONITA</v>
          </cell>
          <cell r="B27">
            <v>90</v>
          </cell>
          <cell r="C27">
            <v>126</v>
          </cell>
        </row>
        <row r="28">
          <cell r="A28" t="str">
            <v>BARIRI</v>
          </cell>
          <cell r="B28">
            <v>91.666664123535156</v>
          </cell>
          <cell r="C28">
            <v>132</v>
          </cell>
        </row>
        <row r="29">
          <cell r="A29" t="str">
            <v>CACONDE</v>
          </cell>
          <cell r="B29">
            <v>81.25</v>
          </cell>
          <cell r="C29">
            <v>65</v>
          </cell>
        </row>
        <row r="30">
          <cell r="A30" t="str">
            <v>CHAVANTES</v>
          </cell>
          <cell r="B30">
            <v>93.75</v>
          </cell>
          <cell r="C30">
            <v>390</v>
          </cell>
        </row>
        <row r="31">
          <cell r="A31" t="str">
            <v>CAPIVARA</v>
          </cell>
          <cell r="B31">
            <v>93.75</v>
          </cell>
          <cell r="C31">
            <v>600</v>
          </cell>
        </row>
        <row r="32">
          <cell r="A32" t="str">
            <v>CANOAS I</v>
          </cell>
          <cell r="B32">
            <v>98.181816101074219</v>
          </cell>
          <cell r="C32">
            <v>81</v>
          </cell>
        </row>
        <row r="33">
          <cell r="A33" t="str">
            <v>CANOAS II</v>
          </cell>
          <cell r="B33">
            <v>65.306121826171875</v>
          </cell>
          <cell r="C33">
            <v>48</v>
          </cell>
        </row>
        <row r="34">
          <cell r="A34" t="str">
            <v>E.CUNHA</v>
          </cell>
          <cell r="B34">
            <v>89.814811706542969</v>
          </cell>
          <cell r="C34">
            <v>97</v>
          </cell>
        </row>
        <row r="35">
          <cell r="A35" t="str">
            <v>IBITINGA</v>
          </cell>
          <cell r="B35">
            <v>86.363639831542969</v>
          </cell>
          <cell r="C35">
            <v>114</v>
          </cell>
        </row>
        <row r="36">
          <cell r="A36" t="str">
            <v>I.SOLTEIRA</v>
          </cell>
          <cell r="B36">
            <v>88.995353698730469</v>
          </cell>
          <cell r="C36">
            <v>3065</v>
          </cell>
        </row>
        <row r="37">
          <cell r="A37" t="str">
            <v>JAGUARI</v>
          </cell>
          <cell r="B37">
            <v>75</v>
          </cell>
          <cell r="C37">
            <v>21</v>
          </cell>
        </row>
        <row r="38">
          <cell r="A38" t="str">
            <v>JUPIA</v>
          </cell>
          <cell r="B38">
            <v>91.542022705078125</v>
          </cell>
          <cell r="C38">
            <v>1420</v>
          </cell>
        </row>
        <row r="39">
          <cell r="A39" t="str">
            <v>JURUMIRIM</v>
          </cell>
          <cell r="B39">
            <v>98.979591369628906</v>
          </cell>
          <cell r="C39">
            <v>97</v>
          </cell>
        </row>
        <row r="40">
          <cell r="A40" t="str">
            <v>LIMOEIRO</v>
          </cell>
          <cell r="B40">
            <v>100</v>
          </cell>
          <cell r="C40">
            <v>32</v>
          </cell>
        </row>
        <row r="41">
          <cell r="A41" t="str">
            <v>N. AVANHAN</v>
          </cell>
          <cell r="B41">
            <v>99.021293640136719</v>
          </cell>
          <cell r="C41">
            <v>344</v>
          </cell>
        </row>
        <row r="42">
          <cell r="A42" t="str">
            <v>PARAIBUNA</v>
          </cell>
          <cell r="B42">
            <v>89.534881591796875</v>
          </cell>
          <cell r="C42">
            <v>77</v>
          </cell>
        </row>
        <row r="43">
          <cell r="A43" t="str">
            <v>PCH CESP</v>
          </cell>
          <cell r="B43">
            <v>0</v>
          </cell>
          <cell r="C43">
            <v>0</v>
          </cell>
          <cell r="F43">
            <v>8776</v>
          </cell>
          <cell r="G43">
            <v>1498</v>
          </cell>
        </row>
        <row r="44">
          <cell r="A44" t="str">
            <v>P.PRIMAVERA</v>
          </cell>
          <cell r="B44">
            <v>93.005958557128906</v>
          </cell>
          <cell r="C44">
            <v>750</v>
          </cell>
          <cell r="F44">
            <v>34962</v>
          </cell>
          <cell r="G44">
            <v>2598</v>
          </cell>
        </row>
        <row r="45">
          <cell r="A45" t="str">
            <v>PROMISSÃO</v>
          </cell>
          <cell r="B45">
            <v>97.727272033691406</v>
          </cell>
          <cell r="C45">
            <v>258</v>
          </cell>
        </row>
        <row r="46">
          <cell r="A46" t="str">
            <v>ROSANA</v>
          </cell>
          <cell r="B46">
            <v>98.387100219726563</v>
          </cell>
          <cell r="C46">
            <v>366</v>
          </cell>
          <cell r="F46">
            <v>3850</v>
          </cell>
          <cell r="G46" t="str">
            <v>-</v>
          </cell>
        </row>
        <row r="47">
          <cell r="A47" t="str">
            <v>S. GRANDE</v>
          </cell>
          <cell r="B47">
            <v>73.611114501953125</v>
          </cell>
          <cell r="C47">
            <v>53</v>
          </cell>
          <cell r="F47">
            <v>8737</v>
          </cell>
          <cell r="G47">
            <v>40</v>
          </cell>
        </row>
        <row r="48">
          <cell r="A48" t="str">
            <v>TAQUARUÇU</v>
          </cell>
          <cell r="B48">
            <v>100</v>
          </cell>
          <cell r="C48">
            <v>554</v>
          </cell>
        </row>
        <row r="49">
          <cell r="A49" t="str">
            <v>T.IRMÃOS</v>
          </cell>
          <cell r="B49">
            <v>99.753089904785156</v>
          </cell>
          <cell r="C49">
            <v>808</v>
          </cell>
        </row>
        <row r="50">
          <cell r="A50" t="str">
            <v>PUS CEMAT</v>
          </cell>
          <cell r="B50">
            <v>27.779096603393555</v>
          </cell>
          <cell r="C50">
            <v>117</v>
          </cell>
        </row>
        <row r="51">
          <cell r="A51" t="str">
            <v>MASCARENHAS</v>
          </cell>
          <cell r="B51">
            <v>102.36220550537109</v>
          </cell>
          <cell r="C51">
            <v>130</v>
          </cell>
        </row>
        <row r="52">
          <cell r="A52" t="str">
            <v>PCH ESCELSA (*)</v>
          </cell>
          <cell r="B52">
            <v>39.401103973388672</v>
          </cell>
          <cell r="C52">
            <v>55</v>
          </cell>
        </row>
        <row r="53">
          <cell r="A53" t="str">
            <v>H.BORDEN Ext</v>
          </cell>
          <cell r="B53">
            <v>100</v>
          </cell>
          <cell r="C53">
            <v>469</v>
          </cell>
        </row>
        <row r="54">
          <cell r="A54" t="str">
            <v>H.BORDEN Sub</v>
          </cell>
          <cell r="B54">
            <v>50</v>
          </cell>
          <cell r="C54">
            <v>210</v>
          </cell>
        </row>
        <row r="55">
          <cell r="A55" t="str">
            <v>PCH EPAULO</v>
          </cell>
          <cell r="B55">
            <v>41.067760467529297</v>
          </cell>
          <cell r="C55">
            <v>20</v>
          </cell>
        </row>
        <row r="56">
          <cell r="A56" t="str">
            <v>P.COLOMBIA</v>
          </cell>
          <cell r="B56">
            <v>97.56097412109375</v>
          </cell>
          <cell r="C56">
            <v>320</v>
          </cell>
        </row>
        <row r="57">
          <cell r="A57" t="str">
            <v>CORUMBÁ</v>
          </cell>
          <cell r="B57">
            <v>80</v>
          </cell>
          <cell r="C57">
            <v>300</v>
          </cell>
        </row>
        <row r="58">
          <cell r="A58" t="str">
            <v>FUNIL</v>
          </cell>
          <cell r="B58">
            <v>83.783782958984375</v>
          </cell>
          <cell r="C58">
            <v>186</v>
          </cell>
        </row>
        <row r="59">
          <cell r="A59" t="str">
            <v>FURNAS</v>
          </cell>
          <cell r="B59">
            <v>82.926826477050781</v>
          </cell>
          <cell r="C59">
            <v>1088</v>
          </cell>
        </row>
        <row r="60">
          <cell r="A60" t="str">
            <v>ITUMBIARA</v>
          </cell>
          <cell r="B60">
            <v>57.017543792724609</v>
          </cell>
          <cell r="C60">
            <v>1300</v>
          </cell>
        </row>
        <row r="61">
          <cell r="A61" t="str">
            <v>ESTREITO</v>
          </cell>
          <cell r="B61">
            <v>96.195655822753906</v>
          </cell>
          <cell r="C61">
            <v>1062</v>
          </cell>
        </row>
        <row r="62">
          <cell r="A62" t="str">
            <v>M.MORAES</v>
          </cell>
          <cell r="B62">
            <v>82.845191955566406</v>
          </cell>
          <cell r="C62">
            <v>396</v>
          </cell>
        </row>
        <row r="63">
          <cell r="A63" t="str">
            <v>MANSO</v>
          </cell>
          <cell r="B63">
            <v>12.380952835083008</v>
          </cell>
          <cell r="C63">
            <v>13</v>
          </cell>
        </row>
        <row r="64">
          <cell r="A64" t="str">
            <v>MARIMBONDO</v>
          </cell>
          <cell r="B64">
            <v>70.56451416015625</v>
          </cell>
          <cell r="C64">
            <v>1050</v>
          </cell>
        </row>
        <row r="65">
          <cell r="A65" t="str">
            <v>SERRA MESA</v>
          </cell>
          <cell r="B65">
            <v>54.263565063476563</v>
          </cell>
          <cell r="C65">
            <v>700</v>
          </cell>
        </row>
        <row r="66">
          <cell r="A66" t="str">
            <v>C.DOURADA</v>
          </cell>
          <cell r="B66">
            <v>97.264434814453125</v>
          </cell>
          <cell r="C66">
            <v>640</v>
          </cell>
        </row>
        <row r="67">
          <cell r="A67" t="str">
            <v>FONTES</v>
          </cell>
          <cell r="B67">
            <v>100</v>
          </cell>
          <cell r="C67">
            <v>132</v>
          </cell>
        </row>
        <row r="68">
          <cell r="A68" t="str">
            <v>I. POMBOS</v>
          </cell>
          <cell r="B68">
            <v>90.804595947265625</v>
          </cell>
          <cell r="C68">
            <v>158</v>
          </cell>
        </row>
        <row r="69">
          <cell r="A69" t="str">
            <v>N.PEÇANHA</v>
          </cell>
          <cell r="B69">
            <v>98.947364807128906</v>
          </cell>
          <cell r="C69">
            <v>376</v>
          </cell>
        </row>
        <row r="70">
          <cell r="A70" t="str">
            <v>P.PASSOS</v>
          </cell>
          <cell r="B70">
            <v>100</v>
          </cell>
          <cell r="C70">
            <v>100</v>
          </cell>
        </row>
        <row r="71">
          <cell r="A71" t="str">
            <v>S.BRANCA</v>
          </cell>
          <cell r="B71">
            <v>22.807018280029297</v>
          </cell>
          <cell r="C71">
            <v>13</v>
          </cell>
        </row>
        <row r="72">
          <cell r="A72" t="str">
            <v>PCH CEEE</v>
          </cell>
          <cell r="B72">
            <v>82.881729125976563</v>
          </cell>
          <cell r="C72">
            <v>26</v>
          </cell>
        </row>
        <row r="73">
          <cell r="A73" t="str">
            <v>CANASTRA</v>
          </cell>
          <cell r="B73">
            <v>90.909088134765625</v>
          </cell>
          <cell r="C73">
            <v>40</v>
          </cell>
        </row>
        <row r="74">
          <cell r="A74" t="str">
            <v>D. FRANCISCA</v>
          </cell>
          <cell r="B74">
            <v>100.80000305175781</v>
          </cell>
          <cell r="C74">
            <v>63</v>
          </cell>
        </row>
        <row r="75">
          <cell r="A75" t="str">
            <v>ITAUBA</v>
          </cell>
          <cell r="B75">
            <v>100</v>
          </cell>
          <cell r="C75">
            <v>500</v>
          </cell>
        </row>
        <row r="76">
          <cell r="A76" t="str">
            <v>JACUI</v>
          </cell>
          <cell r="B76">
            <v>100</v>
          </cell>
          <cell r="C76">
            <v>180</v>
          </cell>
        </row>
        <row r="77">
          <cell r="A77" t="str">
            <v>PASSO REAL</v>
          </cell>
          <cell r="B77">
            <v>100</v>
          </cell>
          <cell r="C77">
            <v>158</v>
          </cell>
        </row>
        <row r="78">
          <cell r="A78" t="str">
            <v>GBM</v>
          </cell>
          <cell r="B78">
            <v>73.687347412109375</v>
          </cell>
          <cell r="C78">
            <v>1235</v>
          </cell>
        </row>
        <row r="79">
          <cell r="A79" t="str">
            <v>GPS</v>
          </cell>
          <cell r="B79">
            <v>100</v>
          </cell>
          <cell r="C79">
            <v>260</v>
          </cell>
        </row>
        <row r="80">
          <cell r="A80" t="str">
            <v>PCH COPEL *</v>
          </cell>
          <cell r="B80" t="str">
            <v>-</v>
          </cell>
          <cell r="C80">
            <v>135</v>
          </cell>
        </row>
        <row r="81">
          <cell r="A81" t="str">
            <v>S.CAXIAS</v>
          </cell>
          <cell r="B81">
            <v>100</v>
          </cell>
          <cell r="C81">
            <v>1240</v>
          </cell>
        </row>
        <row r="82">
          <cell r="A82" t="str">
            <v>SEGREDO</v>
          </cell>
          <cell r="B82">
            <v>89.920631408691406</v>
          </cell>
          <cell r="C82">
            <v>1133</v>
          </cell>
        </row>
        <row r="83">
          <cell r="A83" t="str">
            <v>ITA ****</v>
          </cell>
          <cell r="B83" t="str">
            <v>-</v>
          </cell>
          <cell r="C83">
            <v>1170</v>
          </cell>
        </row>
        <row r="84">
          <cell r="A84" t="str">
            <v>P.FUNDO</v>
          </cell>
          <cell r="B84">
            <v>100</v>
          </cell>
          <cell r="C84">
            <v>226</v>
          </cell>
        </row>
        <row r="85">
          <cell r="A85" t="str">
            <v>S.OSORIO</v>
          </cell>
          <cell r="B85">
            <v>82.8729248046875</v>
          </cell>
          <cell r="C85">
            <v>900</v>
          </cell>
        </row>
        <row r="86">
          <cell r="A86" t="str">
            <v>S.SANTIAGO</v>
          </cell>
          <cell r="B86">
            <v>100</v>
          </cell>
          <cell r="C86">
            <v>1420</v>
          </cell>
        </row>
        <row r="87">
          <cell r="A87" t="str">
            <v>PUS ENERSUL</v>
          </cell>
          <cell r="B87">
            <v>93.167701721191406</v>
          </cell>
          <cell r="C87">
            <v>30</v>
          </cell>
        </row>
        <row r="88">
          <cell r="A88" t="str">
            <v>PCH CELESC</v>
          </cell>
          <cell r="B88">
            <v>81.223770141601563</v>
          </cell>
          <cell r="C88">
            <v>60</v>
          </cell>
        </row>
        <row r="89">
          <cell r="A89" t="str">
            <v>ITAIPU 50 Hz</v>
          </cell>
          <cell r="B89">
            <v>91.25396728515625</v>
          </cell>
          <cell r="C89">
            <v>5749</v>
          </cell>
        </row>
        <row r="90">
          <cell r="A90" t="str">
            <v>ITAIPU 60 Hz</v>
          </cell>
          <cell r="B90">
            <v>79.365081787109375</v>
          </cell>
          <cell r="C90">
            <v>5000</v>
          </cell>
        </row>
        <row r="91">
          <cell r="A91" t="str">
            <v>PCH CHESF</v>
          </cell>
          <cell r="B91">
            <v>86.956520080566406</v>
          </cell>
          <cell r="C91">
            <v>50</v>
          </cell>
        </row>
        <row r="92">
          <cell r="A92" t="str">
            <v>APOLÔNIO SALLES</v>
          </cell>
          <cell r="B92">
            <v>75</v>
          </cell>
          <cell r="C92">
            <v>300</v>
          </cell>
        </row>
        <row r="93">
          <cell r="A93" t="str">
            <v>BOA ESPERANÇA</v>
          </cell>
          <cell r="B93">
            <v>100</v>
          </cell>
          <cell r="C93">
            <v>225</v>
          </cell>
        </row>
        <row r="94">
          <cell r="A94" t="str">
            <v>LUIS GONZAGA</v>
          </cell>
          <cell r="B94">
            <v>78.733329772949219</v>
          </cell>
          <cell r="C94">
            <v>1181</v>
          </cell>
        </row>
        <row r="95">
          <cell r="A95" t="str">
            <v>SOBRADINHO</v>
          </cell>
          <cell r="B95">
            <v>78.857139587402344</v>
          </cell>
          <cell r="C95">
            <v>828</v>
          </cell>
        </row>
        <row r="96">
          <cell r="A96" t="str">
            <v>P.AFONSO 1</v>
          </cell>
          <cell r="B96">
            <v>66.666664123535156</v>
          </cell>
          <cell r="C96">
            <v>120</v>
          </cell>
        </row>
        <row r="97">
          <cell r="A97" t="str">
            <v>P.AFONSO 2</v>
          </cell>
          <cell r="B97">
            <v>49.662921905517578</v>
          </cell>
          <cell r="C97">
            <v>221</v>
          </cell>
        </row>
        <row r="98">
          <cell r="A98" t="str">
            <v>P.AFONSO 3</v>
          </cell>
          <cell r="B98">
            <v>75</v>
          </cell>
          <cell r="C98">
            <v>600</v>
          </cell>
        </row>
        <row r="99">
          <cell r="A99" t="str">
            <v>P.AFONSO 4</v>
          </cell>
          <cell r="B99">
            <v>83.333335876464844</v>
          </cell>
          <cell r="C99">
            <v>2050</v>
          </cell>
        </row>
        <row r="100">
          <cell r="A100" t="str">
            <v>XINGÓ</v>
          </cell>
          <cell r="B100">
            <v>100</v>
          </cell>
          <cell r="C100">
            <v>3162</v>
          </cell>
        </row>
        <row r="101">
          <cell r="A101" t="str">
            <v>TUCURUI</v>
          </cell>
          <cell r="B101">
            <v>90</v>
          </cell>
          <cell r="C101">
            <v>3780</v>
          </cell>
        </row>
        <row r="102">
          <cell r="A102" t="str">
            <v>AUX. TUCURUI</v>
          </cell>
          <cell r="B102">
            <v>100</v>
          </cell>
          <cell r="C102">
            <v>40</v>
          </cell>
        </row>
        <row r="103">
          <cell r="A103" t="str">
            <v>CURUA-UNA</v>
          </cell>
          <cell r="B103">
            <v>100</v>
          </cell>
          <cell r="C103">
            <v>30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">
          <cell r="E9">
            <v>21.68</v>
          </cell>
          <cell r="F9">
            <v>684</v>
          </cell>
          <cell r="G9">
            <v>861</v>
          </cell>
          <cell r="H9">
            <v>0</v>
          </cell>
        </row>
        <row r="10">
          <cell r="E10">
            <v>82.58</v>
          </cell>
          <cell r="F10">
            <v>925</v>
          </cell>
          <cell r="G10">
            <v>925</v>
          </cell>
          <cell r="H10">
            <v>0</v>
          </cell>
        </row>
        <row r="11">
          <cell r="E11">
            <v>33</v>
          </cell>
          <cell r="F11">
            <v>1579</v>
          </cell>
          <cell r="G11">
            <v>1477</v>
          </cell>
          <cell r="H11">
            <v>0</v>
          </cell>
        </row>
        <row r="12">
          <cell r="E12">
            <v>21.77</v>
          </cell>
          <cell r="F12">
            <v>1726</v>
          </cell>
          <cell r="G12">
            <v>1777</v>
          </cell>
          <cell r="H12">
            <v>0</v>
          </cell>
        </row>
        <row r="13">
          <cell r="E13">
            <v>28.36</v>
          </cell>
          <cell r="F13">
            <v>288</v>
          </cell>
          <cell r="G13">
            <v>173</v>
          </cell>
          <cell r="H13">
            <v>0</v>
          </cell>
        </row>
        <row r="14">
          <cell r="E14">
            <v>19.690000000000001</v>
          </cell>
          <cell r="F14">
            <v>234</v>
          </cell>
          <cell r="G14">
            <v>166</v>
          </cell>
          <cell r="H14">
            <v>0</v>
          </cell>
        </row>
        <row r="15">
          <cell r="E15">
            <v>14.43</v>
          </cell>
          <cell r="F15">
            <v>1085</v>
          </cell>
          <cell r="G15">
            <v>1375</v>
          </cell>
          <cell r="H15">
            <v>0</v>
          </cell>
        </row>
        <row r="16">
          <cell r="E16">
            <v>59.54</v>
          </cell>
          <cell r="F16">
            <v>2463</v>
          </cell>
          <cell r="G16">
            <v>2203</v>
          </cell>
          <cell r="H16">
            <v>0</v>
          </cell>
        </row>
        <row r="17">
          <cell r="E17">
            <v>30.04</v>
          </cell>
          <cell r="F17">
            <v>6229</v>
          </cell>
          <cell r="G17">
            <v>5857</v>
          </cell>
          <cell r="H17">
            <v>0</v>
          </cell>
        </row>
        <row r="18">
          <cell r="E18">
            <v>85.56</v>
          </cell>
          <cell r="F18">
            <v>7317</v>
          </cell>
          <cell r="G18">
            <v>6391</v>
          </cell>
          <cell r="H18">
            <v>0</v>
          </cell>
        </row>
        <row r="19">
          <cell r="E19">
            <v>95.35</v>
          </cell>
          <cell r="F19">
            <v>9618</v>
          </cell>
          <cell r="G19">
            <v>10551</v>
          </cell>
          <cell r="H19">
            <v>0</v>
          </cell>
        </row>
        <row r="20">
          <cell r="E20">
            <v>78.930000000000007</v>
          </cell>
          <cell r="F20">
            <v>348</v>
          </cell>
          <cell r="G20">
            <v>379</v>
          </cell>
          <cell r="H20">
            <v>0</v>
          </cell>
        </row>
        <row r="21">
          <cell r="E21">
            <v>87.64</v>
          </cell>
          <cell r="F21">
            <v>658</v>
          </cell>
          <cell r="G21">
            <v>1020</v>
          </cell>
          <cell r="H21">
            <v>0</v>
          </cell>
        </row>
        <row r="22">
          <cell r="E22">
            <v>39.6</v>
          </cell>
          <cell r="F22">
            <v>676</v>
          </cell>
          <cell r="G22">
            <v>676</v>
          </cell>
          <cell r="H22">
            <v>0</v>
          </cell>
        </row>
        <row r="23">
          <cell r="E23">
            <v>77.760000000000005</v>
          </cell>
          <cell r="F23">
            <v>240</v>
          </cell>
          <cell r="G23">
            <v>336</v>
          </cell>
          <cell r="H23">
            <v>0</v>
          </cell>
        </row>
        <row r="24">
          <cell r="E24">
            <v>65.83</v>
          </cell>
          <cell r="F24">
            <v>452</v>
          </cell>
          <cell r="G24">
            <v>325</v>
          </cell>
          <cell r="H24">
            <v>0</v>
          </cell>
        </row>
        <row r="25">
          <cell r="E25">
            <v>91.59</v>
          </cell>
          <cell r="F25">
            <v>1094</v>
          </cell>
          <cell r="G25">
            <v>1222</v>
          </cell>
          <cell r="H25">
            <v>0</v>
          </cell>
        </row>
        <row r="26">
          <cell r="E26">
            <v>99.79</v>
          </cell>
          <cell r="F26">
            <v>1347</v>
          </cell>
          <cell r="G26">
            <v>1457</v>
          </cell>
          <cell r="H26">
            <v>519</v>
          </cell>
        </row>
        <row r="27">
          <cell r="E27">
            <v>100.15</v>
          </cell>
          <cell r="F27">
            <v>2179</v>
          </cell>
          <cell r="G27">
            <v>2324</v>
          </cell>
          <cell r="H27">
            <v>1027</v>
          </cell>
        </row>
        <row r="28">
          <cell r="E28">
            <v>34.65</v>
          </cell>
          <cell r="F28">
            <v>341</v>
          </cell>
          <cell r="G28">
            <v>494</v>
          </cell>
        </row>
        <row r="29">
          <cell r="E29">
            <v>36.99</v>
          </cell>
          <cell r="F29">
            <v>1320</v>
          </cell>
          <cell r="G29">
            <v>2411</v>
          </cell>
          <cell r="H29">
            <v>0</v>
          </cell>
        </row>
        <row r="30">
          <cell r="E30">
            <v>50.39</v>
          </cell>
          <cell r="F30">
            <v>1663</v>
          </cell>
          <cell r="G30">
            <v>2080</v>
          </cell>
          <cell r="H30">
            <v>0</v>
          </cell>
        </row>
        <row r="31">
          <cell r="E31">
            <v>35.51</v>
          </cell>
          <cell r="F31">
            <v>1081</v>
          </cell>
          <cell r="G31">
            <v>755</v>
          </cell>
          <cell r="H31">
            <v>0</v>
          </cell>
        </row>
        <row r="32">
          <cell r="E32">
            <v>100.5</v>
          </cell>
          <cell r="F32">
            <v>14494</v>
          </cell>
          <cell r="G32">
            <v>14088</v>
          </cell>
        </row>
      </sheetData>
      <sheetData sheetId="15">
        <row r="58">
          <cell r="H58">
            <v>-1.0851</v>
          </cell>
        </row>
        <row r="59">
          <cell r="H5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98"/>
  <sheetViews>
    <sheetView tabSelected="1" zoomScaleNormal="100" workbookViewId="0">
      <selection sqref="A1:R1"/>
    </sheetView>
  </sheetViews>
  <sheetFormatPr defaultRowHeight="12.75" x14ac:dyDescent="0.2"/>
  <cols>
    <col min="1" max="1" width="17.85546875" style="370" customWidth="1"/>
    <col min="2" max="2" width="9.5703125" style="370" customWidth="1"/>
    <col min="3" max="3" width="9.85546875" style="370" bestFit="1" customWidth="1"/>
    <col min="4" max="4" width="9.85546875" style="370" customWidth="1"/>
    <col min="5" max="5" width="4.85546875" style="370" customWidth="1"/>
    <col min="6" max="6" width="12" style="370" customWidth="1"/>
    <col min="7" max="7" width="12.42578125" style="370" customWidth="1"/>
    <col min="8" max="11" width="9.28515625" style="370" customWidth="1"/>
    <col min="12" max="12" width="8.5703125" style="370" customWidth="1"/>
    <col min="13" max="13" width="9.140625" style="370"/>
    <col min="14" max="14" width="9" style="370" customWidth="1"/>
    <col min="15" max="15" width="8.85546875" style="370" customWidth="1"/>
    <col min="16" max="18" width="9.28515625" style="370" customWidth="1"/>
  </cols>
  <sheetData>
    <row r="1" spans="1:18" s="2" customFormat="1" x14ac:dyDescent="0.2">
      <c r="A1" s="464" t="s">
        <v>271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466"/>
    </row>
    <row r="2" spans="1:18" s="2" customFormat="1" ht="16.5" customHeight="1" thickBot="1" x14ac:dyDescent="0.25">
      <c r="A2" s="467" t="s">
        <v>309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9"/>
    </row>
    <row r="3" spans="1:18" s="2" customFormat="1" ht="12" customHeight="1" x14ac:dyDescent="0.2">
      <c r="A3" s="369"/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</row>
    <row r="4" spans="1:18" ht="12" customHeight="1" thickBot="1" x14ac:dyDescent="0.25"/>
    <row r="5" spans="1:18" ht="12" customHeight="1" thickBot="1" x14ac:dyDescent="0.25">
      <c r="A5" s="138" t="s">
        <v>251</v>
      </c>
      <c r="B5" s="371"/>
      <c r="C5" s="371"/>
      <c r="D5" s="372"/>
      <c r="F5" s="113" t="s">
        <v>229</v>
      </c>
      <c r="G5" s="373"/>
      <c r="H5" s="373"/>
      <c r="I5" s="373"/>
      <c r="J5" s="373"/>
      <c r="K5" s="373"/>
      <c r="L5" s="374"/>
      <c r="N5" s="112" t="s">
        <v>231</v>
      </c>
      <c r="O5" s="375"/>
      <c r="P5" s="375"/>
      <c r="Q5" s="375"/>
      <c r="R5" s="376"/>
    </row>
    <row r="6" spans="1:18" s="1" customFormat="1" ht="12" customHeight="1" thickBot="1" x14ac:dyDescent="0.25">
      <c r="A6" s="137"/>
      <c r="B6" s="377"/>
      <c r="C6" s="377"/>
      <c r="D6" s="378"/>
      <c r="E6" s="379"/>
      <c r="F6" s="380" t="s">
        <v>167</v>
      </c>
      <c r="G6" s="148"/>
      <c r="H6" s="149" t="s">
        <v>3</v>
      </c>
      <c r="I6" s="473" t="s">
        <v>159</v>
      </c>
      <c r="J6" s="474"/>
      <c r="K6" s="474"/>
      <c r="L6" s="475"/>
      <c r="M6" s="379"/>
      <c r="N6" s="381"/>
      <c r="O6" s="382"/>
      <c r="P6" s="382"/>
      <c r="Q6" s="451"/>
      <c r="R6" s="383"/>
    </row>
    <row r="7" spans="1:18" s="1" customFormat="1" ht="12" customHeight="1" thickBot="1" x14ac:dyDescent="0.25">
      <c r="A7" s="362" t="s">
        <v>173</v>
      </c>
      <c r="B7" s="363"/>
      <c r="C7" s="363"/>
      <c r="D7" s="364"/>
      <c r="E7" s="379"/>
      <c r="F7" s="384"/>
      <c r="G7" s="385"/>
      <c r="H7" s="150" t="s">
        <v>165</v>
      </c>
      <c r="I7" s="146" t="s">
        <v>160</v>
      </c>
      <c r="J7" s="146" t="s">
        <v>161</v>
      </c>
      <c r="K7" s="146" t="s">
        <v>215</v>
      </c>
      <c r="L7" s="147" t="s">
        <v>166</v>
      </c>
      <c r="M7" s="379"/>
      <c r="N7" s="470" t="s">
        <v>148</v>
      </c>
      <c r="O7" s="471"/>
      <c r="P7" s="471"/>
      <c r="Q7" s="471"/>
      <c r="R7" s="472"/>
    </row>
    <row r="8" spans="1:18" s="1" customFormat="1" ht="12" customHeight="1" thickBot="1" x14ac:dyDescent="0.25">
      <c r="A8" s="87" t="s">
        <v>139</v>
      </c>
      <c r="B8" s="100" t="s">
        <v>176</v>
      </c>
      <c r="C8" s="101" t="s">
        <v>140</v>
      </c>
      <c r="D8" s="102" t="s">
        <v>141</v>
      </c>
      <c r="E8" s="379"/>
      <c r="F8" s="386" t="s">
        <v>137</v>
      </c>
      <c r="G8" s="387"/>
      <c r="H8" s="104"/>
      <c r="I8" s="388"/>
      <c r="J8" s="388"/>
      <c r="K8" s="388"/>
      <c r="L8" s="389"/>
      <c r="M8" s="379"/>
      <c r="N8" s="390" t="s">
        <v>149</v>
      </c>
      <c r="O8" s="182">
        <v>1999</v>
      </c>
      <c r="P8" s="182">
        <v>2000</v>
      </c>
      <c r="Q8" s="181" t="s">
        <v>279</v>
      </c>
      <c r="R8" s="181" t="s">
        <v>282</v>
      </c>
    </row>
    <row r="9" spans="1:18" s="1" customFormat="1" ht="12" customHeight="1" x14ac:dyDescent="0.2">
      <c r="A9" s="391" t="s">
        <v>143</v>
      </c>
      <c r="B9" s="97">
        <f>'[1]1-Balanço Energético '!$B$8</f>
        <v>15027</v>
      </c>
      <c r="C9" s="98">
        <f>'[1]1-Balanço Energético '!$C$8</f>
        <v>15848.408333333336</v>
      </c>
      <c r="D9" s="99">
        <f t="shared" ref="D9:D14" si="0">IF((OR(B9=0,AND(B9&lt;0,C9&gt;0),AND(B9&gt;0,C9&lt;0))),"n/m",((C9-B9)/B9)*100)</f>
        <v>5.4662163660966021</v>
      </c>
      <c r="E9" s="379"/>
      <c r="F9" s="166" t="s">
        <v>4</v>
      </c>
      <c r="G9" s="167" t="s">
        <v>5</v>
      </c>
      <c r="H9" s="151">
        <f>'[1]8-Acomp. Hidrologia'!E9</f>
        <v>21.68</v>
      </c>
      <c r="I9" s="151">
        <f>'[1]8-Acomp. Hidrologia'!F9</f>
        <v>684</v>
      </c>
      <c r="J9" s="151">
        <f>'[1]8-Acomp. Hidrologia'!G9</f>
        <v>861</v>
      </c>
      <c r="K9" s="154">
        <f>I9-J9</f>
        <v>-177</v>
      </c>
      <c r="L9" s="151">
        <f>'[1]8-Acomp. Hidrologia'!H9</f>
        <v>0</v>
      </c>
      <c r="M9" s="379"/>
      <c r="N9" s="392" t="s">
        <v>132</v>
      </c>
      <c r="O9" s="12">
        <v>57.6</v>
      </c>
      <c r="P9" s="12">
        <v>30.62</v>
      </c>
      <c r="Q9" s="452">
        <v>36.92</v>
      </c>
      <c r="R9" s="10">
        <f>(Q9-P9)/P9</f>
        <v>0.20574787720444157</v>
      </c>
    </row>
    <row r="10" spans="1:18" s="1" customFormat="1" ht="12" customHeight="1" x14ac:dyDescent="0.2">
      <c r="A10" s="393" t="s">
        <v>144</v>
      </c>
      <c r="B10" s="88">
        <f>'[1]1-Balanço Energético '!$B$9</f>
        <v>1149</v>
      </c>
      <c r="C10" s="89">
        <f>'[1]1-Balanço Energético '!$C$9</f>
        <v>784</v>
      </c>
      <c r="D10" s="90">
        <f t="shared" si="0"/>
        <v>-31.766753698868584</v>
      </c>
      <c r="E10" s="379"/>
      <c r="F10" s="394"/>
      <c r="G10" s="168" t="s">
        <v>6</v>
      </c>
      <c r="H10" s="152">
        <f>'[1]8-Acomp. Hidrologia'!E10</f>
        <v>82.58</v>
      </c>
      <c r="I10" s="152">
        <f>'[1]8-Acomp. Hidrologia'!F10</f>
        <v>925</v>
      </c>
      <c r="J10" s="152">
        <f>'[1]8-Acomp. Hidrologia'!G10</f>
        <v>925</v>
      </c>
      <c r="K10" s="155">
        <f t="shared" ref="K10:K25" si="1">I10-J10</f>
        <v>0</v>
      </c>
      <c r="L10" s="152">
        <f>'[1]8-Acomp. Hidrologia'!H10</f>
        <v>0</v>
      </c>
      <c r="M10" s="379"/>
      <c r="N10" s="392" t="s">
        <v>150</v>
      </c>
      <c r="O10" s="12">
        <v>61</v>
      </c>
      <c r="P10" s="12">
        <v>45.167235768550924</v>
      </c>
      <c r="Q10" s="11">
        <v>38.693032574465491</v>
      </c>
      <c r="R10" s="10">
        <f>(Q10-P10)/P10</f>
        <v>-0.14333848604906871</v>
      </c>
    </row>
    <row r="11" spans="1:18" s="1" customFormat="1" ht="12" customHeight="1" x14ac:dyDescent="0.2">
      <c r="A11" s="393" t="s">
        <v>145</v>
      </c>
      <c r="B11" s="88">
        <f>'[1]1-Balanço Energético '!$B$10</f>
        <v>1760</v>
      </c>
      <c r="C11" s="89">
        <f>'[1]1-Balanço Energético '!$C$10</f>
        <v>1715</v>
      </c>
      <c r="D11" s="90">
        <f t="shared" si="0"/>
        <v>-2.5568181818181821</v>
      </c>
      <c r="E11" s="379"/>
      <c r="F11" s="394"/>
      <c r="G11" s="168" t="s">
        <v>7</v>
      </c>
      <c r="H11" s="152">
        <f>'[1]8-Acomp. Hidrologia'!E11</f>
        <v>33</v>
      </c>
      <c r="I11" s="152">
        <f>'[1]8-Acomp. Hidrologia'!F11</f>
        <v>1579</v>
      </c>
      <c r="J11" s="152">
        <f>'[1]8-Acomp. Hidrologia'!G11</f>
        <v>1477</v>
      </c>
      <c r="K11" s="155">
        <f t="shared" si="1"/>
        <v>102</v>
      </c>
      <c r="L11" s="152">
        <f>'[1]8-Acomp. Hidrologia'!H11</f>
        <v>0</v>
      </c>
      <c r="M11" s="379"/>
      <c r="N11" s="392" t="s">
        <v>133</v>
      </c>
      <c r="O11" s="12">
        <v>71.2</v>
      </c>
      <c r="P11" s="12">
        <v>58.049190536949681</v>
      </c>
      <c r="Q11" s="10"/>
      <c r="R11" s="10"/>
    </row>
    <row r="12" spans="1:18" s="1" customFormat="1" ht="12" customHeight="1" x14ac:dyDescent="0.2">
      <c r="A12" s="393" t="s">
        <v>146</v>
      </c>
      <c r="B12" s="88">
        <f>SUM(B9:B11)</f>
        <v>17936</v>
      </c>
      <c r="C12" s="89">
        <f>SUM(C9:C11)</f>
        <v>18347.408333333336</v>
      </c>
      <c r="D12" s="90">
        <f t="shared" si="0"/>
        <v>2.2937574338388522</v>
      </c>
      <c r="E12" s="379"/>
      <c r="F12" s="394"/>
      <c r="G12" s="168" t="s">
        <v>8</v>
      </c>
      <c r="H12" s="152">
        <f>'[1]8-Acomp. Hidrologia'!E12</f>
        <v>21.77</v>
      </c>
      <c r="I12" s="152">
        <f>'[1]8-Acomp. Hidrologia'!F12</f>
        <v>1726</v>
      </c>
      <c r="J12" s="152">
        <f>'[1]8-Acomp. Hidrologia'!G12</f>
        <v>1777</v>
      </c>
      <c r="K12" s="155">
        <f t="shared" si="1"/>
        <v>-51</v>
      </c>
      <c r="L12" s="152">
        <f>'[1]8-Acomp. Hidrologia'!H12</f>
        <v>0</v>
      </c>
      <c r="M12" s="379"/>
      <c r="N12" s="392" t="s">
        <v>151</v>
      </c>
      <c r="O12" s="12">
        <v>70.400000000000006</v>
      </c>
      <c r="P12" s="12">
        <v>57.989402647874797</v>
      </c>
      <c r="Q12" s="10"/>
      <c r="R12" s="10"/>
    </row>
    <row r="13" spans="1:18" s="1" customFormat="1" ht="12" customHeight="1" x14ac:dyDescent="0.2">
      <c r="A13" s="393" t="s">
        <v>2</v>
      </c>
      <c r="B13" s="88">
        <f>'[1]1-Balanço Energético '!$B$12+'[1]1-Balanço Energético '!$G$11</f>
        <v>9697</v>
      </c>
      <c r="C13" s="89">
        <f>'[1]1-Balanço Energético '!$C$12+'[1]1-Balanço Energético '!$H$11</f>
        <v>9723.8958333333321</v>
      </c>
      <c r="D13" s="90">
        <f t="shared" si="0"/>
        <v>0.2773624144924422</v>
      </c>
      <c r="E13" s="379"/>
      <c r="F13" s="169" t="s">
        <v>9</v>
      </c>
      <c r="G13" s="168" t="s">
        <v>10</v>
      </c>
      <c r="H13" s="152">
        <f>'[1]8-Acomp. Hidrologia'!E13</f>
        <v>28.36</v>
      </c>
      <c r="I13" s="152">
        <f>'[1]8-Acomp. Hidrologia'!F13</f>
        <v>288</v>
      </c>
      <c r="J13" s="152">
        <f>'[1]8-Acomp. Hidrologia'!G13</f>
        <v>173</v>
      </c>
      <c r="K13" s="155">
        <f t="shared" si="1"/>
        <v>115</v>
      </c>
      <c r="L13" s="152">
        <f>'[1]8-Acomp. Hidrologia'!H13</f>
        <v>0</v>
      </c>
      <c r="M13" s="379"/>
      <c r="N13" s="392" t="s">
        <v>152</v>
      </c>
      <c r="O13" s="12">
        <v>65.3</v>
      </c>
      <c r="P13" s="12">
        <v>52.41</v>
      </c>
      <c r="Q13" s="10"/>
      <c r="R13" s="10"/>
    </row>
    <row r="14" spans="1:18" s="1" customFormat="1" ht="12" customHeight="1" x14ac:dyDescent="0.2">
      <c r="A14" s="94" t="s">
        <v>147</v>
      </c>
      <c r="B14" s="88">
        <f>'[1]1-Balanço Energético '!$B$13</f>
        <v>28778</v>
      </c>
      <c r="C14" s="89">
        <f>'[1]1-Balanço Energético '!$C$13</f>
        <v>29171.3125</v>
      </c>
      <c r="D14" s="90">
        <f t="shared" si="0"/>
        <v>1.366712419209118</v>
      </c>
      <c r="E14" s="379"/>
      <c r="F14" s="170"/>
      <c r="G14" s="168" t="s">
        <v>11</v>
      </c>
      <c r="H14" s="152">
        <f>'[1]8-Acomp. Hidrologia'!E14</f>
        <v>19.690000000000001</v>
      </c>
      <c r="I14" s="152">
        <f>'[1]8-Acomp. Hidrologia'!F14</f>
        <v>234</v>
      </c>
      <c r="J14" s="152">
        <f>'[1]8-Acomp. Hidrologia'!G14</f>
        <v>166</v>
      </c>
      <c r="K14" s="155">
        <f t="shared" si="1"/>
        <v>68</v>
      </c>
      <c r="L14" s="152">
        <f>'[1]8-Acomp. Hidrologia'!H14</f>
        <v>0</v>
      </c>
      <c r="M14" s="379"/>
      <c r="N14" s="392" t="s">
        <v>134</v>
      </c>
      <c r="O14" s="12">
        <v>61.4</v>
      </c>
      <c r="P14" s="12">
        <v>46.16</v>
      </c>
      <c r="Q14" s="10"/>
      <c r="R14" s="10"/>
    </row>
    <row r="15" spans="1:18" s="1" customFormat="1" ht="12" customHeight="1" x14ac:dyDescent="0.2">
      <c r="A15" s="95" t="s">
        <v>216</v>
      </c>
      <c r="B15" s="88">
        <f>'[1]1-Balanço Energético '!$G$11+'[1]1-Balanço Energético '!$B$14</f>
        <v>-687</v>
      </c>
      <c r="C15" s="89">
        <f>'[1]1-Balanço Energético '!$H$11+'[1]1-Balanço Energético '!$C$14</f>
        <v>-673.72499999999923</v>
      </c>
      <c r="D15" s="90">
        <f>IF((OR(B15=0,AND(B15&lt;0,C15&gt;0),AND(B15&gt;0,C15&lt;0))),"n/m",((C15-B15)/B15)*100)</f>
        <v>-1.9323144104804619</v>
      </c>
      <c r="E15" s="379"/>
      <c r="F15" s="170"/>
      <c r="G15" s="168" t="s">
        <v>12</v>
      </c>
      <c r="H15" s="152">
        <f>'[1]8-Acomp. Hidrologia'!E15</f>
        <v>14.43</v>
      </c>
      <c r="I15" s="152">
        <f>'[1]8-Acomp. Hidrologia'!F15</f>
        <v>1085</v>
      </c>
      <c r="J15" s="152">
        <f>'[1]8-Acomp. Hidrologia'!G15</f>
        <v>1375</v>
      </c>
      <c r="K15" s="155">
        <f t="shared" si="1"/>
        <v>-290</v>
      </c>
      <c r="L15" s="152">
        <f>'[1]8-Acomp. Hidrologia'!H15</f>
        <v>0</v>
      </c>
      <c r="M15" s="379"/>
      <c r="N15" s="392" t="s">
        <v>135</v>
      </c>
      <c r="O15" s="12">
        <v>57</v>
      </c>
      <c r="P15" s="12">
        <v>40.479999999999997</v>
      </c>
      <c r="Q15" s="10"/>
      <c r="R15" s="10"/>
    </row>
    <row r="16" spans="1:18" s="1" customFormat="1" ht="12" customHeight="1" x14ac:dyDescent="0.2">
      <c r="A16" s="95" t="s">
        <v>217</v>
      </c>
      <c r="B16" s="88">
        <f>'[1]1-Balanço Energético '!$B$15</f>
        <v>-458</v>
      </c>
      <c r="C16" s="89">
        <f>'[1]1-Balanço Energético '!$C$15</f>
        <v>-426.2833333333333</v>
      </c>
      <c r="D16" s="90">
        <f>IF((OR(B16=0,AND(B16&lt;0,C16&gt;0),AND(B16&gt;0,C16&lt;0))),"n/m",((C16-B16)/B16)*100)</f>
        <v>-6.9250363901018988</v>
      </c>
      <c r="E16" s="379"/>
      <c r="F16" s="170"/>
      <c r="G16" s="168" t="s">
        <v>13</v>
      </c>
      <c r="H16" s="152">
        <f>'[1]8-Acomp. Hidrologia'!E16</f>
        <v>59.54</v>
      </c>
      <c r="I16" s="152">
        <f>'[1]8-Acomp. Hidrologia'!F16</f>
        <v>2463</v>
      </c>
      <c r="J16" s="152">
        <f>'[1]8-Acomp. Hidrologia'!G16</f>
        <v>2203</v>
      </c>
      <c r="K16" s="155">
        <f t="shared" si="1"/>
        <v>260</v>
      </c>
      <c r="L16" s="152">
        <f>'[1]8-Acomp. Hidrologia'!H16</f>
        <v>0</v>
      </c>
      <c r="M16" s="379"/>
      <c r="N16" s="392" t="s">
        <v>153</v>
      </c>
      <c r="O16" s="12">
        <v>47.4</v>
      </c>
      <c r="P16" s="12">
        <v>33.49</v>
      </c>
      <c r="Q16" s="10"/>
      <c r="R16" s="10"/>
    </row>
    <row r="17" spans="1:18" s="1" customFormat="1" ht="12" customHeight="1" thickBot="1" x14ac:dyDescent="0.25">
      <c r="A17" s="96" t="s">
        <v>218</v>
      </c>
      <c r="B17" s="91">
        <f>'[1]1-Balanço Energético '!$B$16</f>
        <v>0</v>
      </c>
      <c r="C17" s="92">
        <f>'[1]1-Balanço Energético '!$C$16</f>
        <v>1.4210854715202004E-12</v>
      </c>
      <c r="D17" s="93" t="str">
        <f>IF((OR(B17=0,AND(B17&lt;0,C17&gt;0),AND(B17&gt;0,C17&lt;0))),"n/m",((C17-B17)/B17)*100)</f>
        <v>n/m</v>
      </c>
      <c r="E17" s="379"/>
      <c r="F17" s="169" t="s">
        <v>14</v>
      </c>
      <c r="G17" s="168" t="s">
        <v>15</v>
      </c>
      <c r="H17" s="152">
        <f>'[1]8-Acomp. Hidrologia'!E17</f>
        <v>30.04</v>
      </c>
      <c r="I17" s="152">
        <f>'[1]8-Acomp. Hidrologia'!F17</f>
        <v>6229</v>
      </c>
      <c r="J17" s="152">
        <f>'[1]8-Acomp. Hidrologia'!G17</f>
        <v>5857</v>
      </c>
      <c r="K17" s="155">
        <f t="shared" si="1"/>
        <v>372</v>
      </c>
      <c r="L17" s="152">
        <f>'[1]8-Acomp. Hidrologia'!H17</f>
        <v>0</v>
      </c>
      <c r="M17" s="379"/>
      <c r="N17" s="392" t="s">
        <v>154</v>
      </c>
      <c r="O17" s="12">
        <v>39</v>
      </c>
      <c r="P17" s="12">
        <v>35.26</v>
      </c>
      <c r="Q17" s="10"/>
      <c r="R17" s="10"/>
    </row>
    <row r="18" spans="1:18" s="1" customFormat="1" ht="12" customHeight="1" x14ac:dyDescent="0.2">
      <c r="A18" s="17"/>
      <c r="B18" s="86" t="str">
        <f>IF(ABS(B12+B13-B14-B15-B16)&gt;2,"Check","")</f>
        <v/>
      </c>
      <c r="C18" s="86" t="str">
        <f>IF(ABS(C12+C13-C14-C15-C16)&gt;2,"Check","")</f>
        <v/>
      </c>
      <c r="D18" s="11"/>
      <c r="E18" s="379"/>
      <c r="F18" s="169"/>
      <c r="G18" s="168" t="s">
        <v>16</v>
      </c>
      <c r="H18" s="152">
        <f>'[1]8-Acomp. Hidrologia'!E18</f>
        <v>85.56</v>
      </c>
      <c r="I18" s="152">
        <f>'[1]8-Acomp. Hidrologia'!F18</f>
        <v>7317</v>
      </c>
      <c r="J18" s="152">
        <f>'[1]8-Acomp. Hidrologia'!G18</f>
        <v>6391</v>
      </c>
      <c r="K18" s="155">
        <f t="shared" si="1"/>
        <v>926</v>
      </c>
      <c r="L18" s="152">
        <f>'[1]8-Acomp. Hidrologia'!H18</f>
        <v>0</v>
      </c>
      <c r="M18" s="379"/>
      <c r="N18" s="392" t="s">
        <v>155</v>
      </c>
      <c r="O18" s="12">
        <v>30.6</v>
      </c>
      <c r="P18" s="12">
        <v>28.99</v>
      </c>
      <c r="Q18" s="10"/>
      <c r="R18" s="10"/>
    </row>
    <row r="19" spans="1:18" s="1" customFormat="1" ht="12" customHeight="1" thickBot="1" x14ac:dyDescent="0.25">
      <c r="A19" s="362" t="s">
        <v>174</v>
      </c>
      <c r="B19" s="363"/>
      <c r="C19" s="363"/>
      <c r="D19" s="364"/>
      <c r="E19" s="379"/>
      <c r="F19" s="169"/>
      <c r="G19" s="168" t="s">
        <v>17</v>
      </c>
      <c r="H19" s="152">
        <f>'[1]8-Acomp. Hidrologia'!E19</f>
        <v>95.35</v>
      </c>
      <c r="I19" s="152">
        <f>'[1]8-Acomp. Hidrologia'!F19</f>
        <v>9618</v>
      </c>
      <c r="J19" s="152">
        <f>'[1]8-Acomp. Hidrologia'!G19</f>
        <v>10551</v>
      </c>
      <c r="K19" s="155">
        <f t="shared" si="1"/>
        <v>-933</v>
      </c>
      <c r="L19" s="152">
        <f>'[1]8-Acomp. Hidrologia'!H19</f>
        <v>0</v>
      </c>
      <c r="M19" s="379"/>
      <c r="N19" s="392" t="s">
        <v>136</v>
      </c>
      <c r="O19" s="12">
        <v>23.6</v>
      </c>
      <c r="P19" s="12">
        <v>27.902083762916124</v>
      </c>
      <c r="Q19" s="10"/>
      <c r="R19" s="10"/>
    </row>
    <row r="20" spans="1:18" s="1" customFormat="1" ht="12" customHeight="1" thickBot="1" x14ac:dyDescent="0.25">
      <c r="A20" s="87" t="s">
        <v>139</v>
      </c>
      <c r="B20" s="109" t="s">
        <v>176</v>
      </c>
      <c r="C20" s="101" t="s">
        <v>140</v>
      </c>
      <c r="D20" s="102" t="s">
        <v>141</v>
      </c>
      <c r="E20" s="379"/>
      <c r="F20" s="169" t="s">
        <v>18</v>
      </c>
      <c r="G20" s="168" t="s">
        <v>19</v>
      </c>
      <c r="H20" s="152">
        <f>'[1]8-Acomp. Hidrologia'!E20</f>
        <v>78.930000000000007</v>
      </c>
      <c r="I20" s="152">
        <f>'[1]8-Acomp. Hidrologia'!F20</f>
        <v>348</v>
      </c>
      <c r="J20" s="152">
        <f>'[1]8-Acomp. Hidrologia'!G20</f>
        <v>379</v>
      </c>
      <c r="K20" s="155">
        <f t="shared" si="1"/>
        <v>-31</v>
      </c>
      <c r="L20" s="152">
        <f>'[1]8-Acomp. Hidrologia'!H20</f>
        <v>0</v>
      </c>
      <c r="M20" s="379"/>
      <c r="N20" s="395" t="s">
        <v>156</v>
      </c>
      <c r="O20" s="13">
        <v>20.5</v>
      </c>
      <c r="P20" s="13">
        <v>33.51292315265276</v>
      </c>
      <c r="Q20" s="335"/>
      <c r="R20" s="335"/>
    </row>
    <row r="21" spans="1:18" s="1" customFormat="1" ht="12" customHeight="1" thickBot="1" x14ac:dyDescent="0.25">
      <c r="A21" s="396" t="s">
        <v>143</v>
      </c>
      <c r="B21" s="107">
        <f>'[1]1-Balanço Energético '!$G$8</f>
        <v>7501</v>
      </c>
      <c r="C21" s="98">
        <f>'[1]1-Balanço Energético '!$H$8</f>
        <v>7585.25</v>
      </c>
      <c r="D21" s="99">
        <f t="shared" ref="D21:D26" si="2">IF((OR(B21=0,AND(B21&lt;0,C21&gt;0),AND(B21&gt;0,C21&lt;0))),"n/m",((C21-B21)/B21)*100)</f>
        <v>1.1231835755232635</v>
      </c>
      <c r="E21" s="379"/>
      <c r="F21" s="169"/>
      <c r="G21" s="168" t="s">
        <v>20</v>
      </c>
      <c r="H21" s="152">
        <f>'[1]8-Acomp. Hidrologia'!E21</f>
        <v>87.64</v>
      </c>
      <c r="I21" s="152">
        <f>'[1]8-Acomp. Hidrologia'!F21</f>
        <v>658</v>
      </c>
      <c r="J21" s="152">
        <f>'[1]8-Acomp. Hidrologia'!G21</f>
        <v>1020</v>
      </c>
      <c r="K21" s="155">
        <f t="shared" si="1"/>
        <v>-362</v>
      </c>
      <c r="L21" s="152">
        <f>'[1]8-Acomp. Hidrologia'!H21</f>
        <v>0</v>
      </c>
      <c r="M21" s="379"/>
      <c r="N21" s="386"/>
      <c r="O21" s="12"/>
      <c r="P21" s="12"/>
      <c r="Q21" s="12"/>
      <c r="R21" s="450"/>
    </row>
    <row r="22" spans="1:18" s="1" customFormat="1" ht="12" customHeight="1" thickBot="1" x14ac:dyDescent="0.25">
      <c r="A22" s="393" t="s">
        <v>144</v>
      </c>
      <c r="B22" s="106">
        <f>'[1]1-Balanço Energético '!$G$9</f>
        <v>1468</v>
      </c>
      <c r="C22" s="89">
        <f>'[1]1-Balanço Energético '!$H$9</f>
        <v>1362</v>
      </c>
      <c r="D22" s="90">
        <f t="shared" si="2"/>
        <v>-7.2207084468664844</v>
      </c>
      <c r="E22" s="379"/>
      <c r="F22" s="169"/>
      <c r="G22" s="168" t="s">
        <v>21</v>
      </c>
      <c r="H22" s="152">
        <f>'[1]8-Acomp. Hidrologia'!E22</f>
        <v>39.6</v>
      </c>
      <c r="I22" s="152">
        <f>'[1]8-Acomp. Hidrologia'!F22</f>
        <v>676</v>
      </c>
      <c r="J22" s="152">
        <f>'[1]8-Acomp. Hidrologia'!G22</f>
        <v>676</v>
      </c>
      <c r="K22" s="155">
        <f t="shared" si="1"/>
        <v>0</v>
      </c>
      <c r="L22" s="152">
        <f>'[1]8-Acomp. Hidrologia'!H22</f>
        <v>0</v>
      </c>
      <c r="M22" s="379"/>
      <c r="N22" s="470" t="s">
        <v>157</v>
      </c>
      <c r="O22" s="471"/>
      <c r="P22" s="471"/>
      <c r="Q22" s="471"/>
      <c r="R22" s="472"/>
    </row>
    <row r="23" spans="1:18" s="1" customFormat="1" ht="12" customHeight="1" thickBot="1" x14ac:dyDescent="0.25">
      <c r="A23" s="393" t="s">
        <v>146</v>
      </c>
      <c r="B23" s="106">
        <f>SUM(B21:B22)</f>
        <v>8969</v>
      </c>
      <c r="C23" s="89">
        <f>SUM(C21:C22)</f>
        <v>8947.25</v>
      </c>
      <c r="D23" s="90">
        <f t="shared" si="2"/>
        <v>-0.24250195116512432</v>
      </c>
      <c r="E23" s="379"/>
      <c r="F23" s="169" t="s">
        <v>22</v>
      </c>
      <c r="G23" s="168" t="s">
        <v>23</v>
      </c>
      <c r="H23" s="152">
        <f>'[1]8-Acomp. Hidrologia'!E23</f>
        <v>77.760000000000005</v>
      </c>
      <c r="I23" s="152">
        <f>'[1]8-Acomp. Hidrologia'!F23</f>
        <v>240</v>
      </c>
      <c r="J23" s="152">
        <f>'[1]8-Acomp. Hidrologia'!G23</f>
        <v>336</v>
      </c>
      <c r="K23" s="155">
        <f t="shared" si="1"/>
        <v>-96</v>
      </c>
      <c r="L23" s="152">
        <f>'[1]8-Acomp. Hidrologia'!H23</f>
        <v>0</v>
      </c>
      <c r="M23" s="379"/>
      <c r="N23" s="390" t="s">
        <v>149</v>
      </c>
      <c r="O23" s="182">
        <v>1999</v>
      </c>
      <c r="P23" s="182">
        <v>2000</v>
      </c>
      <c r="Q23" s="181" t="s">
        <v>279</v>
      </c>
      <c r="R23" s="181" t="s">
        <v>282</v>
      </c>
    </row>
    <row r="24" spans="1:18" s="1" customFormat="1" ht="12" customHeight="1" x14ac:dyDescent="0.2">
      <c r="A24" s="94" t="s">
        <v>147</v>
      </c>
      <c r="B24" s="106">
        <f>'[1]1-Balanço Energético '!$G$12</f>
        <v>8314</v>
      </c>
      <c r="C24" s="89">
        <f>'[1]1-Balanço Energético '!$H$12</f>
        <v>8318.7375000000011</v>
      </c>
      <c r="D24" s="90">
        <f t="shared" si="2"/>
        <v>5.6982198700999409E-2</v>
      </c>
      <c r="E24" s="379"/>
      <c r="F24" s="170"/>
      <c r="G24" s="168" t="s">
        <v>24</v>
      </c>
      <c r="H24" s="152">
        <f>'[1]8-Acomp. Hidrologia'!E24</f>
        <v>65.83</v>
      </c>
      <c r="I24" s="152">
        <f>'[1]8-Acomp. Hidrologia'!F24</f>
        <v>452</v>
      </c>
      <c r="J24" s="152">
        <f>'[1]8-Acomp. Hidrologia'!G24</f>
        <v>325</v>
      </c>
      <c r="K24" s="155">
        <f t="shared" si="1"/>
        <v>127</v>
      </c>
      <c r="L24" s="152">
        <f>'[1]8-Acomp. Hidrologia'!H24</f>
        <v>0</v>
      </c>
      <c r="M24" s="379"/>
      <c r="N24" s="392" t="s">
        <v>132</v>
      </c>
      <c r="O24" s="12">
        <v>52.6</v>
      </c>
      <c r="P24" s="12">
        <v>42.68</v>
      </c>
      <c r="Q24" s="452">
        <v>46.753515940397037</v>
      </c>
      <c r="R24" s="10">
        <f>(Q24-P24)/P24</f>
        <v>9.5443203851851857E-2</v>
      </c>
    </row>
    <row r="25" spans="1:18" s="1" customFormat="1" ht="12" customHeight="1" thickBot="1" x14ac:dyDescent="0.25">
      <c r="A25" s="95" t="s">
        <v>219</v>
      </c>
      <c r="B25" s="106">
        <f>-'[1]1-Balanço Energético '!$G$11+'[1]1-Balanço Energético '!$G$13</f>
        <v>702</v>
      </c>
      <c r="C25" s="89">
        <f>-'[1]1-Balanço Energético '!$H$11+'[1]1-Balanço Energético '!$H$13</f>
        <v>673.72499999999786</v>
      </c>
      <c r="D25" s="90">
        <f t="shared" si="2"/>
        <v>-4.0277777777780823</v>
      </c>
      <c r="E25" s="397"/>
      <c r="F25" s="171"/>
      <c r="G25" s="172" t="s">
        <v>25</v>
      </c>
      <c r="H25" s="153">
        <f>'[1]8-Acomp. Hidrologia'!E25</f>
        <v>91.59</v>
      </c>
      <c r="I25" s="153">
        <f>'[1]8-Acomp. Hidrologia'!F25</f>
        <v>1094</v>
      </c>
      <c r="J25" s="153">
        <f>'[1]8-Acomp. Hidrologia'!G25</f>
        <v>1222</v>
      </c>
      <c r="K25" s="156">
        <f t="shared" si="1"/>
        <v>-128</v>
      </c>
      <c r="L25" s="153">
        <f>'[1]8-Acomp. Hidrologia'!H25</f>
        <v>0</v>
      </c>
      <c r="M25" s="379"/>
      <c r="N25" s="392" t="s">
        <v>150</v>
      </c>
      <c r="O25" s="12">
        <v>48.8</v>
      </c>
      <c r="P25" s="12">
        <v>58.763607990012488</v>
      </c>
      <c r="Q25" s="11">
        <v>44.203715954981774</v>
      </c>
      <c r="R25" s="10">
        <f>(Q25-P25)/P25</f>
        <v>-0.24777055958690156</v>
      </c>
    </row>
    <row r="26" spans="1:18" s="1" customFormat="1" ht="12" customHeight="1" thickBot="1" x14ac:dyDescent="0.25">
      <c r="A26" s="96" t="s">
        <v>233</v>
      </c>
      <c r="B26" s="108">
        <f>-'[1]1-Balanço Energético '!$G$14</f>
        <v>47</v>
      </c>
      <c r="C26" s="92">
        <f>-'[1]1-Balanço Energético '!$H$14</f>
        <v>45.212499999999999</v>
      </c>
      <c r="D26" s="93">
        <f t="shared" si="2"/>
        <v>-3.8031914893617049</v>
      </c>
      <c r="E26" s="379"/>
      <c r="F26" s="386" t="s">
        <v>138</v>
      </c>
      <c r="G26" s="398"/>
      <c r="H26" s="157"/>
      <c r="I26" s="157"/>
      <c r="J26" s="157"/>
      <c r="K26" s="158"/>
      <c r="L26" s="159"/>
      <c r="M26" s="379"/>
      <c r="N26" s="392" t="s">
        <v>133</v>
      </c>
      <c r="O26" s="12">
        <v>62.6</v>
      </c>
      <c r="P26" s="12">
        <v>69.033098429594602</v>
      </c>
      <c r="Q26" s="10"/>
      <c r="R26" s="10"/>
    </row>
    <row r="27" spans="1:18" s="1" customFormat="1" ht="12" customHeight="1" x14ac:dyDescent="0.2">
      <c r="A27" s="103"/>
      <c r="B27" s="9" t="str">
        <f>IF(ABS(B23-B25+B26-B24)&gt;1,"Check","")</f>
        <v/>
      </c>
      <c r="C27" s="9" t="str">
        <f>IF(ABS(C23-C25+C26-C24)&gt;1,"Check","")</f>
        <v/>
      </c>
      <c r="D27" s="18"/>
      <c r="E27" s="379"/>
      <c r="F27" s="173" t="s">
        <v>26</v>
      </c>
      <c r="G27" s="174" t="s">
        <v>27</v>
      </c>
      <c r="H27" s="151">
        <f>'[1]8-Acomp. Hidrologia'!E26</f>
        <v>99.79</v>
      </c>
      <c r="I27" s="151">
        <f>'[1]8-Acomp. Hidrologia'!F26</f>
        <v>1347</v>
      </c>
      <c r="J27" s="151">
        <f>'[1]8-Acomp. Hidrologia'!G26</f>
        <v>1457</v>
      </c>
      <c r="K27" s="154">
        <f>I27-J27</f>
        <v>-110</v>
      </c>
      <c r="L27" s="151">
        <f>'[1]8-Acomp. Hidrologia'!H26</f>
        <v>519</v>
      </c>
      <c r="M27" s="379"/>
      <c r="N27" s="392" t="s">
        <v>151</v>
      </c>
      <c r="O27" s="12">
        <v>62.1</v>
      </c>
      <c r="P27" s="12">
        <v>73.391545108088579</v>
      </c>
      <c r="Q27" s="10"/>
      <c r="R27" s="10"/>
    </row>
    <row r="28" spans="1:18" s="1" customFormat="1" ht="12" customHeight="1" thickBot="1" x14ac:dyDescent="0.25">
      <c r="A28" s="362" t="s">
        <v>252</v>
      </c>
      <c r="B28" s="363"/>
      <c r="C28" s="363"/>
      <c r="D28" s="364"/>
      <c r="E28" s="379"/>
      <c r="F28" s="134"/>
      <c r="G28" s="175" t="s">
        <v>28</v>
      </c>
      <c r="H28" s="153">
        <f>'[1]8-Acomp. Hidrologia'!E27</f>
        <v>100.15</v>
      </c>
      <c r="I28" s="153">
        <f>'[1]8-Acomp. Hidrologia'!F27</f>
        <v>2179</v>
      </c>
      <c r="J28" s="153">
        <f>'[1]8-Acomp. Hidrologia'!G27</f>
        <v>2324</v>
      </c>
      <c r="K28" s="156">
        <f>I28-J28</f>
        <v>-145</v>
      </c>
      <c r="L28" s="153">
        <f>'[1]8-Acomp. Hidrologia'!H27</f>
        <v>1027</v>
      </c>
      <c r="M28" s="379"/>
      <c r="N28" s="392" t="s">
        <v>152</v>
      </c>
      <c r="O28" s="12">
        <v>58.4</v>
      </c>
      <c r="P28" s="12">
        <v>69.930000000000007</v>
      </c>
      <c r="Q28" s="10"/>
      <c r="R28" s="10"/>
    </row>
    <row r="29" spans="1:18" s="1" customFormat="1" ht="12" customHeight="1" thickBot="1" x14ac:dyDescent="0.25">
      <c r="A29" s="87" t="s">
        <v>139</v>
      </c>
      <c r="B29" s="109" t="s">
        <v>176</v>
      </c>
      <c r="C29" s="101" t="s">
        <v>140</v>
      </c>
      <c r="D29" s="102" t="s">
        <v>141</v>
      </c>
      <c r="E29" s="379"/>
      <c r="F29" s="386" t="s">
        <v>142</v>
      </c>
      <c r="G29" s="398"/>
      <c r="H29" s="157"/>
      <c r="I29" s="157"/>
      <c r="J29" s="157"/>
      <c r="K29" s="158"/>
      <c r="L29" s="159"/>
      <c r="M29" s="379"/>
      <c r="N29" s="392" t="s">
        <v>134</v>
      </c>
      <c r="O29" s="12">
        <v>52.8</v>
      </c>
      <c r="P29" s="12">
        <v>65.19</v>
      </c>
      <c r="Q29" s="10"/>
      <c r="R29" s="10"/>
    </row>
    <row r="30" spans="1:18" s="1" customFormat="1" ht="12" customHeight="1" x14ac:dyDescent="0.2">
      <c r="A30" s="396" t="s">
        <v>143</v>
      </c>
      <c r="B30" s="107">
        <f>'[1]1-Balanço Energético '!$B$24</f>
        <v>3634</v>
      </c>
      <c r="C30" s="98">
        <f>'[1]1-Balanço Energético '!$C$24</f>
        <v>3334.2875000000004</v>
      </c>
      <c r="D30" s="99">
        <f t="shared" ref="D30:D35" si="3">IF((OR(B30=0,AND(B30&lt;0,C30&gt;0),AND(B30&gt;0,C30&lt;0))),"n/m",((C30-B30)/B30)*100)</f>
        <v>-8.2474545954870564</v>
      </c>
      <c r="E30" s="379"/>
      <c r="F30" s="173" t="s">
        <v>29</v>
      </c>
      <c r="G30" s="174" t="s">
        <v>30</v>
      </c>
      <c r="H30" s="151">
        <f>'[1]8-Acomp. Hidrologia'!E28</f>
        <v>34.65</v>
      </c>
      <c r="I30" s="151">
        <f>'[1]8-Acomp. Hidrologia'!F28</f>
        <v>341</v>
      </c>
      <c r="J30" s="151">
        <f>'[1]8-Acomp. Hidrologia'!G28</f>
        <v>494</v>
      </c>
      <c r="K30" s="154">
        <f>I30-J30</f>
        <v>-153</v>
      </c>
      <c r="L30" s="151">
        <f>'[1]8-Acomp. Hidrologia'!H29</f>
        <v>0</v>
      </c>
      <c r="M30" s="379"/>
      <c r="N30" s="392" t="s">
        <v>135</v>
      </c>
      <c r="O30" s="12">
        <v>45.4</v>
      </c>
      <c r="P30" s="12">
        <v>58.49</v>
      </c>
      <c r="Q30" s="10"/>
      <c r="R30" s="10"/>
    </row>
    <row r="31" spans="1:18" s="1" customFormat="1" ht="12" customHeight="1" x14ac:dyDescent="0.2">
      <c r="A31" s="393" t="s">
        <v>144</v>
      </c>
      <c r="B31" s="106">
        <f>'[1]1-Balanço Energético '!$B$25</f>
        <v>0</v>
      </c>
      <c r="C31" s="89">
        <f>'[1]1-Balanço Energético '!$C$25</f>
        <v>0</v>
      </c>
      <c r="D31" s="90" t="str">
        <f t="shared" si="3"/>
        <v>n/m</v>
      </c>
      <c r="E31" s="379"/>
      <c r="F31" s="176"/>
      <c r="G31" s="177" t="s">
        <v>31</v>
      </c>
      <c r="H31" s="152">
        <f>'[1]8-Acomp. Hidrologia'!E29</f>
        <v>36.99</v>
      </c>
      <c r="I31" s="152">
        <f>'[1]8-Acomp. Hidrologia'!F29</f>
        <v>1320</v>
      </c>
      <c r="J31" s="152">
        <f>'[1]8-Acomp. Hidrologia'!G29</f>
        <v>2411</v>
      </c>
      <c r="K31" s="155">
        <f>I31-J31</f>
        <v>-1091</v>
      </c>
      <c r="L31" s="152">
        <f>'[1]8-Acomp. Hidrologia'!H30</f>
        <v>0</v>
      </c>
      <c r="M31" s="379"/>
      <c r="N31" s="392" t="s">
        <v>153</v>
      </c>
      <c r="O31" s="12">
        <v>37.1</v>
      </c>
      <c r="P31" s="12">
        <v>49.34</v>
      </c>
      <c r="Q31" s="10"/>
      <c r="R31" s="10"/>
    </row>
    <row r="32" spans="1:18" s="1" customFormat="1" ht="12" customHeight="1" thickBot="1" x14ac:dyDescent="0.25">
      <c r="A32" s="393" t="s">
        <v>146</v>
      </c>
      <c r="B32" s="106">
        <f>SUM(B30:B31)</f>
        <v>3634</v>
      </c>
      <c r="C32" s="110">
        <f>SUM(C30:C31)</f>
        <v>3334.2875000000004</v>
      </c>
      <c r="D32" s="90">
        <f t="shared" si="3"/>
        <v>-8.2474545954870564</v>
      </c>
      <c r="E32" s="379"/>
      <c r="F32" s="134"/>
      <c r="G32" s="175" t="s">
        <v>32</v>
      </c>
      <c r="H32" s="153">
        <f>'[1]8-Acomp. Hidrologia'!E30</f>
        <v>50.39</v>
      </c>
      <c r="I32" s="153">
        <f>'[1]8-Acomp. Hidrologia'!F30</f>
        <v>1663</v>
      </c>
      <c r="J32" s="153">
        <f>'[1]8-Acomp. Hidrologia'!G30</f>
        <v>2080</v>
      </c>
      <c r="K32" s="156">
        <f>I32-J32</f>
        <v>-417</v>
      </c>
      <c r="L32" s="153">
        <f>'[1]8-Acomp. Hidrologia'!H31</f>
        <v>0</v>
      </c>
      <c r="M32" s="379"/>
      <c r="N32" s="392" t="s">
        <v>154</v>
      </c>
      <c r="O32" s="12">
        <v>28.6</v>
      </c>
      <c r="P32" s="12">
        <v>40.42</v>
      </c>
      <c r="Q32" s="10"/>
      <c r="R32" s="10"/>
    </row>
    <row r="33" spans="1:18" s="1" customFormat="1" ht="12" customHeight="1" thickBot="1" x14ac:dyDescent="0.25">
      <c r="A33" s="94" t="s">
        <v>147</v>
      </c>
      <c r="B33" s="106">
        <f>'[1]1-Balanço Energético '!$B$27</f>
        <v>2570</v>
      </c>
      <c r="C33" s="89">
        <f>'[1]1-Balanço Energético '!$C$27</f>
        <v>2442.041666666667</v>
      </c>
      <c r="D33" s="90">
        <f t="shared" si="3"/>
        <v>-4.9789234760051757</v>
      </c>
      <c r="E33" s="379"/>
      <c r="F33" s="386" t="s">
        <v>158</v>
      </c>
      <c r="G33" s="398"/>
      <c r="H33" s="160"/>
      <c r="I33" s="161"/>
      <c r="J33" s="161"/>
      <c r="K33" s="162"/>
      <c r="L33" s="163"/>
      <c r="M33" s="379"/>
      <c r="N33" s="392" t="s">
        <v>155</v>
      </c>
      <c r="O33" s="12">
        <v>19.399999999999999</v>
      </c>
      <c r="P33" s="12">
        <v>29.45</v>
      </c>
      <c r="Q33" s="10"/>
      <c r="R33" s="10"/>
    </row>
    <row r="34" spans="1:18" s="1" customFormat="1" ht="12" customHeight="1" x14ac:dyDescent="0.2">
      <c r="A34" s="95" t="s">
        <v>220</v>
      </c>
      <c r="B34" s="106">
        <f>'[1]1-Balanço Energético '!$B$28</f>
        <v>575</v>
      </c>
      <c r="C34" s="89">
        <f>'[1]1-Balanço Energético '!$C$28</f>
        <v>465.96249999999998</v>
      </c>
      <c r="D34" s="90">
        <f t="shared" si="3"/>
        <v>-18.963043478260875</v>
      </c>
      <c r="E34" s="379"/>
      <c r="F34" s="173" t="s">
        <v>33</v>
      </c>
      <c r="G34" s="178" t="s">
        <v>34</v>
      </c>
      <c r="H34" s="164">
        <f>'[1]8-Acomp. Hidrologia'!E31</f>
        <v>35.51</v>
      </c>
      <c r="I34" s="164">
        <f>'[1]8-Acomp. Hidrologia'!F31</f>
        <v>1081</v>
      </c>
      <c r="J34" s="164">
        <f>'[1]8-Acomp. Hidrologia'!G31</f>
        <v>755</v>
      </c>
      <c r="K34" s="154">
        <f>I34-J34</f>
        <v>326</v>
      </c>
      <c r="L34" s="164">
        <f>'[1]8-Acomp. Hidrologia'!H33</f>
        <v>0</v>
      </c>
      <c r="M34" s="379"/>
      <c r="N34" s="392" t="s">
        <v>136</v>
      </c>
      <c r="O34" s="12">
        <v>17.399999999999999</v>
      </c>
      <c r="P34" s="12">
        <v>27.801934826883912</v>
      </c>
      <c r="Q34" s="10"/>
      <c r="R34" s="10"/>
    </row>
    <row r="35" spans="1:18" s="1" customFormat="1" ht="12" customHeight="1" thickBot="1" x14ac:dyDescent="0.25">
      <c r="A35" s="96" t="s">
        <v>221</v>
      </c>
      <c r="B35" s="108">
        <f>'[1]1-Balanço Energético '!$B$29</f>
        <v>458</v>
      </c>
      <c r="C35" s="92">
        <f>'[1]1-Balanço Energético '!$C$29</f>
        <v>426.2833333333333</v>
      </c>
      <c r="D35" s="93">
        <f t="shared" si="3"/>
        <v>-6.9250363901018988</v>
      </c>
      <c r="E35" s="379"/>
      <c r="F35" s="134"/>
      <c r="G35" s="175" t="s">
        <v>35</v>
      </c>
      <c r="H35" s="165">
        <f>'[1]8-Acomp. Hidrologia'!E32</f>
        <v>100.5</v>
      </c>
      <c r="I35" s="165">
        <f>'[1]8-Acomp. Hidrologia'!F32</f>
        <v>14494</v>
      </c>
      <c r="J35" s="165">
        <f>'[1]8-Acomp. Hidrologia'!G32</f>
        <v>14088</v>
      </c>
      <c r="K35" s="156">
        <f>I35-J35</f>
        <v>406</v>
      </c>
      <c r="L35" s="165">
        <f>'[1]8-Acomp. Hidrologia'!H34</f>
        <v>0</v>
      </c>
      <c r="M35" s="379"/>
      <c r="N35" s="395" t="s">
        <v>156</v>
      </c>
      <c r="O35" s="13">
        <v>25.9</v>
      </c>
      <c r="P35" s="13">
        <v>40.772064837705365</v>
      </c>
      <c r="Q35" s="335"/>
      <c r="R35" s="335"/>
    </row>
    <row r="36" spans="1:18" s="1" customFormat="1" ht="12" customHeight="1" thickBot="1" x14ac:dyDescent="0.25">
      <c r="A36" s="17"/>
      <c r="B36" s="86" t="str">
        <f>IF(ABS(B32-B33-B34-B35)&gt;1,"Check","")</f>
        <v>Check</v>
      </c>
      <c r="C36" s="86" t="str">
        <f>IF(ABS(C32-C33-C34-C35)&gt;1,"Check","")</f>
        <v/>
      </c>
      <c r="D36" s="18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</row>
    <row r="37" spans="1:18" s="1" customFormat="1" ht="12" customHeight="1" thickBot="1" x14ac:dyDescent="0.25">
      <c r="A37" s="362" t="s">
        <v>175</v>
      </c>
      <c r="B37" s="363"/>
      <c r="C37" s="363"/>
      <c r="D37" s="364"/>
      <c r="E37" s="379"/>
      <c r="F37" s="112" t="s">
        <v>230</v>
      </c>
      <c r="G37" s="399"/>
      <c r="H37" s="399"/>
      <c r="I37" s="399"/>
      <c r="J37" s="399"/>
      <c r="K37" s="400"/>
      <c r="L37" s="379"/>
      <c r="M37" s="112" t="s">
        <v>232</v>
      </c>
      <c r="N37" s="399"/>
      <c r="O37" s="399"/>
      <c r="P37" s="399"/>
      <c r="Q37" s="399"/>
      <c r="R37" s="400"/>
    </row>
    <row r="38" spans="1:18" s="1" customFormat="1" ht="12" customHeight="1" thickBot="1" x14ac:dyDescent="0.25">
      <c r="A38" s="87" t="s">
        <v>139</v>
      </c>
      <c r="B38" s="109" t="s">
        <v>176</v>
      </c>
      <c r="C38" s="101" t="s">
        <v>140</v>
      </c>
      <c r="D38" s="102" t="s">
        <v>141</v>
      </c>
      <c r="E38" s="379"/>
      <c r="F38" s="179"/>
      <c r="G38" s="388"/>
      <c r="H38" s="388"/>
      <c r="I38" s="388"/>
      <c r="J38" s="401"/>
      <c r="K38" s="389"/>
      <c r="L38" s="379"/>
      <c r="M38" s="402"/>
      <c r="N38" s="388"/>
      <c r="O38" s="388"/>
      <c r="P38" s="401"/>
      <c r="Q38" s="401"/>
      <c r="R38" s="8"/>
    </row>
    <row r="39" spans="1:18" s="1" customFormat="1" ht="12" customHeight="1" thickBot="1" x14ac:dyDescent="0.25">
      <c r="A39" s="396" t="s">
        <v>143</v>
      </c>
      <c r="B39" s="107">
        <f>'[1]1-Balanço Energético '!$G$24</f>
        <v>6027</v>
      </c>
      <c r="C39" s="98">
        <f>'[1]1-Balanço Energético '!$H$24</f>
        <v>6183.1083333333327</v>
      </c>
      <c r="D39" s="99">
        <f t="shared" ref="D39:D44" si="4">IF((OR(B39=0,AND(B39&lt;0,C39&gt;0),AND(B39&gt;0,C39&lt;0))),"n/m",((C39-B39)/B39)*100)</f>
        <v>2.5901498810906363</v>
      </c>
      <c r="E39" s="379"/>
      <c r="F39" s="470" t="s">
        <v>164</v>
      </c>
      <c r="G39" s="471"/>
      <c r="H39" s="471"/>
      <c r="I39" s="472"/>
      <c r="J39" s="470" t="s">
        <v>280</v>
      </c>
      <c r="K39" s="472"/>
      <c r="L39" s="379"/>
      <c r="M39" s="470" t="s">
        <v>162</v>
      </c>
      <c r="N39" s="471"/>
      <c r="O39" s="471"/>
      <c r="P39" s="472"/>
      <c r="Q39" s="470" t="s">
        <v>280</v>
      </c>
      <c r="R39" s="472"/>
    </row>
    <row r="40" spans="1:18" s="1" customFormat="1" ht="12" customHeight="1" thickBot="1" x14ac:dyDescent="0.25">
      <c r="A40" s="393" t="s">
        <v>144</v>
      </c>
      <c r="B40" s="106">
        <f>'[1]1-Balanço Energético '!$G$25</f>
        <v>40</v>
      </c>
      <c r="C40" s="89">
        <f>'[1]1-Balanço Energético '!$H$25</f>
        <v>36</v>
      </c>
      <c r="D40" s="90">
        <f t="shared" si="4"/>
        <v>-10</v>
      </c>
      <c r="E40" s="379"/>
      <c r="F40" s="390" t="s">
        <v>149</v>
      </c>
      <c r="G40" s="180">
        <v>1999</v>
      </c>
      <c r="H40" s="180">
        <v>2000</v>
      </c>
      <c r="I40" s="181" t="s">
        <v>279</v>
      </c>
      <c r="J40" s="422" t="s">
        <v>281</v>
      </c>
      <c r="K40" s="181" t="s">
        <v>282</v>
      </c>
      <c r="L40" s="379"/>
      <c r="M40" s="390" t="s">
        <v>149</v>
      </c>
      <c r="N40" s="180">
        <v>1999</v>
      </c>
      <c r="O40" s="180">
        <v>2000</v>
      </c>
      <c r="P40" s="181" t="s">
        <v>279</v>
      </c>
      <c r="Q40" s="422" t="s">
        <v>281</v>
      </c>
      <c r="R40" s="181" t="s">
        <v>282</v>
      </c>
    </row>
    <row r="41" spans="1:18" s="1" customFormat="1" ht="12" customHeight="1" x14ac:dyDescent="0.2">
      <c r="A41" s="393" t="s">
        <v>146</v>
      </c>
      <c r="B41" s="106">
        <f>SUM(B39:B40)</f>
        <v>6067</v>
      </c>
      <c r="C41" s="89">
        <f>SUM(C39:C40)</f>
        <v>6219.1083333333327</v>
      </c>
      <c r="D41" s="90">
        <f t="shared" si="4"/>
        <v>2.5071424646997307</v>
      </c>
      <c r="E41" s="379"/>
      <c r="F41" s="392" t="s">
        <v>132</v>
      </c>
      <c r="G41" s="9">
        <v>27057.599999999999</v>
      </c>
      <c r="H41" s="9">
        <v>27687</v>
      </c>
      <c r="I41" s="440">
        <v>28958.029960000003</v>
      </c>
      <c r="J41" s="423">
        <f>(H41-G41)/G41</f>
        <v>2.326148660635095E-2</v>
      </c>
      <c r="K41" s="10">
        <f>(I41-H41)/H41</f>
        <v>4.5907102972514303E-2</v>
      </c>
      <c r="L41" s="379"/>
      <c r="M41" s="392" t="s">
        <v>132</v>
      </c>
      <c r="N41" s="9">
        <v>28284.5</v>
      </c>
      <c r="O41" s="9">
        <v>29600</v>
      </c>
      <c r="P41" s="440">
        <v>31585.749235970859</v>
      </c>
      <c r="Q41" s="423">
        <f>(O41-N41)/N41</f>
        <v>4.6509572380632504E-2</v>
      </c>
      <c r="R41" s="10">
        <f>(P41-O41)/O41</f>
        <v>6.7086122836853362E-2</v>
      </c>
    </row>
    <row r="42" spans="1:18" s="1" customFormat="1" ht="12" customHeight="1" x14ac:dyDescent="0.2">
      <c r="A42" s="94" t="s">
        <v>147</v>
      </c>
      <c r="B42" s="106">
        <f>'[1]1-Balanço Energético '!$G$27</f>
        <v>6642</v>
      </c>
      <c r="C42" s="89">
        <f>'[1]1-Balanço Energético '!$H$27</f>
        <v>6685.0708333333341</v>
      </c>
      <c r="D42" s="90">
        <f t="shared" si="4"/>
        <v>0.64846180869217285</v>
      </c>
      <c r="E42" s="379"/>
      <c r="F42" s="392" t="s">
        <v>150</v>
      </c>
      <c r="G42" s="9">
        <v>25137</v>
      </c>
      <c r="H42" s="9">
        <v>26907</v>
      </c>
      <c r="I42" s="440">
        <v>26950.175791666668</v>
      </c>
      <c r="J42" s="423">
        <f t="shared" ref="J42:J52" si="5">(H42-G42)/G42</f>
        <v>7.0414130564506502E-2</v>
      </c>
      <c r="K42" s="10">
        <f>(I42-H42)/H42</f>
        <v>1.6046304555196928E-3</v>
      </c>
      <c r="L42" s="379"/>
      <c r="M42" s="392" t="s">
        <v>150</v>
      </c>
      <c r="N42" s="9">
        <v>26344</v>
      </c>
      <c r="O42" s="9">
        <v>28701.18746666667</v>
      </c>
      <c r="P42" s="440">
        <v>29443.145399999994</v>
      </c>
      <c r="Q42" s="423">
        <f t="shared" ref="Q42:Q52" si="6">(O42-N42)/N42</f>
        <v>8.9477204170462718E-2</v>
      </c>
      <c r="R42" s="10">
        <f>(P42-O42)/O42</f>
        <v>2.5851123205094844E-2</v>
      </c>
    </row>
    <row r="43" spans="1:18" s="1" customFormat="1" ht="12" customHeight="1" x14ac:dyDescent="0.2">
      <c r="A43" s="95" t="s">
        <v>222</v>
      </c>
      <c r="B43" s="106">
        <f>'[1]1-Balanço Energético '!$G$28</f>
        <v>-575</v>
      </c>
      <c r="C43" s="89">
        <f>'[1]1-Balanço Energético '!$H$28</f>
        <v>-465.96249999999998</v>
      </c>
      <c r="D43" s="90">
        <f t="shared" si="4"/>
        <v>-18.963043478260875</v>
      </c>
      <c r="E43" s="379"/>
      <c r="F43" s="392" t="s">
        <v>133</v>
      </c>
      <c r="G43" s="9">
        <v>28507</v>
      </c>
      <c r="H43" s="9">
        <v>28799</v>
      </c>
      <c r="I43" s="10"/>
      <c r="J43" s="423">
        <f t="shared" si="5"/>
        <v>1.0243098186410355E-2</v>
      </c>
      <c r="K43" s="10"/>
      <c r="L43" s="379"/>
      <c r="M43" s="392" t="s">
        <v>133</v>
      </c>
      <c r="N43" s="9">
        <v>29826</v>
      </c>
      <c r="O43" s="9">
        <v>30509.932557</v>
      </c>
      <c r="P43" s="10"/>
      <c r="Q43" s="423">
        <f t="shared" si="6"/>
        <v>2.2930750251458461E-2</v>
      </c>
      <c r="R43" s="10"/>
    </row>
    <row r="44" spans="1:18" s="1" customFormat="1" ht="12" customHeight="1" thickBot="1" x14ac:dyDescent="0.25">
      <c r="A44" s="96" t="s">
        <v>223</v>
      </c>
      <c r="B44" s="108">
        <f>'[1]1-Balanço Energético '!$G$29</f>
        <v>0</v>
      </c>
      <c r="C44" s="92">
        <f>'[1]1-Balanço Energético '!$H$29</f>
        <v>-1.4210854715202004E-12</v>
      </c>
      <c r="D44" s="93" t="str">
        <f t="shared" si="4"/>
        <v>n/m</v>
      </c>
      <c r="E44" s="379"/>
      <c r="F44" s="392" t="s">
        <v>151</v>
      </c>
      <c r="G44" s="9">
        <v>26917</v>
      </c>
      <c r="H44" s="9">
        <v>27799</v>
      </c>
      <c r="I44" s="10"/>
      <c r="J44" s="423">
        <f t="shared" si="5"/>
        <v>3.2767396069398519E-2</v>
      </c>
      <c r="K44" s="10"/>
      <c r="L44" s="379"/>
      <c r="M44" s="392" t="s">
        <v>151</v>
      </c>
      <c r="N44" s="9">
        <v>28156</v>
      </c>
      <c r="O44" s="9">
        <v>27799</v>
      </c>
      <c r="P44" s="10"/>
      <c r="Q44" s="423">
        <f t="shared" si="6"/>
        <v>-1.2679357863332861E-2</v>
      </c>
      <c r="R44" s="10"/>
    </row>
    <row r="45" spans="1:18" s="1" customFormat="1" ht="12" customHeight="1" thickBot="1" x14ac:dyDescent="0.25">
      <c r="A45" s="103"/>
      <c r="B45" s="9" t="str">
        <f>IF(ABS(-B41+B42+B43+B44)&gt;1,"Check","")</f>
        <v/>
      </c>
      <c r="C45" s="9" t="str">
        <f>IF(ABS(-C41+C42+C43+C44)&gt;1,"Check","")</f>
        <v/>
      </c>
      <c r="D45" s="18"/>
      <c r="E45" s="379"/>
      <c r="F45" s="392" t="s">
        <v>152</v>
      </c>
      <c r="G45" s="9">
        <v>27147</v>
      </c>
      <c r="H45" s="9">
        <v>28801</v>
      </c>
      <c r="I45" s="10"/>
      <c r="J45" s="423">
        <f t="shared" si="5"/>
        <v>6.0927542638228901E-2</v>
      </c>
      <c r="K45" s="10"/>
      <c r="L45" s="379"/>
      <c r="M45" s="392" t="s">
        <v>152</v>
      </c>
      <c r="N45" s="9">
        <v>28528.245000000003</v>
      </c>
      <c r="O45" s="9">
        <v>30294.686699999998</v>
      </c>
      <c r="P45" s="10"/>
      <c r="Q45" s="423">
        <f t="shared" si="6"/>
        <v>6.1919045493334608E-2</v>
      </c>
      <c r="R45" s="10"/>
    </row>
    <row r="46" spans="1:18" s="1" customFormat="1" ht="12" customHeight="1" thickBot="1" x14ac:dyDescent="0.25">
      <c r="A46" s="402"/>
      <c r="B46" s="87" t="s">
        <v>140</v>
      </c>
      <c r="C46" s="388"/>
      <c r="D46" s="389"/>
      <c r="E46" s="379"/>
      <c r="F46" s="392" t="s">
        <v>134</v>
      </c>
      <c r="G46" s="9">
        <v>26576</v>
      </c>
      <c r="H46" s="9">
        <v>27362</v>
      </c>
      <c r="I46" s="10"/>
      <c r="J46" s="423">
        <f t="shared" si="5"/>
        <v>2.9575556893437688E-2</v>
      </c>
      <c r="K46" s="10"/>
      <c r="L46" s="379"/>
      <c r="M46" s="392" t="s">
        <v>134</v>
      </c>
      <c r="N46" s="9">
        <v>27875.034199999998</v>
      </c>
      <c r="O46" s="9">
        <v>29204.740650000003</v>
      </c>
      <c r="P46" s="10"/>
      <c r="Q46" s="423">
        <f t="shared" si="6"/>
        <v>4.7702415016230015E-2</v>
      </c>
      <c r="R46" s="10"/>
    </row>
    <row r="47" spans="1:18" s="1" customFormat="1" ht="12" customHeight="1" x14ac:dyDescent="0.2">
      <c r="A47" s="403" t="s">
        <v>0</v>
      </c>
      <c r="B47" s="404">
        <f>'[1]1-Balanço Energético '!$G$18</f>
        <v>5726.2250000000013</v>
      </c>
      <c r="C47" s="388"/>
      <c r="D47" s="405" t="str">
        <f>IF(ABS(B47-Page2!G68&gt;1),"Check","")</f>
        <v/>
      </c>
      <c r="E47" s="379"/>
      <c r="F47" s="392" t="s">
        <v>135</v>
      </c>
      <c r="G47" s="9">
        <v>27818</v>
      </c>
      <c r="H47" s="9">
        <v>27666</v>
      </c>
      <c r="I47" s="10"/>
      <c r="J47" s="423">
        <f t="shared" si="5"/>
        <v>-5.4640880005751673E-3</v>
      </c>
      <c r="K47" s="10"/>
      <c r="L47" s="379"/>
      <c r="M47" s="392" t="s">
        <v>135</v>
      </c>
      <c r="N47" s="9">
        <v>28840</v>
      </c>
      <c r="O47" s="9">
        <v>29739</v>
      </c>
      <c r="P47" s="10"/>
      <c r="Q47" s="423">
        <f t="shared" si="6"/>
        <v>3.1171983356449377E-2</v>
      </c>
      <c r="R47" s="10"/>
    </row>
    <row r="48" spans="1:18" s="1" customFormat="1" ht="12" customHeight="1" x14ac:dyDescent="0.2">
      <c r="A48" s="406" t="s">
        <v>1</v>
      </c>
      <c r="B48" s="407">
        <f>'[1]1-Balanço Energético '!$G$19</f>
        <v>3997.6708333333336</v>
      </c>
      <c r="C48" s="104" t="str">
        <f>IF(B47+B48-C13&gt;1,"Check","")</f>
        <v/>
      </c>
      <c r="D48" s="405" t="str">
        <f>IF(ABS(B48-Page2!G69&gt;1),"Check","")</f>
        <v/>
      </c>
      <c r="E48" s="379"/>
      <c r="F48" s="392" t="s">
        <v>153</v>
      </c>
      <c r="G48" s="9">
        <v>27884</v>
      </c>
      <c r="H48" s="9">
        <v>27797.48</v>
      </c>
      <c r="I48" s="10"/>
      <c r="J48" s="423">
        <f t="shared" si="5"/>
        <v>-3.1028546836895867E-3</v>
      </c>
      <c r="K48" s="10"/>
      <c r="L48" s="379"/>
      <c r="M48" s="392" t="s">
        <v>153</v>
      </c>
      <c r="N48" s="9">
        <v>29228.860949999995</v>
      </c>
      <c r="O48" s="9">
        <v>30567.1849</v>
      </c>
      <c r="P48" s="10"/>
      <c r="Q48" s="423">
        <f t="shared" si="6"/>
        <v>4.5787755885848352E-2</v>
      </c>
      <c r="R48" s="10"/>
    </row>
    <row r="49" spans="1:19" s="1" customFormat="1" ht="12" customHeight="1" thickBot="1" x14ac:dyDescent="0.25">
      <c r="A49" s="111" t="s">
        <v>216</v>
      </c>
      <c r="B49" s="408">
        <f>'[1]1-Balanço Energético '!$G$20</f>
        <v>-673.72500000000002</v>
      </c>
      <c r="C49" s="105" t="str">
        <f>IF(B49-C15&gt;1,"Check","")</f>
        <v/>
      </c>
      <c r="D49" s="409"/>
      <c r="E49" s="379"/>
      <c r="F49" s="392" t="s">
        <v>154</v>
      </c>
      <c r="G49" s="9">
        <v>27287</v>
      </c>
      <c r="H49" s="9">
        <v>27472</v>
      </c>
      <c r="I49" s="10"/>
      <c r="J49" s="423">
        <f t="shared" si="5"/>
        <v>6.7797852457214059E-3</v>
      </c>
      <c r="K49" s="10"/>
      <c r="L49" s="379"/>
      <c r="M49" s="392" t="s">
        <v>154</v>
      </c>
      <c r="N49" s="9">
        <v>28692.313950000003</v>
      </c>
      <c r="O49" s="9">
        <v>29592.639219999997</v>
      </c>
      <c r="P49" s="10"/>
      <c r="Q49" s="423">
        <f t="shared" si="6"/>
        <v>3.1378621869568447E-2</v>
      </c>
      <c r="R49" s="10"/>
    </row>
    <row r="50" spans="1:19" s="1" customFormat="1" ht="12" customHeight="1" x14ac:dyDescent="0.2">
      <c r="A50" s="410" t="s">
        <v>253</v>
      </c>
      <c r="B50" s="388"/>
      <c r="C50" s="388"/>
      <c r="D50" s="388"/>
      <c r="E50" s="379"/>
      <c r="F50" s="392" t="s">
        <v>155</v>
      </c>
      <c r="G50" s="9">
        <v>27759</v>
      </c>
      <c r="H50" s="9">
        <v>30031</v>
      </c>
      <c r="I50" s="10"/>
      <c r="J50" s="423">
        <f t="shared" si="5"/>
        <v>8.1847328794264929E-2</v>
      </c>
      <c r="K50" s="10"/>
      <c r="L50" s="379"/>
      <c r="M50" s="392" t="s">
        <v>155</v>
      </c>
      <c r="N50" s="9">
        <v>29280.686549999999</v>
      </c>
      <c r="O50" s="9">
        <v>31630</v>
      </c>
      <c r="P50" s="10"/>
      <c r="Q50" s="423">
        <f t="shared" si="6"/>
        <v>8.0234233783702091E-2</v>
      </c>
      <c r="R50" s="10"/>
    </row>
    <row r="51" spans="1:19" s="1" customFormat="1" ht="12" customHeight="1" thickBot="1" x14ac:dyDescent="0.25">
      <c r="A51" s="388"/>
      <c r="B51" s="388"/>
      <c r="C51" s="388"/>
      <c r="D51" s="388"/>
      <c r="E51" s="379"/>
      <c r="F51" s="392" t="s">
        <v>136</v>
      </c>
      <c r="G51" s="9">
        <v>26734</v>
      </c>
      <c r="H51" s="9">
        <v>27567</v>
      </c>
      <c r="I51" s="10"/>
      <c r="J51" s="423">
        <f t="shared" si="5"/>
        <v>3.115882396947707E-2</v>
      </c>
      <c r="K51" s="10"/>
      <c r="L51" s="379"/>
      <c r="M51" s="392" t="s">
        <v>136</v>
      </c>
      <c r="N51" s="9">
        <v>28449.433249999995</v>
      </c>
      <c r="O51" s="9">
        <v>30100.882923333334</v>
      </c>
      <c r="P51" s="10"/>
      <c r="Q51" s="423">
        <f t="shared" si="6"/>
        <v>5.8048596568556959E-2</v>
      </c>
      <c r="R51" s="10"/>
    </row>
    <row r="52" spans="1:19" s="1" customFormat="1" ht="12" customHeight="1" thickBot="1" x14ac:dyDescent="0.25">
      <c r="A52" s="113" t="s">
        <v>266</v>
      </c>
      <c r="B52" s="373"/>
      <c r="C52" s="373"/>
      <c r="D52" s="374"/>
      <c r="E52" s="379"/>
      <c r="F52" s="395" t="s">
        <v>156</v>
      </c>
      <c r="G52" s="14">
        <v>27700.646999999997</v>
      </c>
      <c r="H52" s="14">
        <v>27569.848678666665</v>
      </c>
      <c r="I52" s="335"/>
      <c r="J52" s="424">
        <f t="shared" si="5"/>
        <v>-4.7218507688044919E-3</v>
      </c>
      <c r="K52" s="335"/>
      <c r="L52" s="379"/>
      <c r="M52" s="395" t="s">
        <v>156</v>
      </c>
      <c r="N52" s="14">
        <v>29613.173300000002</v>
      </c>
      <c r="O52" s="14">
        <v>30892.091653213913</v>
      </c>
      <c r="P52" s="10"/>
      <c r="Q52" s="424">
        <f t="shared" si="6"/>
        <v>4.3187480796389704E-2</v>
      </c>
      <c r="R52" s="335"/>
    </row>
    <row r="53" spans="1:19" s="1" customFormat="1" ht="12.75" customHeight="1" thickBot="1" x14ac:dyDescent="0.25">
      <c r="A53" s="126" t="s">
        <v>169</v>
      </c>
      <c r="B53" s="131" t="s">
        <v>170</v>
      </c>
      <c r="C53" s="132" t="s">
        <v>171</v>
      </c>
      <c r="D53" s="133" t="s">
        <v>172</v>
      </c>
      <c r="E53" s="379"/>
      <c r="F53" s="431"/>
      <c r="G53" s="425"/>
      <c r="H53" s="425"/>
      <c r="I53" s="425"/>
      <c r="J53" s="425"/>
      <c r="K53" s="432"/>
      <c r="L53" s="379"/>
      <c r="M53" s="390" t="s">
        <v>181</v>
      </c>
      <c r="N53" s="338">
        <f>SUM(N41:N52)</f>
        <v>343118.24720000004</v>
      </c>
      <c r="O53" s="338">
        <f>SUM(O41:O52)</f>
        <v>358631.34607021388</v>
      </c>
      <c r="P53" s="338"/>
      <c r="Q53" s="441">
        <f>O53/N53-1</f>
        <v>4.5212106895531567E-2</v>
      </c>
      <c r="R53" s="411"/>
    </row>
    <row r="54" spans="1:19" s="1" customFormat="1" ht="12" customHeight="1" thickBot="1" x14ac:dyDescent="0.25">
      <c r="A54" s="127" t="s">
        <v>129</v>
      </c>
      <c r="B54" s="116">
        <f>'[1]4-Disponibilidade'!F43</f>
        <v>8776</v>
      </c>
      <c r="C54" s="117">
        <f>'[1]4-Disponibilidade'!G43</f>
        <v>1498</v>
      </c>
      <c r="D54" s="118">
        <f t="shared" ref="D54:D59" si="7">SUM(B54:C54)</f>
        <v>10274</v>
      </c>
      <c r="E54" s="379"/>
      <c r="F54" s="39"/>
      <c r="G54" s="7"/>
      <c r="H54" s="7"/>
      <c r="I54" s="7"/>
      <c r="J54" s="7"/>
      <c r="K54" s="8"/>
      <c r="L54" s="379"/>
      <c r="R54" s="379"/>
    </row>
    <row r="55" spans="1:19" s="1" customFormat="1" ht="12" customHeight="1" thickBot="1" x14ac:dyDescent="0.25">
      <c r="A55" s="128" t="s">
        <v>224</v>
      </c>
      <c r="B55" s="119">
        <f>'[1]4-Disponibilidade'!F44</f>
        <v>34962</v>
      </c>
      <c r="C55" s="120">
        <f>'[1]4-Disponibilidade'!G44</f>
        <v>2598</v>
      </c>
      <c r="D55" s="121">
        <f t="shared" si="7"/>
        <v>37560</v>
      </c>
      <c r="E55" s="379"/>
      <c r="F55" s="470" t="s">
        <v>163</v>
      </c>
      <c r="G55" s="471"/>
      <c r="H55" s="471"/>
      <c r="I55" s="472"/>
      <c r="J55" s="470" t="s">
        <v>280</v>
      </c>
      <c r="K55" s="472"/>
      <c r="L55" s="379"/>
      <c r="M55" s="112" t="s">
        <v>308</v>
      </c>
      <c r="N55" s="399"/>
      <c r="O55" s="399"/>
      <c r="P55" s="399"/>
      <c r="Q55" s="399"/>
      <c r="R55" s="400"/>
    </row>
    <row r="56" spans="1:19" s="1" customFormat="1" ht="13.5" customHeight="1" thickBot="1" x14ac:dyDescent="0.25">
      <c r="A56" s="128" t="s">
        <v>225</v>
      </c>
      <c r="B56" s="119">
        <f>SUM(B54:B55)</f>
        <v>43738</v>
      </c>
      <c r="C56" s="120">
        <f>SUM(C54:C55)</f>
        <v>4096</v>
      </c>
      <c r="D56" s="121">
        <f t="shared" si="7"/>
        <v>47834</v>
      </c>
      <c r="E56" s="379"/>
      <c r="F56" s="390" t="s">
        <v>149</v>
      </c>
      <c r="G56" s="180">
        <v>1999</v>
      </c>
      <c r="H56" s="180">
        <v>2000</v>
      </c>
      <c r="I56" s="181" t="s">
        <v>279</v>
      </c>
      <c r="J56" s="422" t="s">
        <v>281</v>
      </c>
      <c r="K56" s="181" t="s">
        <v>282</v>
      </c>
      <c r="L56" s="379"/>
      <c r="M56" s="458"/>
      <c r="N56" s="7"/>
      <c r="O56" s="7"/>
      <c r="P56" s="7"/>
      <c r="Q56" s="7"/>
      <c r="R56" s="8"/>
    </row>
    <row r="57" spans="1:19" s="1" customFormat="1" ht="13.5" customHeight="1" x14ac:dyDescent="0.2">
      <c r="A57" s="129" t="s">
        <v>130</v>
      </c>
      <c r="B57" s="119">
        <f>'[1]4-Disponibilidade'!F46</f>
        <v>3850</v>
      </c>
      <c r="C57" s="122" t="str">
        <f>'[1]4-Disponibilidade'!G46</f>
        <v>-</v>
      </c>
      <c r="D57" s="121">
        <f t="shared" si="7"/>
        <v>3850</v>
      </c>
      <c r="E57" s="379"/>
      <c r="F57" s="392" t="s">
        <v>132</v>
      </c>
      <c r="G57" s="9">
        <v>1226.9000000000001</v>
      </c>
      <c r="H57" s="9">
        <v>1871</v>
      </c>
      <c r="I57" s="9">
        <v>2415.2691</v>
      </c>
      <c r="J57" s="423">
        <f>(H57-G57)/G57</f>
        <v>0.52498166109707378</v>
      </c>
      <c r="K57" s="10">
        <f>(I57-H57)/H57</f>
        <v>0.29089743452699091</v>
      </c>
      <c r="L57" s="379"/>
      <c r="M57" s="444" t="s">
        <v>297</v>
      </c>
      <c r="N57" s="445"/>
      <c r="O57" s="445"/>
      <c r="P57" s="445"/>
      <c r="Q57" s="445"/>
      <c r="R57" s="446"/>
      <c r="S57" s="44"/>
    </row>
    <row r="58" spans="1:19" s="1" customFormat="1" ht="13.5" customHeight="1" x14ac:dyDescent="0.2">
      <c r="A58" s="129" t="s">
        <v>131</v>
      </c>
      <c r="B58" s="119">
        <f>'[1]4-Disponibilidade'!F47</f>
        <v>8737</v>
      </c>
      <c r="C58" s="122">
        <f>'[1]4-Disponibilidade'!G47</f>
        <v>40</v>
      </c>
      <c r="D58" s="121">
        <f t="shared" si="7"/>
        <v>8777</v>
      </c>
      <c r="E58" s="379"/>
      <c r="F58" s="392" t="s">
        <v>150</v>
      </c>
      <c r="G58" s="9">
        <v>1207</v>
      </c>
      <c r="H58" s="9">
        <v>1775</v>
      </c>
      <c r="I58" s="9">
        <v>2458.4604416666671</v>
      </c>
      <c r="J58" s="423">
        <f t="shared" ref="J58:J68" si="8">(H58-G58)/G58</f>
        <v>0.47058823529411764</v>
      </c>
      <c r="K58" s="10">
        <f>(I58-H58)/H58</f>
        <v>0.38504813615023498</v>
      </c>
      <c r="L58" s="379"/>
      <c r="M58" s="6"/>
      <c r="N58" s="79" t="s">
        <v>306</v>
      </c>
      <c r="O58" s="79" t="s">
        <v>307</v>
      </c>
      <c r="P58" s="79" t="s">
        <v>310</v>
      </c>
      <c r="Q58" s="79"/>
      <c r="R58" s="438"/>
      <c r="S58" s="44"/>
    </row>
    <row r="59" spans="1:19" s="1" customFormat="1" ht="11.25" x14ac:dyDescent="0.2">
      <c r="A59" s="129" t="s">
        <v>226</v>
      </c>
      <c r="B59" s="119">
        <f>SUM(B57:B58)</f>
        <v>12587</v>
      </c>
      <c r="C59" s="122">
        <f>SUM(C57:C58)</f>
        <v>40</v>
      </c>
      <c r="D59" s="121">
        <f t="shared" si="7"/>
        <v>12627</v>
      </c>
      <c r="E59" s="379"/>
      <c r="F59" s="392" t="s">
        <v>133</v>
      </c>
      <c r="G59" s="9">
        <v>1319</v>
      </c>
      <c r="H59" s="9">
        <v>1681</v>
      </c>
      <c r="I59" s="10"/>
      <c r="J59" s="423">
        <f t="shared" si="8"/>
        <v>0.27445034116755118</v>
      </c>
      <c r="K59" s="10"/>
      <c r="L59" s="379"/>
      <c r="M59" s="386" t="s">
        <v>137</v>
      </c>
      <c r="N59" s="453">
        <v>86</v>
      </c>
      <c r="O59" s="453">
        <v>71</v>
      </c>
      <c r="P59" s="453">
        <v>63</v>
      </c>
      <c r="Q59" s="453"/>
      <c r="R59" s="10"/>
      <c r="S59" s="44"/>
    </row>
    <row r="60" spans="1:19" s="1" customFormat="1" ht="12" thickBot="1" x14ac:dyDescent="0.25">
      <c r="A60" s="130" t="s">
        <v>172</v>
      </c>
      <c r="B60" s="123">
        <f>B56+B59</f>
        <v>56325</v>
      </c>
      <c r="C60" s="124">
        <f>C56+C59</f>
        <v>4136</v>
      </c>
      <c r="D60" s="125">
        <f>SUM(B60:C60)</f>
        <v>60461</v>
      </c>
      <c r="E60" s="379"/>
      <c r="F60" s="392" t="s">
        <v>151</v>
      </c>
      <c r="G60" s="9">
        <v>1239</v>
      </c>
      <c r="H60" s="9">
        <v>1415</v>
      </c>
      <c r="I60" s="10"/>
      <c r="J60" s="423">
        <f t="shared" si="8"/>
        <v>0.14205004035512511</v>
      </c>
      <c r="K60" s="10"/>
      <c r="L60" s="379"/>
      <c r="M60" s="386" t="s">
        <v>138</v>
      </c>
      <c r="N60" s="453">
        <v>166</v>
      </c>
      <c r="O60" s="453">
        <v>184</v>
      </c>
      <c r="P60" s="453">
        <v>168</v>
      </c>
      <c r="Q60" s="453"/>
      <c r="R60" s="10"/>
      <c r="S60" s="44"/>
    </row>
    <row r="61" spans="1:19" s="1" customFormat="1" ht="11.25" x14ac:dyDescent="0.2">
      <c r="A61" s="379"/>
      <c r="B61" s="85" t="str">
        <f>IF(B60-Page2!E108&gt;1,"Check","")</f>
        <v/>
      </c>
      <c r="C61" s="85" t="str">
        <f>IF(C60-Page2!P24&gt;1,"Check","")</f>
        <v/>
      </c>
      <c r="D61" s="379"/>
      <c r="E61" s="379"/>
      <c r="F61" s="392" t="s">
        <v>152</v>
      </c>
      <c r="G61" s="9">
        <v>1340</v>
      </c>
      <c r="H61" s="9">
        <v>1335</v>
      </c>
      <c r="I61" s="10"/>
      <c r="J61" s="423">
        <f t="shared" si="8"/>
        <v>-3.7313432835820895E-3</v>
      </c>
      <c r="K61" s="10"/>
      <c r="L61" s="379"/>
      <c r="M61" s="386" t="s">
        <v>142</v>
      </c>
      <c r="N61" s="453">
        <v>42</v>
      </c>
      <c r="O61" s="453">
        <v>38</v>
      </c>
      <c r="P61" s="453">
        <v>34</v>
      </c>
      <c r="Q61" s="453"/>
      <c r="R61" s="10"/>
      <c r="S61" s="44"/>
    </row>
    <row r="62" spans="1:19" s="1" customFormat="1" ht="12" thickBot="1" x14ac:dyDescent="0.25">
      <c r="A62" s="379"/>
      <c r="B62" s="379"/>
      <c r="C62" s="379"/>
      <c r="D62" s="379"/>
      <c r="E62" s="379"/>
      <c r="F62" s="392" t="s">
        <v>134</v>
      </c>
      <c r="G62" s="9">
        <v>1272</v>
      </c>
      <c r="H62" s="9">
        <v>1413</v>
      </c>
      <c r="I62" s="10"/>
      <c r="J62" s="423">
        <f t="shared" si="8"/>
        <v>0.11084905660377359</v>
      </c>
      <c r="K62" s="10"/>
      <c r="L62" s="379"/>
      <c r="M62" s="437" t="s">
        <v>208</v>
      </c>
      <c r="N62" s="454">
        <v>85</v>
      </c>
      <c r="O62" s="454">
        <v>74</v>
      </c>
      <c r="P62" s="454">
        <v>72</v>
      </c>
      <c r="Q62" s="454"/>
      <c r="R62" s="335"/>
      <c r="S62" s="44"/>
    </row>
    <row r="63" spans="1:19" s="1" customFormat="1" ht="13.5" thickBot="1" x14ac:dyDescent="0.25">
      <c r="A63" s="141" t="s">
        <v>272</v>
      </c>
      <c r="B63" s="412"/>
      <c r="C63" s="412"/>
      <c r="D63" s="413"/>
      <c r="E63" s="379"/>
      <c r="F63" s="392" t="s">
        <v>135</v>
      </c>
      <c r="G63" s="9">
        <v>988</v>
      </c>
      <c r="H63" s="9">
        <v>1351</v>
      </c>
      <c r="I63" s="10"/>
      <c r="J63" s="423">
        <f t="shared" si="8"/>
        <v>0.36740890688259109</v>
      </c>
      <c r="K63" s="10"/>
      <c r="L63" s="379"/>
      <c r="M63" s="444" t="s">
        <v>301</v>
      </c>
      <c r="N63" s="447"/>
      <c r="O63" s="447"/>
      <c r="P63" s="448"/>
      <c r="Q63" s="448"/>
      <c r="R63" s="449"/>
      <c r="S63" s="44"/>
    </row>
    <row r="64" spans="1:19" s="1" customFormat="1" ht="11.25" x14ac:dyDescent="0.2">
      <c r="A64" s="392" t="s">
        <v>227</v>
      </c>
      <c r="B64" s="135">
        <f>-'[1]9-Energético'!$H$58/24*1000</f>
        <v>45.212499999999999</v>
      </c>
      <c r="C64" s="45"/>
      <c r="D64" s="46"/>
      <c r="E64" s="379"/>
      <c r="F64" s="392" t="s">
        <v>153</v>
      </c>
      <c r="G64" s="9">
        <v>1315</v>
      </c>
      <c r="H64" s="9">
        <v>1982.83</v>
      </c>
      <c r="I64" s="10"/>
      <c r="J64" s="423">
        <f t="shared" si="8"/>
        <v>0.50785551330798473</v>
      </c>
      <c r="K64" s="10"/>
      <c r="L64" s="379"/>
      <c r="M64" s="6"/>
      <c r="N64" s="79" t="s">
        <v>306</v>
      </c>
      <c r="O64" s="79" t="s">
        <v>307</v>
      </c>
      <c r="P64" s="79" t="s">
        <v>310</v>
      </c>
      <c r="Q64" s="79"/>
      <c r="R64" s="10"/>
      <c r="S64" s="44"/>
    </row>
    <row r="65" spans="1:19" s="1" customFormat="1" ht="11.25" x14ac:dyDescent="0.2">
      <c r="A65" s="392" t="s">
        <v>228</v>
      </c>
      <c r="B65" s="135">
        <f>-'[1]9-Energético'!$H$59/24*1000</f>
        <v>0</v>
      </c>
      <c r="C65" s="45"/>
      <c r="D65" s="46"/>
      <c r="E65" s="379"/>
      <c r="F65" s="392" t="s">
        <v>154</v>
      </c>
      <c r="G65" s="9">
        <v>1378</v>
      </c>
      <c r="H65" s="9">
        <v>1178</v>
      </c>
      <c r="I65" s="10"/>
      <c r="J65" s="423">
        <f t="shared" si="8"/>
        <v>-0.14513788098693758</v>
      </c>
      <c r="K65" s="10"/>
      <c r="L65" s="379"/>
      <c r="M65" s="386" t="s">
        <v>137</v>
      </c>
      <c r="N65" s="457">
        <v>41.8</v>
      </c>
      <c r="O65" s="457">
        <v>36.200000000000003</v>
      </c>
      <c r="P65" s="455">
        <v>35.6</v>
      </c>
      <c r="Q65" s="455"/>
      <c r="R65" s="442"/>
      <c r="S65" s="44"/>
    </row>
    <row r="66" spans="1:19" s="1" customFormat="1" ht="13.5" customHeight="1" thickBot="1" x14ac:dyDescent="0.25">
      <c r="A66" s="134" t="s">
        <v>172</v>
      </c>
      <c r="B66" s="136">
        <f>SUM(B64:B65)</f>
        <v>45.212499999999999</v>
      </c>
      <c r="C66" s="414" t="str">
        <f>IF(B66-C26&gt;1,"Check","")</f>
        <v/>
      </c>
      <c r="D66" s="415"/>
      <c r="E66" s="379"/>
      <c r="F66" s="392" t="s">
        <v>155</v>
      </c>
      <c r="G66" s="9">
        <v>1491</v>
      </c>
      <c r="H66" s="9">
        <v>1500</v>
      </c>
      <c r="I66" s="10"/>
      <c r="J66" s="423">
        <f t="shared" si="8"/>
        <v>6.0362173038229373E-3</v>
      </c>
      <c r="K66" s="10"/>
      <c r="L66" s="379"/>
      <c r="M66" s="386" t="s">
        <v>138</v>
      </c>
      <c r="N66" s="455">
        <v>97</v>
      </c>
      <c r="O66" s="455">
        <v>97.4</v>
      </c>
      <c r="P66" s="455">
        <v>93.8</v>
      </c>
      <c r="Q66" s="455"/>
      <c r="R66" s="442"/>
      <c r="S66" s="44"/>
    </row>
    <row r="67" spans="1:19" s="1" customFormat="1" x14ac:dyDescent="0.2">
      <c r="A67" s="379"/>
      <c r="B67" s="370"/>
      <c r="C67" s="370"/>
      <c r="D67" s="370"/>
      <c r="E67" s="379"/>
      <c r="F67" s="392" t="s">
        <v>136</v>
      </c>
      <c r="G67" s="9">
        <v>1647</v>
      </c>
      <c r="H67" s="9">
        <v>2261</v>
      </c>
      <c r="I67" s="10"/>
      <c r="J67" s="423">
        <f t="shared" si="8"/>
        <v>0.37279902853673347</v>
      </c>
      <c r="K67" s="10"/>
      <c r="L67" s="379"/>
      <c r="M67" s="386" t="s">
        <v>142</v>
      </c>
      <c r="N67" s="455">
        <v>37.799999999999997</v>
      </c>
      <c r="O67" s="455">
        <v>36</v>
      </c>
      <c r="P67" s="455">
        <v>35.299999999999997</v>
      </c>
      <c r="Q67" s="455"/>
      <c r="R67" s="442"/>
      <c r="S67" s="44"/>
    </row>
    <row r="68" spans="1:19" s="1" customFormat="1" ht="13.5" thickBot="1" x14ac:dyDescent="0.25">
      <c r="A68" s="370"/>
      <c r="B68" s="370"/>
      <c r="C68" s="370"/>
      <c r="D68" s="370"/>
      <c r="E68" s="379"/>
      <c r="F68" s="395" t="s">
        <v>156</v>
      </c>
      <c r="G68" s="14">
        <v>1846.2555999999997</v>
      </c>
      <c r="H68" s="14">
        <v>2635.073779166667</v>
      </c>
      <c r="I68" s="335"/>
      <c r="J68" s="424">
        <f t="shared" si="8"/>
        <v>0.42725296495602633</v>
      </c>
      <c r="K68" s="335"/>
      <c r="L68" s="379"/>
      <c r="M68" s="437" t="s">
        <v>208</v>
      </c>
      <c r="N68" s="456">
        <v>73.3</v>
      </c>
      <c r="O68" s="456">
        <v>72.599999999999994</v>
      </c>
      <c r="P68" s="456">
        <v>72.5</v>
      </c>
      <c r="Q68" s="456"/>
      <c r="R68" s="443"/>
      <c r="S68" s="44"/>
    </row>
    <row r="69" spans="1:19" s="1" customFormat="1" ht="13.5" thickBot="1" x14ac:dyDescent="0.25">
      <c r="A69" s="141" t="s">
        <v>267</v>
      </c>
      <c r="B69" s="371"/>
      <c r="C69" s="371"/>
      <c r="D69" s="372"/>
      <c r="E69" s="379"/>
      <c r="F69" s="379"/>
      <c r="G69" s="379"/>
      <c r="H69" s="379"/>
      <c r="I69" s="379"/>
      <c r="J69" s="379"/>
      <c r="K69" s="379"/>
      <c r="L69" s="379"/>
      <c r="M69" s="436"/>
      <c r="N69" s="9"/>
      <c r="O69" s="9"/>
      <c r="P69" s="433"/>
      <c r="Q69" s="433"/>
      <c r="R69" s="433"/>
      <c r="S69" s="5"/>
    </row>
    <row r="70" spans="1:19" s="1" customFormat="1" ht="11.25" x14ac:dyDescent="0.2">
      <c r="A70" s="386"/>
      <c r="B70" s="142"/>
      <c r="C70" s="79"/>
      <c r="D70" s="143"/>
      <c r="E70" s="379"/>
      <c r="F70" s="379"/>
      <c r="G70" s="379"/>
      <c r="H70" s="379"/>
      <c r="I70" s="379"/>
      <c r="J70" s="379"/>
      <c r="K70" s="379"/>
      <c r="L70" s="379"/>
      <c r="M70" s="436"/>
      <c r="N70" s="9"/>
      <c r="O70" s="9"/>
      <c r="P70" s="433"/>
      <c r="Q70" s="433"/>
      <c r="R70" s="433"/>
      <c r="S70" s="5"/>
    </row>
    <row r="71" spans="1:19" s="1" customFormat="1" ht="11.25" x14ac:dyDescent="0.2">
      <c r="A71" s="144" t="s">
        <v>264</v>
      </c>
      <c r="B71" s="83"/>
      <c r="C71" s="145" t="s">
        <v>262</v>
      </c>
      <c r="D71" s="416"/>
      <c r="E71" s="379"/>
      <c r="F71" s="379"/>
      <c r="G71" s="379"/>
      <c r="H71" s="379"/>
      <c r="I71" s="379"/>
      <c r="J71" s="379"/>
      <c r="K71" s="379"/>
      <c r="L71" s="379"/>
      <c r="M71" s="436"/>
      <c r="N71" s="434"/>
      <c r="O71" s="434"/>
      <c r="P71" s="434"/>
      <c r="Q71" s="435"/>
      <c r="R71" s="388"/>
      <c r="S71" s="5"/>
    </row>
    <row r="72" spans="1:19" s="1" customFormat="1" ht="11.25" x14ac:dyDescent="0.2">
      <c r="A72" s="144"/>
      <c r="B72" s="83"/>
      <c r="C72" s="417"/>
      <c r="D72" s="416"/>
      <c r="E72" s="379"/>
      <c r="F72" s="379"/>
      <c r="G72" s="379"/>
      <c r="H72" s="379"/>
      <c r="I72" s="379"/>
      <c r="J72" s="379"/>
      <c r="K72" s="379"/>
      <c r="L72" s="379"/>
      <c r="M72" s="419"/>
      <c r="N72" s="388"/>
      <c r="O72" s="388"/>
      <c r="P72" s="388"/>
      <c r="Q72" s="388"/>
      <c r="R72" s="388"/>
      <c r="S72" s="5"/>
    </row>
    <row r="73" spans="1:19" s="1" customFormat="1" ht="11.25" x14ac:dyDescent="0.2">
      <c r="A73" s="386"/>
      <c r="B73" s="417"/>
      <c r="C73" s="417"/>
      <c r="D73" s="416"/>
      <c r="E73" s="379"/>
      <c r="F73" s="379"/>
      <c r="G73" s="379"/>
      <c r="H73" s="379"/>
      <c r="I73" s="379"/>
      <c r="J73" s="379"/>
      <c r="K73" s="379"/>
      <c r="L73" s="379"/>
      <c r="M73" s="419"/>
      <c r="N73" s="388"/>
      <c r="O73" s="388"/>
      <c r="P73" s="388"/>
      <c r="Q73" s="388"/>
      <c r="R73" s="388"/>
      <c r="S73" s="5"/>
    </row>
    <row r="74" spans="1:19" s="1" customFormat="1" ht="11.25" x14ac:dyDescent="0.2">
      <c r="A74" s="144"/>
      <c r="B74" s="83"/>
      <c r="C74" s="417"/>
      <c r="D74" s="416"/>
      <c r="E74" s="379"/>
      <c r="F74" s="379"/>
      <c r="G74" s="379"/>
      <c r="H74" s="379"/>
      <c r="I74" s="379"/>
      <c r="J74" s="379"/>
      <c r="K74" s="379"/>
      <c r="L74" s="379"/>
      <c r="M74" s="419"/>
      <c r="N74" s="388"/>
      <c r="O74" s="388"/>
      <c r="P74" s="388"/>
      <c r="Q74" s="388"/>
      <c r="R74" s="388"/>
      <c r="S74" s="5"/>
    </row>
    <row r="75" spans="1:19" s="1" customFormat="1" ht="13.5" customHeight="1" x14ac:dyDescent="0.2">
      <c r="A75" s="103"/>
      <c r="B75" s="83"/>
      <c r="C75" s="388"/>
      <c r="D75" s="389"/>
      <c r="E75" s="379"/>
      <c r="F75" s="379"/>
      <c r="G75" s="379"/>
      <c r="H75" s="379"/>
      <c r="I75" s="379"/>
      <c r="J75" s="379"/>
      <c r="K75" s="379"/>
      <c r="L75" s="379"/>
      <c r="M75" s="419"/>
      <c r="N75" s="388"/>
      <c r="O75" s="388"/>
      <c r="P75" s="388"/>
      <c r="Q75" s="388"/>
      <c r="R75" s="388"/>
      <c r="S75" s="5"/>
    </row>
    <row r="76" spans="1:19" s="1" customFormat="1" ht="11.25" x14ac:dyDescent="0.2">
      <c r="A76" s="418"/>
      <c r="B76" s="419"/>
      <c r="C76" s="388"/>
      <c r="D76" s="389"/>
      <c r="E76" s="379"/>
      <c r="F76" s="379"/>
      <c r="G76" s="379"/>
      <c r="H76" s="379"/>
      <c r="I76" s="379"/>
      <c r="J76" s="379"/>
      <c r="K76" s="379"/>
      <c r="L76" s="379"/>
      <c r="M76" s="419"/>
      <c r="N76" s="388"/>
      <c r="O76" s="388"/>
      <c r="P76" s="388"/>
      <c r="Q76" s="388"/>
      <c r="R76" s="388"/>
      <c r="S76" s="5"/>
    </row>
    <row r="77" spans="1:19" s="1" customFormat="1" ht="11.25" x14ac:dyDescent="0.2">
      <c r="A77" s="144"/>
      <c r="B77" s="83"/>
      <c r="C77" s="388"/>
      <c r="D77" s="389"/>
      <c r="E77" s="379"/>
      <c r="F77" s="379"/>
      <c r="G77" s="379"/>
      <c r="H77" s="379"/>
      <c r="I77" s="379"/>
      <c r="J77" s="379"/>
      <c r="K77" s="379"/>
      <c r="L77" s="379"/>
      <c r="M77" s="379"/>
      <c r="N77" s="379"/>
      <c r="O77" s="379"/>
      <c r="P77" s="379"/>
      <c r="Q77" s="379"/>
      <c r="R77" s="379"/>
    </row>
    <row r="78" spans="1:19" s="1" customFormat="1" ht="11.25" x14ac:dyDescent="0.2">
      <c r="A78" s="144"/>
      <c r="B78" s="83"/>
      <c r="C78" s="388"/>
      <c r="D78" s="389"/>
      <c r="E78" s="379"/>
      <c r="F78" s="379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</row>
    <row r="79" spans="1:19" s="1" customFormat="1" ht="11.25" x14ac:dyDescent="0.2">
      <c r="A79" s="418"/>
      <c r="B79" s="419"/>
      <c r="C79" s="388"/>
      <c r="D79" s="38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79"/>
      <c r="P79" s="379"/>
      <c r="Q79" s="379"/>
      <c r="R79" s="379"/>
    </row>
    <row r="80" spans="1:19" s="1" customFormat="1" ht="11.25" x14ac:dyDescent="0.2">
      <c r="A80" s="144"/>
      <c r="B80" s="83"/>
      <c r="C80" s="388"/>
      <c r="D80" s="38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79"/>
      <c r="P80" s="379"/>
      <c r="Q80" s="379"/>
      <c r="R80" s="379"/>
    </row>
    <row r="81" spans="1:18" s="1" customFormat="1" x14ac:dyDescent="0.2">
      <c r="A81" s="144"/>
      <c r="B81" s="83"/>
      <c r="C81" s="388"/>
      <c r="D81" s="389"/>
      <c r="E81" s="379"/>
      <c r="F81" s="379"/>
      <c r="G81" s="379"/>
      <c r="H81" s="379"/>
      <c r="I81" s="379"/>
      <c r="J81" s="370"/>
      <c r="K81" s="370"/>
      <c r="L81" s="370"/>
      <c r="M81" s="370"/>
      <c r="N81" s="379"/>
      <c r="O81" s="379"/>
      <c r="P81" s="379"/>
      <c r="Q81" s="379"/>
      <c r="R81" s="379"/>
    </row>
    <row r="82" spans="1:18" x14ac:dyDescent="0.2">
      <c r="A82" s="418"/>
      <c r="B82" s="419"/>
      <c r="C82" s="388"/>
      <c r="D82" s="389"/>
      <c r="F82" s="379"/>
      <c r="G82" s="379"/>
      <c r="H82" s="379"/>
      <c r="I82" s="379"/>
      <c r="N82" s="379"/>
      <c r="O82" s="379"/>
      <c r="P82" s="379"/>
      <c r="Q82" s="379"/>
      <c r="R82" s="379"/>
    </row>
    <row r="83" spans="1:18" x14ac:dyDescent="0.2">
      <c r="A83" s="402"/>
      <c r="B83" s="388"/>
      <c r="C83" s="388"/>
      <c r="D83" s="389"/>
    </row>
    <row r="84" spans="1:18" x14ac:dyDescent="0.2">
      <c r="A84" s="402"/>
      <c r="B84" s="388"/>
      <c r="C84" s="388"/>
      <c r="D84" s="389"/>
      <c r="J84" s="420"/>
      <c r="K84" s="379"/>
      <c r="L84" s="379"/>
      <c r="M84" s="379"/>
    </row>
    <row r="85" spans="1:18" x14ac:dyDescent="0.2">
      <c r="A85" s="144" t="s">
        <v>265</v>
      </c>
      <c r="B85" s="388"/>
      <c r="C85" s="145" t="s">
        <v>263</v>
      </c>
      <c r="D85" s="389"/>
      <c r="J85" s="420"/>
      <c r="K85" s="379"/>
      <c r="L85" s="379"/>
      <c r="M85" s="379"/>
    </row>
    <row r="86" spans="1:18" x14ac:dyDescent="0.2">
      <c r="A86" s="402"/>
      <c r="B86" s="388"/>
      <c r="C86" s="388"/>
      <c r="D86" s="389"/>
    </row>
    <row r="87" spans="1:18" x14ac:dyDescent="0.2">
      <c r="A87" s="402"/>
      <c r="B87" s="388"/>
      <c r="C87" s="388"/>
      <c r="D87" s="389"/>
    </row>
    <row r="88" spans="1:18" x14ac:dyDescent="0.2">
      <c r="A88" s="402"/>
      <c r="B88" s="388"/>
      <c r="C88" s="388"/>
      <c r="D88" s="389"/>
    </row>
    <row r="89" spans="1:18" x14ac:dyDescent="0.2">
      <c r="A89" s="402"/>
      <c r="B89" s="388"/>
      <c r="C89" s="388"/>
      <c r="D89" s="389"/>
    </row>
    <row r="90" spans="1:18" x14ac:dyDescent="0.2">
      <c r="A90" s="402"/>
      <c r="B90" s="388"/>
      <c r="C90" s="388"/>
      <c r="D90" s="389"/>
    </row>
    <row r="91" spans="1:18" x14ac:dyDescent="0.2">
      <c r="A91" s="402"/>
      <c r="B91" s="388"/>
      <c r="C91" s="388"/>
      <c r="D91" s="389"/>
    </row>
    <row r="92" spans="1:18" x14ac:dyDescent="0.2">
      <c r="A92" s="402"/>
      <c r="B92" s="388"/>
      <c r="C92" s="388"/>
      <c r="D92" s="389"/>
    </row>
    <row r="93" spans="1:18" x14ac:dyDescent="0.2">
      <c r="A93" s="402"/>
      <c r="B93" s="388"/>
      <c r="C93" s="388"/>
      <c r="D93" s="389"/>
    </row>
    <row r="94" spans="1:18" x14ac:dyDescent="0.2">
      <c r="A94" s="402"/>
      <c r="B94" s="388"/>
      <c r="C94" s="388"/>
      <c r="D94" s="389"/>
    </row>
    <row r="95" spans="1:18" x14ac:dyDescent="0.2">
      <c r="A95" s="402"/>
      <c r="B95" s="388"/>
      <c r="C95" s="388"/>
      <c r="D95" s="389"/>
    </row>
    <row r="96" spans="1:18" x14ac:dyDescent="0.2">
      <c r="A96" s="402"/>
      <c r="B96" s="388"/>
      <c r="C96" s="388"/>
      <c r="D96" s="389"/>
    </row>
    <row r="97" spans="1:4" x14ac:dyDescent="0.2">
      <c r="A97" s="402"/>
      <c r="B97" s="388"/>
      <c r="C97" s="388"/>
      <c r="D97" s="389"/>
    </row>
    <row r="98" spans="1:4" ht="13.5" thickBot="1" x14ac:dyDescent="0.25">
      <c r="A98" s="421"/>
      <c r="B98" s="401"/>
      <c r="C98" s="401"/>
      <c r="D98" s="409"/>
    </row>
  </sheetData>
  <mergeCells count="11">
    <mergeCell ref="Q39:R39"/>
    <mergeCell ref="A1:R1"/>
    <mergeCell ref="A2:R2"/>
    <mergeCell ref="F39:I39"/>
    <mergeCell ref="F55:I55"/>
    <mergeCell ref="M39:P39"/>
    <mergeCell ref="I6:L6"/>
    <mergeCell ref="N7:R7"/>
    <mergeCell ref="N22:R22"/>
    <mergeCell ref="J39:K39"/>
    <mergeCell ref="J55:K55"/>
  </mergeCells>
  <printOptions horizontalCentered="1"/>
  <pageMargins left="0.1" right="0.1" top="0.4" bottom="0.25" header="0.25" footer="0.5"/>
  <pageSetup scale="5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18"/>
  <sheetViews>
    <sheetView zoomScaleNormal="100" workbookViewId="0"/>
  </sheetViews>
  <sheetFormatPr defaultRowHeight="12.75" x14ac:dyDescent="0.2"/>
  <cols>
    <col min="1" max="1" width="22.42578125" customWidth="1"/>
    <col min="2" max="2" width="25" hidden="1" customWidth="1"/>
    <col min="3" max="8" width="8.7109375" customWidth="1"/>
    <col min="9" max="10" width="9.28515625" customWidth="1"/>
    <col min="11" max="11" width="3.5703125" customWidth="1"/>
    <col min="12" max="12" width="15" customWidth="1"/>
    <col min="13" max="13" width="12.7109375" hidden="1" customWidth="1"/>
    <col min="14" max="18" width="9.7109375" customWidth="1"/>
    <col min="19" max="19" width="9.5703125" customWidth="1"/>
    <col min="22" max="22" width="12.28515625" bestFit="1" customWidth="1"/>
    <col min="23" max="23" width="4.85546875" customWidth="1"/>
  </cols>
  <sheetData>
    <row r="1" spans="1:23" ht="13.5" thickBot="1" x14ac:dyDescent="0.25">
      <c r="A1" s="141" t="s">
        <v>298</v>
      </c>
      <c r="B1" s="306"/>
      <c r="C1" s="306"/>
      <c r="D1" s="306"/>
      <c r="E1" s="306"/>
      <c r="F1" s="139"/>
      <c r="G1" s="139"/>
      <c r="H1" s="139"/>
      <c r="I1" s="139"/>
      <c r="J1" s="139"/>
      <c r="K1" s="368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/>
    </row>
    <row r="2" spans="1:23" ht="13.5" thickBo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334"/>
      <c r="L2" s="41"/>
      <c r="M2" s="41"/>
      <c r="N2" s="41"/>
      <c r="O2" s="41"/>
      <c r="P2" s="41"/>
      <c r="Q2" s="41"/>
      <c r="R2" s="40"/>
      <c r="S2" s="41"/>
      <c r="T2" s="41"/>
      <c r="U2" s="41"/>
      <c r="V2" s="41"/>
    </row>
    <row r="3" spans="1:23" ht="13.5" thickBot="1" x14ac:dyDescent="0.25">
      <c r="A3" s="113" t="s">
        <v>299</v>
      </c>
      <c r="B3" s="307"/>
      <c r="C3" s="307"/>
      <c r="D3" s="307"/>
      <c r="E3" s="307"/>
      <c r="F3" s="114"/>
      <c r="G3" s="114"/>
      <c r="H3" s="114"/>
      <c r="I3" s="114"/>
      <c r="J3" s="115"/>
      <c r="K3" s="334"/>
      <c r="L3" s="113" t="s">
        <v>300</v>
      </c>
      <c r="M3" s="307"/>
      <c r="N3" s="114"/>
      <c r="O3" s="114"/>
      <c r="P3" s="114"/>
      <c r="Q3" s="114"/>
      <c r="R3" s="114"/>
      <c r="S3" s="114"/>
      <c r="T3" s="114"/>
      <c r="U3" s="114"/>
      <c r="V3" s="115"/>
    </row>
    <row r="4" spans="1:23" ht="13.5" thickBot="1" x14ac:dyDescent="0.25">
      <c r="A4" s="87" t="s">
        <v>168</v>
      </c>
      <c r="B4" s="198" t="s">
        <v>168</v>
      </c>
      <c r="C4" s="187" t="s">
        <v>128</v>
      </c>
      <c r="D4" s="188" t="s">
        <v>177</v>
      </c>
      <c r="E4" s="188" t="s">
        <v>182</v>
      </c>
      <c r="F4" s="189" t="s">
        <v>176</v>
      </c>
      <c r="G4" s="190" t="s">
        <v>140</v>
      </c>
      <c r="H4" s="190" t="s">
        <v>178</v>
      </c>
      <c r="I4" s="190" t="s">
        <v>179</v>
      </c>
      <c r="J4" s="191" t="s">
        <v>180</v>
      </c>
      <c r="K4" s="334"/>
      <c r="L4" s="87" t="s">
        <v>168</v>
      </c>
      <c r="M4" s="109"/>
      <c r="N4" s="308" t="s">
        <v>128</v>
      </c>
      <c r="O4" s="309" t="s">
        <v>177</v>
      </c>
      <c r="P4" s="309" t="s">
        <v>182</v>
      </c>
      <c r="Q4" s="310" t="s">
        <v>176</v>
      </c>
      <c r="R4" s="309" t="s">
        <v>140</v>
      </c>
      <c r="S4" s="311" t="s">
        <v>178</v>
      </c>
      <c r="T4" s="308" t="s">
        <v>179</v>
      </c>
      <c r="U4" s="308" t="s">
        <v>180</v>
      </c>
      <c r="V4" s="312" t="s">
        <v>183</v>
      </c>
      <c r="W4" s="339"/>
    </row>
    <row r="5" spans="1:23" x14ac:dyDescent="0.2">
      <c r="A5" s="207" t="s">
        <v>36</v>
      </c>
      <c r="B5" s="208" t="s">
        <v>193</v>
      </c>
      <c r="C5" s="192">
        <f>VLOOKUP($B5,'[1]4-Disponibilidade'!$A$8:$C$103,2,FALSE)</f>
        <v>70.422538757324219</v>
      </c>
      <c r="D5" s="193">
        <f>IF(OR(C5=0,E5=0),"n/a",E5/C5*100)</f>
        <v>35.499998212432956</v>
      </c>
      <c r="E5" s="194">
        <f>VLOOKUP($B5,'[1]4-Disponibilidade'!$A$8:$C$103,3,FALSE)</f>
        <v>25</v>
      </c>
      <c r="F5" s="195">
        <f>IF(ISNA(VLOOKUP($A5,'[1]3-Produção'!$A$9:$C$104,2,FALSE))=TRUE,"n/a",VLOOKUP($A5,'[1]3-Produção'!$A$9:$C$104,2,FALSE))</f>
        <v>12.708333333333334</v>
      </c>
      <c r="G5" s="195">
        <f>IF(ISNA(VLOOKUP($A5,'[1]3-Produção'!$A$9:$C$104,3,FALSE))=TRUE,"n/a",VLOOKUP($A5,'[1]3-Produção'!$A$9:$C$104,3,FALSE))</f>
        <v>12.708333333333334</v>
      </c>
      <c r="H5" s="195">
        <f t="shared" ref="H5:H35" si="0">IF(OR(F5="n/a",G5="n/a"),"n/a",G5-F5)</f>
        <v>0</v>
      </c>
      <c r="I5" s="195">
        <f t="shared" ref="I5:I28" si="1">IF(OR(G5="n/a",D5="n/a"),"n/a",D5-G5)</f>
        <v>22.791664879099621</v>
      </c>
      <c r="J5" s="196">
        <f t="shared" ref="J5:J28" si="2">IF(OR(G5="n/a",G5=0,E5="n/a",E5=0),"n/a",E5-G5)</f>
        <v>12.291666666666666</v>
      </c>
      <c r="K5" s="333" t="str">
        <f t="shared" ref="K5:K35" si="3">IF(OR(C5&gt;100,D5="n/a",F5="n/a",G5="n/a",H5="n/a",I5="n/a",J5="n/a"),"X","")</f>
        <v/>
      </c>
      <c r="L5" s="207" t="s">
        <v>201</v>
      </c>
      <c r="M5" s="313" t="s">
        <v>201</v>
      </c>
      <c r="N5" s="297" t="str">
        <f>VLOOKUP("ANGRA **",'[1]4-Disponibilidade'!$E$8:$G$26,2,FALSE)</f>
        <v>-</v>
      </c>
      <c r="O5" s="297">
        <v>1850</v>
      </c>
      <c r="P5" s="297">
        <f>VLOOKUP("ANGRA **",'[1]4-Disponibilidade'!$E$8:$G$26,3,FALSE)</f>
        <v>1712</v>
      </c>
      <c r="Q5" s="297">
        <f>VLOOKUP($L5,'[1]3-Produção'!$A$125:$C$146,2,FALSE)</f>
        <v>1760</v>
      </c>
      <c r="R5" s="297">
        <f>IF(ISNA(VLOOKUP($L5,'[1]3-Produção'!$A$125:$C$146,3,FALSE)),"n/a",VLOOKUP($L5,'[1]3-Produção'!$A$125:$C$146,3,FALSE))</f>
        <v>1714.6291666666664</v>
      </c>
      <c r="S5" s="298">
        <f>IF(OR(Q5="n/a",R5="n/a"),"n/a",R5-Q5)</f>
        <v>-45.370833333333621</v>
      </c>
      <c r="T5" s="298">
        <f>IF(OR(O5="n/a",P5="n/a",R5="n/a"),"n/a",O5-R5)</f>
        <v>135.37083333333362</v>
      </c>
      <c r="U5" s="298">
        <f>IF(OR(P5="n/a",O5="n/a",R5="n/a"),"n/a",P5-R5)</f>
        <v>-2.6291666666663787</v>
      </c>
      <c r="V5" s="301">
        <v>8.5</v>
      </c>
      <c r="W5" s="333" t="str">
        <f>IF(OR(N5&gt;100,N5="n/a",O5="n/a",P5="n/a",Q5="n/a",R5="n/a"),"X","")</f>
        <v>X</v>
      </c>
    </row>
    <row r="6" spans="1:23" x14ac:dyDescent="0.2">
      <c r="A6" s="209" t="s">
        <v>37</v>
      </c>
      <c r="B6" s="208" t="s">
        <v>37</v>
      </c>
      <c r="C6" s="197">
        <f>VLOOKUP($B6,'[1]4-Disponibilidade'!$A$8:$C$103,2,FALSE)</f>
        <v>70.833335876464844</v>
      </c>
      <c r="D6" s="183">
        <f t="shared" ref="D6:D69" si="4">IF(OR(C6=0,E6=0),"n/a",E6/C6*100)</f>
        <v>47.999998276654473</v>
      </c>
      <c r="E6" s="183">
        <f>VLOOKUP($B6,'[1]4-Disponibilidade'!$A$8:$C$103,3,FALSE)</f>
        <v>34</v>
      </c>
      <c r="F6" s="185">
        <f>IF(ISNA(VLOOKUP($A6,'[1]3-Produção'!$A$9:$C$104,2,FALSE))=TRUE,"n/a",VLOOKUP($A6,'[1]3-Produção'!$A$9:$C$104,2,FALSE))</f>
        <v>9.5</v>
      </c>
      <c r="G6" s="185">
        <f>IF(ISNA(VLOOKUP($A6,'[1]3-Produção'!$A$9:$C$104,3,FALSE))=TRUE,"n/a",VLOOKUP($A6,'[1]3-Produção'!$A$9:$C$104,3,FALSE))</f>
        <v>9.75</v>
      </c>
      <c r="H6" s="185">
        <f t="shared" si="0"/>
        <v>0.25</v>
      </c>
      <c r="I6" s="185">
        <f t="shared" si="1"/>
        <v>38.249998276654473</v>
      </c>
      <c r="J6" s="186">
        <f t="shared" si="2"/>
        <v>24.25</v>
      </c>
      <c r="K6" s="333" t="str">
        <f t="shared" si="3"/>
        <v/>
      </c>
      <c r="L6" s="238" t="s">
        <v>61</v>
      </c>
      <c r="M6" s="314" t="s">
        <v>61</v>
      </c>
      <c r="N6" s="289">
        <f>VLOOKUP($M6,'[1]4-Disponibilidade'!$E$8:$G$26,2,FALSE)</f>
        <v>40.358745574951172</v>
      </c>
      <c r="O6" s="289">
        <f>IF(OR(N6=0,P6=0),P6,P6/N6*100)</f>
        <v>445.99998695627886</v>
      </c>
      <c r="P6" s="289">
        <f>VLOOKUP($M6,'[1]4-Disponibilidade'!$E$8:$G$26,3,FALSE)</f>
        <v>180</v>
      </c>
      <c r="Q6" s="290">
        <f>VLOOKUP($L6,'[1]3-Produção'!$A$125:$C$146,2,FALSE)</f>
        <v>260.20833333333331</v>
      </c>
      <c r="R6" s="290">
        <f>IF(ISNA(VLOOKUP($L6,'[1]3-Produção'!$A$125:$C$146,3,FALSE)),"n/a",VLOOKUP($L6,'[1]3-Produção'!$A$125:$C$146,3,FALSE))</f>
        <v>169.96666666666667</v>
      </c>
      <c r="S6" s="219">
        <f t="shared" ref="S6:S23" si="5">IF(OR(Q6="n/a",R6="n/a"),"n/a",R6-Q6)</f>
        <v>-90.241666666666646</v>
      </c>
      <c r="T6" s="219">
        <f t="shared" ref="T6:T23" si="6">IF(OR(O6="n/a",P6="n/a",R6="n/a"),"n/a",O6-R6)</f>
        <v>276.03332028961222</v>
      </c>
      <c r="U6" s="219">
        <f t="shared" ref="U6:U23" si="7">IF(OR(P6="n/a",O6="n/a",R6="n/a"),"n/a",P6-R6)</f>
        <v>10.033333333333331</v>
      </c>
      <c r="V6" s="302">
        <v>28.6</v>
      </c>
      <c r="W6" s="333" t="str">
        <f>IF(OR(N6&gt;100,N6="n/a",O6="n/a",P6="n/a",Q6="n/a",R6="n/a"),"X","")</f>
        <v/>
      </c>
    </row>
    <row r="7" spans="1:23" x14ac:dyDescent="0.2">
      <c r="A7" s="209" t="s">
        <v>10</v>
      </c>
      <c r="B7" s="208" t="s">
        <v>10</v>
      </c>
      <c r="C7" s="197">
        <f>VLOOKUP($B7,'[1]4-Disponibilidade'!$A$8:$C$103,2,FALSE)</f>
        <v>52.852348327636719</v>
      </c>
      <c r="D7" s="183">
        <f t="shared" si="4"/>
        <v>1192.0000150127112</v>
      </c>
      <c r="E7" s="183">
        <f>VLOOKUP($B7,'[1]4-Disponibilidade'!$A$8:$C$103,3,FALSE)</f>
        <v>630</v>
      </c>
      <c r="F7" s="185">
        <f>IF(ISNA(VLOOKUP($A7,'[1]3-Produção'!$A$9:$C$104,2,FALSE))=TRUE,"n/a",VLOOKUP($A7,'[1]3-Produção'!$A$9:$C$104,2,FALSE))</f>
        <v>135</v>
      </c>
      <c r="G7" s="185">
        <f>IF(ISNA(VLOOKUP($A7,'[1]3-Produção'!$A$9:$C$104,3,FALSE))=TRUE,"n/a",VLOOKUP($A7,'[1]3-Produção'!$A$9:$C$104,3,FALSE))</f>
        <v>167.3</v>
      </c>
      <c r="H7" s="185">
        <f t="shared" si="0"/>
        <v>32.300000000000011</v>
      </c>
      <c r="I7" s="185">
        <f t="shared" si="1"/>
        <v>1024.7000150127112</v>
      </c>
      <c r="J7" s="186">
        <f t="shared" si="2"/>
        <v>462.7</v>
      </c>
      <c r="K7" s="333" t="str">
        <f t="shared" si="3"/>
        <v/>
      </c>
      <c r="L7" s="238" t="s">
        <v>78</v>
      </c>
      <c r="M7" s="314" t="s">
        <v>270</v>
      </c>
      <c r="N7" s="289">
        <v>0</v>
      </c>
      <c r="O7" s="289">
        <f t="shared" ref="O7:O23" si="8">IF(OR(N7=0,P7=0),P7,P7/N7*100)</f>
        <v>543</v>
      </c>
      <c r="P7" s="289">
        <f>VLOOKUP($M7,'[1]4-Disponibilidade'!$E$8:$G$26,3,FALSE)</f>
        <v>543</v>
      </c>
      <c r="Q7" s="290">
        <f>VLOOKUP($L7,'[1]3-Produção'!$A$125:$C$146,2,FALSE)</f>
        <v>500</v>
      </c>
      <c r="R7" s="290">
        <f>IF(ISNA(VLOOKUP($L7,'[1]3-Produção'!$A$125:$C$146,3,FALSE)),"n/a",VLOOKUP($L7,'[1]3-Produção'!$A$125:$C$146,3,FALSE))</f>
        <v>549.15416666666658</v>
      </c>
      <c r="S7" s="219">
        <f t="shared" si="5"/>
        <v>49.154166666666583</v>
      </c>
      <c r="T7" s="219">
        <f t="shared" si="6"/>
        <v>-6.1541666666665833</v>
      </c>
      <c r="U7" s="219">
        <f t="shared" si="7"/>
        <v>-6.1541666666665833</v>
      </c>
      <c r="V7" s="302">
        <v>38.950000000000003</v>
      </c>
      <c r="W7" s="333" t="str">
        <f>IF(OR(N7&gt;100,N7="n/a",O7="n/a",P7="n/a",Q7="n/a",R7="n/a"),"X","")</f>
        <v/>
      </c>
    </row>
    <row r="8" spans="1:23" x14ac:dyDescent="0.2">
      <c r="A8" s="209" t="s">
        <v>38</v>
      </c>
      <c r="B8" s="208" t="s">
        <v>38</v>
      </c>
      <c r="C8" s="197">
        <f>VLOOKUP($B8,'[1]4-Disponibilidade'!$A$8:$C$103,2,FALSE)</f>
        <v>102.85713958740234</v>
      </c>
      <c r="D8" s="183">
        <f t="shared" si="4"/>
        <v>140.00000445048028</v>
      </c>
      <c r="E8" s="183">
        <f>VLOOKUP($B8,'[1]4-Disponibilidade'!$A$8:$C$103,3,FALSE)</f>
        <v>144</v>
      </c>
      <c r="F8" s="185">
        <f>IF(ISNA(VLOOKUP($A8,'[1]3-Produção'!$A$9:$C$104,2,FALSE))=TRUE,"n/a",VLOOKUP($A8,'[1]3-Produção'!$A$9:$C$104,2,FALSE))</f>
        <v>36.895833333333336</v>
      </c>
      <c r="G8" s="185">
        <f>IF(ISNA(VLOOKUP($A8,'[1]3-Produção'!$A$9:$C$104,3,FALSE))=TRUE,"n/a",VLOOKUP($A8,'[1]3-Produção'!$A$9:$C$104,3,FALSE))</f>
        <v>64.341666666666669</v>
      </c>
      <c r="H8" s="185">
        <f t="shared" si="0"/>
        <v>27.445833333333333</v>
      </c>
      <c r="I8" s="185">
        <f t="shared" si="1"/>
        <v>75.658337783813607</v>
      </c>
      <c r="J8" s="186">
        <f t="shared" si="2"/>
        <v>79.658333333333331</v>
      </c>
      <c r="K8" s="333" t="str">
        <f t="shared" si="3"/>
        <v>X</v>
      </c>
      <c r="L8" s="238" t="s">
        <v>70</v>
      </c>
      <c r="M8" s="314" t="s">
        <v>70</v>
      </c>
      <c r="N8" s="289">
        <f>VLOOKUP($M8,'[1]4-Disponibilidade'!$E$8:$G$26,2,FALSE)</f>
        <v>99.173553466796875</v>
      </c>
      <c r="O8" s="289">
        <f t="shared" si="8"/>
        <v>363.00000092315673</v>
      </c>
      <c r="P8" s="289">
        <f>VLOOKUP($M8,'[1]4-Disponibilidade'!$E$8:$G$26,3,FALSE)</f>
        <v>360</v>
      </c>
      <c r="Q8" s="290">
        <f>VLOOKUP($L8,'[1]3-Produção'!$A$125:$C$146,2,FALSE)</f>
        <v>288.125</v>
      </c>
      <c r="R8" s="290">
        <f>IF(ISNA(VLOOKUP($L8,'[1]3-Produção'!$A$125:$C$146,3,FALSE)),"n/a",VLOOKUP($L8,'[1]3-Produção'!$A$125:$C$146,3,FALSE))</f>
        <v>296.32083333333333</v>
      </c>
      <c r="S8" s="219">
        <f t="shared" si="5"/>
        <v>8.1958333333333258</v>
      </c>
      <c r="T8" s="219">
        <f t="shared" si="6"/>
        <v>66.679167589823408</v>
      </c>
      <c r="U8" s="219">
        <f t="shared" si="7"/>
        <v>63.679166666666674</v>
      </c>
      <c r="V8" s="302">
        <v>45.4</v>
      </c>
      <c r="W8" s="333" t="str">
        <f>IF(OR(N8&gt;100,N8="n/a",O8="n/a",P8="n/a",Q8="n/a",R8="n/a"),"X","")</f>
        <v/>
      </c>
    </row>
    <row r="9" spans="1:23" x14ac:dyDescent="0.2">
      <c r="A9" s="209" t="s">
        <v>39</v>
      </c>
      <c r="B9" s="208" t="s">
        <v>39</v>
      </c>
      <c r="C9" s="197">
        <f>VLOOKUP($B9,'[1]4-Disponibilidade'!$A$8:$C$103,2,FALSE)</f>
        <v>100</v>
      </c>
      <c r="D9" s="183">
        <f t="shared" si="4"/>
        <v>210</v>
      </c>
      <c r="E9" s="183">
        <f>VLOOKUP($B9,'[1]4-Disponibilidade'!$A$8:$C$103,3,FALSE)</f>
        <v>210</v>
      </c>
      <c r="F9" s="185">
        <f>IF(ISNA(VLOOKUP($A9,'[1]3-Produção'!$A$9:$C$104,2,FALSE))=TRUE,"n/a",VLOOKUP($A9,'[1]3-Produção'!$A$9:$C$104,2,FALSE))</f>
        <v>163.125</v>
      </c>
      <c r="G9" s="185">
        <f>IF(ISNA(VLOOKUP($A9,'[1]3-Produção'!$A$9:$C$104,3,FALSE))=TRUE,"n/a",VLOOKUP($A9,'[1]3-Produção'!$A$9:$C$104,3,FALSE))</f>
        <v>163.29166666666671</v>
      </c>
      <c r="H9" s="185">
        <f t="shared" si="0"/>
        <v>0.16666666666671404</v>
      </c>
      <c r="I9" s="185">
        <f t="shared" si="1"/>
        <v>46.708333333333286</v>
      </c>
      <c r="J9" s="186">
        <f t="shared" si="2"/>
        <v>46.708333333333286</v>
      </c>
      <c r="K9" s="333" t="str">
        <f t="shared" si="3"/>
        <v/>
      </c>
      <c r="L9" s="238" t="s">
        <v>68</v>
      </c>
      <c r="M9" s="314" t="s">
        <v>68</v>
      </c>
      <c r="N9" s="289">
        <f>VLOOKUP($M9,'[1]4-Disponibilidade'!$E$8:$G$26,2,FALSE)</f>
        <v>91.603050231933594</v>
      </c>
      <c r="O9" s="289">
        <f t="shared" si="8"/>
        <v>262.00000916163162</v>
      </c>
      <c r="P9" s="289">
        <f>VLOOKUP($M9,'[1]4-Disponibilidade'!$E$8:$G$26,3,FALSE)</f>
        <v>240</v>
      </c>
      <c r="Q9" s="290">
        <f>VLOOKUP($L9,'[1]3-Produção'!$A$125:$C$146,2,FALSE)</f>
        <v>208.54166666666666</v>
      </c>
      <c r="R9" s="290">
        <f>IF(ISNA(VLOOKUP($L9,'[1]3-Produção'!$A$125:$C$146,3,FALSE)),"n/a",VLOOKUP($L9,'[1]3-Produção'!$A$125:$C$146,3,FALSE))</f>
        <v>213.26249999999999</v>
      </c>
      <c r="S9" s="219">
        <f t="shared" si="5"/>
        <v>4.7208333333333314</v>
      </c>
      <c r="T9" s="219">
        <f t="shared" si="6"/>
        <v>48.737509161631635</v>
      </c>
      <c r="U9" s="219">
        <f t="shared" si="7"/>
        <v>26.737500000000011</v>
      </c>
      <c r="V9" s="302">
        <v>53.31</v>
      </c>
      <c r="W9" s="333" t="str">
        <f>IF(OR(N9&gt;100,N9="n/a",O9="n/a",P9="n/a",Q9="n/a",R9="n/a"),"X","")</f>
        <v/>
      </c>
    </row>
    <row r="10" spans="1:23" x14ac:dyDescent="0.2">
      <c r="A10" s="209" t="s">
        <v>40</v>
      </c>
      <c r="B10" s="208" t="s">
        <v>40</v>
      </c>
      <c r="C10" s="197">
        <f>VLOOKUP($B10,'[1]4-Disponibilidade'!$A$8:$C$103,2,FALSE)</f>
        <v>75</v>
      </c>
      <c r="D10" s="183">
        <f t="shared" si="4"/>
        <v>52</v>
      </c>
      <c r="E10" s="183">
        <f>VLOOKUP($B10,'[1]4-Disponibilidade'!$A$8:$C$103,3,FALSE)</f>
        <v>39</v>
      </c>
      <c r="F10" s="185">
        <f>IF(ISNA(VLOOKUP($A10,'[1]3-Produção'!$A$9:$C$104,2,FALSE))=TRUE,"n/a",VLOOKUP($A10,'[1]3-Produção'!$A$9:$C$104,2,FALSE))</f>
        <v>13.666666666666666</v>
      </c>
      <c r="G10" s="185">
        <f>IF(ISNA(VLOOKUP($A10,'[1]3-Produção'!$A$9:$C$104,3,FALSE))=TRUE,"n/a",VLOOKUP($A10,'[1]3-Produção'!$A$9:$C$104,3,FALSE))</f>
        <v>14.85</v>
      </c>
      <c r="H10" s="185">
        <f t="shared" si="0"/>
        <v>1.1833333333333336</v>
      </c>
      <c r="I10" s="185">
        <f t="shared" si="1"/>
        <v>37.15</v>
      </c>
      <c r="J10" s="186">
        <f t="shared" si="2"/>
        <v>24.15</v>
      </c>
      <c r="K10" s="333" t="str">
        <f t="shared" si="3"/>
        <v/>
      </c>
      <c r="L10" s="238" t="s">
        <v>67</v>
      </c>
      <c r="M10" s="314" t="s">
        <v>67</v>
      </c>
      <c r="N10" s="289">
        <f>VLOOKUP($M10,'[1]4-Disponibilidade'!$E$8:$G$26,2,FALSE)</f>
        <v>32.327587127685547</v>
      </c>
      <c r="O10" s="289">
        <f t="shared" si="8"/>
        <v>231.99999339192726</v>
      </c>
      <c r="P10" s="289">
        <f>VLOOKUP($M10,'[1]4-Disponibilidade'!$E$8:$G$26,3,FALSE)</f>
        <v>75</v>
      </c>
      <c r="Q10" s="290">
        <f>VLOOKUP($L10,'[1]3-Produção'!$A$125:$C$146,2,FALSE)</f>
        <v>158.75</v>
      </c>
      <c r="R10" s="290">
        <f>IF(ISNA(VLOOKUP($L10,'[1]3-Produção'!$A$125:$C$146,3,FALSE)),"n/a",VLOOKUP($L10,'[1]3-Produção'!$A$125:$C$146,3,FALSE))</f>
        <v>67.379166666666663</v>
      </c>
      <c r="S10" s="219">
        <f>IF(OR(Q10="n/a",R10="n/a"),"n/a",R10-Q10)</f>
        <v>-91.370833333333337</v>
      </c>
      <c r="T10" s="219">
        <f>IF(OR(O10="n/a",P10="n/a",R10="n/a"),"n/a",O10-R10)</f>
        <v>164.6208267252606</v>
      </c>
      <c r="U10" s="219">
        <f>IF(OR(P10="n/a",O10="n/a",R10="n/a"),"n/a",P10-R10)</f>
        <v>7.6208333333333371</v>
      </c>
      <c r="V10" s="302">
        <v>57.3</v>
      </c>
      <c r="W10" s="333" t="str">
        <f>IF(OR(N11&gt;100,N11="n/a",O11="n/a",P11="n/a",Q11="n/a",R11="n/a"),"X","")</f>
        <v/>
      </c>
    </row>
    <row r="11" spans="1:23" x14ac:dyDescent="0.2">
      <c r="A11" s="209" t="s">
        <v>41</v>
      </c>
      <c r="B11" s="208" t="s">
        <v>41</v>
      </c>
      <c r="C11" s="197">
        <f>VLOOKUP($B11,'[1]4-Disponibilidade'!$A$8:$C$103,2,FALSE)</f>
        <v>95.754714965820313</v>
      </c>
      <c r="D11" s="183">
        <f t="shared" si="4"/>
        <v>424.00000892376096</v>
      </c>
      <c r="E11" s="183">
        <f>VLOOKUP($B11,'[1]4-Disponibilidade'!$A$8:$C$103,3,FALSE)</f>
        <v>406</v>
      </c>
      <c r="F11" s="185">
        <f>IF(ISNA(VLOOKUP($A11,'[1]3-Produção'!$A$9:$C$104,2,FALSE))=TRUE,"n/a",VLOOKUP($A11,'[1]3-Produção'!$A$9:$C$104,2,FALSE))</f>
        <v>394.79166666666669</v>
      </c>
      <c r="G11" s="185">
        <f>IF(ISNA(VLOOKUP($A11,'[1]3-Produção'!$A$9:$C$104,3,FALSE))=TRUE,"n/a",VLOOKUP($A11,'[1]3-Produção'!$A$9:$C$104,3,FALSE))</f>
        <v>390.52083333333331</v>
      </c>
      <c r="H11" s="185">
        <f t="shared" si="0"/>
        <v>-4.2708333333333712</v>
      </c>
      <c r="I11" s="185">
        <f t="shared" si="1"/>
        <v>33.479175590427644</v>
      </c>
      <c r="J11" s="186">
        <f t="shared" si="2"/>
        <v>15.479166666666686</v>
      </c>
      <c r="K11" s="333" t="str">
        <f t="shared" si="3"/>
        <v/>
      </c>
      <c r="L11" s="238" t="s">
        <v>65</v>
      </c>
      <c r="M11" s="314" t="s">
        <v>65</v>
      </c>
      <c r="N11" s="289">
        <f>VLOOKUP($M11,'[1]4-Disponibilidade'!$E$8:$G$26,2,FALSE)</f>
        <v>58.333332061767578</v>
      </c>
      <c r="O11" s="289">
        <f t="shared" si="8"/>
        <v>72.000001569475486</v>
      </c>
      <c r="P11" s="289">
        <f>VLOOKUP($M11,'[1]4-Disponibilidade'!$E$8:$G$26,3,FALSE)</f>
        <v>42</v>
      </c>
      <c r="Q11" s="290">
        <f>VLOOKUP($L11,'[1]3-Produção'!$A$125:$C$146,2,FALSE)</f>
        <v>25</v>
      </c>
      <c r="R11" s="290">
        <f>IF(ISNA(VLOOKUP($L11,'[1]3-Produção'!$A$125:$C$146,3,FALSE)),"n/a",VLOOKUP($L11,'[1]3-Produção'!$A$125:$C$146,3,FALSE))</f>
        <v>40.87083333333333</v>
      </c>
      <c r="S11" s="219">
        <f t="shared" si="5"/>
        <v>15.87083333333333</v>
      </c>
      <c r="T11" s="219">
        <f t="shared" si="6"/>
        <v>31.129168236142156</v>
      </c>
      <c r="U11" s="219">
        <f t="shared" si="7"/>
        <v>1.12916666666667</v>
      </c>
      <c r="V11" s="302">
        <v>57.65</v>
      </c>
      <c r="W11" s="333" t="str">
        <f>IF(OR(N10&gt;100,N10="n/a",O10="n/a",P10="n/a",Q10="n/a",R10="n/a"),"X","")</f>
        <v/>
      </c>
    </row>
    <row r="12" spans="1:23" x14ac:dyDescent="0.2">
      <c r="A12" s="209" t="s">
        <v>42</v>
      </c>
      <c r="B12" s="208" t="s">
        <v>42</v>
      </c>
      <c r="C12" s="197">
        <f>VLOOKUP($B12,'[1]4-Disponibilidade'!$A$8:$C$103,2,FALSE)</f>
        <v>99.509803771972656</v>
      </c>
      <c r="D12" s="183">
        <f t="shared" si="4"/>
        <v>408.00000061335828</v>
      </c>
      <c r="E12" s="183">
        <f>VLOOKUP($B12,'[1]4-Disponibilidade'!$A$8:$C$103,3,FALSE)</f>
        <v>406</v>
      </c>
      <c r="F12" s="185">
        <f>IF(ISNA(VLOOKUP($A12,'[1]3-Produção'!$A$9:$C$104,2,FALSE))=TRUE,"n/a",VLOOKUP($A12,'[1]3-Produção'!$A$9:$C$104,2,FALSE))</f>
        <v>145.41666666666666</v>
      </c>
      <c r="G12" s="185">
        <f>IF(ISNA(VLOOKUP($A12,'[1]3-Produção'!$A$9:$C$104,3,FALSE))=TRUE,"n/a",VLOOKUP($A12,'[1]3-Produção'!$A$9:$C$104,3,FALSE))</f>
        <v>190.27083333333334</v>
      </c>
      <c r="H12" s="185">
        <f t="shared" si="0"/>
        <v>44.854166666666686</v>
      </c>
      <c r="I12" s="185">
        <f t="shared" si="1"/>
        <v>217.72916728002494</v>
      </c>
      <c r="J12" s="186">
        <f t="shared" si="2"/>
        <v>215.72916666666666</v>
      </c>
      <c r="K12" s="333" t="str">
        <f t="shared" si="3"/>
        <v/>
      </c>
      <c r="L12" s="209" t="s">
        <v>53</v>
      </c>
      <c r="M12" s="315" t="s">
        <v>53</v>
      </c>
      <c r="N12" s="288">
        <f>VLOOKUP($M12,'[1]4-Disponibilidade'!$E$8:$G$26,2,FALSE)</f>
        <v>81.25</v>
      </c>
      <c r="O12" s="288">
        <f t="shared" si="8"/>
        <v>32</v>
      </c>
      <c r="P12" s="288">
        <f>VLOOKUP($M12,'[1]4-Disponibilidade'!$E$8:$G$26,3,FALSE)</f>
        <v>26</v>
      </c>
      <c r="Q12" s="291">
        <f>VLOOKUP($L12,'[1]3-Produção'!$A$125:$C$146,2,FALSE)</f>
        <v>30</v>
      </c>
      <c r="R12" s="291">
        <f>IF(ISNA(VLOOKUP($L12,'[1]3-Produção'!$A$125:$C$146,3,FALSE)),"n/a",VLOOKUP($L12,'[1]3-Produção'!$A$125:$C$146,3,FALSE))</f>
        <v>26</v>
      </c>
      <c r="S12" s="185">
        <f t="shared" si="5"/>
        <v>-4</v>
      </c>
      <c r="T12" s="185">
        <f t="shared" si="6"/>
        <v>6</v>
      </c>
      <c r="U12" s="185">
        <f t="shared" si="7"/>
        <v>0</v>
      </c>
      <c r="V12" s="303">
        <v>69.349999999999994</v>
      </c>
      <c r="W12" s="333" t="str">
        <f t="shared" ref="W12:W23" si="9">IF(OR(N12&gt;100,N12="n/a",O12="n/a",P12="n/a",Q12="n/a",R12="n/a"),"X","")</f>
        <v/>
      </c>
    </row>
    <row r="13" spans="1:23" x14ac:dyDescent="0.2">
      <c r="A13" s="210" t="s">
        <v>11</v>
      </c>
      <c r="B13" s="211" t="s">
        <v>11</v>
      </c>
      <c r="C13" s="197">
        <f>VLOOKUP($B13,'[1]4-Disponibilidade'!$A$8:$C$103,2,FALSE)</f>
        <v>54.901962280273438</v>
      </c>
      <c r="D13" s="183">
        <f t="shared" si="4"/>
        <v>509.99998610360319</v>
      </c>
      <c r="E13" s="183">
        <f>VLOOKUP($B13,'[1]4-Disponibilidade'!$A$8:$C$103,3,FALSE)</f>
        <v>280</v>
      </c>
      <c r="F13" s="185">
        <f>IF(ISNA(VLOOKUP($A13,'[1]3-Produção'!$A$9:$C$104,2,FALSE))=TRUE,"n/a",VLOOKUP($A13,'[1]3-Produção'!$A$9:$C$104,2,FALSE))</f>
        <v>111</v>
      </c>
      <c r="G13" s="185">
        <f>IF(ISNA(VLOOKUP($A13,'[1]3-Produção'!$A$9:$C$104,3,FALSE))=TRUE,"n/a",VLOOKUP($A13,'[1]3-Produção'!$A$9:$C$104,3,FALSE))</f>
        <v>143.44166666666666</v>
      </c>
      <c r="H13" s="185">
        <f t="shared" si="0"/>
        <v>32.441666666666663</v>
      </c>
      <c r="I13" s="185">
        <f t="shared" si="1"/>
        <v>366.55831943693653</v>
      </c>
      <c r="J13" s="186">
        <f t="shared" si="2"/>
        <v>136.55833333333334</v>
      </c>
      <c r="K13" s="333" t="str">
        <f t="shared" si="3"/>
        <v/>
      </c>
      <c r="L13" s="209" t="s">
        <v>47</v>
      </c>
      <c r="M13" s="315" t="s">
        <v>47</v>
      </c>
      <c r="N13" s="288">
        <f>VLOOKUP($M13,'[1]4-Disponibilidade'!$E$8:$G$26,2,FALSE)</f>
        <v>99.771514892578125</v>
      </c>
      <c r="O13" s="288">
        <f t="shared" si="8"/>
        <v>131.30000094821145</v>
      </c>
      <c r="P13" s="288">
        <f>VLOOKUP($M13,'[1]4-Disponibilidade'!$E$8:$G$26,3,FALSE)</f>
        <v>131</v>
      </c>
      <c r="Q13" s="291">
        <f>VLOOKUP($L13,'[1]3-Produção'!$A$125:$C$146,2,FALSE)</f>
        <v>131</v>
      </c>
      <c r="R13" s="291">
        <f>IF(ISNA(VLOOKUP($L13,'[1]3-Produção'!$A$125:$C$146,3,FALSE)),"n/a",VLOOKUP($L13,'[1]3-Produção'!$A$125:$C$146,3,FALSE))</f>
        <v>130.70833333333337</v>
      </c>
      <c r="S13" s="185">
        <f t="shared" si="5"/>
        <v>-0.29166666666662877</v>
      </c>
      <c r="T13" s="185">
        <f t="shared" si="6"/>
        <v>0.59166761487807662</v>
      </c>
      <c r="U13" s="185">
        <f t="shared" si="7"/>
        <v>0.29166666666662877</v>
      </c>
      <c r="V13" s="303">
        <v>78.13</v>
      </c>
      <c r="W13" s="333" t="str">
        <f t="shared" si="9"/>
        <v/>
      </c>
    </row>
    <row r="14" spans="1:23" x14ac:dyDescent="0.2">
      <c r="A14" s="209" t="s">
        <v>43</v>
      </c>
      <c r="B14" s="208" t="s">
        <v>43</v>
      </c>
      <c r="C14" s="197">
        <f>VLOOKUP($B14,'[1]4-Disponibilidade'!$A$8:$C$103,2,FALSE)</f>
        <v>63.993831634521484</v>
      </c>
      <c r="D14" s="183">
        <f t="shared" si="4"/>
        <v>129.70000057822077</v>
      </c>
      <c r="E14" s="183">
        <f>VLOOKUP($B14,'[1]4-Disponibilidade'!$A$8:$C$103,3,FALSE)</f>
        <v>83</v>
      </c>
      <c r="F14" s="185">
        <f>IF(ISNA(VLOOKUP($A14,'[1]3-Produção'!$A$9:$C$104,2,FALSE))=TRUE,"n/a",VLOOKUP($A14,'[1]3-Produção'!$A$9:$C$104,2,FALSE))</f>
        <v>74.291666666666671</v>
      </c>
      <c r="G14" s="185">
        <f>IF(ISNA(VLOOKUP($A14,'[1]3-Produção'!$A$9:$C$104,3,FALSE))=TRUE,"n/a",VLOOKUP($A14,'[1]3-Produção'!$A$9:$C$104,3,FALSE))</f>
        <v>74.291666666666671</v>
      </c>
      <c r="H14" s="185">
        <f t="shared" si="0"/>
        <v>0</v>
      </c>
      <c r="I14" s="185">
        <f t="shared" si="1"/>
        <v>55.408333911554095</v>
      </c>
      <c r="J14" s="186">
        <f t="shared" si="2"/>
        <v>8.7083333333333286</v>
      </c>
      <c r="K14" s="333" t="str">
        <f t="shared" si="3"/>
        <v/>
      </c>
      <c r="L14" s="238" t="s">
        <v>62</v>
      </c>
      <c r="M14" s="314" t="s">
        <v>62</v>
      </c>
      <c r="N14" s="292">
        <f>VLOOKUP($M14,'[1]4-Disponibilidade'!$E$8:$G$26,2,FALSE)</f>
        <v>30</v>
      </c>
      <c r="O14" s="289">
        <f t="shared" si="8"/>
        <v>20</v>
      </c>
      <c r="P14" s="289">
        <f>VLOOKUP($M14,'[1]4-Disponibilidade'!$E$8:$G$26,3,FALSE)</f>
        <v>6</v>
      </c>
      <c r="Q14" s="290">
        <f>VLOOKUP($L14,'[1]3-Produção'!$A$125:$C$146,2,FALSE)</f>
        <v>6</v>
      </c>
      <c r="R14" s="290">
        <f>IF(ISNA(VLOOKUP($L14,'[1]3-Produção'!$A$125:$C$146,3,FALSE)),"n/a",VLOOKUP($L14,'[1]3-Produção'!$A$125:$C$146,3,FALSE))</f>
        <v>3.1583333333333337</v>
      </c>
      <c r="S14" s="219">
        <f t="shared" si="5"/>
        <v>-2.8416666666666663</v>
      </c>
      <c r="T14" s="219">
        <f t="shared" si="6"/>
        <v>16.841666666666665</v>
      </c>
      <c r="U14" s="219">
        <f t="shared" si="7"/>
        <v>2.8416666666666663</v>
      </c>
      <c r="V14" s="302">
        <v>78.52</v>
      </c>
      <c r="W14" s="333" t="str">
        <f t="shared" si="9"/>
        <v/>
      </c>
    </row>
    <row r="15" spans="1:23" x14ac:dyDescent="0.2">
      <c r="A15" s="209" t="s">
        <v>44</v>
      </c>
      <c r="B15" s="208" t="s">
        <v>44</v>
      </c>
      <c r="C15" s="197">
        <f>VLOOKUP($B15,'[1]4-Disponibilidade'!$A$8:$C$103,2,FALSE)</f>
        <v>100</v>
      </c>
      <c r="D15" s="183">
        <f t="shared" si="4"/>
        <v>102</v>
      </c>
      <c r="E15" s="183">
        <f>VLOOKUP($B15,'[1]4-Disponibilidade'!$A$8:$C$103,3,FALSE)</f>
        <v>102</v>
      </c>
      <c r="F15" s="185">
        <f>IF(ISNA(VLOOKUP($A15,'[1]3-Produção'!$A$9:$C$104,2,FALSE))=TRUE,"n/a",VLOOKUP($A15,'[1]3-Produção'!$A$9:$C$104,2,FALSE))</f>
        <v>41.875</v>
      </c>
      <c r="G15" s="185">
        <f>IF(ISNA(VLOOKUP($A15,'[1]3-Produção'!$A$9:$C$104,3,FALSE))=TRUE,"n/a",VLOOKUP($A15,'[1]3-Produção'!$A$9:$C$104,3,FALSE))</f>
        <v>41.733333333333334</v>
      </c>
      <c r="H15" s="185">
        <f t="shared" si="0"/>
        <v>-0.14166666666666572</v>
      </c>
      <c r="I15" s="185">
        <f t="shared" si="1"/>
        <v>60.266666666666666</v>
      </c>
      <c r="J15" s="186">
        <f t="shared" si="2"/>
        <v>60.266666666666666</v>
      </c>
      <c r="K15" s="333" t="str">
        <f t="shared" si="3"/>
        <v/>
      </c>
      <c r="L15" s="238" t="s">
        <v>76</v>
      </c>
      <c r="M15" s="314" t="s">
        <v>202</v>
      </c>
      <c r="N15" s="292">
        <f>VLOOKUP($M15,'[1]4-Disponibilidade'!$E$8:$G$26,2,FALSE)</f>
        <v>23.529411315917969</v>
      </c>
      <c r="O15" s="289">
        <f t="shared" si="8"/>
        <v>17.000000324249275</v>
      </c>
      <c r="P15" s="292">
        <f>VLOOKUP($M15,'[1]4-Disponibilidade'!$E$8:$G$26,3,FALSE)</f>
        <v>4</v>
      </c>
      <c r="Q15" s="290">
        <f>VLOOKUP($L15,'[1]3-Produção'!$A$125:$C$146,2,FALSE)</f>
        <v>5</v>
      </c>
      <c r="R15" s="290">
        <f>IF(ISNA(VLOOKUP($L15,'[1]3-Produção'!$A$125:$C$146,3,FALSE)),"n/a",VLOOKUP($L15,'[1]3-Produção'!$A$125:$C$146,3,FALSE))</f>
        <v>0</v>
      </c>
      <c r="S15" s="219">
        <f t="shared" si="5"/>
        <v>-5</v>
      </c>
      <c r="T15" s="219">
        <f t="shared" si="6"/>
        <v>17.000000324249275</v>
      </c>
      <c r="U15" s="219">
        <f t="shared" si="7"/>
        <v>4</v>
      </c>
      <c r="V15" s="302">
        <v>87.33</v>
      </c>
      <c r="W15" s="333" t="str">
        <f t="shared" si="9"/>
        <v/>
      </c>
    </row>
    <row r="16" spans="1:23" x14ac:dyDescent="0.2">
      <c r="A16" s="209" t="s">
        <v>45</v>
      </c>
      <c r="B16" s="208" t="s">
        <v>45</v>
      </c>
      <c r="C16" s="197">
        <f>VLOOKUP($B16,'[1]4-Disponibilidade'!$A$8:$C$103,2,FALSE)</f>
        <v>83.333335876464844</v>
      </c>
      <c r="D16" s="183">
        <f t="shared" si="4"/>
        <v>1709.9999478149432</v>
      </c>
      <c r="E16" s="183">
        <f>VLOOKUP($B16,'[1]4-Disponibilidade'!$A$8:$C$103,3,FALSE)</f>
        <v>1425</v>
      </c>
      <c r="F16" s="185">
        <f>IF(ISNA(VLOOKUP($A16,'[1]3-Produção'!$A$9:$C$104,2,FALSE))=TRUE,"n/a",VLOOKUP($A16,'[1]3-Produção'!$A$9:$C$104,2,FALSE))</f>
        <v>1275.8333333333333</v>
      </c>
      <c r="G16" s="185">
        <f>IF(ISNA(VLOOKUP($A16,'[1]3-Produção'!$A$9:$C$104,3,FALSE))=TRUE,"n/a",VLOOKUP($A16,'[1]3-Produção'!$A$9:$C$104,3,FALSE))</f>
        <v>1323.7833333333333</v>
      </c>
      <c r="H16" s="185">
        <f t="shared" si="0"/>
        <v>47.950000000000045</v>
      </c>
      <c r="I16" s="185">
        <f t="shared" si="1"/>
        <v>386.21661448160989</v>
      </c>
      <c r="J16" s="186">
        <f t="shared" si="2"/>
        <v>101.2166666666667</v>
      </c>
      <c r="K16" s="333" t="str">
        <f t="shared" si="3"/>
        <v/>
      </c>
      <c r="L16" s="209" t="s">
        <v>55</v>
      </c>
      <c r="M16" s="315" t="s">
        <v>55</v>
      </c>
      <c r="N16" s="288">
        <f>VLOOKUP($M16,'[1]4-Disponibilidade'!$E$8:$G$26,2,FALSE)</f>
        <v>49.342105865478516</v>
      </c>
      <c r="O16" s="288">
        <f t="shared" si="8"/>
        <v>607.9999925781251</v>
      </c>
      <c r="P16" s="288">
        <f>VLOOKUP($M16,'[1]4-Disponibilidade'!$E$8:$G$26,3,FALSE)</f>
        <v>300</v>
      </c>
      <c r="Q16" s="291">
        <f>VLOOKUP($L16,'[1]3-Produção'!$A$125:$C$146,2,FALSE)</f>
        <v>300</v>
      </c>
      <c r="R16" s="291">
        <f>IF(ISNA(VLOOKUP($L16,'[1]3-Produção'!$A$125:$C$146,3,FALSE)),"n/a",VLOOKUP($L16,'[1]3-Produção'!$A$125:$C$146,3,FALSE))</f>
        <v>295.04583333333329</v>
      </c>
      <c r="S16" s="185">
        <f t="shared" si="5"/>
        <v>-4.9541666666667084</v>
      </c>
      <c r="T16" s="185">
        <f t="shared" si="6"/>
        <v>312.95415924479181</v>
      </c>
      <c r="U16" s="185">
        <f t="shared" si="7"/>
        <v>4.9541666666667084</v>
      </c>
      <c r="V16" s="303">
        <v>97.11</v>
      </c>
      <c r="W16" s="333" t="str">
        <f t="shared" si="9"/>
        <v/>
      </c>
    </row>
    <row r="17" spans="1:27" x14ac:dyDescent="0.2">
      <c r="A17" s="209" t="s">
        <v>46</v>
      </c>
      <c r="B17" s="208" t="s">
        <v>46</v>
      </c>
      <c r="C17" s="197">
        <f>VLOOKUP($B17,'[1]4-Disponibilidade'!$A$8:$C$103,2,FALSE)</f>
        <v>65.359481811523438</v>
      </c>
      <c r="D17" s="183">
        <f t="shared" si="4"/>
        <v>61.199995610962233</v>
      </c>
      <c r="E17" s="183">
        <f>VLOOKUP($B17,'[1]4-Disponibilidade'!$A$8:$C$103,3,FALSE)</f>
        <v>40</v>
      </c>
      <c r="F17" s="185">
        <f>IF(ISNA(VLOOKUP($A17,'[1]3-Produção'!$A$9:$C$104,2,FALSE))=TRUE,"n/a",VLOOKUP($A17,'[1]3-Produção'!$A$9:$C$104,2,FALSE))</f>
        <v>24</v>
      </c>
      <c r="G17" s="185">
        <f>IF(ISNA(VLOOKUP($A17,'[1]3-Produção'!$A$9:$C$104,3,FALSE))=TRUE,"n/a",VLOOKUP($A17,'[1]3-Produção'!$A$9:$C$104,3,FALSE))</f>
        <v>25.204166666666666</v>
      </c>
      <c r="H17" s="185">
        <f t="shared" si="0"/>
        <v>1.2041666666666657</v>
      </c>
      <c r="I17" s="185">
        <f t="shared" si="1"/>
        <v>35.995828944295567</v>
      </c>
      <c r="J17" s="186">
        <f t="shared" si="2"/>
        <v>14.795833333333334</v>
      </c>
      <c r="K17" s="333" t="str">
        <f t="shared" si="3"/>
        <v/>
      </c>
      <c r="L17" s="209" t="s">
        <v>50</v>
      </c>
      <c r="M17" s="315" t="s">
        <v>50</v>
      </c>
      <c r="N17" s="288">
        <f>VLOOKUP($M17,'[1]4-Disponibilidade'!$E$8:$G$26,2,FALSE)</f>
        <v>59.574466705322266</v>
      </c>
      <c r="O17" s="288">
        <f t="shared" si="8"/>
        <v>470.00001088551136</v>
      </c>
      <c r="P17" s="288">
        <f>VLOOKUP($M17,'[1]4-Disponibilidade'!$E$8:$G$26,3,FALSE)</f>
        <v>280</v>
      </c>
      <c r="Q17" s="291">
        <f>VLOOKUP($L17,'[1]3-Produção'!$A$125:$C$146,2,FALSE)</f>
        <v>237.5</v>
      </c>
      <c r="R17" s="291">
        <f>IF(ISNA(VLOOKUP($L17,'[1]3-Produção'!$A$125:$C$146,3,FALSE)),"n/a",VLOOKUP($L17,'[1]3-Produção'!$A$125:$C$146,3,FALSE))</f>
        <v>196.99166666666665</v>
      </c>
      <c r="S17" s="185">
        <f t="shared" si="5"/>
        <v>-40.508333333333354</v>
      </c>
      <c r="T17" s="185">
        <f t="shared" si="6"/>
        <v>273.00834421884474</v>
      </c>
      <c r="U17" s="185">
        <f t="shared" si="7"/>
        <v>83.008333333333354</v>
      </c>
      <c r="V17" s="303">
        <v>115.27</v>
      </c>
      <c r="W17" s="333" t="str">
        <f t="shared" si="9"/>
        <v/>
      </c>
    </row>
    <row r="18" spans="1:27" x14ac:dyDescent="0.2">
      <c r="A18" s="212" t="s">
        <v>48</v>
      </c>
      <c r="B18" s="213" t="s">
        <v>48</v>
      </c>
      <c r="C18" s="197">
        <f>VLOOKUP($B18,'[1]4-Disponibilidade'!$A$8:$C$103,2,FALSE)</f>
        <v>86.363639831542969</v>
      </c>
      <c r="D18" s="183">
        <f t="shared" si="4"/>
        <v>395.99998409873626</v>
      </c>
      <c r="E18" s="183">
        <f>VLOOKUP($B18,'[1]4-Disponibilidade'!$A$8:$C$103,3,FALSE)</f>
        <v>342</v>
      </c>
      <c r="F18" s="185">
        <f>IF(ISNA(VLOOKUP($A18,'[1]3-Produção'!$A$9:$C$104,2,FALSE))=TRUE,"n/a",VLOOKUP($A18,'[1]3-Produção'!$A$9:$C$104,2,FALSE))</f>
        <v>177.5</v>
      </c>
      <c r="G18" s="185">
        <f>IF(ISNA(VLOOKUP($A18,'[1]3-Produção'!$A$9:$C$104,3,FALSE))=TRUE,"n/a",VLOOKUP($A18,'[1]3-Produção'!$A$9:$C$104,3,FALSE))</f>
        <v>181.38749999999999</v>
      </c>
      <c r="H18" s="185">
        <f t="shared" si="0"/>
        <v>3.8874999999999886</v>
      </c>
      <c r="I18" s="185">
        <f t="shared" si="1"/>
        <v>214.61248409873627</v>
      </c>
      <c r="J18" s="186">
        <f t="shared" si="2"/>
        <v>160.61250000000001</v>
      </c>
      <c r="K18" s="333" t="str">
        <f t="shared" si="3"/>
        <v/>
      </c>
      <c r="L18" s="238" t="s">
        <v>63</v>
      </c>
      <c r="M18" s="314" t="s">
        <v>63</v>
      </c>
      <c r="N18" s="289">
        <f>VLOOKUP($M18,'[1]4-Disponibilidade'!$E$8:$G$26,2,FALSE)</f>
        <v>19.696969985961914</v>
      </c>
      <c r="O18" s="289">
        <f t="shared" si="8"/>
        <v>65.999999031653786</v>
      </c>
      <c r="P18" s="289">
        <f>VLOOKUP($M18,'[1]4-Disponibilidade'!$E$8:$G$26,3,FALSE)</f>
        <v>13</v>
      </c>
      <c r="Q18" s="290">
        <f>VLOOKUP($L18,'[1]3-Produção'!$A$125:$C$146,2,FALSE)</f>
        <v>13</v>
      </c>
      <c r="R18" s="290">
        <f>IF(ISNA(VLOOKUP($L18,'[1]3-Produção'!$A$125:$C$146,3,FALSE)),"n/a",VLOOKUP($L18,'[1]3-Produção'!$A$125:$C$146,3,FALSE))</f>
        <v>13</v>
      </c>
      <c r="S18" s="219">
        <f t="shared" si="5"/>
        <v>0</v>
      </c>
      <c r="T18" s="219">
        <f t="shared" si="6"/>
        <v>52.999999031653786</v>
      </c>
      <c r="U18" s="219">
        <f t="shared" si="7"/>
        <v>0</v>
      </c>
      <c r="V18" s="302">
        <v>128.24</v>
      </c>
      <c r="W18" s="333" t="str">
        <f t="shared" si="9"/>
        <v/>
      </c>
    </row>
    <row r="19" spans="1:27" x14ac:dyDescent="0.2">
      <c r="A19" s="209" t="s">
        <v>49</v>
      </c>
      <c r="B19" s="208" t="s">
        <v>49</v>
      </c>
      <c r="C19" s="197">
        <f>VLOOKUP($B19,'[1]4-Disponibilidade'!$A$8:$C$103,2,FALSE)</f>
        <v>100</v>
      </c>
      <c r="D19" s="183">
        <f t="shared" si="4"/>
        <v>380</v>
      </c>
      <c r="E19" s="183">
        <f>VLOOKUP($B19,'[1]4-Disponibilidade'!$A$8:$C$103,3,FALSE)</f>
        <v>380</v>
      </c>
      <c r="F19" s="185">
        <f>IF(ISNA(VLOOKUP($A19,'[1]3-Produção'!$A$9:$C$104,2,FALSE))=TRUE,"n/a",VLOOKUP($A19,'[1]3-Produção'!$A$9:$C$104,2,FALSE))</f>
        <v>255.83333333333334</v>
      </c>
      <c r="G19" s="185">
        <f>IF(ISNA(VLOOKUP($A19,'[1]3-Produção'!$A$9:$C$104,3,FALSE))=TRUE,"n/a",VLOOKUP($A19,'[1]3-Produção'!$A$9:$C$104,3,FALSE))</f>
        <v>255.31666666666669</v>
      </c>
      <c r="H19" s="185">
        <f t="shared" si="0"/>
        <v>-0.51666666666665151</v>
      </c>
      <c r="I19" s="185">
        <f t="shared" si="1"/>
        <v>124.68333333333331</v>
      </c>
      <c r="J19" s="186">
        <f t="shared" si="2"/>
        <v>124.68333333333331</v>
      </c>
      <c r="K19" s="333" t="str">
        <f t="shared" si="3"/>
        <v/>
      </c>
      <c r="L19" s="209" t="s">
        <v>186</v>
      </c>
      <c r="M19" s="315" t="s">
        <v>204</v>
      </c>
      <c r="N19" s="288">
        <f>VLOOKUP($M19,'[1]4-Disponibilidade'!$E$8:$G$26,2,FALSE)</f>
        <v>38.888889312744141</v>
      </c>
      <c r="O19" s="288">
        <f t="shared" si="8"/>
        <v>35.999999607631146</v>
      </c>
      <c r="P19" s="288">
        <f>VLOOKUP($M19,'[1]4-Disponibilidade'!$E$8:$G$26,3,FALSE)</f>
        <v>14</v>
      </c>
      <c r="Q19" s="291">
        <f>VLOOKUP("Carioba*",'[1]3-Produção'!$A$125:$C$146,2,FALSE)</f>
        <v>0</v>
      </c>
      <c r="R19" s="291" t="str">
        <f>IF(ISNA(VLOOKUP($L19,'[1]3-Produção'!$A$125:$C$146,3,FALSE)),"n/a",VLOOKUP($L19,'[1]3-Produção'!$A$125:$C$146,3,FALSE))</f>
        <v>n/a</v>
      </c>
      <c r="S19" s="185" t="str">
        <f t="shared" si="5"/>
        <v>n/a</v>
      </c>
      <c r="T19" s="185" t="str">
        <f t="shared" si="6"/>
        <v>n/a</v>
      </c>
      <c r="U19" s="185" t="str">
        <f t="shared" si="7"/>
        <v>n/a</v>
      </c>
      <c r="V19" s="303">
        <v>142.88</v>
      </c>
      <c r="W19" s="333" t="str">
        <f t="shared" si="9"/>
        <v>X</v>
      </c>
    </row>
    <row r="20" spans="1:27" x14ac:dyDescent="0.2">
      <c r="A20" s="209" t="s">
        <v>51</v>
      </c>
      <c r="B20" s="208" t="s">
        <v>194</v>
      </c>
      <c r="C20" s="197">
        <f>VLOOKUP($B20,'[1]4-Disponibilidade'!$A$8:$C$103,2,FALSE)</f>
        <v>85.665336608886719</v>
      </c>
      <c r="D20" s="183">
        <f t="shared" si="4"/>
        <v>17.509999486121131</v>
      </c>
      <c r="E20" s="183">
        <f>VLOOKUP($B20,'[1]4-Disponibilidade'!$A$8:$C$103,3,FALSE)</f>
        <v>15</v>
      </c>
      <c r="F20" s="185">
        <f>IF(ISNA(VLOOKUP($A20,'[1]3-Produção'!$A$9:$C$104,2,FALSE))=TRUE,"n/a",VLOOKUP($A20,'[1]3-Produção'!$A$9:$C$104,2,FALSE))</f>
        <v>8.7083333333333339</v>
      </c>
      <c r="G20" s="185">
        <f>IF(ISNA(VLOOKUP($A20,'[1]3-Produção'!$A$9:$C$104,3,FALSE))=TRUE,"n/a",VLOOKUP($A20,'[1]3-Produção'!$A$9:$C$104,3,FALSE))</f>
        <v>8.7083333333333339</v>
      </c>
      <c r="H20" s="185">
        <f t="shared" si="0"/>
        <v>0</v>
      </c>
      <c r="I20" s="185">
        <f t="shared" si="1"/>
        <v>8.8016661527877975</v>
      </c>
      <c r="J20" s="186">
        <f t="shared" si="2"/>
        <v>6.2916666666666661</v>
      </c>
      <c r="K20" s="333" t="str">
        <f t="shared" si="3"/>
        <v/>
      </c>
      <c r="L20" s="209" t="s">
        <v>58</v>
      </c>
      <c r="M20" s="315" t="s">
        <v>58</v>
      </c>
      <c r="N20" s="293">
        <f>VLOOKUP($M20,'[1]4-Disponibilidade'!$E$8:$G$26,2,FALSE)</f>
        <v>28.125</v>
      </c>
      <c r="O20" s="288">
        <f t="shared" si="8"/>
        <v>480</v>
      </c>
      <c r="P20" s="293">
        <f>VLOOKUP($M20,'[1]4-Disponibilidade'!$E$8:$G$26,3,FALSE)</f>
        <v>135</v>
      </c>
      <c r="Q20" s="291">
        <f>VLOOKUP($L20,'[1]3-Produção'!$A$125:$C$146,2,FALSE)</f>
        <v>450</v>
      </c>
      <c r="R20" s="291">
        <f>IF(ISNA(VLOOKUP($L20,'[1]3-Produção'!$A$125:$C$146,3,FALSE)),"n/a",VLOOKUP($L20,'[1]3-Produção'!$A$125:$C$146,3,FALSE))</f>
        <v>135</v>
      </c>
      <c r="S20" s="185">
        <f t="shared" si="5"/>
        <v>-315</v>
      </c>
      <c r="T20" s="185">
        <f t="shared" si="6"/>
        <v>345</v>
      </c>
      <c r="U20" s="185">
        <f t="shared" si="7"/>
        <v>0</v>
      </c>
      <c r="V20" s="303">
        <v>160.06</v>
      </c>
      <c r="W20" s="333" t="str">
        <f t="shared" si="9"/>
        <v/>
      </c>
    </row>
    <row r="21" spans="1:27" x14ac:dyDescent="0.2">
      <c r="A21" s="209" t="s">
        <v>52</v>
      </c>
      <c r="B21" s="208" t="s">
        <v>52</v>
      </c>
      <c r="C21" s="197">
        <f>VLOOKUP($B21,'[1]4-Disponibilidade'!$A$8:$C$103,2,FALSE)</f>
        <v>33.958892822265625</v>
      </c>
      <c r="D21" s="183">
        <f t="shared" si="4"/>
        <v>111.89999685468182</v>
      </c>
      <c r="E21" s="183">
        <f>VLOOKUP($B21,'[1]4-Disponibilidade'!$A$8:$C$103,3,FALSE)</f>
        <v>38</v>
      </c>
      <c r="F21" s="185">
        <f>IF(ISNA(VLOOKUP($A21,'[1]3-Produção'!$A$9:$C$104,2,FALSE))=TRUE,"n/a",VLOOKUP($A21,'[1]3-Produção'!$A$9:$C$104,2,FALSE))</f>
        <v>40</v>
      </c>
      <c r="G21" s="185">
        <f>IF(ISNA(VLOOKUP($A21,'[1]3-Produção'!$A$9:$C$104,3,FALSE))=TRUE,"n/a",VLOOKUP($A21,'[1]3-Produção'!$A$9:$C$104,3,FALSE))</f>
        <v>40</v>
      </c>
      <c r="H21" s="185">
        <f t="shared" si="0"/>
        <v>0</v>
      </c>
      <c r="I21" s="185">
        <f t="shared" si="1"/>
        <v>71.899996854681817</v>
      </c>
      <c r="J21" s="186">
        <f t="shared" si="2"/>
        <v>-2</v>
      </c>
      <c r="K21" s="333" t="str">
        <f t="shared" si="3"/>
        <v/>
      </c>
      <c r="L21" s="238" t="s">
        <v>74</v>
      </c>
      <c r="M21" s="314" t="s">
        <v>74</v>
      </c>
      <c r="N21" s="289">
        <f>VLOOKUP($M21,'[1]4-Disponibilidade'!$E$8:$G$26,2,FALSE)</f>
        <v>0</v>
      </c>
      <c r="O21" s="289">
        <f t="shared" si="8"/>
        <v>0</v>
      </c>
      <c r="P21" s="289">
        <f>VLOOKUP($M21,'[1]4-Disponibilidade'!$E$8:$G$26,3,FALSE)</f>
        <v>0</v>
      </c>
      <c r="Q21" s="290">
        <f>VLOOKUP($L21,'[1]3-Produção'!$A$125:$C$146,2,FALSE)</f>
        <v>0</v>
      </c>
      <c r="R21" s="290">
        <f>IF(ISNA(VLOOKUP($L21,'[1]3-Produção'!$A$125:$C$146,3,FALSE)),"n/a",VLOOKUP($L21,'[1]3-Produção'!$A$125:$C$146,3,FALSE))</f>
        <v>0</v>
      </c>
      <c r="S21" s="219">
        <f t="shared" si="5"/>
        <v>0</v>
      </c>
      <c r="T21" s="219">
        <f t="shared" si="6"/>
        <v>0</v>
      </c>
      <c r="U21" s="219">
        <f t="shared" si="7"/>
        <v>0</v>
      </c>
      <c r="V21" s="302">
        <v>204.96</v>
      </c>
      <c r="W21" s="333" t="str">
        <f t="shared" si="9"/>
        <v/>
      </c>
    </row>
    <row r="22" spans="1:27" x14ac:dyDescent="0.2">
      <c r="A22" s="212" t="s">
        <v>54</v>
      </c>
      <c r="B22" s="213" t="s">
        <v>54</v>
      </c>
      <c r="C22" s="197">
        <f>VLOOKUP($B22,'[1]4-Disponibilidade'!$A$8:$C$103,2,FALSE)</f>
        <v>84.047462463378906</v>
      </c>
      <c r="D22" s="183">
        <f t="shared" si="4"/>
        <v>60.679999734937482</v>
      </c>
      <c r="E22" s="183">
        <f>VLOOKUP($B22,'[1]4-Disponibilidade'!$A$8:$C$103,3,FALSE)</f>
        <v>51</v>
      </c>
      <c r="F22" s="185">
        <f>IF(ISNA(VLOOKUP($A22,'[1]3-Produção'!$A$9:$C$104,2,FALSE))=TRUE,"n/a",VLOOKUP($A22,'[1]3-Produção'!$A$9:$C$104,2,FALSE))</f>
        <v>28.583333333333332</v>
      </c>
      <c r="G22" s="185">
        <f>IF(ISNA(VLOOKUP($A22,'[1]3-Produção'!$A$9:$C$104,3,FALSE))=TRUE,"n/a",VLOOKUP($A22,'[1]3-Produção'!$A$9:$C$104,3,FALSE))</f>
        <v>28.583333333333332</v>
      </c>
      <c r="H22" s="185">
        <f t="shared" si="0"/>
        <v>0</v>
      </c>
      <c r="I22" s="185">
        <f t="shared" si="1"/>
        <v>32.096666401604153</v>
      </c>
      <c r="J22" s="186">
        <f t="shared" si="2"/>
        <v>22.416666666666668</v>
      </c>
      <c r="K22" s="333" t="str">
        <f t="shared" si="3"/>
        <v/>
      </c>
      <c r="L22" s="252" t="s">
        <v>79</v>
      </c>
      <c r="M22" s="316" t="s">
        <v>79</v>
      </c>
      <c r="N22" s="294">
        <f>VLOOKUP($M22,'[1]4-Disponibilidade'!$E$8:$G$26,2,FALSE)</f>
        <v>20</v>
      </c>
      <c r="O22" s="295">
        <f t="shared" si="8"/>
        <v>200</v>
      </c>
      <c r="P22" s="294">
        <f>VLOOKUP($M22,'[1]4-Disponibilidade'!$E$8:$G$26,3,FALSE)</f>
        <v>40</v>
      </c>
      <c r="Q22" s="296">
        <f>VLOOKUP($L22,'[1]3-Produção'!$A$125:$C$146,2,FALSE)</f>
        <v>40</v>
      </c>
      <c r="R22" s="296">
        <f>IF(ISNA(VLOOKUP($L22,'[1]3-Produção'!$A$125:$C$146,3,FALSE)),"n/a",VLOOKUP($L22,'[1]3-Produção'!$A$125:$C$146,3,FALSE))</f>
        <v>35.570833333333333</v>
      </c>
      <c r="S22" s="247">
        <f t="shared" si="5"/>
        <v>-4.4291666666666671</v>
      </c>
      <c r="T22" s="247">
        <f t="shared" si="6"/>
        <v>164.42916666666667</v>
      </c>
      <c r="U22" s="247">
        <f t="shared" si="7"/>
        <v>4.4291666666666671</v>
      </c>
      <c r="V22" s="304">
        <v>247.78</v>
      </c>
      <c r="W22" s="333" t="str">
        <f t="shared" si="9"/>
        <v/>
      </c>
    </row>
    <row r="23" spans="1:27" ht="13.5" thickBot="1" x14ac:dyDescent="0.25">
      <c r="A23" s="209" t="s">
        <v>56</v>
      </c>
      <c r="B23" s="208" t="s">
        <v>56</v>
      </c>
      <c r="C23" s="197">
        <f>VLOOKUP($B23,'[1]4-Disponibilidade'!$A$8:$C$103,2,FALSE)</f>
        <v>87.982833862304688</v>
      </c>
      <c r="D23" s="183">
        <f t="shared" si="4"/>
        <v>1397.9999802290756</v>
      </c>
      <c r="E23" s="183">
        <f>VLOOKUP($B23,'[1]4-Disponibilidade'!$A$8:$C$103,3,FALSE)</f>
        <v>1230</v>
      </c>
      <c r="F23" s="185">
        <f>IF(ISNA(VLOOKUP($A23,'[1]3-Produção'!$A$9:$C$104,2,FALSE))=TRUE,"n/a",VLOOKUP($A23,'[1]3-Produção'!$A$9:$C$104,2,FALSE))</f>
        <v>746.875</v>
      </c>
      <c r="G23" s="185">
        <f>IF(ISNA(VLOOKUP($A23,'[1]3-Produção'!$A$9:$C$104,3,FALSE))=TRUE,"n/a",VLOOKUP($A23,'[1]3-Produção'!$A$9:$C$104,3,FALSE))</f>
        <v>756.37916666666661</v>
      </c>
      <c r="H23" s="185">
        <f t="shared" si="0"/>
        <v>9.504166666666606</v>
      </c>
      <c r="I23" s="185">
        <f t="shared" si="1"/>
        <v>641.62081356240901</v>
      </c>
      <c r="J23" s="186">
        <f t="shared" si="2"/>
        <v>473.62083333333339</v>
      </c>
      <c r="K23" s="333" t="str">
        <f t="shared" si="3"/>
        <v/>
      </c>
      <c r="L23" s="317" t="s">
        <v>72</v>
      </c>
      <c r="M23" s="318" t="s">
        <v>72</v>
      </c>
      <c r="N23" s="299">
        <f>VLOOKUP($M23,'[1]4-Disponibilidade'!$E$8:$G$26,2,FALSE)</f>
        <v>43.75</v>
      </c>
      <c r="O23" s="299">
        <f t="shared" si="8"/>
        <v>80</v>
      </c>
      <c r="P23" s="299">
        <f>VLOOKUP($M23,'[1]4-Disponibilidade'!$E$8:$G$26,3,FALSE)</f>
        <v>35</v>
      </c>
      <c r="Q23" s="300">
        <f>VLOOKUP($L23,'[1]3-Produção'!$A$125:$C$146,2,FALSE)</f>
        <v>2.9166666666666665</v>
      </c>
      <c r="R23" s="300">
        <f>IF(ISNA(VLOOKUP($L23,'[1]3-Produção'!$A$125:$C$146,3,FALSE)),"n/a",VLOOKUP($L23,'[1]3-Produção'!$A$125:$C$146,3,FALSE))</f>
        <v>5.083333333333333</v>
      </c>
      <c r="S23" s="230">
        <f t="shared" si="5"/>
        <v>2.1666666666666665</v>
      </c>
      <c r="T23" s="230">
        <f t="shared" si="6"/>
        <v>74.916666666666671</v>
      </c>
      <c r="U23" s="230">
        <f t="shared" si="7"/>
        <v>29.916666666666668</v>
      </c>
      <c r="V23" s="305">
        <v>324.06</v>
      </c>
      <c r="W23" s="333" t="str">
        <f t="shared" si="9"/>
        <v/>
      </c>
    </row>
    <row r="24" spans="1:27" ht="13.5" thickBot="1" x14ac:dyDescent="0.25">
      <c r="A24" s="209" t="s">
        <v>57</v>
      </c>
      <c r="B24" s="208" t="s">
        <v>57</v>
      </c>
      <c r="C24" s="197">
        <f>VLOOKUP($B24,'[1]4-Disponibilidade'!$A$8:$C$103,2,FALSE)</f>
        <v>90</v>
      </c>
      <c r="D24" s="183">
        <f t="shared" si="4"/>
        <v>140</v>
      </c>
      <c r="E24" s="183">
        <f>VLOOKUP($B24,'[1]4-Disponibilidade'!$A$8:$C$103,3,FALSE)</f>
        <v>126</v>
      </c>
      <c r="F24" s="185">
        <f>IF(ISNA(VLOOKUP($A24,'[1]3-Produção'!$A$9:$C$104,2,FALSE))=TRUE,"n/a",VLOOKUP($A24,'[1]3-Produção'!$A$9:$C$104,2,FALSE))</f>
        <v>64.166666666666671</v>
      </c>
      <c r="G24" s="185">
        <f>IF(ISNA(VLOOKUP($A24,'[1]3-Produção'!$A$9:$C$104,3,FALSE))=TRUE,"n/a",VLOOKUP($A24,'[1]3-Produção'!$A$9:$C$104,3,FALSE))</f>
        <v>72.362499999999997</v>
      </c>
      <c r="H24" s="185">
        <f t="shared" si="0"/>
        <v>8.1958333333333258</v>
      </c>
      <c r="I24" s="185">
        <f t="shared" si="1"/>
        <v>67.637500000000003</v>
      </c>
      <c r="J24" s="186">
        <f t="shared" si="2"/>
        <v>53.637500000000003</v>
      </c>
      <c r="K24" s="333" t="str">
        <f t="shared" si="3"/>
        <v/>
      </c>
      <c r="L24" s="329" t="s">
        <v>181</v>
      </c>
      <c r="M24" s="325"/>
      <c r="N24" s="330">
        <f>SUMPRODUCT(N5:N23,O5:O23)/O24</f>
        <v>31.8365689195121</v>
      </c>
      <c r="O24" s="330">
        <f t="shared" ref="O24:U24" si="10">SUM(O5:O23)</f>
        <v>5908.2999953778517</v>
      </c>
      <c r="P24" s="330">
        <f t="shared" si="10"/>
        <v>4136</v>
      </c>
      <c r="Q24" s="330">
        <f t="shared" si="10"/>
        <v>4416.041666666667</v>
      </c>
      <c r="R24" s="330">
        <f t="shared" si="10"/>
        <v>3892.141666666666</v>
      </c>
      <c r="S24" s="331">
        <f t="shared" si="10"/>
        <v>-523.90000000000043</v>
      </c>
      <c r="T24" s="331">
        <f t="shared" si="10"/>
        <v>1980.1583291035547</v>
      </c>
      <c r="U24" s="331">
        <f t="shared" si="10"/>
        <v>229.85833333333375</v>
      </c>
      <c r="V24" s="332"/>
      <c r="W24" s="334"/>
    </row>
    <row r="25" spans="1:27" x14ac:dyDescent="0.2">
      <c r="A25" s="209" t="s">
        <v>59</v>
      </c>
      <c r="B25" s="208" t="s">
        <v>59</v>
      </c>
      <c r="C25" s="197">
        <f>VLOOKUP($B25,'[1]4-Disponibilidade'!$A$8:$C$103,2,FALSE)</f>
        <v>91.666664123535156</v>
      </c>
      <c r="D25" s="183">
        <f t="shared" si="4"/>
        <v>144.00000399502852</v>
      </c>
      <c r="E25" s="183">
        <f>VLOOKUP($B25,'[1]4-Disponibilidade'!$A$8:$C$103,3,FALSE)</f>
        <v>132</v>
      </c>
      <c r="F25" s="185">
        <f>IF(ISNA(VLOOKUP($A25,'[1]3-Produção'!$A$9:$C$104,2,FALSE))=TRUE,"n/a",VLOOKUP($A25,'[1]3-Produção'!$A$9:$C$104,2,FALSE))</f>
        <v>62.5</v>
      </c>
      <c r="G25" s="185">
        <f>IF(ISNA(VLOOKUP($A25,'[1]3-Produção'!$A$9:$C$104,3,FALSE))=TRUE,"n/a",VLOOKUP($A25,'[1]3-Produção'!$A$9:$C$104,3,FALSE))</f>
        <v>76.400000000000006</v>
      </c>
      <c r="H25" s="185">
        <f t="shared" si="0"/>
        <v>13.900000000000006</v>
      </c>
      <c r="I25" s="185">
        <f t="shared" si="1"/>
        <v>67.600003995028516</v>
      </c>
      <c r="J25" s="186">
        <f t="shared" si="2"/>
        <v>55.599999999999994</v>
      </c>
      <c r="K25" s="333" t="str">
        <f t="shared" si="3"/>
        <v/>
      </c>
      <c r="R25" s="4"/>
      <c r="S25" s="15"/>
      <c r="T25" s="15"/>
      <c r="U25" s="15"/>
    </row>
    <row r="26" spans="1:27" x14ac:dyDescent="0.2">
      <c r="A26" s="209" t="s">
        <v>60</v>
      </c>
      <c r="B26" s="208" t="s">
        <v>60</v>
      </c>
      <c r="C26" s="197">
        <f>VLOOKUP($B26,'[1]4-Disponibilidade'!$A$8:$C$103,2,FALSE)</f>
        <v>81.25</v>
      </c>
      <c r="D26" s="183">
        <f t="shared" si="4"/>
        <v>80</v>
      </c>
      <c r="E26" s="183">
        <f>VLOOKUP($B26,'[1]4-Disponibilidade'!$A$8:$C$103,3,FALSE)</f>
        <v>65</v>
      </c>
      <c r="F26" s="185">
        <f>IF(ISNA(VLOOKUP($A26,'[1]3-Produção'!$A$9:$C$104,2,FALSE))=TRUE,"n/a",VLOOKUP($A26,'[1]3-Produção'!$A$9:$C$104,2,FALSE))</f>
        <v>35.75</v>
      </c>
      <c r="G26" s="185">
        <f>IF(ISNA(VLOOKUP($A26,'[1]3-Produção'!$A$9:$C$104,3,FALSE))=TRUE,"n/a",VLOOKUP($A26,'[1]3-Produção'!$A$9:$C$104,3,FALSE))</f>
        <v>35.487499999999997</v>
      </c>
      <c r="H26" s="185">
        <f t="shared" si="0"/>
        <v>-0.26250000000000284</v>
      </c>
      <c r="I26" s="185">
        <f t="shared" si="1"/>
        <v>44.512500000000003</v>
      </c>
      <c r="J26" s="186">
        <f t="shared" si="2"/>
        <v>29.512500000000003</v>
      </c>
      <c r="K26" s="333" t="str">
        <f t="shared" si="3"/>
        <v/>
      </c>
      <c r="L26" s="19" t="s">
        <v>304</v>
      </c>
      <c r="M26" s="16"/>
      <c r="R26" s="4"/>
    </row>
    <row r="27" spans="1:27" x14ac:dyDescent="0.2">
      <c r="A27" s="209" t="s">
        <v>24</v>
      </c>
      <c r="B27" s="208" t="s">
        <v>24</v>
      </c>
      <c r="C27" s="197">
        <f>VLOOKUP($B27,'[1]4-Disponibilidade'!$A$8:$C$103,2,FALSE)</f>
        <v>93.75</v>
      </c>
      <c r="D27" s="183">
        <f t="shared" si="4"/>
        <v>416</v>
      </c>
      <c r="E27" s="183">
        <f>VLOOKUP($B27,'[1]4-Disponibilidade'!$A$8:$C$103,3,FALSE)</f>
        <v>390</v>
      </c>
      <c r="F27" s="185">
        <f>IF(ISNA(VLOOKUP($A27,'[1]3-Produção'!$A$9:$C$104,2,FALSE))=TRUE,"n/a",VLOOKUP($A27,'[1]3-Produção'!$A$9:$C$104,2,FALSE))</f>
        <v>212.29166666666666</v>
      </c>
      <c r="G27" s="185">
        <f>IF(ISNA(VLOOKUP($A27,'[1]3-Produção'!$A$9:$C$104,3,FALSE))=TRUE,"n/a",VLOOKUP($A27,'[1]3-Produção'!$A$9:$C$104,3,FALSE))</f>
        <v>194.87083333333337</v>
      </c>
      <c r="H27" s="185">
        <f t="shared" si="0"/>
        <v>-17.420833333333292</v>
      </c>
      <c r="I27" s="185">
        <f t="shared" si="1"/>
        <v>221.12916666666663</v>
      </c>
      <c r="J27" s="186">
        <f t="shared" si="2"/>
        <v>195.12916666666663</v>
      </c>
      <c r="K27" s="333" t="str">
        <f t="shared" si="3"/>
        <v/>
      </c>
      <c r="L27" s="19" t="s">
        <v>305</v>
      </c>
      <c r="M27" s="16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27" x14ac:dyDescent="0.2">
      <c r="A28" s="209" t="s">
        <v>25</v>
      </c>
      <c r="B28" s="208" t="s">
        <v>25</v>
      </c>
      <c r="C28" s="197">
        <f>VLOOKUP($B28,'[1]4-Disponibilidade'!$A$8:$C$103,2,FALSE)</f>
        <v>93.75</v>
      </c>
      <c r="D28" s="183">
        <f t="shared" si="4"/>
        <v>640</v>
      </c>
      <c r="E28" s="183">
        <f>VLOOKUP($B28,'[1]4-Disponibilidade'!$A$8:$C$103,3,FALSE)</f>
        <v>600</v>
      </c>
      <c r="F28" s="185">
        <f>IF(ISNA(VLOOKUP($A28,'[1]3-Produção'!$A$9:$C$104,2,FALSE))=TRUE,"n/a",VLOOKUP($A28,'[1]3-Produção'!$A$9:$C$104,2,FALSE))</f>
        <v>527.5</v>
      </c>
      <c r="G28" s="185">
        <f>IF(ISNA(VLOOKUP($A28,'[1]3-Produção'!$A$9:$C$104,3,FALSE))=TRUE,"n/a",VLOOKUP($A28,'[1]3-Produção'!$A$9:$C$104,3,FALSE))</f>
        <v>501</v>
      </c>
      <c r="H28" s="185">
        <f t="shared" si="0"/>
        <v>-26.5</v>
      </c>
      <c r="I28" s="185">
        <f t="shared" si="1"/>
        <v>139</v>
      </c>
      <c r="J28" s="186">
        <f t="shared" si="2"/>
        <v>99</v>
      </c>
      <c r="K28" s="333" t="str">
        <f t="shared" si="3"/>
        <v/>
      </c>
      <c r="L28" s="19"/>
      <c r="O28" s="337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x14ac:dyDescent="0.2">
      <c r="A29" s="209" t="s">
        <v>64</v>
      </c>
      <c r="B29" s="208" t="s">
        <v>64</v>
      </c>
      <c r="C29" s="197">
        <f>VLOOKUP($B29,'[1]4-Disponibilidade'!$A$8:$C$103,2,FALSE)</f>
        <v>98.181816101074219</v>
      </c>
      <c r="D29" s="183">
        <f t="shared" si="4"/>
        <v>82.500001748402951</v>
      </c>
      <c r="E29" s="183">
        <f>VLOOKUP($B29,'[1]4-Disponibilidade'!$A$8:$C$103,3,FALSE)</f>
        <v>81</v>
      </c>
      <c r="F29" s="185">
        <f>IF(ISNA(VLOOKUP($A29,'[1]3-Produção'!$A$9:$C$104,2,FALSE))=TRUE,"n/a",VLOOKUP($A29,'[1]3-Produção'!$A$9:$C$104,2,FALSE))</f>
        <v>77.5</v>
      </c>
      <c r="G29" s="185">
        <f>IF(ISNA(VLOOKUP($A29,'[1]3-Produção'!$A$9:$C$104,3,FALSE))=TRUE,"n/a",VLOOKUP($A29,'[1]3-Produção'!$A$9:$C$104,3,FALSE))</f>
        <v>73.05416666666666</v>
      </c>
      <c r="H29" s="185">
        <f t="shared" si="0"/>
        <v>-4.44583333333334</v>
      </c>
      <c r="I29" s="185">
        <f t="shared" ref="I29:I35" si="11">IF(OR(G29="n/a",D29="n/a"),"n/a",D29-G29)</f>
        <v>9.4458350817362913</v>
      </c>
      <c r="J29" s="186">
        <f t="shared" ref="J29:J35" si="12">IF(OR(G29="n/a",G29=0,E29="n/a",E29=0),"n/a",E29-G29)</f>
        <v>7.94583333333334</v>
      </c>
      <c r="K29" s="333" t="str">
        <f t="shared" si="3"/>
        <v/>
      </c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27" x14ac:dyDescent="0.2">
      <c r="A30" s="209" t="s">
        <v>66</v>
      </c>
      <c r="B30" s="208" t="s">
        <v>66</v>
      </c>
      <c r="C30" s="197">
        <f>VLOOKUP($B30,'[1]4-Disponibilidade'!$A$8:$C$103,2,FALSE)</f>
        <v>65.306121826171875</v>
      </c>
      <c r="D30" s="183">
        <f t="shared" si="4"/>
        <v>73.500000700950636</v>
      </c>
      <c r="E30" s="183">
        <f>VLOOKUP($B30,'[1]4-Disponibilidade'!$A$8:$C$103,3,FALSE)</f>
        <v>48</v>
      </c>
      <c r="F30" s="185">
        <f>IF(ISNA(VLOOKUP($A30,'[1]3-Produção'!$A$9:$C$104,2,FALSE))=TRUE,"n/a",VLOOKUP($A30,'[1]3-Produção'!$A$9:$C$104,2,FALSE))</f>
        <v>48</v>
      </c>
      <c r="G30" s="185">
        <f>IF(ISNA(VLOOKUP($A30,'[1]3-Produção'!$A$9:$C$104,3,FALSE))=TRUE,"n/a",VLOOKUP($A30,'[1]3-Produção'!$A$9:$C$104,3,FALSE))</f>
        <v>48</v>
      </c>
      <c r="H30" s="185">
        <f t="shared" si="0"/>
        <v>0</v>
      </c>
      <c r="I30" s="185">
        <f t="shared" si="11"/>
        <v>25.500000700950636</v>
      </c>
      <c r="J30" s="186">
        <f t="shared" si="12"/>
        <v>0</v>
      </c>
      <c r="K30" s="333" t="str">
        <f t="shared" si="3"/>
        <v/>
      </c>
      <c r="L30" s="42"/>
      <c r="M30" s="42"/>
      <c r="N30" s="319" t="s">
        <v>209</v>
      </c>
      <c r="O30" s="320"/>
      <c r="P30" s="320"/>
      <c r="Q30" s="320"/>
      <c r="R30" s="320"/>
      <c r="S30" s="41"/>
    </row>
    <row r="31" spans="1:27" x14ac:dyDescent="0.2">
      <c r="A31" s="210" t="s">
        <v>69</v>
      </c>
      <c r="B31" s="208" t="s">
        <v>69</v>
      </c>
      <c r="C31" s="197">
        <f>VLOOKUP($B31,'[1]4-Disponibilidade'!$A$8:$C$103,2,FALSE)</f>
        <v>89.814811706542969</v>
      </c>
      <c r="D31" s="183">
        <f t="shared" si="4"/>
        <v>108.00000373761691</v>
      </c>
      <c r="E31" s="183">
        <f>VLOOKUP($B31,'[1]4-Disponibilidade'!$A$8:$C$103,3,FALSE)</f>
        <v>97</v>
      </c>
      <c r="F31" s="185">
        <f>IF(ISNA(VLOOKUP($A31,'[1]3-Produção'!$A$9:$C$104,2,FALSE))=TRUE,"n/a",VLOOKUP($A31,'[1]3-Produção'!$A$9:$C$104,2,FALSE))</f>
        <v>42.458333333333336</v>
      </c>
      <c r="G31" s="185">
        <f>IF(ISNA(VLOOKUP($A31,'[1]3-Produção'!$A$9:$C$104,3,FALSE))=TRUE,"n/a",VLOOKUP($A31,'[1]3-Produção'!$A$9:$C$104,3,FALSE))</f>
        <v>53.983333333333341</v>
      </c>
      <c r="H31" s="185">
        <f t="shared" si="0"/>
        <v>11.525000000000006</v>
      </c>
      <c r="I31" s="185">
        <f t="shared" si="11"/>
        <v>54.016670404283566</v>
      </c>
      <c r="J31" s="186">
        <f t="shared" si="12"/>
        <v>43.016666666666659</v>
      </c>
      <c r="K31" s="333" t="str">
        <f t="shared" si="3"/>
        <v/>
      </c>
      <c r="L31" s="41"/>
      <c r="M31" s="41"/>
      <c r="N31" s="323"/>
      <c r="O31" s="321" t="s">
        <v>235</v>
      </c>
      <c r="P31" s="322"/>
      <c r="Q31" s="246"/>
      <c r="R31" s="321" t="s">
        <v>237</v>
      </c>
      <c r="S31" s="41"/>
      <c r="T31" s="41"/>
      <c r="U31" s="41"/>
    </row>
    <row r="32" spans="1:27" x14ac:dyDescent="0.2">
      <c r="A32" s="209" t="s">
        <v>71</v>
      </c>
      <c r="B32" s="211" t="s">
        <v>71</v>
      </c>
      <c r="C32" s="197">
        <f>VLOOKUP($B32,'[1]4-Disponibilidade'!$A$8:$C$103,2,FALSE)</f>
        <v>86.363639831542969</v>
      </c>
      <c r="D32" s="183">
        <f t="shared" si="4"/>
        <v>131.99999469957874</v>
      </c>
      <c r="E32" s="183">
        <f>VLOOKUP($B32,'[1]4-Disponibilidade'!$A$8:$C$103,3,FALSE)</f>
        <v>114</v>
      </c>
      <c r="F32" s="185">
        <f>IF(ISNA(VLOOKUP($A32,'[1]3-Produção'!$A$9:$C$104,2,FALSE))=TRUE,"n/a",VLOOKUP($A32,'[1]3-Produção'!$A$9:$C$104,2,FALSE))</f>
        <v>80</v>
      </c>
      <c r="G32" s="185">
        <f>IF(ISNA(VLOOKUP($A32,'[1]3-Produção'!$A$9:$C$104,3,FALSE))=TRUE,"n/a",VLOOKUP($A32,'[1]3-Produção'!$A$9:$C$104,3,FALSE))</f>
        <v>82.654166666666669</v>
      </c>
      <c r="H32" s="185">
        <f t="shared" si="0"/>
        <v>2.6541666666666686</v>
      </c>
      <c r="I32" s="185">
        <f t="shared" si="11"/>
        <v>49.345828032912067</v>
      </c>
      <c r="J32" s="186">
        <f t="shared" si="12"/>
        <v>31.345833333333331</v>
      </c>
      <c r="K32" s="333" t="str">
        <f t="shared" si="3"/>
        <v/>
      </c>
      <c r="L32" s="41"/>
      <c r="M32" s="41"/>
      <c r="N32" s="41"/>
      <c r="O32" s="41"/>
      <c r="P32" s="322"/>
      <c r="Q32" s="41"/>
      <c r="R32" s="41"/>
      <c r="S32" s="41"/>
      <c r="T32" s="41"/>
      <c r="U32" s="41"/>
    </row>
    <row r="33" spans="1:27" x14ac:dyDescent="0.2">
      <c r="A33" s="209" t="s">
        <v>73</v>
      </c>
      <c r="B33" s="208" t="s">
        <v>73</v>
      </c>
      <c r="C33" s="197">
        <f>VLOOKUP($B33,'[1]4-Disponibilidade'!$A$8:$C$103,2,FALSE)</f>
        <v>88.995353698730469</v>
      </c>
      <c r="D33" s="183">
        <f t="shared" si="4"/>
        <v>3444.0000209176342</v>
      </c>
      <c r="E33" s="183">
        <f>VLOOKUP($B33,'[1]4-Disponibilidade'!$A$8:$C$103,3,FALSE)</f>
        <v>3065</v>
      </c>
      <c r="F33" s="185">
        <f>IF(ISNA(VLOOKUP($A33,'[1]3-Produção'!$A$9:$C$104,2,FALSE))=TRUE,"n/a",VLOOKUP($A33,'[1]3-Produção'!$A$9:$C$104,2,FALSE))</f>
        <v>1981.25</v>
      </c>
      <c r="G33" s="185">
        <f>IF(ISNA(VLOOKUP($A33,'[1]3-Produção'!$A$9:$C$104,3,FALSE))=TRUE,"n/a",VLOOKUP($A33,'[1]3-Produção'!$A$9:$C$104,3,FALSE))</f>
        <v>2122.0083333333328</v>
      </c>
      <c r="H33" s="185">
        <f t="shared" si="0"/>
        <v>140.75833333333276</v>
      </c>
      <c r="I33" s="185">
        <f t="shared" si="11"/>
        <v>1321.9916875843014</v>
      </c>
      <c r="J33" s="186">
        <f t="shared" si="12"/>
        <v>942.99166666666724</v>
      </c>
      <c r="K33" s="333" t="str">
        <f t="shared" si="3"/>
        <v/>
      </c>
      <c r="L33" s="41"/>
      <c r="M33" s="41"/>
      <c r="N33" s="218"/>
      <c r="O33" s="321" t="s">
        <v>236</v>
      </c>
      <c r="P33" s="322"/>
      <c r="Q33" s="248"/>
      <c r="R33" s="321" t="s">
        <v>238</v>
      </c>
      <c r="S33" s="41"/>
      <c r="T33" s="41"/>
      <c r="U33" s="41"/>
    </row>
    <row r="34" spans="1:27" x14ac:dyDescent="0.2">
      <c r="A34" s="209" t="s">
        <v>75</v>
      </c>
      <c r="B34" s="208" t="s">
        <v>75</v>
      </c>
      <c r="C34" s="197">
        <f>VLOOKUP($B34,'[1]4-Disponibilidade'!$A$8:$C$103,2,FALSE)</f>
        <v>75</v>
      </c>
      <c r="D34" s="183">
        <f t="shared" si="4"/>
        <v>28.000000000000004</v>
      </c>
      <c r="E34" s="183">
        <f>VLOOKUP($B34,'[1]4-Disponibilidade'!$A$8:$C$103,3,FALSE)</f>
        <v>21</v>
      </c>
      <c r="F34" s="185">
        <f>IF(ISNA(VLOOKUP($A34,'[1]3-Produção'!$A$9:$C$104,2,FALSE))=TRUE,"n/a",VLOOKUP($A34,'[1]3-Produção'!$A$9:$C$104,2,FALSE))</f>
        <v>4</v>
      </c>
      <c r="G34" s="185">
        <f>IF(ISNA(VLOOKUP($A34,'[1]3-Produção'!$A$9:$C$104,3,FALSE))=TRUE,"n/a",VLOOKUP($A34,'[1]3-Produção'!$A$9:$C$104,3,FALSE))</f>
        <v>1.6541666666666668</v>
      </c>
      <c r="H34" s="185">
        <f t="shared" si="0"/>
        <v>-2.3458333333333332</v>
      </c>
      <c r="I34" s="185">
        <f t="shared" si="11"/>
        <v>26.345833333333339</v>
      </c>
      <c r="J34" s="186">
        <f t="shared" si="12"/>
        <v>19.345833333333331</v>
      </c>
      <c r="K34" s="333" t="str">
        <f t="shared" si="3"/>
        <v/>
      </c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7" x14ac:dyDescent="0.2">
      <c r="A35" s="210" t="s">
        <v>77</v>
      </c>
      <c r="B35" s="208" t="s">
        <v>77</v>
      </c>
      <c r="C35" s="197">
        <f>VLOOKUP($B35,'[1]4-Disponibilidade'!$A$8:$C$103,2,FALSE)</f>
        <v>91.542022705078125</v>
      </c>
      <c r="D35" s="183">
        <f t="shared" si="4"/>
        <v>1551.2001570850457</v>
      </c>
      <c r="E35" s="183">
        <f>VLOOKUP($B35,'[1]4-Disponibilidade'!$A$8:$C$103,3,FALSE)</f>
        <v>1420</v>
      </c>
      <c r="F35" s="185">
        <f>IF(ISNA(VLOOKUP($A35,'[1]3-Produção'!$A$9:$C$104,2,FALSE))=TRUE,"n/a",VLOOKUP($A35,'[1]3-Produção'!$A$9:$C$104,2,FALSE))</f>
        <v>1137.5</v>
      </c>
      <c r="G35" s="185">
        <f>IF(ISNA(VLOOKUP($A35,'[1]3-Produção'!$A$9:$C$104,3,FALSE))=TRUE,"n/a",VLOOKUP($A35,'[1]3-Produção'!$A$9:$C$104,3,FALSE))</f>
        <v>1135.6208333333338</v>
      </c>
      <c r="H35" s="185">
        <f t="shared" si="0"/>
        <v>-1.8791666666661513</v>
      </c>
      <c r="I35" s="185">
        <f t="shared" si="11"/>
        <v>415.57932375171185</v>
      </c>
      <c r="J35" s="186">
        <f t="shared" si="12"/>
        <v>284.37916666666615</v>
      </c>
      <c r="K35" s="333" t="str">
        <f t="shared" si="3"/>
        <v/>
      </c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7" x14ac:dyDescent="0.2">
      <c r="A36" s="210" t="s">
        <v>23</v>
      </c>
      <c r="B36" s="211" t="s">
        <v>23</v>
      </c>
      <c r="C36" s="197">
        <f>VLOOKUP($B36,'[1]4-Disponibilidade'!$A$8:$C$103,2,FALSE)</f>
        <v>98.979591369628906</v>
      </c>
      <c r="D36" s="183">
        <f t="shared" si="4"/>
        <v>98.000000462482888</v>
      </c>
      <c r="E36" s="183">
        <f>VLOOKUP($B36,'[1]4-Disponibilidade'!$A$8:$C$103,3,FALSE)</f>
        <v>97</v>
      </c>
      <c r="F36" s="185">
        <f>IF(ISNA(VLOOKUP($A36,'[1]3-Produção'!$A$9:$C$104,2,FALSE))=TRUE,"n/a",VLOOKUP($A36,'[1]3-Produção'!$A$9:$C$104,2,FALSE))</f>
        <v>96</v>
      </c>
      <c r="G36" s="185">
        <f>IF(ISNA(VLOOKUP($A36,'[1]3-Produção'!$A$9:$C$104,3,FALSE))=TRUE,"n/a",VLOOKUP($A36,'[1]3-Produção'!$A$9:$C$104,3,FALSE))</f>
        <v>95.537499999999994</v>
      </c>
      <c r="H36" s="185">
        <f t="shared" ref="H36:H44" si="13">IF(OR(F36="n/a",G36="n/a"),"n/a",G36-F36)</f>
        <v>-0.46250000000000568</v>
      </c>
      <c r="I36" s="185">
        <f t="shared" ref="I36:I44" si="14">IF(OR(G36="n/a",D36="n/a"),"n/a",D36-G36)</f>
        <v>2.4625004624828932</v>
      </c>
      <c r="J36" s="186">
        <f t="shared" ref="J36:J44" si="15">IF(OR(G36="n/a",G36=0,E36="n/a",E36=0),"n/a",E36-G36)</f>
        <v>1.4625000000000057</v>
      </c>
      <c r="K36" s="333" t="str">
        <f t="shared" ref="K36:K69" si="16">IF(OR(C36&gt;100,D36="n/a",F36="n/a",G36="n/a",H36="n/a",I36="n/a",J36="n/a"),"X","")</f>
        <v/>
      </c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 spans="1:27" x14ac:dyDescent="0.2">
      <c r="A37" s="209" t="s">
        <v>80</v>
      </c>
      <c r="B37" s="211" t="s">
        <v>80</v>
      </c>
      <c r="C37" s="197">
        <f>VLOOKUP($B37,'[1]4-Disponibilidade'!$A$8:$C$103,2,FALSE)</f>
        <v>100</v>
      </c>
      <c r="D37" s="183">
        <f t="shared" si="4"/>
        <v>32</v>
      </c>
      <c r="E37" s="183">
        <f>VLOOKUP($B37,'[1]4-Disponibilidade'!$A$8:$C$103,3,FALSE)</f>
        <v>32</v>
      </c>
      <c r="F37" s="185">
        <f>IF(ISNA(VLOOKUP($A37,'[1]3-Produção'!$A$9:$C$104,2,FALSE))=TRUE,"n/a",VLOOKUP($A37,'[1]3-Produção'!$A$9:$C$104,2,FALSE))</f>
        <v>13.416666666666666</v>
      </c>
      <c r="G37" s="185">
        <f>IF(ISNA(VLOOKUP($A37,'[1]3-Produção'!$A$9:$C$104,3,FALSE))=TRUE,"n/a",VLOOKUP($A37,'[1]3-Produção'!$A$9:$C$104,3,FALSE))</f>
        <v>16.324999999999999</v>
      </c>
      <c r="H37" s="185">
        <f t="shared" si="13"/>
        <v>2.9083333333333332</v>
      </c>
      <c r="I37" s="185">
        <f t="shared" si="14"/>
        <v>15.675000000000001</v>
      </c>
      <c r="J37" s="186">
        <f t="shared" si="15"/>
        <v>15.675000000000001</v>
      </c>
      <c r="K37" s="333" t="str">
        <f t="shared" si="16"/>
        <v/>
      </c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spans="1:27" x14ac:dyDescent="0.2">
      <c r="A38" s="209" t="s">
        <v>81</v>
      </c>
      <c r="B38" s="208" t="s">
        <v>81</v>
      </c>
      <c r="C38" s="197">
        <f>VLOOKUP($B38,'[1]4-Disponibilidade'!$A$8:$C$103,2,FALSE)</f>
        <v>99.021293640136719</v>
      </c>
      <c r="D38" s="183">
        <f t="shared" si="4"/>
        <v>347.40002615009769</v>
      </c>
      <c r="E38" s="183">
        <f>VLOOKUP($B38,'[1]4-Disponibilidade'!$A$8:$C$103,3,FALSE)</f>
        <v>344</v>
      </c>
      <c r="F38" s="185">
        <f>IF(ISNA(VLOOKUP($A38,'[1]3-Produção'!$A$9:$C$104,2,FALSE))=TRUE,"n/a",VLOOKUP($A38,'[1]3-Produção'!$A$9:$C$104,2,FALSE))</f>
        <v>295</v>
      </c>
      <c r="G38" s="185">
        <f>IF(ISNA(VLOOKUP($A38,'[1]3-Produção'!$A$9:$C$104,3,FALSE))=TRUE,"n/a",VLOOKUP($A38,'[1]3-Produção'!$A$9:$C$104,3,FALSE))</f>
        <v>288.86666666666667</v>
      </c>
      <c r="H38" s="185">
        <f t="shared" si="13"/>
        <v>-6.1333333333333258</v>
      </c>
      <c r="I38" s="185">
        <f t="shared" si="14"/>
        <v>58.533359483431013</v>
      </c>
      <c r="J38" s="186">
        <f t="shared" si="15"/>
        <v>55.133333333333326</v>
      </c>
      <c r="K38" s="333" t="str">
        <f t="shared" si="16"/>
        <v/>
      </c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7" x14ac:dyDescent="0.2">
      <c r="A39" s="209" t="s">
        <v>82</v>
      </c>
      <c r="B39" s="208" t="s">
        <v>82</v>
      </c>
      <c r="C39" s="197">
        <f>VLOOKUP($B39,'[1]4-Disponibilidade'!$A$8:$C$103,2,FALSE)</f>
        <v>89.534881591796875</v>
      </c>
      <c r="D39" s="183">
        <f t="shared" si="4"/>
        <v>86.000002045074126</v>
      </c>
      <c r="E39" s="183">
        <f>VLOOKUP($B39,'[1]4-Disponibilidade'!$A$8:$C$103,3,FALSE)</f>
        <v>77</v>
      </c>
      <c r="F39" s="185">
        <f>IF(ISNA(VLOOKUP($A39,'[1]3-Produção'!$A$9:$C$104,2,FALSE))=TRUE,"n/a",VLOOKUP($A39,'[1]3-Produção'!$A$9:$C$104,2,FALSE))</f>
        <v>37</v>
      </c>
      <c r="G39" s="185">
        <f>IF(ISNA(VLOOKUP($A39,'[1]3-Produção'!$A$9:$C$104,3,FALSE))=TRUE,"n/a",VLOOKUP($A39,'[1]3-Produção'!$A$9:$C$104,3,FALSE))</f>
        <v>37.395833333333336</v>
      </c>
      <c r="H39" s="185">
        <f t="shared" si="13"/>
        <v>0.3958333333333357</v>
      </c>
      <c r="I39" s="185">
        <f t="shared" si="14"/>
        <v>48.60416871174079</v>
      </c>
      <c r="J39" s="186">
        <f t="shared" si="15"/>
        <v>39.604166666666664</v>
      </c>
      <c r="K39" s="333" t="str">
        <f t="shared" si="16"/>
        <v/>
      </c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7" x14ac:dyDescent="0.2">
      <c r="A40" s="209" t="s">
        <v>83</v>
      </c>
      <c r="B40" s="208" t="s">
        <v>83</v>
      </c>
      <c r="C40" s="197">
        <f>VLOOKUP($B40,'[1]4-Disponibilidade'!$A$8:$C$103,2,FALSE)</f>
        <v>93.005958557128906</v>
      </c>
      <c r="D40" s="183">
        <f t="shared" si="4"/>
        <v>806.39994645000354</v>
      </c>
      <c r="E40" s="183">
        <f>VLOOKUP($B40,'[1]4-Disponibilidade'!$A$8:$C$103,3,FALSE)</f>
        <v>750</v>
      </c>
      <c r="F40" s="185">
        <f>IF(ISNA(VLOOKUP($A40,'[1]3-Produção'!$A$9:$C$104,2,FALSE))=TRUE,"n/a",VLOOKUP($A40,'[1]3-Produção'!$A$9:$C$104,2,FALSE))</f>
        <v>640</v>
      </c>
      <c r="G40" s="185">
        <f>IF(ISNA(VLOOKUP($A40,'[1]3-Produção'!$A$9:$C$104,3,FALSE))=TRUE,"n/a",VLOOKUP($A40,'[1]3-Produção'!$A$9:$C$104,3,FALSE))</f>
        <v>601.33749999999998</v>
      </c>
      <c r="H40" s="185">
        <f t="shared" si="13"/>
        <v>-38.662500000000023</v>
      </c>
      <c r="I40" s="185">
        <f t="shared" si="14"/>
        <v>205.06244645000356</v>
      </c>
      <c r="J40" s="186">
        <f t="shared" si="15"/>
        <v>148.66250000000002</v>
      </c>
      <c r="K40" s="333" t="str">
        <f t="shared" si="16"/>
        <v/>
      </c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x14ac:dyDescent="0.2">
      <c r="A41" s="209" t="s">
        <v>20</v>
      </c>
      <c r="B41" s="208" t="s">
        <v>20</v>
      </c>
      <c r="C41" s="197">
        <f>VLOOKUP($B41,'[1]4-Disponibilidade'!$A$8:$C$103,2,FALSE)</f>
        <v>97.727272033691406</v>
      </c>
      <c r="D41" s="183">
        <f t="shared" si="4"/>
        <v>264.00000187363736</v>
      </c>
      <c r="E41" s="183">
        <f>VLOOKUP($B41,'[1]4-Disponibilidade'!$A$8:$C$103,3,FALSE)</f>
        <v>258</v>
      </c>
      <c r="F41" s="185">
        <f>IF(ISNA(VLOOKUP($A41,'[1]3-Produção'!$A$9:$C$104,2,FALSE))=TRUE,"n/a",VLOOKUP($A41,'[1]3-Produção'!$A$9:$C$104,2,FALSE))</f>
        <v>218</v>
      </c>
      <c r="G41" s="185">
        <f>IF(ISNA(VLOOKUP($A41,'[1]3-Produção'!$A$9:$C$104,3,FALSE))=TRUE,"n/a",VLOOKUP($A41,'[1]3-Produção'!$A$9:$C$104,3,FALSE))</f>
        <v>215.70833333333334</v>
      </c>
      <c r="H41" s="185">
        <f t="shared" si="13"/>
        <v>-2.2916666666666572</v>
      </c>
      <c r="I41" s="185">
        <f t="shared" si="14"/>
        <v>48.291668540304016</v>
      </c>
      <c r="J41" s="186">
        <f t="shared" si="15"/>
        <v>42.291666666666657</v>
      </c>
      <c r="K41" s="333" t="str">
        <f t="shared" si="16"/>
        <v/>
      </c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x14ac:dyDescent="0.2">
      <c r="A42" s="209" t="s">
        <v>84</v>
      </c>
      <c r="B42" s="208" t="s">
        <v>84</v>
      </c>
      <c r="C42" s="197">
        <f>VLOOKUP($B42,'[1]4-Disponibilidade'!$A$8:$C$103,2,FALSE)</f>
        <v>98.387100219726563</v>
      </c>
      <c r="D42" s="183">
        <f t="shared" si="4"/>
        <v>371.99998697249663</v>
      </c>
      <c r="E42" s="183">
        <f>VLOOKUP($B42,'[1]4-Disponibilidade'!$A$8:$C$103,3,FALSE)</f>
        <v>366</v>
      </c>
      <c r="F42" s="185">
        <f>IF(ISNA(VLOOKUP($A42,'[1]3-Produção'!$A$9:$C$104,2,FALSE))=TRUE,"n/a",VLOOKUP($A42,'[1]3-Produção'!$A$9:$C$104,2,FALSE))</f>
        <v>256.66666666666669</v>
      </c>
      <c r="G42" s="185">
        <f>IF(ISNA(VLOOKUP($A42,'[1]3-Produção'!$A$9:$C$104,3,FALSE))=TRUE,"n/a",VLOOKUP($A42,'[1]3-Produção'!$A$9:$C$104,3,FALSE))</f>
        <v>260.2208333333333</v>
      </c>
      <c r="H42" s="185">
        <f t="shared" si="13"/>
        <v>3.5541666666666174</v>
      </c>
      <c r="I42" s="185">
        <f t="shared" si="14"/>
        <v>111.77915363916333</v>
      </c>
      <c r="J42" s="186">
        <f t="shared" si="15"/>
        <v>105.7791666666667</v>
      </c>
      <c r="K42" s="333" t="str">
        <f t="shared" si="16"/>
        <v/>
      </c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x14ac:dyDescent="0.2">
      <c r="A43" s="209" t="s">
        <v>85</v>
      </c>
      <c r="B43" s="208" t="s">
        <v>85</v>
      </c>
      <c r="C43" s="197">
        <f>VLOOKUP($B43,'[1]4-Disponibilidade'!$A$8:$C$103,2,FALSE)</f>
        <v>73.611114501953125</v>
      </c>
      <c r="D43" s="183">
        <f t="shared" si="4"/>
        <v>71.999996683372785</v>
      </c>
      <c r="E43" s="183">
        <f>VLOOKUP($B43,'[1]4-Disponibilidade'!$A$8:$C$103,3,FALSE)</f>
        <v>53</v>
      </c>
      <c r="F43" s="185">
        <f>IF(ISNA(VLOOKUP($A43,'[1]3-Produção'!$A$9:$C$104,2,FALSE))=TRUE,"n/a",VLOOKUP($A43,'[1]3-Produção'!$A$9:$C$104,2,FALSE))</f>
        <v>53</v>
      </c>
      <c r="G43" s="185">
        <f>IF(ISNA(VLOOKUP($A43,'[1]3-Produção'!$A$9:$C$104,3,FALSE))=TRUE,"n/a",VLOOKUP($A43,'[1]3-Produção'!$A$9:$C$104,3,FALSE))</f>
        <v>51.774999999999999</v>
      </c>
      <c r="H43" s="185">
        <f t="shared" si="13"/>
        <v>-1.2250000000000014</v>
      </c>
      <c r="I43" s="185">
        <f t="shared" si="14"/>
        <v>20.224996683372787</v>
      </c>
      <c r="J43" s="186">
        <f t="shared" si="15"/>
        <v>1.2250000000000014</v>
      </c>
      <c r="K43" s="333" t="str">
        <f t="shared" si="16"/>
        <v/>
      </c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x14ac:dyDescent="0.2">
      <c r="A44" s="210" t="s">
        <v>86</v>
      </c>
      <c r="B44" s="208" t="s">
        <v>86</v>
      </c>
      <c r="C44" s="197">
        <f>VLOOKUP($B44,'[1]4-Disponibilidade'!$A$8:$C$103,2,FALSE)</f>
        <v>100</v>
      </c>
      <c r="D44" s="183">
        <f t="shared" si="4"/>
        <v>554</v>
      </c>
      <c r="E44" s="183">
        <f>VLOOKUP($B44,'[1]4-Disponibilidade'!$A$8:$C$103,3,FALSE)</f>
        <v>554</v>
      </c>
      <c r="F44" s="185">
        <f>IF(ISNA(VLOOKUP($A44,'[1]3-Produção'!$A$9:$C$104,2,FALSE))=TRUE,"n/a",VLOOKUP($A44,'[1]3-Produção'!$A$9:$C$104,2,FALSE))</f>
        <v>272.5</v>
      </c>
      <c r="G44" s="185">
        <f>IF(ISNA(VLOOKUP($A44,'[1]3-Produção'!$A$9:$C$104,3,FALSE))=TRUE,"n/a",VLOOKUP($A44,'[1]3-Produção'!$A$9:$C$104,3,FALSE))</f>
        <v>271.77499999999998</v>
      </c>
      <c r="H44" s="185">
        <f t="shared" si="13"/>
        <v>-0.72500000000002274</v>
      </c>
      <c r="I44" s="185">
        <f t="shared" si="14"/>
        <v>282.22500000000002</v>
      </c>
      <c r="J44" s="186">
        <f t="shared" si="15"/>
        <v>282.22500000000002</v>
      </c>
      <c r="K44" s="333" t="str">
        <f t="shared" si="16"/>
        <v/>
      </c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x14ac:dyDescent="0.2">
      <c r="A45" s="209" t="s">
        <v>87</v>
      </c>
      <c r="B45" s="211" t="s">
        <v>87</v>
      </c>
      <c r="C45" s="197">
        <f>VLOOKUP($B45,'[1]4-Disponibilidade'!$A$8:$C$103,2,FALSE)</f>
        <v>99.753089904785156</v>
      </c>
      <c r="D45" s="183">
        <f t="shared" si="4"/>
        <v>809.99997170136805</v>
      </c>
      <c r="E45" s="183">
        <f>VLOOKUP($B45,'[1]4-Disponibilidade'!$A$8:$C$103,3,FALSE)</f>
        <v>808</v>
      </c>
      <c r="F45" s="185">
        <f>IF(ISNA(VLOOKUP($A45,'[1]3-Produção'!$A$9:$C$104,2,FALSE))=TRUE,"n/a",VLOOKUP($A45,'[1]3-Produção'!$A$9:$C$104,2,FALSE))</f>
        <v>205.83333333333334</v>
      </c>
      <c r="G45" s="185">
        <f>IF(ISNA(VLOOKUP($A45,'[1]3-Produção'!$A$9:$C$104,3,FALSE))=TRUE,"n/a",VLOOKUP($A45,'[1]3-Produção'!$A$9:$C$104,3,FALSE))</f>
        <v>255.17083333333332</v>
      </c>
      <c r="H45" s="185">
        <f t="shared" ref="H45:H74" si="17">IF(OR(F45="n/a",G45="n/a"),"n/a",G45-F45)</f>
        <v>49.337499999999977</v>
      </c>
      <c r="I45" s="185">
        <f t="shared" ref="I45:I105" si="18">IF(OR(G45="n/a",D45="n/a"),"n/a",D45-G45)</f>
        <v>554.82913836803471</v>
      </c>
      <c r="J45" s="186">
        <f t="shared" ref="J45:J105" si="19">IF(OR(G45="n/a",G45=0,E45="n/a",E45=0),"n/a",E45-G45)</f>
        <v>552.82916666666665</v>
      </c>
      <c r="K45" s="333" t="str">
        <f t="shared" si="16"/>
        <v/>
      </c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x14ac:dyDescent="0.2">
      <c r="A46" s="209" t="s">
        <v>88</v>
      </c>
      <c r="B46" s="208" t="s">
        <v>195</v>
      </c>
      <c r="C46" s="197">
        <f>VLOOKUP($B46,'[1]4-Disponibilidade'!$A$8:$C$103,2,FALSE)</f>
        <v>27.779096603393555</v>
      </c>
      <c r="D46" s="183">
        <f t="shared" si="4"/>
        <v>421.18000333281901</v>
      </c>
      <c r="E46" s="183">
        <f>VLOOKUP($B46,'[1]4-Disponibilidade'!$A$8:$C$103,3,FALSE)</f>
        <v>117</v>
      </c>
      <c r="F46" s="185">
        <f>IF(ISNA(VLOOKUP($A46,'[1]3-Produção'!$A$9:$C$104,2,FALSE))=TRUE,"n/a",VLOOKUP($A46,'[1]3-Produção'!$A$9:$C$104,2,FALSE))</f>
        <v>100.22083333333335</v>
      </c>
      <c r="G46" s="185">
        <f>IF(ISNA(VLOOKUP($A46,'[1]3-Produção'!$A$9:$C$104,3,FALSE))=TRUE,"n/a",VLOOKUP($A46,'[1]3-Produção'!$A$9:$C$104,3,FALSE))</f>
        <v>100.22083333333335</v>
      </c>
      <c r="H46" s="185">
        <f t="shared" si="17"/>
        <v>0</v>
      </c>
      <c r="I46" s="185">
        <f t="shared" si="18"/>
        <v>320.95916999948565</v>
      </c>
      <c r="J46" s="186">
        <f t="shared" si="19"/>
        <v>16.779166666666654</v>
      </c>
      <c r="K46" s="333" t="str">
        <f t="shared" si="16"/>
        <v/>
      </c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27" x14ac:dyDescent="0.2">
      <c r="A47" s="209" t="s">
        <v>89</v>
      </c>
      <c r="B47" s="208" t="s">
        <v>89</v>
      </c>
      <c r="C47" s="197">
        <f>VLOOKUP($B47,'[1]4-Disponibilidade'!$A$8:$C$103,2,FALSE)</f>
        <v>102.36220550537109</v>
      </c>
      <c r="D47" s="183">
        <f t="shared" si="4"/>
        <v>126.99999903106691</v>
      </c>
      <c r="E47" s="183">
        <f>VLOOKUP($B47,'[1]4-Disponibilidade'!$A$8:$C$103,3,FALSE)</f>
        <v>130</v>
      </c>
      <c r="F47" s="185">
        <f>IF(ISNA(VLOOKUP($A47,'[1]3-Produção'!$A$9:$C$104,2,FALSE))=TRUE,"n/a",VLOOKUP($A47,'[1]3-Produção'!$A$9:$C$104,2,FALSE))</f>
        <v>66.958333333333329</v>
      </c>
      <c r="G47" s="185">
        <f>IF(ISNA(VLOOKUP($A47,'[1]3-Produção'!$A$9:$C$104,3,FALSE))=TRUE,"n/a",VLOOKUP($A47,'[1]3-Produção'!$A$9:$C$104,3,FALSE))</f>
        <v>66.958333333333329</v>
      </c>
      <c r="H47" s="185">
        <f t="shared" si="17"/>
        <v>0</v>
      </c>
      <c r="I47" s="185">
        <f t="shared" si="18"/>
        <v>60.041665697733578</v>
      </c>
      <c r="J47" s="186">
        <f t="shared" si="19"/>
        <v>63.041666666666671</v>
      </c>
      <c r="K47" s="333" t="str">
        <f t="shared" si="16"/>
        <v>X</v>
      </c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27" x14ac:dyDescent="0.2">
      <c r="A48" s="209" t="s">
        <v>184</v>
      </c>
      <c r="B48" s="208" t="s">
        <v>192</v>
      </c>
      <c r="C48" s="197">
        <f>VLOOKUP($B48,'[1]4-Disponibilidade'!$A$8:$C$103,2,FALSE)</f>
        <v>39.401103973388672</v>
      </c>
      <c r="D48" s="184">
        <f t="shared" si="4"/>
        <v>139.58999736948169</v>
      </c>
      <c r="E48" s="183">
        <f>VLOOKUP($B48,'[1]4-Disponibilidade'!$A$8:$C$103,3,FALSE)</f>
        <v>55</v>
      </c>
      <c r="F48" s="185">
        <f>IF(ISNA(VLOOKUP($A48,'[1]3-Produção'!$A$9:$C$104,2,FALSE))=TRUE,"n/a",VLOOKUP($A48,'[1]3-Produção'!$A$9:$C$104,2,FALSE))</f>
        <v>25</v>
      </c>
      <c r="G48" s="185">
        <f>IF(ISNA(VLOOKUP($A48,'[1]3-Produção'!$A$9:$C$104,3,FALSE))=TRUE,"n/a",VLOOKUP($A48,'[1]3-Produção'!$A$9:$C$104,3,FALSE))</f>
        <v>25</v>
      </c>
      <c r="H48" s="185">
        <f t="shared" si="17"/>
        <v>0</v>
      </c>
      <c r="I48" s="185">
        <f t="shared" si="18"/>
        <v>114.58999736948169</v>
      </c>
      <c r="J48" s="186">
        <f t="shared" si="19"/>
        <v>30</v>
      </c>
      <c r="K48" s="333" t="str">
        <f t="shared" si="16"/>
        <v/>
      </c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spans="1:27" x14ac:dyDescent="0.2">
      <c r="A49" s="209" t="s">
        <v>90</v>
      </c>
      <c r="B49" s="208" t="s">
        <v>90</v>
      </c>
      <c r="C49" s="197">
        <f>VLOOKUP($B49,'[1]4-Disponibilidade'!$A$8:$C$103,2,FALSE)</f>
        <v>100</v>
      </c>
      <c r="D49" s="183">
        <f t="shared" si="4"/>
        <v>469.00000000000006</v>
      </c>
      <c r="E49" s="183">
        <f>VLOOKUP($B49,'[1]4-Disponibilidade'!$A$8:$C$103,3,FALSE)</f>
        <v>469</v>
      </c>
      <c r="F49" s="185">
        <f>IF(ISNA(VLOOKUP($A49,'[1]3-Produção'!$A$9:$C$104,2,FALSE))=TRUE,"n/a",VLOOKUP($A49,'[1]3-Produção'!$A$9:$C$104,2,FALSE))</f>
        <v>62.458333333333336</v>
      </c>
      <c r="G49" s="185">
        <f>IF(ISNA(VLOOKUP($A49,'[1]3-Produção'!$A$9:$C$104,3,FALSE))=TRUE,"n/a",VLOOKUP($A49,'[1]3-Produção'!$A$9:$C$104,3,FALSE))</f>
        <v>57.733333333333341</v>
      </c>
      <c r="H49" s="185">
        <f t="shared" si="17"/>
        <v>-4.7249999999999943</v>
      </c>
      <c r="I49" s="185">
        <f t="shared" si="18"/>
        <v>411.26666666666671</v>
      </c>
      <c r="J49" s="186">
        <f t="shared" si="19"/>
        <v>411.26666666666665</v>
      </c>
      <c r="K49" s="333" t="str">
        <f t="shared" si="16"/>
        <v/>
      </c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spans="1:27" x14ac:dyDescent="0.2">
      <c r="A50" s="209" t="s">
        <v>91</v>
      </c>
      <c r="B50" s="208" t="s">
        <v>187</v>
      </c>
      <c r="C50" s="197">
        <f>VLOOKUP($B50,'[1]4-Disponibilidade'!$A$8:$C$103,2,FALSE)</f>
        <v>50</v>
      </c>
      <c r="D50" s="183">
        <f t="shared" si="4"/>
        <v>420</v>
      </c>
      <c r="E50" s="183">
        <f>VLOOKUP($B50,'[1]4-Disponibilidade'!$A$8:$C$103,3,FALSE)</f>
        <v>210</v>
      </c>
      <c r="F50" s="185">
        <f>IF(ISNA(VLOOKUP($A50,'[1]3-Produção'!$A$9:$C$104,2,FALSE))=TRUE,"n/a",VLOOKUP($A50,'[1]3-Produção'!$A$9:$C$104,2,FALSE))</f>
        <v>0</v>
      </c>
      <c r="G50" s="185">
        <f>IF(ISNA(VLOOKUP($A50,'[1]3-Produção'!$A$9:$C$104,3,FALSE))=TRUE,"n/a",VLOOKUP($A50,'[1]3-Produção'!$A$9:$C$104,3,FALSE))</f>
        <v>47.995833333333337</v>
      </c>
      <c r="H50" s="185">
        <f t="shared" si="17"/>
        <v>47.995833333333337</v>
      </c>
      <c r="I50" s="185">
        <f t="shared" si="18"/>
        <v>372.00416666666666</v>
      </c>
      <c r="J50" s="186">
        <f t="shared" si="19"/>
        <v>162.00416666666666</v>
      </c>
      <c r="K50" s="333" t="str">
        <f t="shared" si="16"/>
        <v/>
      </c>
      <c r="S50" s="41"/>
      <c r="T50" s="41"/>
      <c r="U50" s="41"/>
      <c r="V50" s="41"/>
      <c r="W50" s="41"/>
      <c r="X50" s="41"/>
      <c r="Y50" s="41"/>
      <c r="Z50" s="41"/>
      <c r="AA50" s="41"/>
    </row>
    <row r="51" spans="1:27" x14ac:dyDescent="0.2">
      <c r="A51" s="209" t="s">
        <v>92</v>
      </c>
      <c r="B51" s="208" t="s">
        <v>92</v>
      </c>
      <c r="C51" s="197">
        <f>VLOOKUP($B51,'[1]4-Disponibilidade'!$A$8:$C$103,2,FALSE)</f>
        <v>41.067760467529297</v>
      </c>
      <c r="D51" s="183">
        <f t="shared" si="4"/>
        <v>48.700001588382776</v>
      </c>
      <c r="E51" s="183">
        <f>VLOOKUP($B51,'[1]4-Disponibilidade'!$A$8:$C$103,3,FALSE)</f>
        <v>20</v>
      </c>
      <c r="F51" s="185">
        <f>IF(ISNA(VLOOKUP($A51,'[1]3-Produção'!$A$9:$C$104,2,FALSE))=TRUE,"n/a",VLOOKUP($A51,'[1]3-Produção'!$A$9:$C$104,2,FALSE))</f>
        <v>20</v>
      </c>
      <c r="G51" s="185">
        <f>IF(ISNA(VLOOKUP($A51,'[1]3-Produção'!$A$9:$C$104,3,FALSE))=TRUE,"n/a",VLOOKUP($A51,'[1]3-Produção'!$A$9:$C$104,3,FALSE))</f>
        <v>20</v>
      </c>
      <c r="H51" s="185">
        <f t="shared" si="17"/>
        <v>0</v>
      </c>
      <c r="I51" s="185">
        <f t="shared" si="18"/>
        <v>28.700001588382776</v>
      </c>
      <c r="J51" s="186">
        <f t="shared" si="19"/>
        <v>0</v>
      </c>
      <c r="K51" s="333" t="str">
        <f t="shared" si="16"/>
        <v/>
      </c>
    </row>
    <row r="52" spans="1:27" x14ac:dyDescent="0.2">
      <c r="A52" s="209" t="s">
        <v>93</v>
      </c>
      <c r="B52" s="208" t="s">
        <v>93</v>
      </c>
      <c r="C52" s="197">
        <f>VLOOKUP($B52,'[1]4-Disponibilidade'!$A$8:$C$103,2,FALSE)</f>
        <v>97.56097412109375</v>
      </c>
      <c r="D52" s="183">
        <f t="shared" si="4"/>
        <v>328.00000500488289</v>
      </c>
      <c r="E52" s="183">
        <f>VLOOKUP($B52,'[1]4-Disponibilidade'!$A$8:$C$103,3,FALSE)</f>
        <v>320</v>
      </c>
      <c r="F52" s="185">
        <f>IF(ISNA(VLOOKUP($A52,'[1]3-Produção'!$A$9:$C$104,2,FALSE))=TRUE,"n/a",VLOOKUP($A52,'[1]3-Produção'!$A$9:$C$104,2,FALSE))</f>
        <v>208.33333333333334</v>
      </c>
      <c r="G52" s="185">
        <f>IF(ISNA(VLOOKUP($A52,'[1]3-Produção'!$A$9:$C$104,3,FALSE))=TRUE,"n/a",VLOOKUP($A52,'[1]3-Produção'!$A$9:$C$104,3,FALSE))</f>
        <v>210.81666666666669</v>
      </c>
      <c r="H52" s="185">
        <f t="shared" si="17"/>
        <v>2.4833333333333485</v>
      </c>
      <c r="I52" s="185">
        <f t="shared" si="18"/>
        <v>117.1833383382162</v>
      </c>
      <c r="J52" s="186">
        <f t="shared" si="19"/>
        <v>109.18333333333331</v>
      </c>
      <c r="K52" s="333" t="str">
        <f t="shared" si="16"/>
        <v/>
      </c>
    </row>
    <row r="53" spans="1:27" x14ac:dyDescent="0.2">
      <c r="A53" s="209" t="s">
        <v>200</v>
      </c>
      <c r="B53" s="208" t="s">
        <v>185</v>
      </c>
      <c r="C53" s="197">
        <f>VLOOKUP($B53,'[1]4-Disponibilidade'!$A$8:$C$103,2,FALSE)</f>
        <v>80</v>
      </c>
      <c r="D53" s="183">
        <f t="shared" si="4"/>
        <v>375</v>
      </c>
      <c r="E53" s="183">
        <f>VLOOKUP($B53,'[1]4-Disponibilidade'!$A$8:$C$103,3,FALSE)</f>
        <v>300</v>
      </c>
      <c r="F53" s="185">
        <f>IF(ISNA(VLOOKUP($A53,'[1]3-Produção'!$A$9:$C$104,2,FALSE))=TRUE,"n/a",VLOOKUP($A53,'[1]3-Produção'!$A$9:$C$104,2,FALSE))</f>
        <v>270</v>
      </c>
      <c r="G53" s="185">
        <f>IF(ISNA(VLOOKUP($A53,'[1]3-Produção'!$A$9:$C$104,3,FALSE))=TRUE,"n/a",VLOOKUP($A53,'[1]3-Produção'!$A$9:$C$104,3,FALSE))</f>
        <v>270.41250000000002</v>
      </c>
      <c r="H53" s="185">
        <f t="shared" si="17"/>
        <v>0.41250000000002274</v>
      </c>
      <c r="I53" s="185">
        <f t="shared" si="18"/>
        <v>104.58749999999998</v>
      </c>
      <c r="J53" s="186">
        <f t="shared" si="19"/>
        <v>29.587499999999977</v>
      </c>
      <c r="K53" s="333" t="str">
        <f t="shared" si="16"/>
        <v/>
      </c>
    </row>
    <row r="54" spans="1:27" x14ac:dyDescent="0.2">
      <c r="A54" s="209" t="s">
        <v>94</v>
      </c>
      <c r="B54" s="208" t="s">
        <v>94</v>
      </c>
      <c r="C54" s="197">
        <f>VLOOKUP($B54,'[1]4-Disponibilidade'!$A$8:$C$103,2,FALSE)</f>
        <v>83.783782958984375</v>
      </c>
      <c r="D54" s="183">
        <f t="shared" si="4"/>
        <v>222.00000218545236</v>
      </c>
      <c r="E54" s="183">
        <f>VLOOKUP($B54,'[1]4-Disponibilidade'!$A$8:$C$103,3,FALSE)</f>
        <v>186</v>
      </c>
      <c r="F54" s="185">
        <f>IF(ISNA(VLOOKUP($A54,'[1]3-Produção'!$A$9:$C$104,2,FALSE))=TRUE,"n/a",VLOOKUP($A54,'[1]3-Produção'!$A$9:$C$104,2,FALSE))</f>
        <v>112.5</v>
      </c>
      <c r="G54" s="185">
        <f>IF(ISNA(VLOOKUP($A54,'[1]3-Produção'!$A$9:$C$104,3,FALSE))=TRUE,"n/a",VLOOKUP($A54,'[1]3-Produção'!$A$9:$C$104,3,FALSE))</f>
        <v>131.1875</v>
      </c>
      <c r="H54" s="185">
        <f t="shared" si="17"/>
        <v>18.6875</v>
      </c>
      <c r="I54" s="185">
        <f t="shared" si="18"/>
        <v>90.81250218545236</v>
      </c>
      <c r="J54" s="186">
        <f t="shared" si="19"/>
        <v>54.8125</v>
      </c>
      <c r="K54" s="333" t="str">
        <f t="shared" si="16"/>
        <v/>
      </c>
    </row>
    <row r="55" spans="1:27" x14ac:dyDescent="0.2">
      <c r="A55" s="209" t="s">
        <v>5</v>
      </c>
      <c r="B55" s="208" t="s">
        <v>5</v>
      </c>
      <c r="C55" s="197">
        <f>VLOOKUP($B55,'[1]4-Disponibilidade'!$A$8:$C$103,2,FALSE)</f>
        <v>82.926826477050781</v>
      </c>
      <c r="D55" s="183">
        <f t="shared" si="4"/>
        <v>1312.0000441607322</v>
      </c>
      <c r="E55" s="183">
        <f>VLOOKUP($B55,'[1]4-Disponibilidade'!$A$8:$C$103,3,FALSE)</f>
        <v>1088</v>
      </c>
      <c r="F55" s="185">
        <f>IF(ISNA(VLOOKUP($A55,'[1]3-Produção'!$A$9:$C$104,2,FALSE))=TRUE,"n/a",VLOOKUP($A55,'[1]3-Produção'!$A$9:$C$104,2,FALSE))</f>
        <v>430.20833333333331</v>
      </c>
      <c r="G55" s="185">
        <f>IF(ISNA(VLOOKUP($A55,'[1]3-Produção'!$A$9:$C$104,3,FALSE))=TRUE,"n/a",VLOOKUP($A55,'[1]3-Produção'!$A$9:$C$104,3,FALSE))</f>
        <v>588.67916666666667</v>
      </c>
      <c r="H55" s="185">
        <f t="shared" si="17"/>
        <v>158.47083333333336</v>
      </c>
      <c r="I55" s="185">
        <f t="shared" si="18"/>
        <v>723.32087749406548</v>
      </c>
      <c r="J55" s="186">
        <f t="shared" si="19"/>
        <v>499.32083333333333</v>
      </c>
      <c r="K55" s="333" t="str">
        <f t="shared" si="16"/>
        <v/>
      </c>
      <c r="R55" s="4"/>
    </row>
    <row r="56" spans="1:27" x14ac:dyDescent="0.2">
      <c r="A56" s="209" t="s">
        <v>12</v>
      </c>
      <c r="B56" s="208" t="s">
        <v>12</v>
      </c>
      <c r="C56" s="197">
        <f>VLOOKUP($B56,'[1]4-Disponibilidade'!$A$8:$C$103,2,FALSE)</f>
        <v>57.017543792724609</v>
      </c>
      <c r="D56" s="183">
        <f t="shared" si="4"/>
        <v>2280.0000026761568</v>
      </c>
      <c r="E56" s="183">
        <f>VLOOKUP($B56,'[1]4-Disponibilidade'!$A$8:$C$103,3,FALSE)</f>
        <v>1300</v>
      </c>
      <c r="F56" s="185">
        <f>IF(ISNA(VLOOKUP($A56,'[1]3-Produção'!$A$9:$C$104,2,FALSE))=TRUE,"n/a",VLOOKUP($A56,'[1]3-Produção'!$A$9:$C$104,2,FALSE))</f>
        <v>703.33333333333337</v>
      </c>
      <c r="G56" s="185">
        <f>IF(ISNA(VLOOKUP($A56,'[1]3-Produção'!$A$9:$C$104,3,FALSE))=TRUE,"n/a",VLOOKUP($A56,'[1]3-Produção'!$A$9:$C$104,3,FALSE))</f>
        <v>789.61249999999995</v>
      </c>
      <c r="H56" s="185">
        <f t="shared" si="17"/>
        <v>86.279166666666583</v>
      </c>
      <c r="I56" s="185">
        <f t="shared" si="18"/>
        <v>1490.3875026761568</v>
      </c>
      <c r="J56" s="186">
        <f t="shared" si="19"/>
        <v>510.38750000000005</v>
      </c>
      <c r="K56" s="333" t="str">
        <f t="shared" si="16"/>
        <v/>
      </c>
      <c r="R56" s="4"/>
    </row>
    <row r="57" spans="1:27" x14ac:dyDescent="0.2">
      <c r="A57" s="209" t="s">
        <v>95</v>
      </c>
      <c r="B57" s="208" t="s">
        <v>95</v>
      </c>
      <c r="C57" s="197">
        <f>VLOOKUP($B57,'[1]4-Disponibilidade'!$A$8:$C$103,2,FALSE)</f>
        <v>96.195655822753906</v>
      </c>
      <c r="D57" s="183">
        <f t="shared" si="4"/>
        <v>1103.9999581236775</v>
      </c>
      <c r="E57" s="183">
        <f>VLOOKUP($B57,'[1]4-Disponibilidade'!$A$8:$C$103,3,FALSE)</f>
        <v>1062</v>
      </c>
      <c r="F57" s="185">
        <f>IF(ISNA(VLOOKUP($A57,'[1]3-Produção'!$A$9:$C$104,2,FALSE))=TRUE,"n/a",VLOOKUP($A57,'[1]3-Produção'!$A$9:$C$104,2,FALSE))</f>
        <v>497.91666666666669</v>
      </c>
      <c r="G57" s="185">
        <f>IF(ISNA(VLOOKUP($A57,'[1]3-Produção'!$A$9:$C$104,3,FALSE))=TRUE,"n/a",VLOOKUP($A57,'[1]3-Produção'!$A$9:$C$104,3,FALSE))</f>
        <v>493.50833333333338</v>
      </c>
      <c r="H57" s="185">
        <f t="shared" si="17"/>
        <v>-4.408333333333303</v>
      </c>
      <c r="I57" s="185">
        <f t="shared" si="18"/>
        <v>610.49162479034408</v>
      </c>
      <c r="J57" s="186">
        <f t="shared" si="19"/>
        <v>568.49166666666656</v>
      </c>
      <c r="K57" s="333" t="str">
        <f t="shared" si="16"/>
        <v/>
      </c>
      <c r="R57" s="4"/>
    </row>
    <row r="58" spans="1:27" x14ac:dyDescent="0.2">
      <c r="A58" s="209" t="s">
        <v>269</v>
      </c>
      <c r="B58" s="208" t="s">
        <v>269</v>
      </c>
      <c r="C58" s="197">
        <f>VLOOKUP($B58,'[1]4-Disponibilidade'!$A$8:$C$103,2,FALSE)</f>
        <v>12.380952835083008</v>
      </c>
      <c r="D58" s="183">
        <f t="shared" si="4"/>
        <v>104.9999961486231</v>
      </c>
      <c r="E58" s="183">
        <f>VLOOKUP($B58,'[1]4-Disponibilidade'!$A$8:$C$103,3,FALSE)</f>
        <v>13</v>
      </c>
      <c r="F58" s="185">
        <f>IF(ISNA(VLOOKUP($A58,'[1]3-Produção'!$A$9:$C$104,2,FALSE))=TRUE,"n/a",VLOOKUP($A58,'[1]3-Produção'!$A$9:$C$104,2,FALSE))</f>
        <v>13</v>
      </c>
      <c r="G58" s="185">
        <f>IF(ISNA(VLOOKUP($A58,'[1]3-Produção'!$A$9:$C$104,3,FALSE))=TRUE,"n/a",VLOOKUP($A58,'[1]3-Produção'!$A$9:$C$104,3,FALSE))</f>
        <v>13</v>
      </c>
      <c r="H58" s="185">
        <f>IF(OR(F58="n/a",G58="n/a"),"n/a",G58-F58)</f>
        <v>0</v>
      </c>
      <c r="I58" s="185">
        <f>IF(OR(G58="n/a",D58="n/a"),"n/a",D58-G58)</f>
        <v>91.999996148623097</v>
      </c>
      <c r="J58" s="186">
        <f>IF(OR(G58="n/a",G58=0,E58="n/a",E58=0),"n/a",E58-G58)</f>
        <v>0</v>
      </c>
      <c r="K58" s="333" t="str">
        <f t="shared" si="16"/>
        <v/>
      </c>
      <c r="R58" s="4"/>
    </row>
    <row r="59" spans="1:27" x14ac:dyDescent="0.2">
      <c r="A59" s="209" t="s">
        <v>6</v>
      </c>
      <c r="B59" s="208" t="s">
        <v>6</v>
      </c>
      <c r="C59" s="197">
        <f>VLOOKUP($B59,'[1]4-Disponibilidade'!$A$8:$C$103,2,FALSE)</f>
        <v>82.845191955566406</v>
      </c>
      <c r="D59" s="183">
        <f t="shared" si="4"/>
        <v>477.99997881879807</v>
      </c>
      <c r="E59" s="183">
        <f>VLOOKUP($B59,'[1]4-Disponibilidade'!$A$8:$C$103,3,FALSE)</f>
        <v>396</v>
      </c>
      <c r="F59" s="185">
        <f>IF(ISNA(VLOOKUP($A59,'[1]3-Produção'!$A$9:$C$104,2,FALSE))=TRUE,"n/a",VLOOKUP($A59,'[1]3-Produção'!$A$9:$C$104,2,FALSE))</f>
        <v>339.58333333333331</v>
      </c>
      <c r="G59" s="185">
        <f>IF(ISNA(VLOOKUP($A59,'[1]3-Produção'!$A$9:$C$104,3,FALSE))=TRUE,"n/a",VLOOKUP($A59,'[1]3-Produção'!$A$9:$C$104,3,FALSE))</f>
        <v>338.57083333333333</v>
      </c>
      <c r="H59" s="185">
        <f t="shared" si="17"/>
        <v>-1.0124999999999886</v>
      </c>
      <c r="I59" s="185">
        <f t="shared" si="18"/>
        <v>139.42914548546474</v>
      </c>
      <c r="J59" s="186">
        <f t="shared" si="19"/>
        <v>57.429166666666674</v>
      </c>
      <c r="K59" s="333" t="str">
        <f t="shared" si="16"/>
        <v/>
      </c>
      <c r="R59" s="4"/>
    </row>
    <row r="60" spans="1:27" x14ac:dyDescent="0.2">
      <c r="A60" s="209" t="s">
        <v>7</v>
      </c>
      <c r="B60" s="208" t="s">
        <v>7</v>
      </c>
      <c r="C60" s="197">
        <f>VLOOKUP($B60,'[1]4-Disponibilidade'!$A$8:$C$103,2,FALSE)</f>
        <v>70.56451416015625</v>
      </c>
      <c r="D60" s="183">
        <f t="shared" si="4"/>
        <v>1488.0000415178583</v>
      </c>
      <c r="E60" s="183">
        <f>VLOOKUP($B60,'[1]4-Disponibilidade'!$A$8:$C$103,3,FALSE)</f>
        <v>1050</v>
      </c>
      <c r="F60" s="185">
        <f>IF(ISNA(VLOOKUP($A60,'[1]3-Produção'!$A$9:$C$104,2,FALSE))=TRUE,"n/a",VLOOKUP($A60,'[1]3-Produção'!$A$9:$C$104,2,FALSE))</f>
        <v>554.58333333333337</v>
      </c>
      <c r="G60" s="185">
        <f>IF(ISNA(VLOOKUP($A60,'[1]3-Produção'!$A$9:$C$104,3,FALSE))=TRUE,"n/a",VLOOKUP($A60,'[1]3-Produção'!$A$9:$C$104,3,FALSE))</f>
        <v>646.61249999999995</v>
      </c>
      <c r="H60" s="185">
        <f t="shared" si="17"/>
        <v>92.029166666666583</v>
      </c>
      <c r="I60" s="185">
        <f t="shared" si="18"/>
        <v>841.38754151785838</v>
      </c>
      <c r="J60" s="186">
        <f t="shared" si="19"/>
        <v>403.38750000000005</v>
      </c>
      <c r="K60" s="333" t="str">
        <f t="shared" si="16"/>
        <v/>
      </c>
      <c r="R60" s="4"/>
    </row>
    <row r="61" spans="1:27" x14ac:dyDescent="0.2">
      <c r="A61" s="209" t="s">
        <v>96</v>
      </c>
      <c r="B61" s="208" t="s">
        <v>199</v>
      </c>
      <c r="C61" s="197">
        <f>VLOOKUP($B61,'[1]4-Disponibilidade'!$A$8:$C$103,2,FALSE)</f>
        <v>54.263565063476563</v>
      </c>
      <c r="D61" s="183">
        <f t="shared" si="4"/>
        <v>1290.0000196838382</v>
      </c>
      <c r="E61" s="183">
        <f>VLOOKUP($B61,'[1]4-Disponibilidade'!$A$8:$C$103,3,FALSE)</f>
        <v>700</v>
      </c>
      <c r="F61" s="185">
        <f>IF(ISNA(VLOOKUP($A61,'[1]3-Produção'!$A$9:$C$104,2,FALSE))=TRUE,"n/a",VLOOKUP($A61,'[1]3-Produção'!$A$9:$C$104,2,FALSE))</f>
        <v>635.41666666666663</v>
      </c>
      <c r="G61" s="185">
        <f>IF(ISNA(VLOOKUP($A61,'[1]3-Produção'!$A$9:$C$104,3,FALSE))=TRUE,"n/a",VLOOKUP($A61,'[1]3-Produção'!$A$9:$C$104,3,FALSE))</f>
        <v>716.04166666666686</v>
      </c>
      <c r="H61" s="185">
        <f t="shared" si="17"/>
        <v>80.625000000000227</v>
      </c>
      <c r="I61" s="185">
        <f t="shared" si="18"/>
        <v>573.95835301717136</v>
      </c>
      <c r="J61" s="186">
        <f t="shared" si="19"/>
        <v>-16.041666666666856</v>
      </c>
      <c r="K61" s="333" t="str">
        <f t="shared" si="16"/>
        <v/>
      </c>
      <c r="R61" s="4"/>
    </row>
    <row r="62" spans="1:27" x14ac:dyDescent="0.2">
      <c r="A62" s="209" t="s">
        <v>97</v>
      </c>
      <c r="B62" s="208" t="s">
        <v>97</v>
      </c>
      <c r="C62" s="197">
        <f>VLOOKUP($B62,'[1]4-Disponibilidade'!$A$8:$C$103,2,FALSE)</f>
        <v>97.264434814453125</v>
      </c>
      <c r="D62" s="183">
        <f t="shared" si="4"/>
        <v>658.00001945304928</v>
      </c>
      <c r="E62" s="183">
        <f>VLOOKUP($B62,'[1]4-Disponibilidade'!$A$8:$C$103,3,FALSE)</f>
        <v>640</v>
      </c>
      <c r="F62" s="185">
        <f>IF(ISNA(VLOOKUP($A62,'[1]3-Produção'!$A$9:$C$104,2,FALSE))=TRUE,"n/a",VLOOKUP($A62,'[1]3-Produção'!$A$9:$C$104,2,FALSE))</f>
        <v>412.08333333333331</v>
      </c>
      <c r="G62" s="185">
        <f>IF(ISNA(VLOOKUP($A62,'[1]3-Produção'!$A$9:$C$104,3,FALSE))=TRUE,"n/a",VLOOKUP($A62,'[1]3-Produção'!$A$9:$C$104,3,FALSE))</f>
        <v>343.76666666666659</v>
      </c>
      <c r="H62" s="185">
        <f t="shared" si="17"/>
        <v>-68.31666666666672</v>
      </c>
      <c r="I62" s="185">
        <f t="shared" si="18"/>
        <v>314.23335278638268</v>
      </c>
      <c r="J62" s="186">
        <f t="shared" si="19"/>
        <v>296.23333333333341</v>
      </c>
      <c r="K62" s="333" t="str">
        <f t="shared" si="16"/>
        <v/>
      </c>
      <c r="R62" s="4"/>
    </row>
    <row r="63" spans="1:27" x14ac:dyDescent="0.2">
      <c r="A63" s="209" t="s">
        <v>98</v>
      </c>
      <c r="B63" s="208" t="s">
        <v>98</v>
      </c>
      <c r="C63" s="197">
        <f>VLOOKUP($B63,'[1]4-Disponibilidade'!$A$8:$C$103,2,FALSE)</f>
        <v>100</v>
      </c>
      <c r="D63" s="183">
        <f t="shared" si="4"/>
        <v>132</v>
      </c>
      <c r="E63" s="183">
        <f>VLOOKUP($B63,'[1]4-Disponibilidade'!$A$8:$C$103,3,FALSE)</f>
        <v>132</v>
      </c>
      <c r="F63" s="185">
        <f>IF(ISNA(VLOOKUP($A63,'[1]3-Produção'!$A$9:$C$104,2,FALSE))=TRUE,"n/a",VLOOKUP($A63,'[1]3-Produção'!$A$9:$C$104,2,FALSE))</f>
        <v>108.70833333333333</v>
      </c>
      <c r="G63" s="185">
        <f>IF(ISNA(VLOOKUP($A63,'[1]3-Produção'!$A$9:$C$104,3,FALSE))=TRUE,"n/a",VLOOKUP($A63,'[1]3-Produção'!$A$9:$C$104,3,FALSE))</f>
        <v>118.51666666666665</v>
      </c>
      <c r="H63" s="185">
        <f t="shared" si="17"/>
        <v>9.8083333333333229</v>
      </c>
      <c r="I63" s="185">
        <f t="shared" si="18"/>
        <v>13.483333333333348</v>
      </c>
      <c r="J63" s="186">
        <f t="shared" si="19"/>
        <v>13.483333333333348</v>
      </c>
      <c r="K63" s="333" t="str">
        <f t="shared" si="16"/>
        <v/>
      </c>
      <c r="R63" s="4"/>
    </row>
    <row r="64" spans="1:27" x14ac:dyDescent="0.2">
      <c r="A64" s="210" t="s">
        <v>99</v>
      </c>
      <c r="B64" s="208" t="s">
        <v>99</v>
      </c>
      <c r="C64" s="197">
        <f>VLOOKUP($B64,'[1]4-Disponibilidade'!$A$8:$C$103,2,FALSE)</f>
        <v>90.804595947265625</v>
      </c>
      <c r="D64" s="183">
        <f t="shared" si="4"/>
        <v>174.00000336079665</v>
      </c>
      <c r="E64" s="183">
        <f>VLOOKUP($B64,'[1]4-Disponibilidade'!$A$8:$C$103,3,FALSE)</f>
        <v>158</v>
      </c>
      <c r="F64" s="185">
        <f>IF(ISNA(VLOOKUP($A64,'[1]3-Produção'!$A$9:$C$104,2,FALSE))=TRUE,"n/a",VLOOKUP($A64,'[1]3-Produção'!$A$9:$C$104,2,FALSE))</f>
        <v>42.166666666666664</v>
      </c>
      <c r="G64" s="185">
        <f>IF(ISNA(VLOOKUP($A64,'[1]3-Produção'!$A$9:$C$104,3,FALSE))=TRUE,"n/a",VLOOKUP($A64,'[1]3-Produção'!$A$9:$C$104,3,FALSE))</f>
        <v>78.1875</v>
      </c>
      <c r="H64" s="185">
        <f t="shared" si="17"/>
        <v>36.020833333333336</v>
      </c>
      <c r="I64" s="185">
        <f t="shared" si="18"/>
        <v>95.812503360796654</v>
      </c>
      <c r="J64" s="186">
        <f t="shared" si="19"/>
        <v>79.8125</v>
      </c>
      <c r="K64" s="333" t="str">
        <f t="shared" si="16"/>
        <v/>
      </c>
      <c r="R64" s="4"/>
    </row>
    <row r="65" spans="1:18" x14ac:dyDescent="0.2">
      <c r="A65" s="210" t="s">
        <v>100</v>
      </c>
      <c r="B65" s="208" t="s">
        <v>100</v>
      </c>
      <c r="C65" s="197">
        <f>VLOOKUP($B65,'[1]4-Disponibilidade'!$A$8:$C$103,2,FALSE)</f>
        <v>98.947364807128906</v>
      </c>
      <c r="D65" s="183">
        <f t="shared" si="4"/>
        <v>380.00001387900545</v>
      </c>
      <c r="E65" s="183">
        <f>VLOOKUP($B65,'[1]4-Disponibilidade'!$A$8:$C$103,3,FALSE)</f>
        <v>376</v>
      </c>
      <c r="F65" s="185">
        <f>IF(ISNA(VLOOKUP($A65,'[1]3-Produção'!$A$9:$C$104,2,FALSE))=TRUE,"n/a",VLOOKUP($A65,'[1]3-Produção'!$A$9:$C$104,2,FALSE))</f>
        <v>313.83333333333331</v>
      </c>
      <c r="G65" s="185">
        <f>IF(ISNA(VLOOKUP($A65,'[1]3-Produção'!$A$9:$C$104,3,FALSE))=TRUE,"n/a",VLOOKUP($A65,'[1]3-Produção'!$A$9:$C$104,3,FALSE))</f>
        <v>347.0958333333333</v>
      </c>
      <c r="H65" s="185">
        <f t="shared" si="17"/>
        <v>33.262499999999989</v>
      </c>
      <c r="I65" s="185">
        <f t="shared" si="18"/>
        <v>32.904180545672148</v>
      </c>
      <c r="J65" s="186">
        <f t="shared" si="19"/>
        <v>28.904166666666697</v>
      </c>
      <c r="K65" s="333" t="str">
        <f t="shared" si="16"/>
        <v/>
      </c>
      <c r="R65" s="4"/>
    </row>
    <row r="66" spans="1:18" x14ac:dyDescent="0.2">
      <c r="A66" s="210" t="s">
        <v>101</v>
      </c>
      <c r="B66" s="211" t="s">
        <v>101</v>
      </c>
      <c r="C66" s="197">
        <f>VLOOKUP($B66,'[1]4-Disponibilidade'!$A$8:$C$103,2,FALSE)</f>
        <v>100</v>
      </c>
      <c r="D66" s="184">
        <f t="shared" si="4"/>
        <v>100</v>
      </c>
      <c r="E66" s="183">
        <f>VLOOKUP($B66,'[1]4-Disponibilidade'!$A$8:$C$103,3,FALSE)</f>
        <v>100</v>
      </c>
      <c r="F66" s="185">
        <f>IF(ISNA(VLOOKUP($A66,'[1]3-Produção'!$A$9:$C$104,2,FALSE))=TRUE,"n/a",VLOOKUP($A66,'[1]3-Produção'!$A$9:$C$104,2,FALSE))</f>
        <v>42.291666666666664</v>
      </c>
      <c r="G66" s="185">
        <f>IF(ISNA(VLOOKUP($A66,'[1]3-Produção'!$A$9:$C$104,3,FALSE))=TRUE,"n/a",VLOOKUP($A66,'[1]3-Produção'!$A$9:$C$104,3,FALSE))</f>
        <v>49.279166666666661</v>
      </c>
      <c r="H66" s="185">
        <f t="shared" si="17"/>
        <v>6.9874999999999972</v>
      </c>
      <c r="I66" s="185">
        <f t="shared" si="18"/>
        <v>50.720833333333339</v>
      </c>
      <c r="J66" s="186">
        <f t="shared" si="19"/>
        <v>50.720833333333339</v>
      </c>
      <c r="K66" s="333" t="str">
        <f t="shared" si="16"/>
        <v/>
      </c>
      <c r="R66" s="4"/>
    </row>
    <row r="67" spans="1:18" x14ac:dyDescent="0.2">
      <c r="A67" s="209" t="s">
        <v>102</v>
      </c>
      <c r="B67" s="211" t="s">
        <v>197</v>
      </c>
      <c r="C67" s="197">
        <f>VLOOKUP($B67,'[1]4-Disponibilidade'!$A$8:$C$103,2,FALSE)</f>
        <v>22.807018280029297</v>
      </c>
      <c r="D67" s="184">
        <f t="shared" si="4"/>
        <v>56.999998160142226</v>
      </c>
      <c r="E67" s="183">
        <f>VLOOKUP($B67,'[1]4-Disponibilidade'!$A$8:$C$103,3,FALSE)</f>
        <v>13</v>
      </c>
      <c r="F67" s="185">
        <f>IF(ISNA(VLOOKUP($A67,'[1]3-Produção'!$A$9:$C$104,2,FALSE))=TRUE,"n/a",VLOOKUP($A67,'[1]3-Produção'!$A$9:$C$104,2,FALSE))</f>
        <v>12</v>
      </c>
      <c r="G67" s="185">
        <f>IF(ISNA(VLOOKUP($A67,'[1]3-Produção'!$A$9:$C$104,3,FALSE))=TRUE,"n/a",VLOOKUP($A67,'[1]3-Produção'!$A$9:$C$104,3,FALSE))</f>
        <v>12.925000000000001</v>
      </c>
      <c r="H67" s="185">
        <f t="shared" si="17"/>
        <v>0.92500000000000071</v>
      </c>
      <c r="I67" s="185">
        <f t="shared" si="18"/>
        <v>44.074998160142229</v>
      </c>
      <c r="J67" s="186">
        <f t="shared" si="19"/>
        <v>7.4999999999999289E-2</v>
      </c>
      <c r="K67" s="333" t="str">
        <f t="shared" si="16"/>
        <v/>
      </c>
      <c r="R67" s="4"/>
    </row>
    <row r="68" spans="1:18" x14ac:dyDescent="0.2">
      <c r="A68" s="210" t="s">
        <v>116</v>
      </c>
      <c r="B68" s="211" t="s">
        <v>116</v>
      </c>
      <c r="C68" s="197">
        <f>VLOOKUP($B68,'[1]4-Disponibilidade'!$A$8:$C$103,2,FALSE)</f>
        <v>91.25396728515625</v>
      </c>
      <c r="D68" s="183">
        <f t="shared" si="4"/>
        <v>6300.0000668849343</v>
      </c>
      <c r="E68" s="183">
        <f>VLOOKUP($B68,'[1]4-Disponibilidade'!$A$8:$C$103,3,FALSE)</f>
        <v>5749</v>
      </c>
      <c r="F68" s="185">
        <f>IF(ISNA(VLOOKUP($A68,'[1]3-Produção'!$A$9:$C$104,2,FALSE))=TRUE,"n/a",VLOOKUP($A68,'[1]3-Produção'!$A$9:$C$104,2,FALSE))</f>
        <v>5793.75</v>
      </c>
      <c r="G68" s="185">
        <f>IF(ISNA(VLOOKUP($A68,'[1]3-Produção'!$A$9:$C$104,3,FALSE))=TRUE,"n/a",VLOOKUP($A68,'[1]3-Produção'!$A$9:$C$104,3,FALSE))</f>
        <v>5726.2250000000013</v>
      </c>
      <c r="H68" s="185">
        <f>IF(OR(F68="n/a",G68="n/a"),"n/a",G68-F68)</f>
        <v>-67.524999999998727</v>
      </c>
      <c r="I68" s="185">
        <f>IF(OR(G68="n/a",D68="n/a"),"n/a",D68-G68)</f>
        <v>573.77506688493304</v>
      </c>
      <c r="J68" s="186">
        <f>IF(OR(G68="n/a",G68=0,E68="n/a",E68=0),"n/a",E68-G68)</f>
        <v>22.774999999998727</v>
      </c>
      <c r="K68" s="333" t="str">
        <f t="shared" si="16"/>
        <v/>
      </c>
      <c r="R68" s="4"/>
    </row>
    <row r="69" spans="1:18" ht="13.5" thickBot="1" x14ac:dyDescent="0.25">
      <c r="A69" s="214" t="s">
        <v>117</v>
      </c>
      <c r="B69" s="215" t="s">
        <v>117</v>
      </c>
      <c r="C69" s="199">
        <f>VLOOKUP($B69,'[1]4-Disponibilidade'!$A$8:$C$103,2,FALSE)</f>
        <v>79.365081787109375</v>
      </c>
      <c r="D69" s="200">
        <f t="shared" si="4"/>
        <v>6299.9998077392638</v>
      </c>
      <c r="E69" s="200">
        <f>VLOOKUP($B69,'[1]4-Disponibilidade'!$A$8:$C$103,3,FALSE)</f>
        <v>5000</v>
      </c>
      <c r="F69" s="201">
        <f>IF(ISNA(VLOOKUP($A69,'[1]3-Produção'!$A$9:$C$104,2,FALSE))=TRUE,"n/a",VLOOKUP($A69,'[1]3-Produção'!$A$9:$C$104,2,FALSE))</f>
        <v>3903.125</v>
      </c>
      <c r="G69" s="201">
        <f>IF(ISNA(VLOOKUP($A69,'[1]3-Produção'!$A$9:$C$104,3,FALSE))=TRUE,"n/a",VLOOKUP($A69,'[1]3-Produção'!$A$9:$C$104,3,FALSE))</f>
        <v>3997.6708333333336</v>
      </c>
      <c r="H69" s="201">
        <f>IF(OR(F69="n/a",G69="n/a"),"n/a",G69-F69)</f>
        <v>94.545833333333576</v>
      </c>
      <c r="I69" s="201">
        <f>IF(OR(G69="n/a",D69="n/a"),"n/a",D69-G69)</f>
        <v>2302.3289744059302</v>
      </c>
      <c r="J69" s="202">
        <f>IF(OR(G69="n/a",G69=0,E69="n/a",E69=0),"n/a",E69-G69)</f>
        <v>1002.3291666666664</v>
      </c>
      <c r="K69" s="333" t="str">
        <f t="shared" si="16"/>
        <v/>
      </c>
      <c r="R69" s="4"/>
    </row>
    <row r="70" spans="1:18" ht="13.5" thickBot="1" x14ac:dyDescent="0.25">
      <c r="A70" s="216" t="s">
        <v>257</v>
      </c>
      <c r="B70" s="217"/>
      <c r="C70" s="203">
        <f>SUMPRODUCT(C5:C69,E5:E69)/E70</f>
        <v>85.479659380066366</v>
      </c>
      <c r="D70" s="204">
        <f t="shared" ref="D70:J70" si="20">SUM(D5:D69)</f>
        <v>42375.959990342439</v>
      </c>
      <c r="E70" s="204">
        <f t="shared" si="20"/>
        <v>34962</v>
      </c>
      <c r="F70" s="205">
        <f t="shared" si="20"/>
        <v>24723.408333333336</v>
      </c>
      <c r="G70" s="205">
        <f t="shared" si="20"/>
        <v>25573.087500000001</v>
      </c>
      <c r="H70" s="205">
        <f>SUM(H36:H69)</f>
        <v>529.24166666666815</v>
      </c>
      <c r="I70" s="205">
        <f t="shared" si="20"/>
        <v>16802.87249034243</v>
      </c>
      <c r="J70" s="206">
        <f t="shared" si="20"/>
        <v>9388.9124999999985</v>
      </c>
      <c r="K70" s="333" t="str">
        <f t="shared" ref="K70:K108" si="21">IF(OR(C70&gt;100,D70="n/a",F70="n/a",G70="n/a",H70="n/a",I70="n/a",J70="n/a"),"X","")</f>
        <v/>
      </c>
      <c r="R70" s="4"/>
    </row>
    <row r="71" spans="1:18" ht="13.5" thickBot="1" x14ac:dyDescent="0.25">
      <c r="A71" s="67"/>
      <c r="B71" s="67"/>
      <c r="C71" s="43"/>
      <c r="D71" s="68"/>
      <c r="E71" s="68"/>
      <c r="F71" s="69"/>
      <c r="G71" s="69"/>
      <c r="H71" s="69"/>
      <c r="I71" s="69"/>
      <c r="J71" s="69"/>
      <c r="K71" s="333" t="str">
        <f t="shared" si="21"/>
        <v/>
      </c>
      <c r="R71" s="4"/>
    </row>
    <row r="72" spans="1:18" x14ac:dyDescent="0.2">
      <c r="A72" s="236" t="s">
        <v>103</v>
      </c>
      <c r="B72" s="237" t="s">
        <v>103</v>
      </c>
      <c r="C72" s="221">
        <f>VLOOKUP($B72,'[1]4-Disponibilidade'!$A$8:$C$103,2,FALSE)</f>
        <v>82.881729125976563</v>
      </c>
      <c r="D72" s="222">
        <f>IF(OR(C72=0,E72=0),"n/a",E72/C72*100)</f>
        <v>31.370001898103684</v>
      </c>
      <c r="E72" s="222">
        <f>VLOOKUP($B72,'[1]4-Disponibilidade'!$A$8:$C$103,3,FALSE)</f>
        <v>26</v>
      </c>
      <c r="F72" s="223" t="str">
        <f>IF(ISNA(VLOOKUP($A72,'[1]3-Produção'!$A$9:$C$104,2,FALSE))=TRUE,"n/a",VLOOKUP($A72,'[1]3-Produção'!$A$9:$C$104,2,FALSE))</f>
        <v>n/a</v>
      </c>
      <c r="G72" s="223" t="str">
        <f>IF(ISNA(VLOOKUP($A72,'[1]3-Produção'!$A$9:$C$104,3,FALSE))=TRUE,"n/a",VLOOKUP($A72,'[1]3-Produção'!$A$9:$C$104,3,FALSE))</f>
        <v>n/a</v>
      </c>
      <c r="H72" s="223" t="str">
        <f t="shared" si="17"/>
        <v>n/a</v>
      </c>
      <c r="I72" s="223" t="str">
        <f t="shared" si="18"/>
        <v>n/a</v>
      </c>
      <c r="J72" s="224" t="str">
        <f t="shared" si="19"/>
        <v>n/a</v>
      </c>
      <c r="K72" s="333" t="str">
        <f t="shared" si="21"/>
        <v>X</v>
      </c>
      <c r="L72" s="3"/>
      <c r="M72" s="3"/>
      <c r="N72" s="2"/>
      <c r="O72" s="2"/>
      <c r="P72" s="2"/>
      <c r="R72" s="4"/>
    </row>
    <row r="73" spans="1:18" x14ac:dyDescent="0.2">
      <c r="A73" s="238" t="s">
        <v>104</v>
      </c>
      <c r="B73" s="237" t="s">
        <v>104</v>
      </c>
      <c r="C73" s="225">
        <f>VLOOKUP($B73,'[1]4-Disponibilidade'!$A$8:$C$103,2,FALSE)</f>
        <v>90.909088134765625</v>
      </c>
      <c r="D73" s="218">
        <f t="shared" ref="D73:D88" si="22">IF(OR(C73=0,E73=0),"n/a",E73/C73*100)</f>
        <v>44.000001342773473</v>
      </c>
      <c r="E73" s="218">
        <f>VLOOKUP($B73,'[1]4-Disponibilidade'!$A$8:$C$103,3,FALSE)</f>
        <v>40</v>
      </c>
      <c r="F73" s="219">
        <f>IF(ISNA(VLOOKUP($A73,'[1]3-Produção'!$A$9:$C$104,2,FALSE))=TRUE,"n/a",VLOOKUP($A73,'[1]3-Produção'!$A$9:$C$104,2,FALSE))</f>
        <v>30.520833333333332</v>
      </c>
      <c r="G73" s="219">
        <f>IF(ISNA(VLOOKUP($A73,'[1]3-Produção'!$A$9:$C$104,3,FALSE))=TRUE,"n/a",VLOOKUP($A73,'[1]3-Produção'!$A$9:$C$104,3,FALSE))</f>
        <v>21.770833333333332</v>
      </c>
      <c r="H73" s="219">
        <f t="shared" si="17"/>
        <v>-8.75</v>
      </c>
      <c r="I73" s="219">
        <f t="shared" si="18"/>
        <v>22.229168009440141</v>
      </c>
      <c r="J73" s="226">
        <f t="shared" si="19"/>
        <v>18.229166666666668</v>
      </c>
      <c r="K73" s="333" t="str">
        <f t="shared" si="21"/>
        <v/>
      </c>
      <c r="L73" s="3"/>
      <c r="M73" s="3"/>
      <c r="N73" s="2"/>
      <c r="O73" s="2"/>
      <c r="P73" s="2"/>
      <c r="R73" s="4"/>
    </row>
    <row r="74" spans="1:18" x14ac:dyDescent="0.2">
      <c r="A74" s="238" t="s">
        <v>302</v>
      </c>
      <c r="B74" s="237" t="s">
        <v>302</v>
      </c>
      <c r="C74" s="225">
        <f>VLOOKUP($B74,'[1]4-Disponibilidade'!$A$8:$C$103,2,FALSE)</f>
        <v>100.80000305175781</v>
      </c>
      <c r="D74" s="218">
        <f t="shared" si="22"/>
        <v>62.499998107789111</v>
      </c>
      <c r="E74" s="218">
        <f>VLOOKUP($B74,'[1]4-Disponibilidade'!$A$8:$C$103,3,FALSE)</f>
        <v>63</v>
      </c>
      <c r="F74" s="219" t="str">
        <f>IF(ISNA(VLOOKUP($A74,'[1]3-Produção'!$A$9:$C$104,2,FALSE))=TRUE,"n/a",VLOOKUP($A74,'[1]3-Produção'!$A$9:$C$104,2,FALSE))</f>
        <v>n/a</v>
      </c>
      <c r="G74" s="219" t="str">
        <f>IF(ISNA(VLOOKUP($A74,'[1]3-Produção'!$A$9:$C$104,3,FALSE))=TRUE,"n/a",VLOOKUP($A74,'[1]3-Produção'!$A$9:$C$104,3,FALSE))</f>
        <v>n/a</v>
      </c>
      <c r="H74" s="219" t="str">
        <f t="shared" si="17"/>
        <v>n/a</v>
      </c>
      <c r="I74" s="219" t="str">
        <f>IF(OR(G74="n/a",D74="n/a"),"n/a",D74-G74)</f>
        <v>n/a</v>
      </c>
      <c r="J74" s="226" t="str">
        <f>IF(OR(G74="n/a",G74=0,E74="n/a",E74=0),"n/a",E74-G74)</f>
        <v>n/a</v>
      </c>
      <c r="K74" s="333"/>
      <c r="L74" s="3"/>
      <c r="M74" s="3"/>
      <c r="N74" s="2"/>
      <c r="O74" s="2"/>
      <c r="P74" s="2"/>
      <c r="R74" s="4"/>
    </row>
    <row r="75" spans="1:18" x14ac:dyDescent="0.2">
      <c r="A75" s="238" t="s">
        <v>105</v>
      </c>
      <c r="B75" s="237" t="s">
        <v>105</v>
      </c>
      <c r="C75" s="225">
        <f>VLOOKUP($B75,'[1]4-Disponibilidade'!$A$8:$C$103,2,FALSE)</f>
        <v>100</v>
      </c>
      <c r="D75" s="218">
        <f t="shared" si="22"/>
        <v>500</v>
      </c>
      <c r="E75" s="218">
        <f>VLOOKUP($B75,'[1]4-Disponibilidade'!$A$8:$C$103,3,FALSE)</f>
        <v>500</v>
      </c>
      <c r="F75" s="219">
        <f>IF(ISNA(VLOOKUP($A75,'[1]3-Produção'!$A$9:$C$104,2,FALSE))=TRUE,"n/a",VLOOKUP($A75,'[1]3-Produção'!$A$9:$C$104,2,FALSE))</f>
        <v>179.02083333333334</v>
      </c>
      <c r="G75" s="219">
        <f>IF(ISNA(VLOOKUP($A75,'[1]3-Produção'!$A$9:$C$104,3,FALSE))=TRUE,"n/a",VLOOKUP($A75,'[1]3-Produção'!$A$9:$C$104,3,FALSE))</f>
        <v>218.32499999999999</v>
      </c>
      <c r="H75" s="219">
        <f t="shared" ref="H75:H105" si="23">IF(OR(F75="n/a",G75="n/a"),"n/a",G75-F75)</f>
        <v>39.304166666666646</v>
      </c>
      <c r="I75" s="219">
        <f t="shared" si="18"/>
        <v>281.67500000000001</v>
      </c>
      <c r="J75" s="226">
        <f t="shared" si="19"/>
        <v>281.67500000000001</v>
      </c>
      <c r="K75" s="333" t="str">
        <f t="shared" si="21"/>
        <v/>
      </c>
      <c r="L75" s="3"/>
      <c r="M75" s="3"/>
      <c r="N75" s="2"/>
      <c r="O75" s="2"/>
      <c r="P75" s="2"/>
      <c r="R75" s="4"/>
    </row>
    <row r="76" spans="1:18" x14ac:dyDescent="0.2">
      <c r="A76" s="239" t="s">
        <v>106</v>
      </c>
      <c r="B76" s="240" t="s">
        <v>106</v>
      </c>
      <c r="C76" s="225">
        <f>VLOOKUP($B76,'[1]4-Disponibilidade'!$A$8:$C$103,2,FALSE)</f>
        <v>100</v>
      </c>
      <c r="D76" s="218">
        <f t="shared" si="22"/>
        <v>180</v>
      </c>
      <c r="E76" s="218">
        <f>VLOOKUP($B76,'[1]4-Disponibilidade'!$A$8:$C$103,3,FALSE)</f>
        <v>180</v>
      </c>
      <c r="F76" s="219">
        <f>IF(ISNA(VLOOKUP($A76,'[1]3-Produção'!$A$9:$C$104,2,FALSE))=TRUE,"n/a",VLOOKUP($A76,'[1]3-Produção'!$A$9:$C$104,2,FALSE))</f>
        <v>170.625</v>
      </c>
      <c r="G76" s="219">
        <f>IF(ISNA(VLOOKUP($A76,'[1]3-Produção'!$A$9:$C$104,3,FALSE))=TRUE,"n/a",VLOOKUP($A76,'[1]3-Produção'!$A$9:$C$104,3,FALSE))</f>
        <v>156.35</v>
      </c>
      <c r="H76" s="219">
        <f t="shared" si="23"/>
        <v>-14.275000000000006</v>
      </c>
      <c r="I76" s="219">
        <f t="shared" si="18"/>
        <v>23.650000000000006</v>
      </c>
      <c r="J76" s="226">
        <f t="shared" si="19"/>
        <v>23.650000000000006</v>
      </c>
      <c r="K76" s="333" t="str">
        <f t="shared" si="21"/>
        <v/>
      </c>
      <c r="L76" s="3"/>
      <c r="M76" s="3"/>
      <c r="N76" s="2"/>
      <c r="O76" s="2"/>
      <c r="P76" s="2"/>
      <c r="R76" s="4"/>
    </row>
    <row r="77" spans="1:18" x14ac:dyDescent="0.2">
      <c r="A77" s="238" t="s">
        <v>107</v>
      </c>
      <c r="B77" s="237" t="s">
        <v>107</v>
      </c>
      <c r="C77" s="225">
        <f>VLOOKUP($B77,'[1]4-Disponibilidade'!$A$8:$C$103,2,FALSE)</f>
        <v>100</v>
      </c>
      <c r="D77" s="218">
        <f t="shared" si="22"/>
        <v>158</v>
      </c>
      <c r="E77" s="218">
        <f>VLOOKUP($B77,'[1]4-Disponibilidade'!$A$8:$C$103,3,FALSE)</f>
        <v>158</v>
      </c>
      <c r="F77" s="219">
        <f>IF(ISNA(VLOOKUP($A77,'[1]3-Produção'!$A$9:$C$104,2,FALSE))=TRUE,"n/a",VLOOKUP($A77,'[1]3-Produção'!$A$9:$C$104,2,FALSE))</f>
        <v>87.291666666666671</v>
      </c>
      <c r="G77" s="219">
        <f>IF(ISNA(VLOOKUP($A77,'[1]3-Produção'!$A$9:$C$104,3,FALSE))=TRUE,"n/a",VLOOKUP($A77,'[1]3-Produção'!$A$9:$C$104,3,FALSE))</f>
        <v>81.75</v>
      </c>
      <c r="H77" s="219">
        <f t="shared" si="23"/>
        <v>-5.5416666666666714</v>
      </c>
      <c r="I77" s="219">
        <f t="shared" si="18"/>
        <v>76.25</v>
      </c>
      <c r="J77" s="226">
        <f t="shared" si="19"/>
        <v>76.25</v>
      </c>
      <c r="K77" s="333" t="str">
        <f t="shared" si="21"/>
        <v/>
      </c>
      <c r="L77" s="3"/>
      <c r="M77" s="3"/>
      <c r="N77" s="2"/>
      <c r="O77" s="2"/>
      <c r="P77" s="2"/>
      <c r="R77" s="4"/>
    </row>
    <row r="78" spans="1:18" x14ac:dyDescent="0.2">
      <c r="A78" s="238" t="s">
        <v>108</v>
      </c>
      <c r="B78" s="237" t="s">
        <v>108</v>
      </c>
      <c r="C78" s="225">
        <f>VLOOKUP($B78,'[1]4-Disponibilidade'!$A$8:$C$103,2,FALSE)</f>
        <v>73.687347412109375</v>
      </c>
      <c r="D78" s="218">
        <f t="shared" si="22"/>
        <v>1676.0000778601061</v>
      </c>
      <c r="E78" s="218">
        <f>VLOOKUP($B78,'[1]4-Disponibilidade'!$A$8:$C$103,3,FALSE)</f>
        <v>1235</v>
      </c>
      <c r="F78" s="219">
        <f>IF(ISNA(VLOOKUP($A78,'[1]3-Produção'!$A$9:$C$104,2,FALSE))=TRUE,"n/a",VLOOKUP($A78,'[1]3-Produção'!$A$9:$C$104,2,FALSE))</f>
        <v>1048.75</v>
      </c>
      <c r="G78" s="219">
        <f>IF(ISNA(VLOOKUP($A78,'[1]3-Produção'!$A$9:$C$104,3,FALSE))=TRUE,"n/a",VLOOKUP($A78,'[1]3-Produção'!$A$9:$C$104,3,FALSE))</f>
        <v>1088.5374999999999</v>
      </c>
      <c r="H78" s="219">
        <f t="shared" si="23"/>
        <v>39.787499999999909</v>
      </c>
      <c r="I78" s="219">
        <f t="shared" si="18"/>
        <v>587.46257786010619</v>
      </c>
      <c r="J78" s="226">
        <f t="shared" si="19"/>
        <v>146.46250000000009</v>
      </c>
      <c r="K78" s="333" t="str">
        <f t="shared" si="21"/>
        <v/>
      </c>
      <c r="L78" s="3"/>
      <c r="M78" s="3"/>
      <c r="N78" s="2"/>
      <c r="O78" s="2"/>
      <c r="P78" s="2"/>
      <c r="R78" s="4"/>
    </row>
    <row r="79" spans="1:18" x14ac:dyDescent="0.2">
      <c r="A79" s="239" t="s">
        <v>109</v>
      </c>
      <c r="B79" s="240" t="s">
        <v>109</v>
      </c>
      <c r="C79" s="225">
        <f>VLOOKUP($B79,'[1]4-Disponibilidade'!$A$8:$C$103,2,FALSE)</f>
        <v>100</v>
      </c>
      <c r="D79" s="218">
        <f t="shared" si="22"/>
        <v>260</v>
      </c>
      <c r="E79" s="218">
        <f>VLOOKUP($B79,'[1]4-Disponibilidade'!$A$8:$C$103,3,FALSE)</f>
        <v>260</v>
      </c>
      <c r="F79" s="219">
        <f>IF(ISNA(VLOOKUP($A79,'[1]3-Produção'!$A$9:$C$104,2,FALSE))=TRUE,"n/a",VLOOKUP($A79,'[1]3-Produção'!$A$9:$C$104,2,FALSE))</f>
        <v>111.875</v>
      </c>
      <c r="G79" s="219">
        <f>IF(ISNA(VLOOKUP($A79,'[1]3-Produção'!$A$9:$C$104,3,FALSE))=TRUE,"n/a",VLOOKUP($A79,'[1]3-Produção'!$A$9:$C$104,3,FALSE))</f>
        <v>137.37083333333334</v>
      </c>
      <c r="H79" s="219">
        <f t="shared" si="23"/>
        <v>25.495833333333337</v>
      </c>
      <c r="I79" s="219">
        <f t="shared" si="18"/>
        <v>122.62916666666666</v>
      </c>
      <c r="J79" s="226">
        <f t="shared" si="19"/>
        <v>122.62916666666666</v>
      </c>
      <c r="K79" s="333" t="str">
        <f t="shared" si="21"/>
        <v/>
      </c>
      <c r="L79" s="3"/>
      <c r="M79" s="3"/>
      <c r="N79" s="2"/>
      <c r="O79" s="2"/>
      <c r="P79" s="2"/>
      <c r="R79" s="4"/>
    </row>
    <row r="80" spans="1:18" x14ac:dyDescent="0.2">
      <c r="A80" s="238" t="s">
        <v>214</v>
      </c>
      <c r="B80" s="240" t="s">
        <v>214</v>
      </c>
      <c r="C80" s="227" t="str">
        <f>VLOOKUP("PCH COPEL *",'[1]4-Disponibilidade'!$A$8:$C$103,2,FALSE)</f>
        <v>-</v>
      </c>
      <c r="D80" s="220" t="s">
        <v>311</v>
      </c>
      <c r="E80" s="218">
        <f>VLOOKUP("PCH COPEL *",'[1]4-Disponibilidade'!$A$8:$C$103,3,FALSE)</f>
        <v>135</v>
      </c>
      <c r="F80" s="219">
        <f>IF(ISNA(VLOOKUP($A80,'[1]3-Produção'!$A$9:$C$104,2,FALSE))=TRUE,"n/a",VLOOKUP($A80,'[1]3-Produção'!$A$9:$C$104,2,FALSE))</f>
        <v>87</v>
      </c>
      <c r="G80" s="219">
        <f>IF(ISNA(VLOOKUP($A80,'[1]3-Produção'!$A$9:$C$104,3,FALSE))=TRUE,"n/a",VLOOKUP($A80,'[1]3-Produção'!$A$9:$C$104,3,FALSE))</f>
        <v>86.808333333333351</v>
      </c>
      <c r="H80" s="219">
        <f t="shared" si="23"/>
        <v>-0.19166666666664867</v>
      </c>
      <c r="I80" s="219" t="str">
        <f t="shared" si="18"/>
        <v>n/a</v>
      </c>
      <c r="J80" s="226">
        <f t="shared" si="19"/>
        <v>48.191666666666649</v>
      </c>
      <c r="K80" s="333" t="str">
        <f t="shared" si="21"/>
        <v>X</v>
      </c>
      <c r="L80" s="3"/>
      <c r="M80" s="3"/>
      <c r="N80" s="2"/>
      <c r="O80" s="2"/>
      <c r="P80" s="2"/>
      <c r="R80" s="4"/>
    </row>
    <row r="81" spans="1:18" x14ac:dyDescent="0.2">
      <c r="A81" s="238" t="s">
        <v>110</v>
      </c>
      <c r="B81" s="237" t="s">
        <v>110</v>
      </c>
      <c r="C81" s="225">
        <f>VLOOKUP($B81,'[1]4-Disponibilidade'!$A$8:$C$103,2,FALSE)</f>
        <v>100</v>
      </c>
      <c r="D81" s="218">
        <f t="shared" si="22"/>
        <v>1240</v>
      </c>
      <c r="E81" s="218">
        <f>VLOOKUP($B81,'[1]4-Disponibilidade'!$A$8:$C$103,3,FALSE)</f>
        <v>1240</v>
      </c>
      <c r="F81" s="219">
        <f>IF(ISNA(VLOOKUP($A81,'[1]3-Produção'!$A$9:$C$104,2,FALSE))=TRUE,"n/a",VLOOKUP($A81,'[1]3-Produção'!$A$9:$C$104,2,FALSE))</f>
        <v>1240</v>
      </c>
      <c r="G81" s="219">
        <f>IF(ISNA(VLOOKUP($A81,'[1]3-Produção'!$A$9:$C$104,3,FALSE))=TRUE,"n/a",VLOOKUP($A81,'[1]3-Produção'!$A$9:$C$104,3,FALSE))</f>
        <v>1233.8958333333335</v>
      </c>
      <c r="H81" s="219">
        <f t="shared" si="23"/>
        <v>-6.1041666666665151</v>
      </c>
      <c r="I81" s="219">
        <f t="shared" si="18"/>
        <v>6.1041666666665151</v>
      </c>
      <c r="J81" s="226">
        <f t="shared" si="19"/>
        <v>6.1041666666665151</v>
      </c>
      <c r="K81" s="333" t="str">
        <f t="shared" si="21"/>
        <v/>
      </c>
      <c r="L81" s="3"/>
      <c r="M81" s="3"/>
      <c r="N81" s="2"/>
      <c r="O81" s="2"/>
      <c r="P81" s="2"/>
      <c r="R81" s="4"/>
    </row>
    <row r="82" spans="1:18" x14ac:dyDescent="0.2">
      <c r="A82" s="238" t="s">
        <v>111</v>
      </c>
      <c r="B82" s="237" t="s">
        <v>111</v>
      </c>
      <c r="C82" s="225">
        <f>VLOOKUP($B82,'[1]4-Disponibilidade'!$A$8:$C$103,2,FALSE)</f>
        <v>89.920631408691406</v>
      </c>
      <c r="D82" s="218">
        <f t="shared" si="22"/>
        <v>1260.0000492106067</v>
      </c>
      <c r="E82" s="218">
        <f>VLOOKUP($B82,'[1]4-Disponibilidade'!$A$8:$C$103,3,FALSE)</f>
        <v>1133</v>
      </c>
      <c r="F82" s="219">
        <f>IF(ISNA(VLOOKUP($A82,'[1]3-Produção'!$A$9:$C$104,2,FALSE))=TRUE,"n/a",VLOOKUP($A82,'[1]3-Produção'!$A$9:$C$104,2,FALSE))</f>
        <v>1122</v>
      </c>
      <c r="G82" s="219">
        <f>IF(ISNA(VLOOKUP($A82,'[1]3-Produção'!$A$9:$C$104,3,FALSE))=TRUE,"n/a",VLOOKUP($A82,'[1]3-Produção'!$A$9:$C$104,3,FALSE))</f>
        <v>1116.4166666666665</v>
      </c>
      <c r="H82" s="219">
        <f t="shared" si="23"/>
        <v>-5.5833333333334849</v>
      </c>
      <c r="I82" s="219">
        <f t="shared" si="18"/>
        <v>143.58338254394016</v>
      </c>
      <c r="J82" s="226">
        <f t="shared" si="19"/>
        <v>16.583333333333485</v>
      </c>
      <c r="K82" s="333" t="str">
        <f t="shared" si="21"/>
        <v/>
      </c>
      <c r="L82" s="3"/>
      <c r="M82" s="3"/>
      <c r="N82" s="2"/>
      <c r="O82" s="2"/>
      <c r="P82" s="2"/>
      <c r="R82" s="4"/>
    </row>
    <row r="83" spans="1:18" x14ac:dyDescent="0.2">
      <c r="A83" s="238" t="s">
        <v>234</v>
      </c>
      <c r="B83" s="241" t="s">
        <v>234</v>
      </c>
      <c r="C83" s="227" t="str">
        <f>VLOOKUP("ITA ****",'[1]4-Disponibilidade'!$A$8:$C$103,2,FALSE)</f>
        <v>-</v>
      </c>
      <c r="D83" s="220" t="s">
        <v>311</v>
      </c>
      <c r="E83" s="218">
        <f>VLOOKUP("ITA ****",'[1]4-Disponibilidade'!$A$8:$C$103,3,FALSE)</f>
        <v>1170</v>
      </c>
      <c r="F83" s="219">
        <f>IF(ISNA(VLOOKUP($A83,'[1]3-Produção'!$A$9:$C$104,2,FALSE))=TRUE,"n/a",VLOOKUP($A83,'[1]3-Produção'!$A$9:$C$104,2,FALSE))</f>
        <v>1050</v>
      </c>
      <c r="G83" s="219">
        <f>IF(ISNA(VLOOKUP($A83,'[1]3-Produção'!$A$9:$C$104,3,FALSE))=TRUE,"n/a",VLOOKUP($A83,'[1]3-Produção'!$A$9:$C$104,3,FALSE))</f>
        <v>1071.5125</v>
      </c>
      <c r="H83" s="219">
        <f t="shared" si="23"/>
        <v>21.512500000000045</v>
      </c>
      <c r="I83" s="219" t="str">
        <f t="shared" si="18"/>
        <v>n/a</v>
      </c>
      <c r="J83" s="226">
        <f t="shared" si="19"/>
        <v>98.487499999999955</v>
      </c>
      <c r="K83" s="333" t="str">
        <f t="shared" si="21"/>
        <v>X</v>
      </c>
      <c r="R83" s="4"/>
    </row>
    <row r="84" spans="1:18" x14ac:dyDescent="0.2">
      <c r="A84" s="238" t="s">
        <v>112</v>
      </c>
      <c r="B84" s="237" t="s">
        <v>112</v>
      </c>
      <c r="C84" s="225">
        <f>VLOOKUP($B84,'[1]4-Disponibilidade'!$A$8:$C$103,2,FALSE)</f>
        <v>100</v>
      </c>
      <c r="D84" s="218">
        <f t="shared" si="22"/>
        <v>225.99999999999997</v>
      </c>
      <c r="E84" s="218">
        <f>VLOOKUP($B84,'[1]4-Disponibilidade'!$A$8:$C$103,3,FALSE)</f>
        <v>226</v>
      </c>
      <c r="F84" s="219">
        <f>IF(ISNA(VLOOKUP($A84,'[1]3-Produção'!$A$9:$C$104,2,FALSE))=TRUE,"n/a",VLOOKUP($A84,'[1]3-Produção'!$A$9:$C$104,2,FALSE))</f>
        <v>125.83333333333333</v>
      </c>
      <c r="G84" s="219">
        <f>IF(ISNA(VLOOKUP($A84,'[1]3-Produção'!$A$9:$C$104,3,FALSE))=TRUE,"n/a",VLOOKUP($A84,'[1]3-Produção'!$A$9:$C$104,3,FALSE))</f>
        <v>130.13333333333335</v>
      </c>
      <c r="H84" s="219">
        <f t="shared" si="23"/>
        <v>4.3000000000000256</v>
      </c>
      <c r="I84" s="219">
        <f t="shared" si="18"/>
        <v>95.866666666666617</v>
      </c>
      <c r="J84" s="226">
        <f t="shared" si="19"/>
        <v>95.866666666666646</v>
      </c>
      <c r="K84" s="333" t="str">
        <f t="shared" si="21"/>
        <v/>
      </c>
      <c r="R84" s="4"/>
    </row>
    <row r="85" spans="1:18" x14ac:dyDescent="0.2">
      <c r="A85" s="238" t="s">
        <v>113</v>
      </c>
      <c r="B85" s="241" t="s">
        <v>198</v>
      </c>
      <c r="C85" s="225">
        <f>VLOOKUP($B85,'[1]4-Disponibilidade'!$A$8:$C$103,2,FALSE)</f>
        <v>82.8729248046875</v>
      </c>
      <c r="D85" s="218">
        <f t="shared" si="22"/>
        <v>1086.0000441894549</v>
      </c>
      <c r="E85" s="218">
        <f>VLOOKUP($B85,'[1]4-Disponibilidade'!$A$8:$C$103,3,FALSE)</f>
        <v>900</v>
      </c>
      <c r="F85" s="219">
        <f>IF(ISNA(VLOOKUP($A85,'[1]3-Produção'!$A$9:$C$104,2,FALSE))=TRUE,"n/a",VLOOKUP($A85,'[1]3-Produção'!$A$9:$C$104,2,FALSE))</f>
        <v>779.375</v>
      </c>
      <c r="G85" s="219">
        <f>IF(ISNA(VLOOKUP($A85,'[1]3-Produção'!$A$9:$C$104,3,FALSE))=TRUE,"n/a",VLOOKUP($A85,'[1]3-Produção'!$A$9:$C$104,3,FALSE))</f>
        <v>845.03333333333342</v>
      </c>
      <c r="H85" s="219">
        <f t="shared" si="23"/>
        <v>65.658333333333417</v>
      </c>
      <c r="I85" s="219">
        <f t="shared" si="18"/>
        <v>240.96671085612149</v>
      </c>
      <c r="J85" s="226">
        <f t="shared" si="19"/>
        <v>54.966666666666583</v>
      </c>
      <c r="K85" s="333" t="str">
        <f t="shared" si="21"/>
        <v/>
      </c>
      <c r="R85" s="4"/>
    </row>
    <row r="86" spans="1:18" x14ac:dyDescent="0.2">
      <c r="A86" s="238" t="s">
        <v>114</v>
      </c>
      <c r="B86" s="237" t="s">
        <v>114</v>
      </c>
      <c r="C86" s="225">
        <f>VLOOKUP($B86,'[1]4-Disponibilidade'!$A$8:$C$103,2,FALSE)</f>
        <v>100</v>
      </c>
      <c r="D86" s="218">
        <f t="shared" si="22"/>
        <v>1420</v>
      </c>
      <c r="E86" s="218">
        <f>VLOOKUP($B86,'[1]4-Disponibilidade'!$A$8:$C$103,3,FALSE)</f>
        <v>1420</v>
      </c>
      <c r="F86" s="219">
        <f>IF(ISNA(VLOOKUP($A86,'[1]3-Produção'!$A$9:$C$104,2,FALSE))=TRUE,"n/a",VLOOKUP($A86,'[1]3-Produção'!$A$9:$C$104,2,FALSE))</f>
        <v>1293.0416666666667</v>
      </c>
      <c r="G86" s="219">
        <f>IF(ISNA(VLOOKUP($A86,'[1]3-Produção'!$A$9:$C$104,3,FALSE))=TRUE,"n/a",VLOOKUP($A86,'[1]3-Produção'!$A$9:$C$104,3,FALSE))</f>
        <v>1221.0333333333331</v>
      </c>
      <c r="H86" s="219">
        <f t="shared" si="23"/>
        <v>-72.008333333333667</v>
      </c>
      <c r="I86" s="219">
        <f t="shared" si="18"/>
        <v>198.96666666666692</v>
      </c>
      <c r="J86" s="226">
        <f t="shared" si="19"/>
        <v>198.96666666666692</v>
      </c>
      <c r="K86" s="333" t="str">
        <f t="shared" si="21"/>
        <v/>
      </c>
    </row>
    <row r="87" spans="1:18" x14ac:dyDescent="0.2">
      <c r="A87" s="238" t="s">
        <v>115</v>
      </c>
      <c r="B87" s="241" t="s">
        <v>196</v>
      </c>
      <c r="C87" s="225">
        <f>VLOOKUP($B87,'[1]4-Disponibilidade'!$A$8:$C$103,2,FALSE)</f>
        <v>93.167701721191406</v>
      </c>
      <c r="D87" s="220">
        <f t="shared" si="22"/>
        <v>32.200000049133301</v>
      </c>
      <c r="E87" s="218">
        <f>VLOOKUP($B87,'[1]4-Disponibilidade'!$A$8:$C$103,3,FALSE)</f>
        <v>30</v>
      </c>
      <c r="F87" s="219">
        <f>IF(ISNA(VLOOKUP($A87,'[1]3-Produção'!$A$9:$C$104,2,FALSE))=TRUE,"n/a",VLOOKUP($A87,'[1]3-Produção'!$A$9:$C$104,2,FALSE))</f>
        <v>27.75</v>
      </c>
      <c r="G87" s="219">
        <f>IF(ISNA(VLOOKUP($A87,'[1]3-Produção'!$A$9:$C$104,3,FALSE))=TRUE,"n/a",VLOOKUP($A87,'[1]3-Produção'!$A$9:$C$104,3,FALSE))</f>
        <v>30.879166666666659</v>
      </c>
      <c r="H87" s="219">
        <f t="shared" si="23"/>
        <v>3.1291666666666593</v>
      </c>
      <c r="I87" s="219">
        <f t="shared" si="18"/>
        <v>1.3208333824666418</v>
      </c>
      <c r="J87" s="226">
        <f t="shared" si="19"/>
        <v>-0.87916666666665932</v>
      </c>
      <c r="K87" s="333" t="str">
        <f t="shared" si="21"/>
        <v/>
      </c>
    </row>
    <row r="88" spans="1:18" ht="13.5" thickBot="1" x14ac:dyDescent="0.25">
      <c r="A88" s="242" t="s">
        <v>191</v>
      </c>
      <c r="B88" s="243" t="s">
        <v>191</v>
      </c>
      <c r="C88" s="228">
        <f>VLOOKUP($B88,'[1]4-Disponibilidade'!$A$8:$C$103,2,FALSE)</f>
        <v>81.223770141601563</v>
      </c>
      <c r="D88" s="229">
        <f t="shared" si="22"/>
        <v>73.870001226733166</v>
      </c>
      <c r="E88" s="229">
        <f>VLOOKUP($B88,'[1]4-Disponibilidade'!$A$8:$C$103,3,FALSE)</f>
        <v>60</v>
      </c>
      <c r="F88" s="230">
        <f>IF(ISNA(VLOOKUP($A88,'[1]3-Produção'!$A$9:$C$104,2,FALSE))=TRUE,"n/a",VLOOKUP($A88,'[1]3-Produção'!$A$9:$C$104,2,FALSE))</f>
        <v>60</v>
      </c>
      <c r="G88" s="230">
        <f>IF(ISNA(VLOOKUP($A88,'[1]3-Produção'!$A$9:$C$104,3,FALSE))=TRUE,"n/a",VLOOKUP($A88,'[1]3-Produção'!$A$9:$C$104,3,FALSE))</f>
        <v>60</v>
      </c>
      <c r="H88" s="230">
        <f t="shared" si="23"/>
        <v>0</v>
      </c>
      <c r="I88" s="230">
        <f t="shared" si="18"/>
        <v>13.870001226733166</v>
      </c>
      <c r="J88" s="231">
        <f t="shared" si="19"/>
        <v>0</v>
      </c>
      <c r="K88" s="333" t="str">
        <f t="shared" si="21"/>
        <v/>
      </c>
    </row>
    <row r="89" spans="1:18" ht="13.5" thickBot="1" x14ac:dyDescent="0.25">
      <c r="A89" s="244" t="s">
        <v>257</v>
      </c>
      <c r="B89" s="245"/>
      <c r="C89" s="232">
        <f>SUMPRODUCT(C72:C88,E72:E88)/E89</f>
        <v>78.131236064184108</v>
      </c>
      <c r="D89" s="233">
        <f>SUM(D72:D88)</f>
        <v>8249.9401738847009</v>
      </c>
      <c r="E89" s="233">
        <f t="shared" ref="E89:J89" si="24">SUM(E72:E88)</f>
        <v>8776</v>
      </c>
      <c r="F89" s="234">
        <f t="shared" si="24"/>
        <v>7413.0833333333339</v>
      </c>
      <c r="G89" s="234">
        <f t="shared" si="24"/>
        <v>7499.8166666666666</v>
      </c>
      <c r="H89" s="234">
        <f t="shared" si="24"/>
        <v>86.733333333333064</v>
      </c>
      <c r="I89" s="234">
        <f t="shared" si="24"/>
        <v>1814.5743405454746</v>
      </c>
      <c r="J89" s="235">
        <f t="shared" si="24"/>
        <v>1187.1833333333336</v>
      </c>
      <c r="K89" s="333" t="str">
        <f t="shared" si="21"/>
        <v/>
      </c>
    </row>
    <row r="90" spans="1:18" ht="13.5" thickBot="1" x14ac:dyDescent="0.25">
      <c r="A90" s="70"/>
      <c r="B90" s="70"/>
      <c r="C90" s="43"/>
      <c r="D90" s="68"/>
      <c r="E90" s="68"/>
      <c r="F90" s="69"/>
      <c r="G90" s="69"/>
      <c r="H90" s="69"/>
      <c r="I90" s="69"/>
      <c r="J90" s="69"/>
      <c r="K90" s="333" t="str">
        <f t="shared" si="21"/>
        <v/>
      </c>
    </row>
    <row r="91" spans="1:18" x14ac:dyDescent="0.2">
      <c r="A91" s="251" t="s">
        <v>118</v>
      </c>
      <c r="B91" s="237" t="s">
        <v>118</v>
      </c>
      <c r="C91" s="253">
        <f>VLOOKUP($B91,'[1]4-Disponibilidade'!$A$8:$C$103,2,FALSE)</f>
        <v>86.956520080566406</v>
      </c>
      <c r="D91" s="254">
        <f>IF(OR(C91=0,E91=0),"n/a",E91/C91*100)</f>
        <v>57.500001096725484</v>
      </c>
      <c r="E91" s="254">
        <f>VLOOKUP($B91,'[1]4-Disponibilidade'!$A$8:$C$103,3,FALSE)</f>
        <v>50</v>
      </c>
      <c r="F91" s="255">
        <f>IF(ISNA(VLOOKUP($A91,'[1]3-Produção'!$A$9:$C$104,2,FALSE))=TRUE,"n/a",VLOOKUP($A91,'[1]3-Produção'!$A$9:$C$104,2,FALSE))</f>
        <v>5.833333333333333</v>
      </c>
      <c r="G91" s="255">
        <f>IF(ISNA(VLOOKUP($A91,'[1]3-Produção'!$A$9:$C$104,3,FALSE))=TRUE,"n/a",VLOOKUP($A91,'[1]3-Produção'!$A$9:$C$104,3,FALSE))</f>
        <v>7.9666666666666677</v>
      </c>
      <c r="H91" s="255">
        <f t="shared" ref="H91:H100" si="25">IF(OR(F91="n/a",G91="n/a"),"n/a",G91-F91)</f>
        <v>2.1333333333333346</v>
      </c>
      <c r="I91" s="255">
        <f t="shared" ref="I91:I100" si="26">IF(OR(G91="n/a",D91="n/a"),"n/a",D91-G91)</f>
        <v>49.533334430058815</v>
      </c>
      <c r="J91" s="256">
        <f t="shared" ref="J91:J100" si="27">IF(OR(G91="n/a",G91=0,E91="n/a",E91=0),"n/a",E91-G91)</f>
        <v>42.033333333333331</v>
      </c>
      <c r="K91" s="333" t="str">
        <f t="shared" si="21"/>
        <v/>
      </c>
    </row>
    <row r="92" spans="1:18" x14ac:dyDescent="0.2">
      <c r="A92" s="252" t="s">
        <v>119</v>
      </c>
      <c r="B92" s="241" t="s">
        <v>188</v>
      </c>
      <c r="C92" s="257">
        <f>VLOOKUP($B92,'[1]4-Disponibilidade'!$A$8:$C$103,2,FALSE)</f>
        <v>75</v>
      </c>
      <c r="D92" s="246">
        <f t="shared" ref="D92:D100" si="28">IF(OR(C92=0,E92=0),"n/a",E92/C92*100)</f>
        <v>400</v>
      </c>
      <c r="E92" s="246">
        <f>VLOOKUP($B92,'[1]4-Disponibilidade'!$A$8:$C$103,3,FALSE)</f>
        <v>300</v>
      </c>
      <c r="F92" s="247">
        <f>IF(ISNA(VLOOKUP($A92,'[1]3-Produção'!$A$9:$C$104,2,FALSE))=TRUE,"n/a",VLOOKUP($A92,'[1]3-Produção'!$A$9:$C$104,2,FALSE))</f>
        <v>169.41666666666666</v>
      </c>
      <c r="G92" s="247">
        <f>IF(ISNA(VLOOKUP($A92,'[1]3-Produção'!$A$9:$C$104,3,FALSE))=TRUE,"n/a",VLOOKUP($A92,'[1]3-Produção'!$A$9:$C$104,3,FALSE))</f>
        <v>173.42083333333335</v>
      </c>
      <c r="H92" s="247">
        <f t="shared" si="25"/>
        <v>4.0041666666666913</v>
      </c>
      <c r="I92" s="247">
        <f t="shared" si="26"/>
        <v>226.57916666666665</v>
      </c>
      <c r="J92" s="258">
        <f t="shared" si="27"/>
        <v>126.57916666666665</v>
      </c>
      <c r="K92" s="333" t="str">
        <f t="shared" si="21"/>
        <v/>
      </c>
    </row>
    <row r="93" spans="1:18" x14ac:dyDescent="0.2">
      <c r="A93" s="252" t="s">
        <v>120</v>
      </c>
      <c r="B93" s="241" t="s">
        <v>189</v>
      </c>
      <c r="C93" s="257">
        <f>VLOOKUP($B93,'[1]4-Disponibilidade'!$A$8:$C$103,2,FALSE)</f>
        <v>100</v>
      </c>
      <c r="D93" s="246">
        <f t="shared" si="28"/>
        <v>225</v>
      </c>
      <c r="E93" s="246">
        <f>VLOOKUP($B93,'[1]4-Disponibilidade'!$A$8:$C$103,3,FALSE)</f>
        <v>225</v>
      </c>
      <c r="F93" s="247">
        <f>IF(ISNA(VLOOKUP($A93,'[1]3-Produção'!$A$9:$C$104,2,FALSE))=TRUE,"n/a",VLOOKUP($A93,'[1]3-Produção'!$A$9:$C$104,2,FALSE))</f>
        <v>129.5</v>
      </c>
      <c r="G93" s="247">
        <f>IF(ISNA(VLOOKUP($A93,'[1]3-Produção'!$A$9:$C$104,3,FALSE))=TRUE,"n/a",VLOOKUP($A93,'[1]3-Produção'!$A$9:$C$104,3,FALSE))</f>
        <v>141.51666666666665</v>
      </c>
      <c r="H93" s="247">
        <f t="shared" si="25"/>
        <v>12.016666666666652</v>
      </c>
      <c r="I93" s="247">
        <f t="shared" si="26"/>
        <v>83.483333333333348</v>
      </c>
      <c r="J93" s="258">
        <f t="shared" si="27"/>
        <v>83.483333333333348</v>
      </c>
      <c r="K93" s="333" t="str">
        <f t="shared" si="21"/>
        <v/>
      </c>
    </row>
    <row r="94" spans="1:18" x14ac:dyDescent="0.2">
      <c r="A94" s="252" t="s">
        <v>121</v>
      </c>
      <c r="B94" s="241" t="s">
        <v>190</v>
      </c>
      <c r="C94" s="257">
        <f>VLOOKUP($B94,'[1]4-Disponibilidade'!$A$8:$C$103,2,FALSE)</f>
        <v>78.733329772949219</v>
      </c>
      <c r="D94" s="246">
        <f t="shared" si="28"/>
        <v>1500.0000678311992</v>
      </c>
      <c r="E94" s="246">
        <f>VLOOKUP($B94,'[1]4-Disponibilidade'!$A$8:$C$103,3,FALSE)</f>
        <v>1181</v>
      </c>
      <c r="F94" s="247">
        <f>IF(ISNA(VLOOKUP($A94,'[1]3-Produção'!$A$9:$C$104,2,FALSE))=TRUE,"n/a",VLOOKUP($A94,'[1]3-Produção'!$A$9:$C$104,2,FALSE))</f>
        <v>952.08333333333337</v>
      </c>
      <c r="G94" s="247">
        <f>IF(ISNA(VLOOKUP($A94,'[1]3-Produção'!$A$9:$C$104,3,FALSE))=TRUE,"n/a",VLOOKUP($A94,'[1]3-Produção'!$A$9:$C$104,3,FALSE))</f>
        <v>950.57500000000005</v>
      </c>
      <c r="H94" s="247">
        <f t="shared" si="25"/>
        <v>-1.5083333333333258</v>
      </c>
      <c r="I94" s="247">
        <f t="shared" si="26"/>
        <v>549.42506783119916</v>
      </c>
      <c r="J94" s="258">
        <f t="shared" si="27"/>
        <v>230.42499999999995</v>
      </c>
      <c r="K94" s="333" t="str">
        <f t="shared" si="21"/>
        <v/>
      </c>
    </row>
    <row r="95" spans="1:18" x14ac:dyDescent="0.2">
      <c r="A95" s="252" t="s">
        <v>31</v>
      </c>
      <c r="B95" s="237" t="s">
        <v>31</v>
      </c>
      <c r="C95" s="257">
        <f>VLOOKUP($B95,'[1]4-Disponibilidade'!$A$8:$C$103,2,FALSE)</f>
        <v>78.857139587402344</v>
      </c>
      <c r="D95" s="246">
        <f t="shared" si="28"/>
        <v>1050.0000435373076</v>
      </c>
      <c r="E95" s="246">
        <f>VLOOKUP($B95,'[1]4-Disponibilidade'!$A$8:$C$103,3,FALSE)</f>
        <v>828</v>
      </c>
      <c r="F95" s="247">
        <f>IF(ISNA(VLOOKUP($A95,'[1]3-Produção'!$A$9:$C$104,2,FALSE))=TRUE,"n/a",VLOOKUP($A95,'[1]3-Produção'!$A$9:$C$104,2,FALSE))</f>
        <v>506.25</v>
      </c>
      <c r="G95" s="247">
        <f>IF(ISNA(VLOOKUP($A95,'[1]3-Produção'!$A$9:$C$104,3,FALSE))=TRUE,"n/a",VLOOKUP($A95,'[1]3-Produção'!$A$9:$C$104,3,FALSE))</f>
        <v>511.26249999999999</v>
      </c>
      <c r="H95" s="247">
        <f t="shared" si="25"/>
        <v>5.0124999999999886</v>
      </c>
      <c r="I95" s="247">
        <f t="shared" si="26"/>
        <v>538.7375435373076</v>
      </c>
      <c r="J95" s="258">
        <f t="shared" si="27"/>
        <v>316.73750000000001</v>
      </c>
      <c r="K95" s="333" t="str">
        <f t="shared" si="21"/>
        <v/>
      </c>
    </row>
    <row r="96" spans="1:18" x14ac:dyDescent="0.2">
      <c r="A96" s="252" t="s">
        <v>122</v>
      </c>
      <c r="B96" s="237" t="s">
        <v>122</v>
      </c>
      <c r="C96" s="257">
        <f>VLOOKUP($B96,'[1]4-Disponibilidade'!$A$8:$C$103,2,FALSE)</f>
        <v>66.666664123535156</v>
      </c>
      <c r="D96" s="246">
        <f t="shared" si="28"/>
        <v>180.00000686645535</v>
      </c>
      <c r="E96" s="246">
        <f>VLOOKUP($B96,'[1]4-Disponibilidade'!$A$8:$C$103,3,FALSE)</f>
        <v>120</v>
      </c>
      <c r="F96" s="247">
        <f>IF(ISNA(VLOOKUP($A96,'[1]3-Produção'!$A$9:$C$104,2,FALSE))=TRUE,"n/a",VLOOKUP($A96,'[1]3-Produção'!$A$9:$C$104,2,FALSE))</f>
        <v>120</v>
      </c>
      <c r="G96" s="247">
        <f>IF(ISNA(VLOOKUP($A96,'[1]3-Produção'!$A$9:$C$104,3,FALSE))=TRUE,"n/a",VLOOKUP($A96,'[1]3-Produção'!$A$9:$C$104,3,FALSE))</f>
        <v>114.35</v>
      </c>
      <c r="H96" s="247">
        <f t="shared" si="25"/>
        <v>-5.6500000000000057</v>
      </c>
      <c r="I96" s="247">
        <f t="shared" si="26"/>
        <v>65.650006866455357</v>
      </c>
      <c r="J96" s="258">
        <f t="shared" si="27"/>
        <v>5.6500000000000057</v>
      </c>
      <c r="K96" s="333" t="str">
        <f t="shared" si="21"/>
        <v/>
      </c>
    </row>
    <row r="97" spans="1:11" x14ac:dyDescent="0.2">
      <c r="A97" s="252" t="s">
        <v>123</v>
      </c>
      <c r="B97" s="237" t="s">
        <v>123</v>
      </c>
      <c r="C97" s="257">
        <f>VLOOKUP($B97,'[1]4-Disponibilidade'!$A$8:$C$103,2,FALSE)</f>
        <v>49.662921905517578</v>
      </c>
      <c r="D97" s="246">
        <f t="shared" si="28"/>
        <v>444.99999500723453</v>
      </c>
      <c r="E97" s="246">
        <f>VLOOKUP($B97,'[1]4-Disponibilidade'!$A$8:$C$103,3,FALSE)</f>
        <v>221</v>
      </c>
      <c r="F97" s="247">
        <f>IF(ISNA(VLOOKUP($A97,'[1]3-Produção'!$A$9:$C$104,2,FALSE))=TRUE,"n/a",VLOOKUP($A97,'[1]3-Produção'!$A$9:$C$104,2,FALSE))</f>
        <v>210</v>
      </c>
      <c r="G97" s="247">
        <f>IF(ISNA(VLOOKUP($A97,'[1]3-Produção'!$A$9:$C$104,3,FALSE))=TRUE,"n/a",VLOOKUP($A97,'[1]3-Produção'!$A$9:$C$104,3,FALSE))</f>
        <v>221.38749999999999</v>
      </c>
      <c r="H97" s="247">
        <f t="shared" si="25"/>
        <v>11.387499999999989</v>
      </c>
      <c r="I97" s="247">
        <f t="shared" si="26"/>
        <v>223.61249500723454</v>
      </c>
      <c r="J97" s="258">
        <f t="shared" si="27"/>
        <v>-0.38749999999998863</v>
      </c>
      <c r="K97" s="333" t="str">
        <f t="shared" si="21"/>
        <v/>
      </c>
    </row>
    <row r="98" spans="1:11" x14ac:dyDescent="0.2">
      <c r="A98" s="252" t="s">
        <v>124</v>
      </c>
      <c r="B98" s="237" t="s">
        <v>124</v>
      </c>
      <c r="C98" s="257">
        <f>VLOOKUP($B98,'[1]4-Disponibilidade'!$A$8:$C$103,2,FALSE)</f>
        <v>75</v>
      </c>
      <c r="D98" s="246">
        <f t="shared" si="28"/>
        <v>800</v>
      </c>
      <c r="E98" s="246">
        <f>VLOOKUP($B98,'[1]4-Disponibilidade'!$A$8:$C$103,3,FALSE)</f>
        <v>600</v>
      </c>
      <c r="F98" s="247">
        <f>IF(ISNA(VLOOKUP($A98,'[1]3-Produção'!$A$9:$C$104,2,FALSE))=TRUE,"n/a",VLOOKUP($A98,'[1]3-Produção'!$A$9:$C$104,2,FALSE))</f>
        <v>385.41666666666669</v>
      </c>
      <c r="G98" s="247">
        <f>IF(ISNA(VLOOKUP($A98,'[1]3-Produção'!$A$9:$C$104,3,FALSE))=TRUE,"n/a",VLOOKUP($A98,'[1]3-Produção'!$A$9:$C$104,3,FALSE))</f>
        <v>391.14583333333331</v>
      </c>
      <c r="H98" s="247">
        <f t="shared" si="25"/>
        <v>5.7291666666666288</v>
      </c>
      <c r="I98" s="247">
        <f t="shared" si="26"/>
        <v>408.85416666666669</v>
      </c>
      <c r="J98" s="258">
        <f t="shared" si="27"/>
        <v>208.85416666666669</v>
      </c>
      <c r="K98" s="333" t="str">
        <f t="shared" si="21"/>
        <v/>
      </c>
    </row>
    <row r="99" spans="1:11" x14ac:dyDescent="0.2">
      <c r="A99" s="252" t="s">
        <v>125</v>
      </c>
      <c r="B99" s="237" t="s">
        <v>125</v>
      </c>
      <c r="C99" s="257">
        <f>VLOOKUP($B99,'[1]4-Disponibilidade'!$A$8:$C$103,2,FALSE)</f>
        <v>83.333335876464844</v>
      </c>
      <c r="D99" s="246">
        <f t="shared" si="28"/>
        <v>2459.9999249267603</v>
      </c>
      <c r="E99" s="246">
        <f>VLOOKUP($B99,'[1]4-Disponibilidade'!$A$8:$C$103,3,FALSE)</f>
        <v>2050</v>
      </c>
      <c r="F99" s="247">
        <f>IF(ISNA(VLOOKUP($A99,'[1]3-Produção'!$A$9:$C$104,2,FALSE))=TRUE,"n/a",VLOOKUP($A99,'[1]3-Produção'!$A$9:$C$104,2,FALSE))</f>
        <v>1304.4166666666667</v>
      </c>
      <c r="G99" s="247">
        <f>IF(ISNA(VLOOKUP($A99,'[1]3-Produção'!$A$9:$C$104,3,FALSE))=TRUE,"n/a",VLOOKUP($A99,'[1]3-Produção'!$A$9:$C$104,3,FALSE))</f>
        <v>1264.5374999999999</v>
      </c>
      <c r="H99" s="247">
        <f t="shared" si="25"/>
        <v>-39.879166666666833</v>
      </c>
      <c r="I99" s="247">
        <f t="shared" si="26"/>
        <v>1195.4624249267604</v>
      </c>
      <c r="J99" s="258">
        <f t="shared" si="27"/>
        <v>785.46250000000009</v>
      </c>
      <c r="K99" s="333" t="str">
        <f t="shared" si="21"/>
        <v/>
      </c>
    </row>
    <row r="100" spans="1:11" ht="13.5" thickBot="1" x14ac:dyDescent="0.25">
      <c r="A100" s="259" t="s">
        <v>126</v>
      </c>
      <c r="B100" s="260" t="s">
        <v>126</v>
      </c>
      <c r="C100" s="261">
        <f>VLOOKUP($B100,'[1]4-Disponibilidade'!$A$8:$C$103,2,FALSE)</f>
        <v>100</v>
      </c>
      <c r="D100" s="262">
        <f t="shared" si="28"/>
        <v>3162</v>
      </c>
      <c r="E100" s="262">
        <f>VLOOKUP($B100,'[1]4-Disponibilidade'!$A$8:$C$103,3,FALSE)</f>
        <v>3162</v>
      </c>
      <c r="F100" s="263">
        <f>IF(ISNA(VLOOKUP($A100,'[1]3-Produção'!$A$9:$C$104,2,FALSE))=TRUE,"n/a",VLOOKUP($A100,'[1]3-Produção'!$A$9:$C$104,2,FALSE))</f>
        <v>2243.75</v>
      </c>
      <c r="G100" s="263">
        <f>IF(ISNA(VLOOKUP($A100,'[1]3-Produção'!$A$9:$C$104,3,FALSE))=TRUE,"n/a",VLOOKUP($A100,'[1]3-Produção'!$A$9:$C$104,3,FALSE))</f>
        <v>2407.4416666666666</v>
      </c>
      <c r="H100" s="263">
        <f t="shared" si="25"/>
        <v>163.69166666666661</v>
      </c>
      <c r="I100" s="263">
        <f t="shared" si="26"/>
        <v>754.55833333333339</v>
      </c>
      <c r="J100" s="264">
        <f t="shared" si="27"/>
        <v>754.55833333333339</v>
      </c>
      <c r="K100" s="333" t="str">
        <f t="shared" si="21"/>
        <v/>
      </c>
    </row>
    <row r="101" spans="1:11" ht="13.5" thickBot="1" x14ac:dyDescent="0.25">
      <c r="A101" s="265" t="s">
        <v>257</v>
      </c>
      <c r="B101" s="266"/>
      <c r="C101" s="267">
        <f>SUMPRODUCT(C91:C100,E91:E100)/E101</f>
        <v>86.830084013614169</v>
      </c>
      <c r="D101" s="268">
        <f>SUM(D91:D100)</f>
        <v>10279.500039265684</v>
      </c>
      <c r="E101" s="268">
        <f t="shared" ref="E101:J101" si="29">SUM(E91:E100)</f>
        <v>8737</v>
      </c>
      <c r="F101" s="269">
        <f t="shared" si="29"/>
        <v>6026.666666666667</v>
      </c>
      <c r="G101" s="269">
        <f t="shared" si="29"/>
        <v>6183.6041666666661</v>
      </c>
      <c r="H101" s="269">
        <f t="shared" si="29"/>
        <v>156.93749999999972</v>
      </c>
      <c r="I101" s="269">
        <f t="shared" si="29"/>
        <v>4095.895872599016</v>
      </c>
      <c r="J101" s="270">
        <f t="shared" si="29"/>
        <v>2553.3958333333335</v>
      </c>
      <c r="K101" s="333" t="str">
        <f t="shared" si="21"/>
        <v/>
      </c>
    </row>
    <row r="102" spans="1:11" ht="13.5" thickBot="1" x14ac:dyDescent="0.25">
      <c r="C102" s="43"/>
      <c r="K102" s="333" t="str">
        <f t="shared" si="21"/>
        <v/>
      </c>
    </row>
    <row r="103" spans="1:11" x14ac:dyDescent="0.2">
      <c r="A103" s="284" t="s">
        <v>127</v>
      </c>
      <c r="B103" s="281" t="s">
        <v>35</v>
      </c>
      <c r="C103" s="274">
        <f>VLOOKUP($B103,'[1]4-Disponibilidade'!$A$8:$C$103,2,FALSE)</f>
        <v>90</v>
      </c>
      <c r="D103" s="274">
        <f>IF(OR(C103=0,E103=0),"n/a",E103/C103*100)</f>
        <v>4200</v>
      </c>
      <c r="E103" s="274">
        <f>VLOOKUP($B103,'[1]4-Disponibilidade'!$A$8:$C$103,3,FALSE)</f>
        <v>3780</v>
      </c>
      <c r="F103" s="275">
        <f>IF(ISNA(VLOOKUP($A103,'[1]3-Produção'!$A$9:$C$104,2,FALSE))=TRUE,"n/a",VLOOKUP($A103,'[1]3-Produção'!$A$9:$C$104,2,FALSE))</f>
        <v>3603.75</v>
      </c>
      <c r="G103" s="275">
        <f>IF(ISNA(VLOOKUP($A103,'[1]3-Produção'!$A$9:$C$104,2,FALSE))=TRUE,"n/a",VLOOKUP($A103,'[1]3-Produção'!$A$9:$C$104,2,FALSE))</f>
        <v>3603.75</v>
      </c>
      <c r="H103" s="275">
        <f t="shared" si="23"/>
        <v>0</v>
      </c>
      <c r="I103" s="275">
        <f t="shared" si="18"/>
        <v>596.25</v>
      </c>
      <c r="J103" s="276">
        <f t="shared" si="19"/>
        <v>176.25</v>
      </c>
      <c r="K103" s="333" t="str">
        <f t="shared" si="21"/>
        <v/>
      </c>
    </row>
    <row r="104" spans="1:11" x14ac:dyDescent="0.2">
      <c r="A104" s="285" t="s">
        <v>203</v>
      </c>
      <c r="B104" s="250" t="s">
        <v>203</v>
      </c>
      <c r="C104" s="248">
        <f>VLOOKUP($B104,'[1]4-Disponibilidade'!$A$8:$C$103,2,FALSE)</f>
        <v>100</v>
      </c>
      <c r="D104" s="248">
        <f>IF(OR(C104=0,E104=0),"n/a",E104/C104*100)</f>
        <v>40</v>
      </c>
      <c r="E104" s="248">
        <f>VLOOKUP($B104,'[1]4-Disponibilidade'!$A$8:$C$103,3,FALSE)</f>
        <v>40</v>
      </c>
      <c r="F104" s="249" t="str">
        <f>IF(ISNA(VLOOKUP($A104,'[1]3-Produção'!$A$9:$C$104,2,FALSE))=TRUE,"n/a",VLOOKUP($A104,'[1]3-Produção'!$A$9:$C$104,2,FALSE))</f>
        <v>n/a</v>
      </c>
      <c r="G104" s="249" t="str">
        <f>IF(ISNA(VLOOKUP($A104,'[1]3-Produção'!$A$9:$C$104,2,FALSE))=TRUE,"n/a",VLOOKUP($A104,'[1]3-Produção'!$A$9:$C$104,2,FALSE))</f>
        <v>n/a</v>
      </c>
      <c r="H104" s="249" t="str">
        <f t="shared" si="23"/>
        <v>n/a</v>
      </c>
      <c r="I104" s="249" t="str">
        <f t="shared" si="18"/>
        <v>n/a</v>
      </c>
      <c r="J104" s="277" t="str">
        <f t="shared" si="19"/>
        <v>n/a</v>
      </c>
      <c r="K104" s="333" t="str">
        <f t="shared" si="21"/>
        <v>X</v>
      </c>
    </row>
    <row r="105" spans="1:11" ht="13.5" thickBot="1" x14ac:dyDescent="0.25">
      <c r="A105" s="286" t="s">
        <v>213</v>
      </c>
      <c r="B105" s="282" t="s">
        <v>212</v>
      </c>
      <c r="C105" s="278">
        <f>VLOOKUP($B105,'[1]4-Disponibilidade'!$A$8:$C$103,2,FALSE)</f>
        <v>100</v>
      </c>
      <c r="D105" s="278">
        <f>IF(OR(C105=0,E105=0),"n/a",E105/C105*100)</f>
        <v>30</v>
      </c>
      <c r="E105" s="278">
        <f>VLOOKUP($B105,'[1]4-Disponibilidade'!$A$8:$C$103,3,FALSE)</f>
        <v>30</v>
      </c>
      <c r="F105" s="279">
        <f>IF(ISNA(VLOOKUP($A105,'[1]3-Produção'!$A$9:$C$104,2,FALSE))=TRUE,"n/a",VLOOKUP($A105,'[1]3-Produção'!$A$9:$C$104,2,FALSE))</f>
        <v>30</v>
      </c>
      <c r="G105" s="279">
        <f>IF(ISNA(VLOOKUP($A105,'[1]3-Produção'!$A$9:$C$104,2,FALSE))=TRUE,"n/a",VLOOKUP($A105,'[1]3-Produção'!$A$9:$C$104,2,FALSE))</f>
        <v>30</v>
      </c>
      <c r="H105" s="279">
        <f t="shared" si="23"/>
        <v>0</v>
      </c>
      <c r="I105" s="279">
        <f t="shared" si="18"/>
        <v>0</v>
      </c>
      <c r="J105" s="280">
        <f t="shared" si="19"/>
        <v>0</v>
      </c>
      <c r="K105" s="333" t="str">
        <f t="shared" si="21"/>
        <v/>
      </c>
    </row>
    <row r="106" spans="1:11" ht="13.5" thickBot="1" x14ac:dyDescent="0.25">
      <c r="A106" s="287" t="s">
        <v>257</v>
      </c>
      <c r="B106" s="283"/>
      <c r="C106" s="271">
        <f>SUMPRODUCT(C103:C105,E103:E105)/E106</f>
        <v>90.181818181818187</v>
      </c>
      <c r="D106" s="271">
        <f>SUM(D103:D105)</f>
        <v>4270</v>
      </c>
      <c r="E106" s="271">
        <f t="shared" ref="E106:J106" si="30">SUM(E103:E105)</f>
        <v>3850</v>
      </c>
      <c r="F106" s="272">
        <f t="shared" si="30"/>
        <v>3633.75</v>
      </c>
      <c r="G106" s="272">
        <f t="shared" si="30"/>
        <v>3633.75</v>
      </c>
      <c r="H106" s="272">
        <f t="shared" si="30"/>
        <v>0</v>
      </c>
      <c r="I106" s="272">
        <f t="shared" si="30"/>
        <v>596.25</v>
      </c>
      <c r="J106" s="273">
        <f t="shared" si="30"/>
        <v>176.25</v>
      </c>
      <c r="K106" s="333" t="str">
        <f t="shared" si="21"/>
        <v/>
      </c>
    </row>
    <row r="107" spans="1:11" ht="13.5" thickBot="1" x14ac:dyDescent="0.25">
      <c r="A107" s="67"/>
      <c r="B107" s="67"/>
      <c r="C107" s="43"/>
      <c r="D107" s="68"/>
      <c r="E107" s="68"/>
      <c r="F107" s="69"/>
      <c r="G107" s="69"/>
      <c r="H107" s="69"/>
      <c r="I107" s="69"/>
      <c r="J107" s="69"/>
      <c r="K107" s="333" t="str">
        <f t="shared" si="21"/>
        <v/>
      </c>
    </row>
    <row r="108" spans="1:11" ht="13.5" thickBot="1" x14ac:dyDescent="0.25">
      <c r="A108" s="324" t="s">
        <v>181</v>
      </c>
      <c r="B108" s="325" t="s">
        <v>181</v>
      </c>
      <c r="C108" s="326">
        <f>(SUMPRODUCT(C5:C69,E5:E69)+SUMPRODUCT(C72:C88,E72:E88)+SUMPRODUCT(C91:C100,E91:E100)+SUMPRODUCT(C103:C105,E103:E105))/E108</f>
        <v>84.865584074072032</v>
      </c>
      <c r="D108" s="326">
        <f>D70+D89+D101+D106</f>
        <v>65175.400203492827</v>
      </c>
      <c r="E108" s="326">
        <f t="shared" ref="E108:J108" si="31">E70+E89+E101+E106</f>
        <v>56325</v>
      </c>
      <c r="F108" s="327">
        <f t="shared" si="31"/>
        <v>41796.908333333333</v>
      </c>
      <c r="G108" s="327">
        <f t="shared" si="31"/>
        <v>42890.258333333331</v>
      </c>
      <c r="H108" s="327">
        <f t="shared" si="31"/>
        <v>772.91250000000105</v>
      </c>
      <c r="I108" s="327">
        <f t="shared" si="31"/>
        <v>23309.59270348692</v>
      </c>
      <c r="J108" s="328">
        <f t="shared" si="31"/>
        <v>13305.741666666667</v>
      </c>
      <c r="K108" s="333" t="str">
        <f t="shared" si="21"/>
        <v/>
      </c>
    </row>
    <row r="109" spans="1:11" x14ac:dyDescent="0.2">
      <c r="A109" s="19" t="s">
        <v>239</v>
      </c>
      <c r="G109" s="15"/>
    </row>
    <row r="110" spans="1:11" x14ac:dyDescent="0.2">
      <c r="A110" s="19" t="s">
        <v>303</v>
      </c>
      <c r="I110" s="47"/>
      <c r="J110" s="47"/>
    </row>
    <row r="111" spans="1:11" x14ac:dyDescent="0.2">
      <c r="A111" s="19"/>
      <c r="E111" s="47"/>
    </row>
    <row r="114" spans="1:8" x14ac:dyDescent="0.2">
      <c r="A114" s="1"/>
      <c r="B114" s="2"/>
      <c r="H114" s="2"/>
    </row>
    <row r="115" spans="1:8" x14ac:dyDescent="0.2">
      <c r="B115" s="2"/>
      <c r="H115" s="2"/>
    </row>
    <row r="116" spans="1:8" x14ac:dyDescent="0.2">
      <c r="A116" s="337"/>
      <c r="B116" s="2"/>
      <c r="H116" s="2"/>
    </row>
    <row r="117" spans="1:8" x14ac:dyDescent="0.2">
      <c r="A117" s="337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</sheetData>
  <printOptions horizontalCentered="1"/>
  <pageMargins left="0.25" right="0.25" top="0.5" bottom="0.25" header="0.25" footer="0.5"/>
  <pageSetup scale="50" orientation="portrait" horizontalDpi="4294967292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4:X89"/>
  <sheetViews>
    <sheetView zoomScaleNormal="100" workbookViewId="0"/>
  </sheetViews>
  <sheetFormatPr defaultRowHeight="12.75" x14ac:dyDescent="0.2"/>
  <sheetData>
    <row r="34" spans="3:24" x14ac:dyDescent="0.2">
      <c r="C34" s="51"/>
      <c r="D34" s="52" t="s">
        <v>247</v>
      </c>
      <c r="E34" s="52"/>
      <c r="F34" s="53" t="s">
        <v>240</v>
      </c>
      <c r="G34" s="53" t="s">
        <v>147</v>
      </c>
      <c r="H34" s="53" t="s">
        <v>207</v>
      </c>
      <c r="I34" s="54" t="s">
        <v>243</v>
      </c>
      <c r="J34" s="51"/>
      <c r="K34" s="51"/>
      <c r="L34" s="51"/>
      <c r="M34" s="51"/>
      <c r="N34" s="51"/>
      <c r="O34" s="51"/>
      <c r="P34" s="51"/>
      <c r="Q34" s="52" t="s">
        <v>246</v>
      </c>
      <c r="R34" s="52"/>
      <c r="S34" s="53" t="s">
        <v>240</v>
      </c>
      <c r="T34" s="53" t="s">
        <v>147</v>
      </c>
      <c r="U34" s="53" t="s">
        <v>207</v>
      </c>
      <c r="V34" s="54" t="s">
        <v>243</v>
      </c>
      <c r="W34" s="51"/>
      <c r="X34" s="51"/>
    </row>
    <row r="35" spans="3:24" x14ac:dyDescent="0.2">
      <c r="C35" s="51"/>
      <c r="D35" s="52" t="s">
        <v>244</v>
      </c>
      <c r="E35" s="52"/>
      <c r="F35" s="463">
        <v>0.67</v>
      </c>
      <c r="G35" s="463">
        <v>0.63</v>
      </c>
      <c r="H35" s="55">
        <v>0.68100000000000005</v>
      </c>
      <c r="I35" s="56">
        <v>160269</v>
      </c>
      <c r="J35" s="51"/>
      <c r="K35" s="51"/>
      <c r="L35" s="51"/>
      <c r="M35" s="51"/>
      <c r="N35" s="51"/>
      <c r="O35" s="51"/>
      <c r="P35" s="51"/>
      <c r="Q35" s="52" t="s">
        <v>244</v>
      </c>
      <c r="R35" s="52"/>
      <c r="S35" s="463">
        <v>0.13</v>
      </c>
      <c r="T35" s="463">
        <v>0.15</v>
      </c>
      <c r="U35" s="55">
        <v>0.21299999999999999</v>
      </c>
      <c r="V35" s="56">
        <v>50192</v>
      </c>
      <c r="W35" s="51"/>
      <c r="X35" s="51"/>
    </row>
    <row r="71" spans="2:24" x14ac:dyDescent="0.2">
      <c r="C71" s="51"/>
      <c r="D71" s="52" t="s">
        <v>245</v>
      </c>
      <c r="E71" s="52"/>
      <c r="F71" s="53" t="s">
        <v>240</v>
      </c>
      <c r="G71" s="53" t="s">
        <v>147</v>
      </c>
      <c r="H71" s="53" t="s">
        <v>207</v>
      </c>
      <c r="I71" s="54" t="s">
        <v>243</v>
      </c>
      <c r="J71" s="51"/>
      <c r="K71" s="51"/>
      <c r="L71" s="51"/>
      <c r="M71" s="51"/>
      <c r="N71" s="51"/>
      <c r="O71" s="51"/>
      <c r="P71" s="51"/>
      <c r="Q71" s="52" t="s">
        <v>242</v>
      </c>
      <c r="R71" s="52"/>
      <c r="S71" s="53" t="s">
        <v>240</v>
      </c>
      <c r="T71" s="53" t="s">
        <v>147</v>
      </c>
      <c r="U71" s="53" t="s">
        <v>207</v>
      </c>
      <c r="V71" s="54" t="s">
        <v>243</v>
      </c>
      <c r="W71" s="51"/>
    </row>
    <row r="72" spans="2:24" x14ac:dyDescent="0.2">
      <c r="B72" s="2"/>
      <c r="C72" s="51"/>
      <c r="D72" s="52" t="s">
        <v>244</v>
      </c>
      <c r="E72" s="52"/>
      <c r="F72" s="463">
        <v>0.13</v>
      </c>
      <c r="G72" s="463">
        <v>0.16</v>
      </c>
      <c r="H72" s="55">
        <v>6.0999999999999999E-2</v>
      </c>
      <c r="I72" s="56">
        <v>14319</v>
      </c>
      <c r="J72" s="51"/>
      <c r="K72" s="51"/>
      <c r="L72" s="51"/>
      <c r="M72" s="51"/>
      <c r="N72" s="51"/>
      <c r="O72" s="57"/>
      <c r="P72" s="51"/>
      <c r="Q72" s="52" t="s">
        <v>244</v>
      </c>
      <c r="R72" s="52"/>
      <c r="S72" s="463">
        <v>7.0000000000000007E-2</v>
      </c>
      <c r="T72" s="463">
        <v>0.06</v>
      </c>
      <c r="U72" s="55">
        <v>4.4999999999999998E-2</v>
      </c>
      <c r="V72" s="56">
        <v>10692</v>
      </c>
      <c r="W72" s="58"/>
      <c r="X72" s="2"/>
    </row>
    <row r="74" spans="2:24" x14ac:dyDescent="0.2">
      <c r="B74" s="30" t="s">
        <v>209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8"/>
      <c r="S74" s="31"/>
      <c r="T74" s="31"/>
      <c r="U74" s="38"/>
      <c r="V74" s="31"/>
      <c r="W74" s="31"/>
      <c r="X74" s="32"/>
    </row>
    <row r="75" spans="2:24" x14ac:dyDescent="0.2">
      <c r="B75" s="33"/>
      <c r="C75" s="2" t="s">
        <v>249</v>
      </c>
      <c r="D75" s="2"/>
      <c r="E75" s="2"/>
      <c r="F75" s="2"/>
      <c r="G75" s="2"/>
      <c r="H75" s="2" t="s">
        <v>210</v>
      </c>
      <c r="I75" s="2"/>
      <c r="J75" s="2"/>
      <c r="K75" s="2"/>
      <c r="L75" s="2"/>
      <c r="M75" s="2"/>
      <c r="N75" s="2"/>
      <c r="O75" s="2" t="s">
        <v>211</v>
      </c>
      <c r="P75" s="2"/>
      <c r="Q75" s="2"/>
      <c r="R75" s="2"/>
      <c r="S75" s="2" t="s">
        <v>254</v>
      </c>
      <c r="T75" s="2"/>
      <c r="U75" s="2" t="s">
        <v>255</v>
      </c>
      <c r="V75" s="2"/>
      <c r="W75" s="66" t="s">
        <v>256</v>
      </c>
      <c r="X75" s="34"/>
    </row>
    <row r="76" spans="2:24" x14ac:dyDescent="0.2">
      <c r="B76" s="35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7"/>
    </row>
    <row r="84" spans="1:9" x14ac:dyDescent="0.2">
      <c r="A84" s="65" t="s">
        <v>250</v>
      </c>
      <c r="B84" s="59"/>
      <c r="C84" s="59"/>
      <c r="D84" s="59"/>
      <c r="E84" s="59"/>
      <c r="F84" s="32"/>
    </row>
    <row r="85" spans="1:9" x14ac:dyDescent="0.2">
      <c r="A85" s="60"/>
      <c r="B85" s="61" t="s">
        <v>240</v>
      </c>
      <c r="C85" s="61" t="s">
        <v>147</v>
      </c>
      <c r="D85" s="61" t="s">
        <v>207</v>
      </c>
      <c r="E85" s="62" t="s">
        <v>243</v>
      </c>
      <c r="F85" s="34"/>
      <c r="H85" s="15"/>
      <c r="I85" s="71"/>
    </row>
    <row r="86" spans="1:9" x14ac:dyDescent="0.2">
      <c r="A86" s="63" t="s">
        <v>248</v>
      </c>
      <c r="B86" s="64" t="str">
        <f>IF(F35+F72+S35+S72=1,"Ok","Wrong")</f>
        <v>Ok</v>
      </c>
      <c r="C86" s="64" t="str">
        <f>IF(G35+G72+T35+T72=1,"Ok","Wrong")</f>
        <v>Ok</v>
      </c>
      <c r="D86" s="64" t="str">
        <f>IF(H35+H72+U35+U72=1,"Ok","Wrong")</f>
        <v>Ok</v>
      </c>
      <c r="E86" s="64" t="str">
        <f>IF(I35+I72+V35+V72=235472,"Ok","Wrong")</f>
        <v>Ok</v>
      </c>
      <c r="F86" s="37"/>
      <c r="H86" s="15"/>
      <c r="I86" s="71"/>
    </row>
    <row r="87" spans="1:9" x14ac:dyDescent="0.2">
      <c r="H87" s="15"/>
      <c r="I87" s="71"/>
    </row>
    <row r="88" spans="1:9" x14ac:dyDescent="0.2">
      <c r="H88" s="15"/>
      <c r="I88" s="71"/>
    </row>
    <row r="89" spans="1:9" x14ac:dyDescent="0.2">
      <c r="H89" s="15"/>
    </row>
  </sheetData>
  <printOptions horizontalCentered="1"/>
  <pageMargins left="0.25" right="0.25" top="0.5" bottom="0.25" header="0.5" footer="0.5"/>
  <pageSetup scale="56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37"/>
  <sheetViews>
    <sheetView workbookViewId="0">
      <selection sqref="A1:M1"/>
    </sheetView>
  </sheetViews>
  <sheetFormatPr defaultRowHeight="12" x14ac:dyDescent="0.2"/>
  <cols>
    <col min="1" max="13" width="8.85546875" style="359" customWidth="1"/>
    <col min="14" max="27" width="8.85546875" style="58" customWidth="1"/>
    <col min="28" max="16384" width="9.140625" style="58"/>
  </cols>
  <sheetData>
    <row r="1" spans="1:27" ht="13.5" customHeight="1" thickBot="1" x14ac:dyDescent="0.25">
      <c r="A1" s="482" t="s">
        <v>278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4"/>
      <c r="O1" s="482" t="s">
        <v>275</v>
      </c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4"/>
    </row>
    <row r="2" spans="1:27" ht="12.75" customHeight="1" x14ac:dyDescent="0.2">
      <c r="A2" s="340"/>
      <c r="B2" s="479" t="s">
        <v>137</v>
      </c>
      <c r="C2" s="480"/>
      <c r="D2" s="481"/>
      <c r="E2" s="479" t="s">
        <v>138</v>
      </c>
      <c r="F2" s="480"/>
      <c r="G2" s="481"/>
      <c r="H2" s="479" t="s">
        <v>142</v>
      </c>
      <c r="I2" s="480"/>
      <c r="J2" s="481"/>
      <c r="K2" s="479" t="s">
        <v>208</v>
      </c>
      <c r="L2" s="480"/>
      <c r="M2" s="481"/>
      <c r="O2" s="340"/>
      <c r="P2" s="479" t="s">
        <v>137</v>
      </c>
      <c r="Q2" s="480"/>
      <c r="R2" s="481"/>
      <c r="S2" s="479" t="s">
        <v>138</v>
      </c>
      <c r="T2" s="480"/>
      <c r="U2" s="481"/>
      <c r="V2" s="479" t="s">
        <v>142</v>
      </c>
      <c r="W2" s="480"/>
      <c r="X2" s="481"/>
      <c r="Y2" s="479" t="s">
        <v>208</v>
      </c>
      <c r="Z2" s="480"/>
      <c r="AA2" s="481"/>
    </row>
    <row r="3" spans="1:27" ht="12.75" thickBot="1" x14ac:dyDescent="0.25">
      <c r="A3" s="341"/>
      <c r="B3" s="342" t="s">
        <v>273</v>
      </c>
      <c r="C3" s="343" t="s">
        <v>261</v>
      </c>
      <c r="D3" s="344">
        <v>2000</v>
      </c>
      <c r="E3" s="342" t="s">
        <v>273</v>
      </c>
      <c r="F3" s="343" t="s">
        <v>261</v>
      </c>
      <c r="G3" s="344">
        <v>2000</v>
      </c>
      <c r="H3" s="342" t="s">
        <v>273</v>
      </c>
      <c r="I3" s="343" t="s">
        <v>261</v>
      </c>
      <c r="J3" s="344">
        <v>2000</v>
      </c>
      <c r="K3" s="342" t="s">
        <v>273</v>
      </c>
      <c r="L3" s="343" t="s">
        <v>261</v>
      </c>
      <c r="M3" s="344">
        <v>2000</v>
      </c>
      <c r="O3" s="341"/>
      <c r="P3" s="342" t="s">
        <v>273</v>
      </c>
      <c r="Q3" s="343" t="s">
        <v>261</v>
      </c>
      <c r="R3" s="344">
        <v>2000</v>
      </c>
      <c r="S3" s="342" t="s">
        <v>273</v>
      </c>
      <c r="T3" s="343" t="s">
        <v>261</v>
      </c>
      <c r="U3" s="344">
        <v>2000</v>
      </c>
      <c r="V3" s="342" t="s">
        <v>273</v>
      </c>
      <c r="W3" s="343" t="s">
        <v>261</v>
      </c>
      <c r="X3" s="344">
        <v>2000</v>
      </c>
      <c r="Y3" s="342" t="s">
        <v>273</v>
      </c>
      <c r="Z3" s="343" t="s">
        <v>261</v>
      </c>
      <c r="AA3" s="344">
        <v>2000</v>
      </c>
    </row>
    <row r="4" spans="1:27" x14ac:dyDescent="0.2">
      <c r="A4" s="345" t="s">
        <v>132</v>
      </c>
      <c r="B4" s="346">
        <v>0.68799999999999994</v>
      </c>
      <c r="C4" s="347">
        <v>0.56799999999999995</v>
      </c>
      <c r="D4" s="348">
        <v>0.29299999999999998</v>
      </c>
      <c r="E4" s="349">
        <v>0.97799999999999998</v>
      </c>
      <c r="F4" s="349">
        <v>0.79200000000000004</v>
      </c>
      <c r="G4" s="348">
        <v>0.47499999999999998</v>
      </c>
      <c r="H4" s="350">
        <v>0.79400000000000004</v>
      </c>
      <c r="I4" s="349">
        <v>0.44400000000000001</v>
      </c>
      <c r="J4" s="348">
        <v>0.35700000000000004</v>
      </c>
      <c r="K4" s="349">
        <v>0.96099999999999997</v>
      </c>
      <c r="L4" s="349">
        <v>0.74199999999999999</v>
      </c>
      <c r="M4" s="348">
        <v>0.755</v>
      </c>
      <c r="O4" s="345" t="s">
        <v>132</v>
      </c>
      <c r="P4" s="351" t="s">
        <v>274</v>
      </c>
      <c r="Q4" s="347">
        <f>C4-B4</f>
        <v>-0.12</v>
      </c>
      <c r="R4" s="348">
        <f>D4-C4</f>
        <v>-0.27499999999999997</v>
      </c>
      <c r="S4" s="351" t="s">
        <v>274</v>
      </c>
      <c r="T4" s="347">
        <f>F4-E4</f>
        <v>-0.18599999999999994</v>
      </c>
      <c r="U4" s="348">
        <f>G4-F4</f>
        <v>-0.31700000000000006</v>
      </c>
      <c r="V4" s="351" t="s">
        <v>274</v>
      </c>
      <c r="W4" s="347">
        <f>I4-H4</f>
        <v>-0.35000000000000003</v>
      </c>
      <c r="X4" s="348">
        <f t="shared" ref="X4:X15" si="0">J4-I4</f>
        <v>-8.6999999999999966E-2</v>
      </c>
      <c r="Y4" s="351" t="s">
        <v>274</v>
      </c>
      <c r="Z4" s="347">
        <f t="shared" ref="Z4:Z15" si="1">L4-K4</f>
        <v>-0.21899999999999997</v>
      </c>
      <c r="AA4" s="348">
        <f t="shared" ref="AA4:AA15" si="2">M4-L4</f>
        <v>1.3000000000000012E-2</v>
      </c>
    </row>
    <row r="5" spans="1:27" x14ac:dyDescent="0.2">
      <c r="A5" s="352" t="s">
        <v>150</v>
      </c>
      <c r="B5" s="346">
        <v>0.79</v>
      </c>
      <c r="C5" s="347">
        <v>0.622</v>
      </c>
      <c r="D5" s="348">
        <v>0.45</v>
      </c>
      <c r="E5" s="349">
        <v>0.9890000000000001</v>
      </c>
      <c r="F5" s="349">
        <v>0.84399999999999997</v>
      </c>
      <c r="G5" s="348">
        <v>0.47299999999999998</v>
      </c>
      <c r="H5" s="349">
        <v>0.85699999999999998</v>
      </c>
      <c r="I5" s="349">
        <v>0.42599999999999999</v>
      </c>
      <c r="J5" s="348">
        <v>0.54100000000000004</v>
      </c>
      <c r="K5" s="349">
        <v>0.97</v>
      </c>
      <c r="L5" s="349">
        <v>0.80200000000000005</v>
      </c>
      <c r="M5" s="348">
        <v>0.80700000000000005</v>
      </c>
      <c r="O5" s="352" t="s">
        <v>150</v>
      </c>
      <c r="P5" s="351" t="s">
        <v>274</v>
      </c>
      <c r="Q5" s="347">
        <f t="shared" ref="Q5:Q15" si="3">C5-B5</f>
        <v>-0.16800000000000004</v>
      </c>
      <c r="R5" s="348">
        <f t="shared" ref="R5:R15" si="4">D5-C5</f>
        <v>-0.17199999999999999</v>
      </c>
      <c r="S5" s="351" t="s">
        <v>274</v>
      </c>
      <c r="T5" s="347">
        <f t="shared" ref="T5:T15" si="5">F5-E5</f>
        <v>-0.14500000000000013</v>
      </c>
      <c r="U5" s="348">
        <f t="shared" ref="U5:U15" si="6">G5-F5</f>
        <v>-0.371</v>
      </c>
      <c r="V5" s="351" t="s">
        <v>274</v>
      </c>
      <c r="W5" s="347">
        <f t="shared" ref="W5:W15" si="7">I5-H5</f>
        <v>-0.43099999999999999</v>
      </c>
      <c r="X5" s="348">
        <f t="shared" si="0"/>
        <v>0.11500000000000005</v>
      </c>
      <c r="Y5" s="351" t="s">
        <v>274</v>
      </c>
      <c r="Z5" s="347">
        <f t="shared" si="1"/>
        <v>-0.16799999999999993</v>
      </c>
      <c r="AA5" s="348">
        <f t="shared" si="2"/>
        <v>5.0000000000000044E-3</v>
      </c>
    </row>
    <row r="6" spans="1:27" x14ac:dyDescent="0.2">
      <c r="A6" s="352" t="s">
        <v>133</v>
      </c>
      <c r="B6" s="346">
        <v>0.83099999999999996</v>
      </c>
      <c r="C6" s="347">
        <v>0.71</v>
      </c>
      <c r="D6" s="348">
        <v>0.58499999999999996</v>
      </c>
      <c r="E6" s="349">
        <v>0.95700000000000007</v>
      </c>
      <c r="F6" s="349">
        <v>0.749</v>
      </c>
      <c r="G6" s="348">
        <v>0.52300000000000002</v>
      </c>
      <c r="H6" s="349">
        <v>0.81599999999999995</v>
      </c>
      <c r="I6" s="349">
        <v>0.58599999999999997</v>
      </c>
      <c r="J6" s="348">
        <v>0.66</v>
      </c>
      <c r="K6" s="349">
        <v>0.95499999999999996</v>
      </c>
      <c r="L6" s="349">
        <v>0.81</v>
      </c>
      <c r="M6" s="348">
        <v>0.83299999999999996</v>
      </c>
      <c r="O6" s="352" t="s">
        <v>133</v>
      </c>
      <c r="P6" s="351" t="s">
        <v>274</v>
      </c>
      <c r="Q6" s="347">
        <f t="shared" si="3"/>
        <v>-0.121</v>
      </c>
      <c r="R6" s="348">
        <f t="shared" si="4"/>
        <v>-0.125</v>
      </c>
      <c r="S6" s="351" t="s">
        <v>274</v>
      </c>
      <c r="T6" s="347">
        <f t="shared" si="5"/>
        <v>-0.20800000000000007</v>
      </c>
      <c r="U6" s="348">
        <f t="shared" si="6"/>
        <v>-0.22599999999999998</v>
      </c>
      <c r="V6" s="351" t="s">
        <v>274</v>
      </c>
      <c r="W6" s="347">
        <f t="shared" si="7"/>
        <v>-0.22999999999999998</v>
      </c>
      <c r="X6" s="348">
        <f t="shared" si="0"/>
        <v>7.4000000000000066E-2</v>
      </c>
      <c r="Y6" s="351" t="s">
        <v>274</v>
      </c>
      <c r="Z6" s="347">
        <f t="shared" si="1"/>
        <v>-0.14499999999999991</v>
      </c>
      <c r="AA6" s="348">
        <f t="shared" si="2"/>
        <v>2.2999999999999909E-2</v>
      </c>
    </row>
    <row r="7" spans="1:27" x14ac:dyDescent="0.2">
      <c r="A7" s="352" t="s">
        <v>151</v>
      </c>
      <c r="B7" s="346">
        <v>0.81799999999999995</v>
      </c>
      <c r="C7" s="347">
        <v>0.69799999999999995</v>
      </c>
      <c r="D7" s="348">
        <v>0.59399999999999997</v>
      </c>
      <c r="E7" s="349">
        <v>0.92799999999999994</v>
      </c>
      <c r="F7" s="349">
        <v>0.72699999999999998</v>
      </c>
      <c r="G7" s="348">
        <v>0.4</v>
      </c>
      <c r="H7" s="349">
        <v>0.84099999999999997</v>
      </c>
      <c r="I7" s="349">
        <v>0.57399999999999995</v>
      </c>
      <c r="J7" s="348">
        <v>0.71199999999999997</v>
      </c>
      <c r="K7" s="349">
        <v>1.04</v>
      </c>
      <c r="L7" s="349">
        <v>0.83199999999999996</v>
      </c>
      <c r="M7" s="348">
        <v>0.83699999999999997</v>
      </c>
      <c r="O7" s="352" t="s">
        <v>151</v>
      </c>
      <c r="P7" s="351" t="s">
        <v>274</v>
      </c>
      <c r="Q7" s="347">
        <f t="shared" si="3"/>
        <v>-0.12</v>
      </c>
      <c r="R7" s="348">
        <f t="shared" si="4"/>
        <v>-0.10399999999999998</v>
      </c>
      <c r="S7" s="351" t="s">
        <v>274</v>
      </c>
      <c r="T7" s="347">
        <f t="shared" si="5"/>
        <v>-0.20099999999999996</v>
      </c>
      <c r="U7" s="348">
        <f t="shared" si="6"/>
        <v>-0.32699999999999996</v>
      </c>
      <c r="V7" s="351" t="s">
        <v>274</v>
      </c>
      <c r="W7" s="347">
        <f t="shared" si="7"/>
        <v>-0.26700000000000002</v>
      </c>
      <c r="X7" s="348">
        <f t="shared" si="0"/>
        <v>0.13800000000000001</v>
      </c>
      <c r="Y7" s="351" t="s">
        <v>274</v>
      </c>
      <c r="Z7" s="347">
        <f t="shared" si="1"/>
        <v>-0.20800000000000007</v>
      </c>
      <c r="AA7" s="348">
        <f t="shared" si="2"/>
        <v>5.0000000000000044E-3</v>
      </c>
    </row>
    <row r="8" spans="1:27" x14ac:dyDescent="0.2">
      <c r="A8" s="352" t="s">
        <v>152</v>
      </c>
      <c r="B8" s="346">
        <v>0.80200000000000005</v>
      </c>
      <c r="C8" s="347">
        <v>0.65400000000000003</v>
      </c>
      <c r="D8" s="348">
        <v>0.54100000000000004</v>
      </c>
      <c r="E8" s="349">
        <v>0.93599999999999994</v>
      </c>
      <c r="F8" s="349">
        <v>0.60799999999999998</v>
      </c>
      <c r="G8" s="348">
        <v>0.30199999999999999</v>
      </c>
      <c r="H8" s="349">
        <v>0.78599999999999992</v>
      </c>
      <c r="I8" s="349">
        <v>0.52900000000000003</v>
      </c>
      <c r="J8" s="348">
        <v>0.67300000000000004</v>
      </c>
      <c r="K8" s="349">
        <v>1.0509999999999999</v>
      </c>
      <c r="L8" s="349">
        <v>0.83699999999999997</v>
      </c>
      <c r="M8" s="348">
        <v>0.82099999999999995</v>
      </c>
      <c r="O8" s="352" t="s">
        <v>152</v>
      </c>
      <c r="P8" s="351" t="s">
        <v>274</v>
      </c>
      <c r="Q8" s="347">
        <f t="shared" si="3"/>
        <v>-0.14800000000000002</v>
      </c>
      <c r="R8" s="348">
        <f t="shared" si="4"/>
        <v>-0.11299999999999999</v>
      </c>
      <c r="S8" s="351" t="s">
        <v>274</v>
      </c>
      <c r="T8" s="347">
        <f t="shared" si="5"/>
        <v>-0.32799999999999996</v>
      </c>
      <c r="U8" s="348">
        <f t="shared" si="6"/>
        <v>-0.30599999999999999</v>
      </c>
      <c r="V8" s="351" t="s">
        <v>274</v>
      </c>
      <c r="W8" s="347">
        <f t="shared" si="7"/>
        <v>-0.2569999999999999</v>
      </c>
      <c r="X8" s="348">
        <f t="shared" si="0"/>
        <v>0.14400000000000002</v>
      </c>
      <c r="Y8" s="351" t="s">
        <v>274</v>
      </c>
      <c r="Z8" s="347">
        <f t="shared" si="1"/>
        <v>-0.21399999999999997</v>
      </c>
      <c r="AA8" s="348">
        <f t="shared" si="2"/>
        <v>-1.6000000000000014E-2</v>
      </c>
    </row>
    <row r="9" spans="1:27" x14ac:dyDescent="0.2">
      <c r="A9" s="352" t="s">
        <v>134</v>
      </c>
      <c r="B9" s="346">
        <v>0.75700000000000001</v>
      </c>
      <c r="C9" s="347">
        <v>0.60099999999999998</v>
      </c>
      <c r="D9" s="348">
        <v>0.47299999999999998</v>
      </c>
      <c r="E9" s="349">
        <v>0.85099999999999998</v>
      </c>
      <c r="F9" s="349">
        <v>0.76100000000000001</v>
      </c>
      <c r="G9" s="348">
        <v>0.41</v>
      </c>
      <c r="H9" s="349">
        <v>0.72799999999999998</v>
      </c>
      <c r="I9" s="349">
        <v>0.46399999999999997</v>
      </c>
      <c r="J9" s="348">
        <v>0.61799999999999999</v>
      </c>
      <c r="K9" s="349">
        <v>0.96799999999999997</v>
      </c>
      <c r="L9" s="349">
        <v>0.81</v>
      </c>
      <c r="M9" s="348">
        <v>0.81100000000000005</v>
      </c>
      <c r="O9" s="352" t="s">
        <v>134</v>
      </c>
      <c r="P9" s="351" t="s">
        <v>274</v>
      </c>
      <c r="Q9" s="347">
        <f t="shared" si="3"/>
        <v>-0.15600000000000003</v>
      </c>
      <c r="R9" s="348">
        <f t="shared" si="4"/>
        <v>-0.128</v>
      </c>
      <c r="S9" s="351" t="s">
        <v>274</v>
      </c>
      <c r="T9" s="347">
        <f t="shared" si="5"/>
        <v>-8.9999999999999969E-2</v>
      </c>
      <c r="U9" s="348">
        <f t="shared" si="6"/>
        <v>-0.35100000000000003</v>
      </c>
      <c r="V9" s="351" t="s">
        <v>274</v>
      </c>
      <c r="W9" s="347">
        <f t="shared" si="7"/>
        <v>-0.26400000000000001</v>
      </c>
      <c r="X9" s="348">
        <f t="shared" si="0"/>
        <v>0.15400000000000003</v>
      </c>
      <c r="Y9" s="351" t="s">
        <v>274</v>
      </c>
      <c r="Z9" s="347">
        <f t="shared" si="1"/>
        <v>-0.15799999999999992</v>
      </c>
      <c r="AA9" s="348">
        <f t="shared" si="2"/>
        <v>1.0000000000000009E-3</v>
      </c>
    </row>
    <row r="10" spans="1:27" x14ac:dyDescent="0.2">
      <c r="A10" s="352" t="s">
        <v>135</v>
      </c>
      <c r="B10" s="346">
        <v>0.67799999999999994</v>
      </c>
      <c r="C10" s="347">
        <v>0.54200000000000004</v>
      </c>
      <c r="D10" s="348">
        <v>0.40600000000000003</v>
      </c>
      <c r="E10" s="349">
        <v>0.95900000000000007</v>
      </c>
      <c r="F10" s="349">
        <v>0.879</v>
      </c>
      <c r="G10" s="348">
        <v>0.441</v>
      </c>
      <c r="H10" s="349">
        <v>0.63800000000000001</v>
      </c>
      <c r="I10" s="349">
        <v>0.39600000000000002</v>
      </c>
      <c r="J10" s="348">
        <v>0.55700000000000005</v>
      </c>
      <c r="K10" s="349">
        <v>0.81900000000000006</v>
      </c>
      <c r="L10" s="349">
        <v>0.71399999999999997</v>
      </c>
      <c r="M10" s="348">
        <v>0.755</v>
      </c>
      <c r="O10" s="352" t="s">
        <v>135</v>
      </c>
      <c r="P10" s="351" t="s">
        <v>274</v>
      </c>
      <c r="Q10" s="347">
        <f t="shared" si="3"/>
        <v>-0.1359999999999999</v>
      </c>
      <c r="R10" s="348">
        <f t="shared" si="4"/>
        <v>-0.13600000000000001</v>
      </c>
      <c r="S10" s="351" t="s">
        <v>274</v>
      </c>
      <c r="T10" s="347">
        <f t="shared" si="5"/>
        <v>-8.0000000000000071E-2</v>
      </c>
      <c r="U10" s="348">
        <f t="shared" si="6"/>
        <v>-0.438</v>
      </c>
      <c r="V10" s="351" t="s">
        <v>274</v>
      </c>
      <c r="W10" s="347">
        <f t="shared" si="7"/>
        <v>-0.24199999999999999</v>
      </c>
      <c r="X10" s="348">
        <f t="shared" si="0"/>
        <v>0.16100000000000003</v>
      </c>
      <c r="Y10" s="351" t="s">
        <v>274</v>
      </c>
      <c r="Z10" s="347">
        <f t="shared" si="1"/>
        <v>-0.10500000000000009</v>
      </c>
      <c r="AA10" s="348">
        <f t="shared" si="2"/>
        <v>4.1000000000000036E-2</v>
      </c>
    </row>
    <row r="11" spans="1:27" x14ac:dyDescent="0.2">
      <c r="A11" s="352" t="s">
        <v>153</v>
      </c>
      <c r="B11" s="346">
        <v>0.60499999999999998</v>
      </c>
      <c r="C11" s="347">
        <v>0.45</v>
      </c>
      <c r="D11" s="348">
        <v>0.318</v>
      </c>
      <c r="E11" s="349">
        <v>0.93400000000000005</v>
      </c>
      <c r="F11" s="349">
        <v>0.70499999999999996</v>
      </c>
      <c r="G11" s="348">
        <v>0.46200000000000002</v>
      </c>
      <c r="H11" s="349">
        <v>0.55100000000000005</v>
      </c>
      <c r="I11" s="349">
        <v>0.31900000000000001</v>
      </c>
      <c r="J11" s="348">
        <v>0.47</v>
      </c>
      <c r="K11" s="349">
        <v>0.63700000000000001</v>
      </c>
      <c r="L11" s="349">
        <v>0.58499999999999996</v>
      </c>
      <c r="M11" s="348">
        <v>0.61499999999999999</v>
      </c>
      <c r="O11" s="352" t="s">
        <v>153</v>
      </c>
      <c r="P11" s="351" t="s">
        <v>274</v>
      </c>
      <c r="Q11" s="347">
        <f t="shared" si="3"/>
        <v>-0.15499999999999997</v>
      </c>
      <c r="R11" s="348">
        <f t="shared" si="4"/>
        <v>-0.13200000000000001</v>
      </c>
      <c r="S11" s="351" t="s">
        <v>274</v>
      </c>
      <c r="T11" s="347">
        <f t="shared" si="5"/>
        <v>-0.22900000000000009</v>
      </c>
      <c r="U11" s="348">
        <f t="shared" si="6"/>
        <v>-0.24299999999999994</v>
      </c>
      <c r="V11" s="351" t="s">
        <v>274</v>
      </c>
      <c r="W11" s="347">
        <f t="shared" si="7"/>
        <v>-0.23200000000000004</v>
      </c>
      <c r="X11" s="348">
        <f t="shared" si="0"/>
        <v>0.15099999999999997</v>
      </c>
      <c r="Y11" s="351" t="s">
        <v>274</v>
      </c>
      <c r="Z11" s="347">
        <f t="shared" si="1"/>
        <v>-5.2000000000000046E-2</v>
      </c>
      <c r="AA11" s="348">
        <f t="shared" si="2"/>
        <v>3.0000000000000027E-2</v>
      </c>
    </row>
    <row r="12" spans="1:27" x14ac:dyDescent="0.2">
      <c r="A12" s="352" t="s">
        <v>154</v>
      </c>
      <c r="B12" s="346">
        <v>0.52500000000000002</v>
      </c>
      <c r="C12" s="347">
        <v>0.36700000000000005</v>
      </c>
      <c r="D12" s="348">
        <v>0.307</v>
      </c>
      <c r="E12" s="349">
        <v>0.93599999999999994</v>
      </c>
      <c r="F12" s="349">
        <v>0.61599999999999999</v>
      </c>
      <c r="G12" s="348">
        <v>0.86699999999999999</v>
      </c>
      <c r="H12" s="349">
        <v>0.442</v>
      </c>
      <c r="I12" s="349">
        <v>0.252</v>
      </c>
      <c r="J12" s="348">
        <v>0.39300000000000002</v>
      </c>
      <c r="K12" s="349">
        <v>0.44799999999999995</v>
      </c>
      <c r="L12" s="349">
        <v>0.438</v>
      </c>
      <c r="M12" s="348">
        <v>0.45</v>
      </c>
      <c r="O12" s="352" t="s">
        <v>154</v>
      </c>
      <c r="P12" s="351" t="s">
        <v>274</v>
      </c>
      <c r="Q12" s="347">
        <f t="shared" si="3"/>
        <v>-0.15799999999999997</v>
      </c>
      <c r="R12" s="348">
        <f t="shared" si="4"/>
        <v>-6.0000000000000053E-2</v>
      </c>
      <c r="S12" s="351" t="s">
        <v>274</v>
      </c>
      <c r="T12" s="347">
        <f t="shared" si="5"/>
        <v>-0.31999999999999995</v>
      </c>
      <c r="U12" s="348">
        <f t="shared" si="6"/>
        <v>0.251</v>
      </c>
      <c r="V12" s="351" t="s">
        <v>274</v>
      </c>
      <c r="W12" s="347">
        <f t="shared" si="7"/>
        <v>-0.19</v>
      </c>
      <c r="X12" s="348">
        <f t="shared" si="0"/>
        <v>0.14100000000000001</v>
      </c>
      <c r="Y12" s="351" t="s">
        <v>274</v>
      </c>
      <c r="Z12" s="347">
        <f t="shared" si="1"/>
        <v>-9.9999999999999534E-3</v>
      </c>
      <c r="AA12" s="348">
        <f t="shared" si="2"/>
        <v>1.2000000000000011E-2</v>
      </c>
    </row>
    <row r="13" spans="1:27" x14ac:dyDescent="0.2">
      <c r="A13" s="352" t="s">
        <v>155</v>
      </c>
      <c r="B13" s="346">
        <v>0.47799999999999998</v>
      </c>
      <c r="C13" s="347">
        <v>0.26400000000000001</v>
      </c>
      <c r="D13" s="348">
        <v>0.23</v>
      </c>
      <c r="E13" s="349">
        <v>0.97499999999999998</v>
      </c>
      <c r="F13" s="349">
        <v>0.79200000000000004</v>
      </c>
      <c r="G13" s="348">
        <v>0.96199999999999997</v>
      </c>
      <c r="H13" s="349">
        <v>0.34399999999999997</v>
      </c>
      <c r="I13" s="349">
        <v>0.17</v>
      </c>
      <c r="J13" s="348">
        <v>0.28899999999999998</v>
      </c>
      <c r="K13" s="349">
        <v>0.27399999999999997</v>
      </c>
      <c r="L13" s="349">
        <v>0.28699999999999998</v>
      </c>
      <c r="M13" s="348">
        <v>0.32100000000000001</v>
      </c>
      <c r="O13" s="352" t="s">
        <v>155</v>
      </c>
      <c r="P13" s="351" t="s">
        <v>274</v>
      </c>
      <c r="Q13" s="347">
        <f t="shared" si="3"/>
        <v>-0.21399999999999997</v>
      </c>
      <c r="R13" s="348">
        <f t="shared" si="4"/>
        <v>-3.4000000000000002E-2</v>
      </c>
      <c r="S13" s="351" t="s">
        <v>274</v>
      </c>
      <c r="T13" s="347">
        <f t="shared" si="5"/>
        <v>-0.18299999999999994</v>
      </c>
      <c r="U13" s="348">
        <f t="shared" si="6"/>
        <v>0.16999999999999993</v>
      </c>
      <c r="V13" s="351" t="s">
        <v>274</v>
      </c>
      <c r="W13" s="347">
        <f t="shared" si="7"/>
        <v>-0.17399999999999996</v>
      </c>
      <c r="X13" s="348">
        <f t="shared" si="0"/>
        <v>0.11899999999999997</v>
      </c>
      <c r="Y13" s="351" t="s">
        <v>274</v>
      </c>
      <c r="Z13" s="347">
        <f t="shared" si="1"/>
        <v>1.3000000000000012E-2</v>
      </c>
      <c r="AA13" s="348">
        <f t="shared" si="2"/>
        <v>3.400000000000003E-2</v>
      </c>
    </row>
    <row r="14" spans="1:27" x14ac:dyDescent="0.2">
      <c r="A14" s="352" t="s">
        <v>136</v>
      </c>
      <c r="B14" s="346">
        <v>0.435</v>
      </c>
      <c r="C14" s="347">
        <v>0.19699999999999998</v>
      </c>
      <c r="D14" s="348">
        <v>0.22090000000000001</v>
      </c>
      <c r="E14" s="349">
        <v>0.879</v>
      </c>
      <c r="F14" s="349">
        <v>0.66200000000000003</v>
      </c>
      <c r="G14" s="348">
        <v>0.92900000000000005</v>
      </c>
      <c r="H14" s="349">
        <v>0.33700000000000002</v>
      </c>
      <c r="I14" s="349">
        <v>0.159</v>
      </c>
      <c r="J14" s="348">
        <v>0.27539999999999998</v>
      </c>
      <c r="K14" s="349">
        <v>0.27399999999999997</v>
      </c>
      <c r="L14" s="349">
        <v>0.24</v>
      </c>
      <c r="M14" s="348">
        <v>0.29020000000000001</v>
      </c>
      <c r="O14" s="352" t="s">
        <v>136</v>
      </c>
      <c r="P14" s="351" t="s">
        <v>274</v>
      </c>
      <c r="Q14" s="347">
        <f t="shared" si="3"/>
        <v>-0.23800000000000002</v>
      </c>
      <c r="R14" s="348">
        <f t="shared" si="4"/>
        <v>2.3900000000000032E-2</v>
      </c>
      <c r="S14" s="351" t="s">
        <v>274</v>
      </c>
      <c r="T14" s="347">
        <f t="shared" si="5"/>
        <v>-0.21699999999999997</v>
      </c>
      <c r="U14" s="348">
        <f t="shared" si="6"/>
        <v>0.26700000000000002</v>
      </c>
      <c r="V14" s="351" t="s">
        <v>274</v>
      </c>
      <c r="W14" s="347">
        <f t="shared" si="7"/>
        <v>-0.17800000000000002</v>
      </c>
      <c r="X14" s="348">
        <f t="shared" si="0"/>
        <v>0.11639999999999998</v>
      </c>
      <c r="Y14" s="351" t="s">
        <v>274</v>
      </c>
      <c r="Z14" s="347">
        <f t="shared" si="1"/>
        <v>-3.3999999999999975E-2</v>
      </c>
      <c r="AA14" s="348">
        <f t="shared" si="2"/>
        <v>5.0200000000000022E-2</v>
      </c>
    </row>
    <row r="15" spans="1:27" ht="12.75" thickBot="1" x14ac:dyDescent="0.25">
      <c r="A15" s="353" t="s">
        <v>156</v>
      </c>
      <c r="B15" s="354">
        <v>0.46299999999999997</v>
      </c>
      <c r="C15" s="355">
        <v>0.18100000000000002</v>
      </c>
      <c r="D15" s="356">
        <v>0.28520000000000001</v>
      </c>
      <c r="E15" s="357">
        <v>0.82499999999999996</v>
      </c>
      <c r="F15" s="357">
        <v>0.52900000000000003</v>
      </c>
      <c r="G15" s="356">
        <v>0.89370000000000005</v>
      </c>
      <c r="H15" s="357">
        <v>0.39100000000000001</v>
      </c>
      <c r="I15" s="357">
        <v>0.218</v>
      </c>
      <c r="J15" s="356">
        <v>0.36810000000000004</v>
      </c>
      <c r="K15" s="357">
        <v>0.45799999999999996</v>
      </c>
      <c r="L15" s="357">
        <v>0.45700000000000002</v>
      </c>
      <c r="M15" s="356">
        <v>0.59329999999999994</v>
      </c>
      <c r="O15" s="353" t="s">
        <v>156</v>
      </c>
      <c r="P15" s="358" t="s">
        <v>274</v>
      </c>
      <c r="Q15" s="355">
        <f t="shared" si="3"/>
        <v>-0.28199999999999992</v>
      </c>
      <c r="R15" s="356">
        <f t="shared" si="4"/>
        <v>0.10419999999999999</v>
      </c>
      <c r="S15" s="358" t="s">
        <v>274</v>
      </c>
      <c r="T15" s="355">
        <f t="shared" si="5"/>
        <v>-0.29599999999999993</v>
      </c>
      <c r="U15" s="356">
        <f t="shared" si="6"/>
        <v>0.36470000000000002</v>
      </c>
      <c r="V15" s="358" t="s">
        <v>274</v>
      </c>
      <c r="W15" s="355">
        <f t="shared" si="7"/>
        <v>-0.17300000000000001</v>
      </c>
      <c r="X15" s="356">
        <f t="shared" si="0"/>
        <v>0.15010000000000004</v>
      </c>
      <c r="Y15" s="358" t="s">
        <v>274</v>
      </c>
      <c r="Z15" s="355">
        <f t="shared" si="1"/>
        <v>-9.9999999999994538E-4</v>
      </c>
      <c r="AA15" s="356">
        <f t="shared" si="2"/>
        <v>0.13629999999999992</v>
      </c>
    </row>
    <row r="16" spans="1:27" x14ac:dyDescent="0.2">
      <c r="O16" s="359"/>
      <c r="P16" s="359"/>
      <c r="Q16" s="359"/>
      <c r="R16" s="359"/>
      <c r="S16" s="359"/>
      <c r="T16" s="359"/>
      <c r="U16" s="359"/>
      <c r="V16" s="359"/>
      <c r="W16" s="359"/>
      <c r="X16" s="359"/>
      <c r="Y16" s="359"/>
      <c r="Z16" s="359"/>
      <c r="AA16" s="359"/>
    </row>
    <row r="17" spans="1:27" x14ac:dyDescent="0.2">
      <c r="O17" s="359"/>
      <c r="P17" s="359"/>
      <c r="Q17" s="359"/>
      <c r="R17" s="359"/>
      <c r="S17" s="359"/>
      <c r="T17" s="359"/>
      <c r="U17" s="359"/>
      <c r="V17" s="359"/>
      <c r="W17" s="359"/>
      <c r="X17" s="359"/>
      <c r="Y17" s="359"/>
      <c r="Z17" s="359"/>
      <c r="AA17" s="359"/>
    </row>
    <row r="18" spans="1:27" ht="12.75" thickBot="1" x14ac:dyDescent="0.25"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359"/>
      <c r="AA18" s="359"/>
    </row>
    <row r="19" spans="1:27" ht="13.5" customHeight="1" thickBot="1" x14ac:dyDescent="0.25">
      <c r="A19" s="476" t="s">
        <v>277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8"/>
      <c r="O19" s="476" t="s">
        <v>276</v>
      </c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478"/>
    </row>
    <row r="20" spans="1:27" ht="12.75" customHeight="1" x14ac:dyDescent="0.2">
      <c r="A20" s="340"/>
      <c r="B20" s="479" t="s">
        <v>137</v>
      </c>
      <c r="C20" s="480"/>
      <c r="D20" s="481"/>
      <c r="E20" s="479" t="s">
        <v>138</v>
      </c>
      <c r="F20" s="480"/>
      <c r="G20" s="481"/>
      <c r="H20" s="479" t="s">
        <v>142</v>
      </c>
      <c r="I20" s="480"/>
      <c r="J20" s="481"/>
      <c r="K20" s="479" t="s">
        <v>208</v>
      </c>
      <c r="L20" s="480"/>
      <c r="M20" s="481"/>
      <c r="O20" s="340"/>
      <c r="P20" s="479" t="s">
        <v>137</v>
      </c>
      <c r="Q20" s="480"/>
      <c r="R20" s="481"/>
      <c r="S20" s="479" t="s">
        <v>138</v>
      </c>
      <c r="T20" s="480"/>
      <c r="U20" s="481"/>
      <c r="V20" s="479" t="s">
        <v>142</v>
      </c>
      <c r="W20" s="480"/>
      <c r="X20" s="481"/>
      <c r="Y20" s="479" t="s">
        <v>208</v>
      </c>
      <c r="Z20" s="480"/>
      <c r="AA20" s="481"/>
    </row>
    <row r="21" spans="1:27" ht="12.75" thickBot="1" x14ac:dyDescent="0.25">
      <c r="A21" s="341"/>
      <c r="B21" s="342" t="s">
        <v>273</v>
      </c>
      <c r="C21" s="343" t="s">
        <v>261</v>
      </c>
      <c r="D21" s="344">
        <v>2000</v>
      </c>
      <c r="E21" s="342" t="s">
        <v>273</v>
      </c>
      <c r="F21" s="343" t="s">
        <v>261</v>
      </c>
      <c r="G21" s="344">
        <v>2000</v>
      </c>
      <c r="H21" s="439" t="s">
        <v>273</v>
      </c>
      <c r="I21" s="343" t="s">
        <v>261</v>
      </c>
      <c r="J21" s="344">
        <v>2000</v>
      </c>
      <c r="K21" s="342" t="s">
        <v>273</v>
      </c>
      <c r="L21" s="343" t="s">
        <v>261</v>
      </c>
      <c r="M21" s="344">
        <v>2000</v>
      </c>
      <c r="O21" s="341"/>
      <c r="P21" s="342" t="s">
        <v>273</v>
      </c>
      <c r="Q21" s="343" t="s">
        <v>261</v>
      </c>
      <c r="R21" s="344">
        <v>2000</v>
      </c>
      <c r="S21" s="342" t="s">
        <v>273</v>
      </c>
      <c r="T21" s="343" t="s">
        <v>261</v>
      </c>
      <c r="U21" s="344">
        <v>2000</v>
      </c>
      <c r="V21" s="342" t="s">
        <v>273</v>
      </c>
      <c r="W21" s="343" t="s">
        <v>261</v>
      </c>
      <c r="X21" s="344">
        <v>2000</v>
      </c>
      <c r="Y21" s="342" t="s">
        <v>273</v>
      </c>
      <c r="Z21" s="343" t="s">
        <v>261</v>
      </c>
      <c r="AA21" s="344">
        <v>2000</v>
      </c>
    </row>
    <row r="22" spans="1:27" x14ac:dyDescent="0.2">
      <c r="A22" s="345" t="s">
        <v>132</v>
      </c>
      <c r="B22" s="360">
        <v>0.78440334214096974</v>
      </c>
      <c r="C22" s="347">
        <v>1.1100000000000001</v>
      </c>
      <c r="D22" s="348">
        <v>0.97</v>
      </c>
      <c r="E22" s="360">
        <v>2.4441532918440876</v>
      </c>
      <c r="F22" s="347">
        <v>0.96</v>
      </c>
      <c r="G22" s="348">
        <v>0.82</v>
      </c>
      <c r="H22" s="349">
        <v>0.67376977152899831</v>
      </c>
      <c r="I22" s="347">
        <v>0.69</v>
      </c>
      <c r="J22" s="348">
        <v>0.89</v>
      </c>
      <c r="K22" s="360">
        <v>0.64361290322580644</v>
      </c>
      <c r="L22" s="347">
        <v>0.79</v>
      </c>
      <c r="M22" s="348">
        <v>1.42</v>
      </c>
      <c r="O22" s="345" t="s">
        <v>132</v>
      </c>
      <c r="P22" s="351" t="s">
        <v>274</v>
      </c>
      <c r="Q22" s="347">
        <f t="shared" ref="Q22:Q33" si="8">C22-B22</f>
        <v>0.32559665785903036</v>
      </c>
      <c r="R22" s="348">
        <f t="shared" ref="R22:R33" si="9">D22-C22</f>
        <v>-0.14000000000000012</v>
      </c>
      <c r="S22" s="351" t="s">
        <v>274</v>
      </c>
      <c r="T22" s="347">
        <f t="shared" ref="T22:T33" si="10">F22-E22</f>
        <v>-1.4841532918440876</v>
      </c>
      <c r="U22" s="348">
        <f t="shared" ref="U22:U33" si="11">G22-F22</f>
        <v>-0.14000000000000001</v>
      </c>
      <c r="V22" s="351" t="s">
        <v>274</v>
      </c>
      <c r="W22" s="347">
        <f t="shared" ref="W22:W33" si="12">I22-H22</f>
        <v>1.623022847100164E-2</v>
      </c>
      <c r="X22" s="348">
        <f t="shared" ref="X22:X33" si="13">J22-I22</f>
        <v>0.20000000000000007</v>
      </c>
      <c r="Y22" s="351" t="s">
        <v>274</v>
      </c>
      <c r="Z22" s="347">
        <f t="shared" ref="Z22:Z33" si="14">L22-K22</f>
        <v>0.14638709677419359</v>
      </c>
      <c r="AA22" s="348">
        <f t="shared" ref="AA22:AA33" si="15">M22-L22</f>
        <v>0.62999999999999989</v>
      </c>
    </row>
    <row r="23" spans="1:27" x14ac:dyDescent="0.2">
      <c r="A23" s="352" t="s">
        <v>150</v>
      </c>
      <c r="B23" s="360">
        <v>0.95914080498712562</v>
      </c>
      <c r="C23" s="347">
        <v>0.88</v>
      </c>
      <c r="D23" s="348">
        <v>1.1499999999999999</v>
      </c>
      <c r="E23" s="360">
        <v>2.3677381303450309</v>
      </c>
      <c r="F23" s="347">
        <v>1.41</v>
      </c>
      <c r="G23" s="348">
        <v>1.08</v>
      </c>
      <c r="H23" s="349">
        <v>0.64144290751288313</v>
      </c>
      <c r="I23" s="347">
        <v>0.34</v>
      </c>
      <c r="J23" s="348">
        <v>1.1000000000000001</v>
      </c>
      <c r="K23" s="360">
        <v>0.6601276068945815</v>
      </c>
      <c r="L23" s="347">
        <v>0.56000000000000005</v>
      </c>
      <c r="M23" s="348">
        <v>1.17</v>
      </c>
      <c r="O23" s="352" t="s">
        <v>150</v>
      </c>
      <c r="P23" s="351" t="s">
        <v>274</v>
      </c>
      <c r="Q23" s="347">
        <f t="shared" si="8"/>
        <v>-7.9140804987125613E-2</v>
      </c>
      <c r="R23" s="348">
        <f t="shared" si="9"/>
        <v>0.26999999999999991</v>
      </c>
      <c r="S23" s="351" t="s">
        <v>274</v>
      </c>
      <c r="T23" s="347">
        <f t="shared" si="10"/>
        <v>-0.95773813034503097</v>
      </c>
      <c r="U23" s="348">
        <f t="shared" si="11"/>
        <v>-0.32999999999999985</v>
      </c>
      <c r="V23" s="351" t="s">
        <v>274</v>
      </c>
      <c r="W23" s="347">
        <f t="shared" si="12"/>
        <v>-0.30144290751288311</v>
      </c>
      <c r="X23" s="348">
        <f t="shared" si="13"/>
        <v>0.76</v>
      </c>
      <c r="Y23" s="351" t="s">
        <v>274</v>
      </c>
      <c r="Z23" s="347">
        <f t="shared" si="14"/>
        <v>-0.10012760689458144</v>
      </c>
      <c r="AA23" s="348">
        <f t="shared" si="15"/>
        <v>0.60999999999999988</v>
      </c>
    </row>
    <row r="24" spans="1:27" x14ac:dyDescent="0.2">
      <c r="A24" s="352" t="s">
        <v>133</v>
      </c>
      <c r="B24" s="360">
        <v>0.98644337620177314</v>
      </c>
      <c r="C24" s="347">
        <v>1.0900000000000001</v>
      </c>
      <c r="D24" s="348">
        <v>1.0900000000000001</v>
      </c>
      <c r="E24" s="360">
        <v>2.5220588235294117</v>
      </c>
      <c r="F24" s="347">
        <v>1.03</v>
      </c>
      <c r="G24" s="348">
        <v>1.25</v>
      </c>
      <c r="H24" s="349">
        <v>0.72852233676975942</v>
      </c>
      <c r="I24" s="347">
        <v>0.89</v>
      </c>
      <c r="J24" s="348">
        <v>0.91</v>
      </c>
      <c r="K24" s="360">
        <v>0.77789602947196068</v>
      </c>
      <c r="L24" s="347">
        <v>0.79</v>
      </c>
      <c r="M24" s="348">
        <v>1.27</v>
      </c>
      <c r="O24" s="352" t="s">
        <v>133</v>
      </c>
      <c r="P24" s="351" t="s">
        <v>274</v>
      </c>
      <c r="Q24" s="347">
        <f t="shared" si="8"/>
        <v>0.10355662379822694</v>
      </c>
      <c r="R24" s="348">
        <f t="shared" si="9"/>
        <v>0</v>
      </c>
      <c r="S24" s="351" t="s">
        <v>274</v>
      </c>
      <c r="T24" s="347">
        <f t="shared" si="10"/>
        <v>-1.4920588235294117</v>
      </c>
      <c r="U24" s="348">
        <f t="shared" si="11"/>
        <v>0.21999999999999997</v>
      </c>
      <c r="V24" s="351" t="s">
        <v>274</v>
      </c>
      <c r="W24" s="347">
        <f t="shared" si="12"/>
        <v>0.1614776632302406</v>
      </c>
      <c r="X24" s="348">
        <f t="shared" si="13"/>
        <v>2.0000000000000018E-2</v>
      </c>
      <c r="Y24" s="351" t="s">
        <v>274</v>
      </c>
      <c r="Z24" s="347">
        <f t="shared" si="14"/>
        <v>1.2103970528039354E-2</v>
      </c>
      <c r="AA24" s="348">
        <f t="shared" si="15"/>
        <v>0.48</v>
      </c>
    </row>
    <row r="25" spans="1:27" x14ac:dyDescent="0.2">
      <c r="A25" s="352" t="s">
        <v>151</v>
      </c>
      <c r="B25" s="360">
        <v>1.1635944769623292</v>
      </c>
      <c r="C25" s="347">
        <v>0.81</v>
      </c>
      <c r="D25" s="348">
        <v>0.85</v>
      </c>
      <c r="E25" s="360">
        <v>5.5457216305545352</v>
      </c>
      <c r="F25" s="347">
        <v>1.33</v>
      </c>
      <c r="G25" s="348">
        <v>0.63</v>
      </c>
      <c r="H25" s="349">
        <v>0.47292035398230081</v>
      </c>
      <c r="I25" s="347">
        <v>0.59</v>
      </c>
      <c r="J25" s="348">
        <v>0.9</v>
      </c>
      <c r="K25" s="360">
        <v>0.54964539007092195</v>
      </c>
      <c r="L25" s="347">
        <v>0.65</v>
      </c>
      <c r="M25" s="348">
        <v>1.1100000000000001</v>
      </c>
      <c r="O25" s="352" t="s">
        <v>151</v>
      </c>
      <c r="P25" s="351" t="s">
        <v>274</v>
      </c>
      <c r="Q25" s="347">
        <f t="shared" si="8"/>
        <v>-0.35359447696232915</v>
      </c>
      <c r="R25" s="348">
        <f t="shared" si="9"/>
        <v>3.9999999999999925E-2</v>
      </c>
      <c r="S25" s="351" t="s">
        <v>274</v>
      </c>
      <c r="T25" s="347">
        <f t="shared" si="10"/>
        <v>-4.2157216305545351</v>
      </c>
      <c r="U25" s="348">
        <f t="shared" si="11"/>
        <v>-0.70000000000000007</v>
      </c>
      <c r="V25" s="351" t="s">
        <v>274</v>
      </c>
      <c r="W25" s="347">
        <f t="shared" si="12"/>
        <v>0.11707964601769916</v>
      </c>
      <c r="X25" s="348">
        <f t="shared" si="13"/>
        <v>0.31000000000000005</v>
      </c>
      <c r="Y25" s="351" t="s">
        <v>274</v>
      </c>
      <c r="Z25" s="347">
        <f t="shared" si="14"/>
        <v>0.10035460992907808</v>
      </c>
      <c r="AA25" s="348">
        <f t="shared" si="15"/>
        <v>0.46000000000000008</v>
      </c>
    </row>
    <row r="26" spans="1:27" x14ac:dyDescent="0.2">
      <c r="A26" s="352" t="s">
        <v>152</v>
      </c>
      <c r="B26" s="360">
        <v>1.1979923564413912</v>
      </c>
      <c r="C26" s="347">
        <v>0.85</v>
      </c>
      <c r="D26" s="348">
        <v>0.74</v>
      </c>
      <c r="E26" s="360">
        <v>2.5950503127549633</v>
      </c>
      <c r="F26" s="347">
        <v>0.56000000000000005</v>
      </c>
      <c r="G26" s="348">
        <v>0.55000000000000004</v>
      </c>
      <c r="H26" s="349">
        <v>0.56402221905711436</v>
      </c>
      <c r="I26" s="347">
        <v>0.56000000000000005</v>
      </c>
      <c r="J26" s="348">
        <v>0.73</v>
      </c>
      <c r="K26" s="360">
        <v>0.45353586928772027</v>
      </c>
      <c r="L26" s="347">
        <v>0.82</v>
      </c>
      <c r="M26" s="348">
        <v>1.1599999999999999</v>
      </c>
      <c r="O26" s="352" t="s">
        <v>152</v>
      </c>
      <c r="P26" s="351" t="s">
        <v>274</v>
      </c>
      <c r="Q26" s="347">
        <f t="shared" si="8"/>
        <v>-0.34799235644139126</v>
      </c>
      <c r="R26" s="348">
        <f t="shared" si="9"/>
        <v>-0.10999999999999999</v>
      </c>
      <c r="S26" s="351" t="s">
        <v>274</v>
      </c>
      <c r="T26" s="347">
        <f t="shared" si="10"/>
        <v>-2.0350503127549633</v>
      </c>
      <c r="U26" s="348">
        <f t="shared" si="11"/>
        <v>-1.0000000000000009E-2</v>
      </c>
      <c r="V26" s="351" t="s">
        <v>274</v>
      </c>
      <c r="W26" s="347">
        <f t="shared" si="12"/>
        <v>-4.0222190571143068E-3</v>
      </c>
      <c r="X26" s="348">
        <f t="shared" si="13"/>
        <v>0.16999999999999993</v>
      </c>
      <c r="Y26" s="351" t="s">
        <v>274</v>
      </c>
      <c r="Z26" s="347">
        <f t="shared" si="14"/>
        <v>0.36646413071227968</v>
      </c>
      <c r="AA26" s="348">
        <f t="shared" si="15"/>
        <v>0.33999999999999997</v>
      </c>
    </row>
    <row r="27" spans="1:27" x14ac:dyDescent="0.2">
      <c r="A27" s="352" t="s">
        <v>134</v>
      </c>
      <c r="B27" s="360">
        <v>1.0729862609885772</v>
      </c>
      <c r="C27" s="347">
        <v>0.92</v>
      </c>
      <c r="D27" s="348">
        <v>0.77</v>
      </c>
      <c r="E27" s="360">
        <v>0.74217857958438005</v>
      </c>
      <c r="F27" s="347">
        <v>1.17</v>
      </c>
      <c r="G27" s="348">
        <v>0.55000000000000004</v>
      </c>
      <c r="H27" s="349">
        <v>0.74460580912863061</v>
      </c>
      <c r="I27" s="347">
        <v>0.64</v>
      </c>
      <c r="J27" s="348">
        <v>0.76</v>
      </c>
      <c r="K27" s="360">
        <v>0.4190031152647975</v>
      </c>
      <c r="L27" s="347">
        <v>0.63</v>
      </c>
      <c r="M27" s="348">
        <v>0.83</v>
      </c>
      <c r="O27" s="352" t="s">
        <v>134</v>
      </c>
      <c r="P27" s="351" t="s">
        <v>274</v>
      </c>
      <c r="Q27" s="347">
        <f t="shared" si="8"/>
        <v>-0.15298626098857715</v>
      </c>
      <c r="R27" s="348">
        <f t="shared" si="9"/>
        <v>-0.15000000000000002</v>
      </c>
      <c r="S27" s="351" t="s">
        <v>274</v>
      </c>
      <c r="T27" s="347">
        <f t="shared" si="10"/>
        <v>0.42782142041561988</v>
      </c>
      <c r="U27" s="348">
        <f t="shared" si="11"/>
        <v>-0.61999999999999988</v>
      </c>
      <c r="V27" s="351" t="s">
        <v>274</v>
      </c>
      <c r="W27" s="347">
        <f t="shared" si="12"/>
        <v>-0.1046058091286306</v>
      </c>
      <c r="X27" s="348">
        <f t="shared" si="13"/>
        <v>0.12</v>
      </c>
      <c r="Y27" s="351" t="s">
        <v>274</v>
      </c>
      <c r="Z27" s="347">
        <f t="shared" si="14"/>
        <v>0.21099688473520251</v>
      </c>
      <c r="AA27" s="348">
        <f t="shared" si="15"/>
        <v>0.19999999999999996</v>
      </c>
    </row>
    <row r="28" spans="1:27" x14ac:dyDescent="0.2">
      <c r="A28" s="352" t="s">
        <v>135</v>
      </c>
      <c r="B28" s="360">
        <v>0.99291956617139976</v>
      </c>
      <c r="C28" s="347">
        <v>1.07</v>
      </c>
      <c r="D28" s="348">
        <v>0.86</v>
      </c>
      <c r="E28" s="360">
        <v>1.3745995423340964</v>
      </c>
      <c r="F28" s="347">
        <v>2.04</v>
      </c>
      <c r="G28" s="348">
        <v>0.92</v>
      </c>
      <c r="H28" s="349">
        <v>0.74454203262233376</v>
      </c>
      <c r="I28" s="347">
        <v>0.72</v>
      </c>
      <c r="J28" s="348">
        <v>0.78</v>
      </c>
      <c r="K28" s="360">
        <v>0.60728565082185693</v>
      </c>
      <c r="L28" s="347">
        <v>0.68</v>
      </c>
      <c r="M28" s="348">
        <v>0.89</v>
      </c>
      <c r="O28" s="352" t="s">
        <v>135</v>
      </c>
      <c r="P28" s="351" t="s">
        <v>274</v>
      </c>
      <c r="Q28" s="347">
        <f t="shared" si="8"/>
        <v>7.7080433828600303E-2</v>
      </c>
      <c r="R28" s="348">
        <f t="shared" si="9"/>
        <v>-0.21000000000000008</v>
      </c>
      <c r="S28" s="351" t="s">
        <v>274</v>
      </c>
      <c r="T28" s="347">
        <f t="shared" si="10"/>
        <v>0.66540045766590361</v>
      </c>
      <c r="U28" s="348">
        <f t="shared" si="11"/>
        <v>-1.1200000000000001</v>
      </c>
      <c r="V28" s="351" t="s">
        <v>274</v>
      </c>
      <c r="W28" s="347">
        <f t="shared" si="12"/>
        <v>-2.4542032622333787E-2</v>
      </c>
      <c r="X28" s="348">
        <f t="shared" si="13"/>
        <v>6.0000000000000053E-2</v>
      </c>
      <c r="Y28" s="351" t="s">
        <v>274</v>
      </c>
      <c r="Z28" s="347">
        <f t="shared" si="14"/>
        <v>7.2714349178143123E-2</v>
      </c>
      <c r="AA28" s="348">
        <f t="shared" si="15"/>
        <v>0.20999999999999996</v>
      </c>
    </row>
    <row r="29" spans="1:27" x14ac:dyDescent="0.2">
      <c r="A29" s="352" t="s">
        <v>153</v>
      </c>
      <c r="B29" s="360">
        <v>1.3348265895953757</v>
      </c>
      <c r="C29" s="347">
        <v>0.83</v>
      </c>
      <c r="D29" s="348">
        <v>0.97</v>
      </c>
      <c r="E29" s="360">
        <v>2.8206147323794384</v>
      </c>
      <c r="F29" s="347">
        <v>0.42</v>
      </c>
      <c r="G29" s="348">
        <v>0.67</v>
      </c>
      <c r="H29" s="349">
        <v>0.79508196721311475</v>
      </c>
      <c r="I29" s="347">
        <v>0.63</v>
      </c>
      <c r="J29" s="348">
        <v>0.73</v>
      </c>
      <c r="K29" s="360">
        <v>0.59532828282828287</v>
      </c>
      <c r="L29" s="347">
        <v>0.73</v>
      </c>
      <c r="M29" s="348">
        <v>0.97</v>
      </c>
      <c r="O29" s="352" t="s">
        <v>153</v>
      </c>
      <c r="P29" s="351" t="s">
        <v>274</v>
      </c>
      <c r="Q29" s="347">
        <f t="shared" si="8"/>
        <v>-0.50482658959537574</v>
      </c>
      <c r="R29" s="348">
        <f t="shared" si="9"/>
        <v>0.14000000000000001</v>
      </c>
      <c r="S29" s="351" t="s">
        <v>274</v>
      </c>
      <c r="T29" s="347">
        <f t="shared" si="10"/>
        <v>-2.4006147323794385</v>
      </c>
      <c r="U29" s="348">
        <f t="shared" si="11"/>
        <v>0.25000000000000006</v>
      </c>
      <c r="V29" s="351" t="s">
        <v>274</v>
      </c>
      <c r="W29" s="347">
        <f t="shared" si="12"/>
        <v>-0.16508196721311474</v>
      </c>
      <c r="X29" s="348">
        <f t="shared" si="13"/>
        <v>9.9999999999999978E-2</v>
      </c>
      <c r="Y29" s="351" t="s">
        <v>274</v>
      </c>
      <c r="Z29" s="347">
        <f t="shared" si="14"/>
        <v>0.13467171717171711</v>
      </c>
      <c r="AA29" s="348">
        <f t="shared" si="15"/>
        <v>0.24</v>
      </c>
    </row>
    <row r="30" spans="1:27" x14ac:dyDescent="0.2">
      <c r="A30" s="352" t="s">
        <v>154</v>
      </c>
      <c r="B30" s="360">
        <v>1.3790159189580316</v>
      </c>
      <c r="C30" s="347">
        <v>0.96</v>
      </c>
      <c r="D30" s="348">
        <v>0.95</v>
      </c>
      <c r="E30" s="360">
        <v>2.4120181405895691</v>
      </c>
      <c r="F30" s="347">
        <v>0.47</v>
      </c>
      <c r="G30" s="348">
        <v>2.1</v>
      </c>
      <c r="H30" s="349">
        <v>0.81163251817580961</v>
      </c>
      <c r="I30" s="347">
        <v>0.6</v>
      </c>
      <c r="J30" s="348">
        <v>0.83</v>
      </c>
      <c r="K30" s="360">
        <v>0.63967611336032393</v>
      </c>
      <c r="L30" s="347">
        <v>0.72</v>
      </c>
      <c r="M30" s="348">
        <v>0.88</v>
      </c>
      <c r="O30" s="352" t="s">
        <v>154</v>
      </c>
      <c r="P30" s="351" t="s">
        <v>274</v>
      </c>
      <c r="Q30" s="347">
        <f t="shared" si="8"/>
        <v>-0.41901591895803159</v>
      </c>
      <c r="R30" s="348">
        <f t="shared" si="9"/>
        <v>-1.0000000000000009E-2</v>
      </c>
      <c r="S30" s="351" t="s">
        <v>274</v>
      </c>
      <c r="T30" s="347">
        <f t="shared" si="10"/>
        <v>-1.9420181405895691</v>
      </c>
      <c r="U30" s="348">
        <f t="shared" si="11"/>
        <v>1.6300000000000001</v>
      </c>
      <c r="V30" s="351" t="s">
        <v>274</v>
      </c>
      <c r="W30" s="347">
        <f t="shared" si="12"/>
        <v>-0.21163251817580964</v>
      </c>
      <c r="X30" s="348">
        <f t="shared" si="13"/>
        <v>0.22999999999999998</v>
      </c>
      <c r="Y30" s="351" t="s">
        <v>274</v>
      </c>
      <c r="Z30" s="347">
        <f t="shared" si="14"/>
        <v>8.0323886639676045E-2</v>
      </c>
      <c r="AA30" s="348">
        <f t="shared" si="15"/>
        <v>0.16000000000000003</v>
      </c>
    </row>
    <row r="31" spans="1:27" x14ac:dyDescent="0.2">
      <c r="A31" s="352" t="s">
        <v>155</v>
      </c>
      <c r="B31" s="360">
        <v>1.7702588801926553</v>
      </c>
      <c r="C31" s="347">
        <v>0.61</v>
      </c>
      <c r="D31" s="348">
        <v>0.92</v>
      </c>
      <c r="E31" s="360">
        <v>2.9214370311883142</v>
      </c>
      <c r="F31" s="347">
        <v>1.1599999999999999</v>
      </c>
      <c r="G31" s="348">
        <v>1.84</v>
      </c>
      <c r="H31" s="349">
        <v>0.68044890726520957</v>
      </c>
      <c r="I31" s="347">
        <v>0.56999999999999995</v>
      </c>
      <c r="J31" s="348">
        <v>0.69</v>
      </c>
      <c r="K31" s="360">
        <v>0.66425470332850944</v>
      </c>
      <c r="L31" s="347">
        <v>0.8</v>
      </c>
      <c r="M31" s="348">
        <v>0.88</v>
      </c>
      <c r="O31" s="352" t="s">
        <v>155</v>
      </c>
      <c r="P31" s="351" t="s">
        <v>274</v>
      </c>
      <c r="Q31" s="347">
        <f t="shared" si="8"/>
        <v>-1.1602588801926554</v>
      </c>
      <c r="R31" s="348">
        <f t="shared" si="9"/>
        <v>0.31000000000000005</v>
      </c>
      <c r="S31" s="351" t="s">
        <v>274</v>
      </c>
      <c r="T31" s="347">
        <f t="shared" si="10"/>
        <v>-1.7614370311883143</v>
      </c>
      <c r="U31" s="348">
        <f t="shared" si="11"/>
        <v>0.68000000000000016</v>
      </c>
      <c r="V31" s="351" t="s">
        <v>274</v>
      </c>
      <c r="W31" s="347">
        <f t="shared" si="12"/>
        <v>-0.11044890726520962</v>
      </c>
      <c r="X31" s="348">
        <f t="shared" si="13"/>
        <v>0.12</v>
      </c>
      <c r="Y31" s="351" t="s">
        <v>274</v>
      </c>
      <c r="Z31" s="347">
        <f t="shared" si="14"/>
        <v>0.1357452966714906</v>
      </c>
      <c r="AA31" s="348">
        <f t="shared" si="15"/>
        <v>7.999999999999996E-2</v>
      </c>
    </row>
    <row r="32" spans="1:27" x14ac:dyDescent="0.2">
      <c r="A32" s="352" t="s">
        <v>136</v>
      </c>
      <c r="B32" s="360">
        <v>1.0076989702627273</v>
      </c>
      <c r="C32" s="347">
        <v>0.7</v>
      </c>
      <c r="D32" s="348">
        <v>1.0900000000000001</v>
      </c>
      <c r="E32" s="360">
        <v>0.96501384344324193</v>
      </c>
      <c r="F32" s="347">
        <v>0.57999999999999996</v>
      </c>
      <c r="G32" s="348">
        <v>0.85</v>
      </c>
      <c r="H32" s="349">
        <v>1.076007326007326</v>
      </c>
      <c r="I32" s="347">
        <v>0.75</v>
      </c>
      <c r="J32" s="348">
        <v>0.9</v>
      </c>
      <c r="K32" s="360">
        <v>0.76167400881057257</v>
      </c>
      <c r="L32" s="347">
        <v>0.93</v>
      </c>
      <c r="M32" s="348">
        <v>1.08</v>
      </c>
      <c r="O32" s="352" t="s">
        <v>136</v>
      </c>
      <c r="P32" s="351" t="s">
        <v>274</v>
      </c>
      <c r="Q32" s="347">
        <f t="shared" si="8"/>
        <v>-0.3076989702627273</v>
      </c>
      <c r="R32" s="348">
        <f t="shared" si="9"/>
        <v>0.39000000000000012</v>
      </c>
      <c r="S32" s="351" t="s">
        <v>274</v>
      </c>
      <c r="T32" s="347">
        <f t="shared" si="10"/>
        <v>-0.38501384344324197</v>
      </c>
      <c r="U32" s="348">
        <f t="shared" si="11"/>
        <v>0.27</v>
      </c>
      <c r="V32" s="351" t="s">
        <v>274</v>
      </c>
      <c r="W32" s="347">
        <f t="shared" si="12"/>
        <v>-0.32600732600732596</v>
      </c>
      <c r="X32" s="348">
        <f t="shared" si="13"/>
        <v>0.15000000000000002</v>
      </c>
      <c r="Y32" s="351" t="s">
        <v>274</v>
      </c>
      <c r="Z32" s="347">
        <f t="shared" si="14"/>
        <v>0.16832599118942748</v>
      </c>
      <c r="AA32" s="348">
        <f t="shared" si="15"/>
        <v>0.15000000000000002</v>
      </c>
    </row>
    <row r="33" spans="1:27" ht="12.75" thickBot="1" x14ac:dyDescent="0.25">
      <c r="A33" s="353" t="s">
        <v>156</v>
      </c>
      <c r="B33" s="361">
        <v>0.98114423851732468</v>
      </c>
      <c r="C33" s="355">
        <v>0.68</v>
      </c>
      <c r="D33" s="356">
        <v>1.07</v>
      </c>
      <c r="E33" s="361">
        <v>0.98477929984779289</v>
      </c>
      <c r="F33" s="355">
        <v>0.59</v>
      </c>
      <c r="G33" s="356">
        <v>0.78</v>
      </c>
      <c r="H33" s="357">
        <v>0.91911538855329167</v>
      </c>
      <c r="I33" s="355">
        <v>0.92</v>
      </c>
      <c r="J33" s="356">
        <v>1.07</v>
      </c>
      <c r="K33" s="361">
        <v>0.84423817070409779</v>
      </c>
      <c r="L33" s="355">
        <v>1.17</v>
      </c>
      <c r="M33" s="356">
        <v>1.35</v>
      </c>
      <c r="O33" s="353" t="s">
        <v>156</v>
      </c>
      <c r="P33" s="358" t="s">
        <v>274</v>
      </c>
      <c r="Q33" s="355">
        <f t="shared" si="8"/>
        <v>-0.30114423851732464</v>
      </c>
      <c r="R33" s="356">
        <f t="shared" si="9"/>
        <v>0.39</v>
      </c>
      <c r="S33" s="358" t="s">
        <v>274</v>
      </c>
      <c r="T33" s="355">
        <f t="shared" si="10"/>
        <v>-0.39477929984779292</v>
      </c>
      <c r="U33" s="356">
        <f t="shared" si="11"/>
        <v>0.19000000000000006</v>
      </c>
      <c r="V33" s="358" t="s">
        <v>274</v>
      </c>
      <c r="W33" s="355">
        <f t="shared" si="12"/>
        <v>8.8461144670837211E-4</v>
      </c>
      <c r="X33" s="356">
        <f t="shared" si="13"/>
        <v>0.15000000000000002</v>
      </c>
      <c r="Y33" s="358" t="s">
        <v>274</v>
      </c>
      <c r="Z33" s="355">
        <f t="shared" si="14"/>
        <v>0.32576182929590214</v>
      </c>
      <c r="AA33" s="356">
        <f t="shared" si="15"/>
        <v>0.18000000000000016</v>
      </c>
    </row>
    <row r="34" spans="1:27" x14ac:dyDescent="0.2"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59"/>
    </row>
    <row r="35" spans="1:27" x14ac:dyDescent="0.2"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59"/>
    </row>
    <row r="36" spans="1:27" x14ac:dyDescent="0.2">
      <c r="O36" s="359"/>
      <c r="P36" s="359"/>
      <c r="Q36" s="359"/>
      <c r="R36" s="359"/>
      <c r="S36" s="359"/>
      <c r="T36" s="359"/>
      <c r="U36" s="359"/>
      <c r="V36" s="359"/>
      <c r="W36" s="359"/>
      <c r="X36" s="359"/>
      <c r="Y36" s="359"/>
      <c r="Z36" s="359"/>
      <c r="AA36" s="359"/>
    </row>
    <row r="37" spans="1:27" x14ac:dyDescent="0.2">
      <c r="O37" s="359"/>
      <c r="P37" s="359"/>
      <c r="Q37" s="359"/>
      <c r="R37" s="359"/>
      <c r="S37" s="359"/>
      <c r="T37" s="359"/>
      <c r="U37" s="359"/>
      <c r="V37" s="359"/>
      <c r="W37" s="359"/>
      <c r="X37" s="359"/>
      <c r="Y37" s="359"/>
      <c r="Z37" s="359"/>
      <c r="AA37" s="359"/>
    </row>
  </sheetData>
  <mergeCells count="20">
    <mergeCell ref="H20:J20"/>
    <mergeCell ref="O1:AA1"/>
    <mergeCell ref="A1:M1"/>
    <mergeCell ref="P20:R20"/>
    <mergeCell ref="S20:U20"/>
    <mergeCell ref="V20:X20"/>
    <mergeCell ref="Y20:AA20"/>
    <mergeCell ref="B20:D20"/>
    <mergeCell ref="E20:G20"/>
    <mergeCell ref="K20:M20"/>
    <mergeCell ref="O19:AA19"/>
    <mergeCell ref="B2:D2"/>
    <mergeCell ref="E2:G2"/>
    <mergeCell ref="H2:J2"/>
    <mergeCell ref="K2:M2"/>
    <mergeCell ref="P2:R2"/>
    <mergeCell ref="A19:M19"/>
    <mergeCell ref="S2:U2"/>
    <mergeCell ref="V2:X2"/>
    <mergeCell ref="Y2:AA2"/>
  </mergeCells>
  <conditionalFormatting sqref="C22:D33 F22:J33 L22:M33 Q22:R33 T22:U33 W22:X33 Z22:AA33 Q4:R15 T4:U15 W4:X15 Z4:AA15">
    <cfRule type="cellIs" dxfId="0" priority="1" stopIfTrue="1" operator="lessThan">
      <formula>0</formula>
    </cfRule>
  </conditionalFormatting>
  <printOptions horizontalCentered="1"/>
  <pageMargins left="0.25" right="0.25" top="0.5" bottom="1" header="0.5" footer="0.5"/>
  <pageSetup scale="5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E57"/>
  <sheetViews>
    <sheetView workbookViewId="0">
      <pane xSplit="1" ySplit="4" topLeftCell="B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2.75" x14ac:dyDescent="0.2"/>
  <cols>
    <col min="1" max="1" width="9.42578125" style="20" customWidth="1"/>
    <col min="2" max="2" width="10.85546875" style="20" customWidth="1"/>
    <col min="3" max="3" width="9.140625" style="20"/>
    <col min="4" max="4" width="9.140625" style="21"/>
    <col min="5" max="9" width="9.140625" style="20"/>
    <col min="10" max="10" width="9.140625" style="21"/>
    <col min="11" max="11" width="9.5703125" style="20" customWidth="1"/>
    <col min="12" max="15" width="9.140625" style="20"/>
    <col min="16" max="18" width="9.140625" style="21"/>
    <col min="19" max="26" width="9.140625" style="20"/>
    <col min="27" max="27" width="10.140625" style="20" customWidth="1"/>
    <col min="28" max="28" width="10.5703125" style="20" customWidth="1"/>
    <col min="29" max="30" width="12.140625" style="20" customWidth="1"/>
    <col min="31" max="31" width="10.5703125" style="20" customWidth="1"/>
    <col min="32" max="16384" width="9.140625" style="20"/>
  </cols>
  <sheetData>
    <row r="1" spans="1:29" x14ac:dyDescent="0.2">
      <c r="B1" s="459" t="s">
        <v>137</v>
      </c>
      <c r="C1" s="460"/>
      <c r="D1" s="460"/>
      <c r="E1" s="460"/>
      <c r="F1" s="460"/>
      <c r="G1" s="461"/>
      <c r="H1" s="459" t="s">
        <v>138</v>
      </c>
      <c r="I1" s="460"/>
      <c r="J1" s="460"/>
      <c r="K1" s="460"/>
      <c r="L1" s="460"/>
      <c r="M1" s="461"/>
      <c r="N1" s="459" t="s">
        <v>142</v>
      </c>
      <c r="O1" s="460"/>
      <c r="P1" s="460"/>
      <c r="Q1" s="460"/>
      <c r="R1" s="460"/>
      <c r="S1" s="461"/>
      <c r="T1" s="459" t="s">
        <v>208</v>
      </c>
      <c r="U1" s="460"/>
      <c r="V1" s="460"/>
      <c r="W1" s="460"/>
      <c r="X1" s="460"/>
      <c r="Y1" s="461"/>
    </row>
    <row r="2" spans="1:29" ht="13.5" thickBot="1" x14ac:dyDescent="0.25">
      <c r="B2" s="26" t="s">
        <v>205</v>
      </c>
      <c r="C2" s="27" t="s">
        <v>206</v>
      </c>
      <c r="D2" s="28" t="s">
        <v>207</v>
      </c>
      <c r="E2" s="27" t="s">
        <v>258</v>
      </c>
      <c r="F2" s="27" t="s">
        <v>259</v>
      </c>
      <c r="G2" s="29" t="s">
        <v>260</v>
      </c>
      <c r="H2" s="26" t="s">
        <v>205</v>
      </c>
      <c r="I2" s="27" t="s">
        <v>206</v>
      </c>
      <c r="J2" s="28" t="s">
        <v>207</v>
      </c>
      <c r="K2" s="27" t="s">
        <v>258</v>
      </c>
      <c r="L2" s="27" t="s">
        <v>259</v>
      </c>
      <c r="M2" s="29" t="s">
        <v>260</v>
      </c>
      <c r="N2" s="26" t="s">
        <v>205</v>
      </c>
      <c r="O2" s="27" t="s">
        <v>206</v>
      </c>
      <c r="P2" s="28" t="s">
        <v>207</v>
      </c>
      <c r="Q2" s="27" t="s">
        <v>258</v>
      </c>
      <c r="R2" s="27" t="s">
        <v>259</v>
      </c>
      <c r="S2" s="29" t="s">
        <v>260</v>
      </c>
      <c r="T2" s="26" t="s">
        <v>205</v>
      </c>
      <c r="U2" s="27" t="s">
        <v>206</v>
      </c>
      <c r="V2" s="28" t="s">
        <v>207</v>
      </c>
      <c r="W2" s="27" t="s">
        <v>258</v>
      </c>
      <c r="X2" s="27" t="s">
        <v>259</v>
      </c>
      <c r="Y2" s="29" t="s">
        <v>260</v>
      </c>
    </row>
    <row r="3" spans="1:29" hidden="1" x14ac:dyDescent="0.2">
      <c r="A3" s="22">
        <v>36100</v>
      </c>
      <c r="B3" s="20">
        <v>20887</v>
      </c>
      <c r="C3" s="23">
        <v>1.01</v>
      </c>
      <c r="D3" s="21">
        <v>0.43200000000000005</v>
      </c>
      <c r="I3" s="23"/>
      <c r="N3" s="20">
        <v>5895</v>
      </c>
      <c r="O3" s="23">
        <v>1.08</v>
      </c>
      <c r="P3" s="21">
        <v>0.33700000000000002</v>
      </c>
      <c r="U3" s="23"/>
      <c r="V3" s="21"/>
    </row>
    <row r="4" spans="1:29" hidden="1" x14ac:dyDescent="0.2">
      <c r="A4" s="22">
        <v>36130</v>
      </c>
      <c r="B4" s="20">
        <v>30440</v>
      </c>
      <c r="C4" s="23">
        <v>0.93</v>
      </c>
      <c r="D4" s="21">
        <v>0.46299999999999997</v>
      </c>
      <c r="I4" s="23"/>
      <c r="N4" s="20">
        <v>8977</v>
      </c>
      <c r="O4" s="23">
        <v>0.92</v>
      </c>
      <c r="P4" s="21">
        <v>0.39100000000000001</v>
      </c>
      <c r="U4" s="23"/>
      <c r="V4" s="21"/>
    </row>
    <row r="5" spans="1:29" x14ac:dyDescent="0.2">
      <c r="A5" s="22">
        <v>36161</v>
      </c>
      <c r="B5" s="73">
        <v>49147</v>
      </c>
      <c r="C5" s="23">
        <v>1.17</v>
      </c>
      <c r="D5" s="21">
        <v>0.56799999999999995</v>
      </c>
      <c r="E5" s="20">
        <v>56.21</v>
      </c>
      <c r="F5" s="20">
        <f>E5</f>
        <v>56.21</v>
      </c>
      <c r="G5" s="20">
        <f>E5</f>
        <v>56.21</v>
      </c>
      <c r="H5" s="73">
        <v>2937</v>
      </c>
      <c r="I5" s="23">
        <v>0.96</v>
      </c>
      <c r="J5" s="21">
        <v>0.79200000000000004</v>
      </c>
      <c r="K5" s="20">
        <v>56.21</v>
      </c>
      <c r="L5" s="20">
        <f>K5</f>
        <v>56.21</v>
      </c>
      <c r="M5" s="20">
        <f>K5</f>
        <v>56.21</v>
      </c>
      <c r="N5" s="73">
        <v>9383</v>
      </c>
      <c r="O5" s="23">
        <v>0.69</v>
      </c>
      <c r="P5" s="21">
        <v>0.44400000000000001</v>
      </c>
      <c r="Q5" s="20">
        <v>39.49</v>
      </c>
      <c r="R5" s="20">
        <f>Q5</f>
        <v>39.49</v>
      </c>
      <c r="S5" s="20">
        <f>Q5</f>
        <v>39.49</v>
      </c>
      <c r="T5" s="73">
        <v>6138</v>
      </c>
      <c r="U5" s="23">
        <v>0.79</v>
      </c>
      <c r="V5" s="21">
        <v>0.74199999999999999</v>
      </c>
      <c r="W5" s="20">
        <v>39.49</v>
      </c>
      <c r="X5" s="20">
        <f>W5</f>
        <v>39.49</v>
      </c>
      <c r="Y5" s="20">
        <f>W5</f>
        <v>39.49</v>
      </c>
      <c r="AA5" s="462">
        <v>116.99159703872979</v>
      </c>
      <c r="AB5" s="72">
        <f>AA5/100</f>
        <v>1.1699159703872979</v>
      </c>
      <c r="AC5" s="25">
        <f>AB5-C5</f>
        <v>-8.4029612702041234E-5</v>
      </c>
    </row>
    <row r="6" spans="1:29" x14ac:dyDescent="0.2">
      <c r="A6" s="22">
        <v>36192</v>
      </c>
      <c r="B6" s="73">
        <v>41601</v>
      </c>
      <c r="C6" s="23">
        <v>0.94</v>
      </c>
      <c r="D6" s="21">
        <v>0.622</v>
      </c>
      <c r="E6" s="20">
        <v>50.05</v>
      </c>
      <c r="F6" s="20">
        <f t="shared" ref="F6:F24" si="0">E6</f>
        <v>50.05</v>
      </c>
      <c r="G6" s="20">
        <f t="shared" ref="G6:G24" si="1">E6</f>
        <v>50.05</v>
      </c>
      <c r="H6" s="73">
        <v>4771</v>
      </c>
      <c r="I6" s="23">
        <v>1.41</v>
      </c>
      <c r="J6" s="21">
        <v>0.84399999999999997</v>
      </c>
      <c r="K6" s="20">
        <v>50.05</v>
      </c>
      <c r="L6" s="20">
        <f t="shared" ref="L6:L24" si="2">K6</f>
        <v>50.05</v>
      </c>
      <c r="M6" s="20">
        <f t="shared" ref="M6:M24" si="3">K6</f>
        <v>50.05</v>
      </c>
      <c r="N6" s="73">
        <v>4989</v>
      </c>
      <c r="O6" s="23">
        <v>0.34</v>
      </c>
      <c r="P6" s="21">
        <v>0.42599999999999999</v>
      </c>
      <c r="Q6" s="20">
        <v>26.07</v>
      </c>
      <c r="R6" s="20">
        <f t="shared" ref="R6:R24" si="4">Q6</f>
        <v>26.07</v>
      </c>
      <c r="S6" s="20">
        <f t="shared" ref="S6:S24" si="5">Q6</f>
        <v>26.07</v>
      </c>
      <c r="T6" s="73">
        <v>5882</v>
      </c>
      <c r="U6" s="23">
        <v>0.56000000000000005</v>
      </c>
      <c r="V6" s="21">
        <v>0.80200000000000005</v>
      </c>
      <c r="W6" s="20">
        <v>26.07</v>
      </c>
      <c r="X6" s="20">
        <f t="shared" ref="X6:X24" si="6">W6</f>
        <v>26.07</v>
      </c>
      <c r="Y6" s="20">
        <f t="shared" ref="Y6:Y24" si="7">W6</f>
        <v>26.07</v>
      </c>
      <c r="AA6" s="462">
        <v>93.962596557799159</v>
      </c>
      <c r="AB6" s="72">
        <f t="shared" ref="AB6:AB15" si="8">AA6/100</f>
        <v>0.93962596557799161</v>
      </c>
      <c r="AC6" s="25">
        <f t="shared" ref="AC6:AC15" si="9">AB6-C6</f>
        <v>-3.7403442200834025E-4</v>
      </c>
    </row>
    <row r="7" spans="1:29" x14ac:dyDescent="0.2">
      <c r="A7" s="22">
        <v>36220</v>
      </c>
      <c r="B7" s="73">
        <v>48275</v>
      </c>
      <c r="C7" s="23">
        <v>1.1100000000000001</v>
      </c>
      <c r="D7" s="21">
        <v>0.71</v>
      </c>
      <c r="E7" s="20">
        <v>46.78</v>
      </c>
      <c r="F7" s="20">
        <f t="shared" si="0"/>
        <v>46.78</v>
      </c>
      <c r="G7" s="20">
        <f t="shared" si="1"/>
        <v>46.78</v>
      </c>
      <c r="H7" s="73">
        <v>3215</v>
      </c>
      <c r="I7" s="23">
        <v>1.03</v>
      </c>
      <c r="J7" s="21">
        <v>0.749</v>
      </c>
      <c r="K7" s="20">
        <v>46.78</v>
      </c>
      <c r="L7" s="20">
        <f t="shared" si="2"/>
        <v>46.78</v>
      </c>
      <c r="M7" s="20">
        <f t="shared" si="3"/>
        <v>46.78</v>
      </c>
      <c r="N7" s="73">
        <v>12833</v>
      </c>
      <c r="O7" s="23">
        <v>0.9</v>
      </c>
      <c r="P7" s="21">
        <v>0.58599999999999997</v>
      </c>
      <c r="Q7" s="20">
        <v>28.48</v>
      </c>
      <c r="R7" s="20">
        <f t="shared" si="4"/>
        <v>28.48</v>
      </c>
      <c r="S7" s="20">
        <f t="shared" si="5"/>
        <v>28.48</v>
      </c>
      <c r="T7" s="73">
        <v>9633</v>
      </c>
      <c r="U7" s="23">
        <v>0.79</v>
      </c>
      <c r="V7" s="21">
        <v>0.81</v>
      </c>
      <c r="W7" s="20">
        <v>28.48</v>
      </c>
      <c r="X7" s="20">
        <f t="shared" si="6"/>
        <v>28.48</v>
      </c>
      <c r="Y7" s="20">
        <f t="shared" si="7"/>
        <v>28.48</v>
      </c>
      <c r="AA7" s="462">
        <v>111</v>
      </c>
      <c r="AB7" s="72">
        <f t="shared" si="8"/>
        <v>1.1100000000000001</v>
      </c>
      <c r="AC7" s="25">
        <f t="shared" si="9"/>
        <v>0</v>
      </c>
    </row>
    <row r="8" spans="1:29" x14ac:dyDescent="0.2">
      <c r="A8" s="22">
        <v>36251</v>
      </c>
      <c r="B8" s="73">
        <v>25820</v>
      </c>
      <c r="C8" s="23">
        <v>0.8</v>
      </c>
      <c r="D8" s="21">
        <v>0.69799999999999995</v>
      </c>
      <c r="E8" s="20">
        <v>43.89</v>
      </c>
      <c r="F8" s="20">
        <f t="shared" si="0"/>
        <v>43.89</v>
      </c>
      <c r="G8" s="20">
        <f t="shared" si="1"/>
        <v>43.89</v>
      </c>
      <c r="H8" s="73">
        <v>3615</v>
      </c>
      <c r="I8" s="23">
        <v>1.33</v>
      </c>
      <c r="J8" s="21">
        <v>0.72699999999999998</v>
      </c>
      <c r="K8" s="20">
        <v>43.89</v>
      </c>
      <c r="L8" s="20">
        <f t="shared" si="2"/>
        <v>43.89</v>
      </c>
      <c r="M8" s="20">
        <f t="shared" si="3"/>
        <v>43.89</v>
      </c>
      <c r="N8" s="73">
        <v>6582</v>
      </c>
      <c r="O8" s="23">
        <v>0.57999999999999996</v>
      </c>
      <c r="P8" s="21">
        <v>0.57399999999999995</v>
      </c>
      <c r="Q8" s="20">
        <v>26.91</v>
      </c>
      <c r="R8" s="20">
        <f t="shared" si="4"/>
        <v>26.91</v>
      </c>
      <c r="S8" s="20">
        <f t="shared" si="5"/>
        <v>26.91</v>
      </c>
      <c r="T8" s="73">
        <v>7834</v>
      </c>
      <c r="U8" s="23">
        <v>0.65</v>
      </c>
      <c r="V8" s="21">
        <v>0.83199999999999996</v>
      </c>
      <c r="W8" s="20">
        <v>26.91</v>
      </c>
      <c r="X8" s="20">
        <f t="shared" si="6"/>
        <v>26.91</v>
      </c>
      <c r="Y8" s="20">
        <f t="shared" si="7"/>
        <v>26.91</v>
      </c>
      <c r="AA8" s="462">
        <v>83</v>
      </c>
      <c r="AB8" s="72">
        <f t="shared" si="8"/>
        <v>0.83</v>
      </c>
      <c r="AC8" s="25">
        <f t="shared" si="9"/>
        <v>2.9999999999999916E-2</v>
      </c>
    </row>
    <row r="9" spans="1:29" x14ac:dyDescent="0.2">
      <c r="A9" s="22">
        <v>36281</v>
      </c>
      <c r="B9" s="73">
        <v>20671</v>
      </c>
      <c r="C9" s="23">
        <v>0.86</v>
      </c>
      <c r="D9" s="21">
        <v>0.65400000000000003</v>
      </c>
      <c r="E9" s="20">
        <v>48.63</v>
      </c>
      <c r="F9" s="20">
        <f t="shared" si="0"/>
        <v>48.63</v>
      </c>
      <c r="G9" s="20">
        <f t="shared" si="1"/>
        <v>48.63</v>
      </c>
      <c r="H9" s="73">
        <v>2055</v>
      </c>
      <c r="I9" s="23">
        <v>0.56000000000000005</v>
      </c>
      <c r="J9" s="21">
        <v>0.60799999999999998</v>
      </c>
      <c r="K9" s="20">
        <v>48.63</v>
      </c>
      <c r="L9" s="20">
        <f t="shared" si="2"/>
        <v>48.63</v>
      </c>
      <c r="M9" s="20">
        <f t="shared" si="3"/>
        <v>48.63</v>
      </c>
      <c r="N9" s="73">
        <v>3859</v>
      </c>
      <c r="O9" s="23">
        <v>0.55000000000000004</v>
      </c>
      <c r="P9" s="21">
        <v>0.52900000000000003</v>
      </c>
      <c r="Q9" s="20">
        <v>30.95</v>
      </c>
      <c r="R9" s="20">
        <f t="shared" si="4"/>
        <v>30.95</v>
      </c>
      <c r="S9" s="20">
        <f t="shared" si="5"/>
        <v>30.95</v>
      </c>
      <c r="T9" s="73">
        <v>6424</v>
      </c>
      <c r="U9" s="23">
        <v>0.82</v>
      </c>
      <c r="V9" s="21">
        <v>0.83699999999999997</v>
      </c>
      <c r="W9" s="20">
        <v>30.95</v>
      </c>
      <c r="X9" s="20">
        <f t="shared" si="6"/>
        <v>30.95</v>
      </c>
      <c r="Y9" s="20">
        <f t="shared" si="7"/>
        <v>30.95</v>
      </c>
      <c r="AA9" s="462">
        <v>86</v>
      </c>
      <c r="AB9" s="72">
        <f t="shared" si="8"/>
        <v>0.86</v>
      </c>
      <c r="AC9" s="25">
        <f t="shared" si="9"/>
        <v>0</v>
      </c>
    </row>
    <row r="10" spans="1:29" x14ac:dyDescent="0.2">
      <c r="A10" s="22">
        <v>36312</v>
      </c>
      <c r="B10" s="73">
        <v>19775</v>
      </c>
      <c r="C10" s="23">
        <v>0.96</v>
      </c>
      <c r="D10" s="21">
        <v>0.60099999999999998</v>
      </c>
      <c r="E10" s="20">
        <v>49.99</v>
      </c>
      <c r="F10" s="20">
        <f t="shared" si="0"/>
        <v>49.99</v>
      </c>
      <c r="G10" s="20">
        <f t="shared" si="1"/>
        <v>49.99</v>
      </c>
      <c r="H10" s="73">
        <v>5102</v>
      </c>
      <c r="I10" s="23">
        <v>1.17</v>
      </c>
      <c r="J10" s="21">
        <v>0.76100000000000001</v>
      </c>
      <c r="K10" s="20">
        <v>49.99</v>
      </c>
      <c r="L10" s="20">
        <f t="shared" si="2"/>
        <v>49.99</v>
      </c>
      <c r="M10" s="20">
        <f t="shared" si="3"/>
        <v>49.99</v>
      </c>
      <c r="N10" s="73">
        <v>3037</v>
      </c>
      <c r="O10" s="23">
        <v>0.63</v>
      </c>
      <c r="P10" s="21">
        <v>0.46399999999999997</v>
      </c>
      <c r="Q10" s="20">
        <v>45.24</v>
      </c>
      <c r="R10" s="20">
        <f t="shared" si="4"/>
        <v>45.24</v>
      </c>
      <c r="S10" s="20">
        <f t="shared" si="5"/>
        <v>45.24</v>
      </c>
      <c r="T10" s="73">
        <v>2409</v>
      </c>
      <c r="U10" s="23">
        <v>0.63</v>
      </c>
      <c r="V10" s="21">
        <v>0.81</v>
      </c>
      <c r="W10" s="20">
        <v>45.24</v>
      </c>
      <c r="X10" s="20">
        <f t="shared" si="6"/>
        <v>45.24</v>
      </c>
      <c r="Y10" s="20">
        <f t="shared" si="7"/>
        <v>45.24</v>
      </c>
      <c r="AA10" s="462">
        <v>93.205874611780814</v>
      </c>
      <c r="AB10" s="72">
        <f t="shared" si="8"/>
        <v>0.93205874611780815</v>
      </c>
      <c r="AC10" s="25">
        <f t="shared" si="9"/>
        <v>-2.7941253882191819E-2</v>
      </c>
    </row>
    <row r="11" spans="1:29" x14ac:dyDescent="0.2">
      <c r="A11" s="22">
        <v>36342</v>
      </c>
      <c r="B11" s="73">
        <v>18193</v>
      </c>
      <c r="C11" s="23">
        <v>1.08</v>
      </c>
      <c r="D11" s="21">
        <v>0.54200000000000004</v>
      </c>
      <c r="E11" s="20">
        <v>61.72</v>
      </c>
      <c r="F11" s="20">
        <f t="shared" si="0"/>
        <v>61.72</v>
      </c>
      <c r="G11" s="20">
        <f t="shared" si="1"/>
        <v>61.72</v>
      </c>
      <c r="H11" s="73">
        <v>8920</v>
      </c>
      <c r="I11" s="23">
        <v>2.04</v>
      </c>
      <c r="J11" s="21">
        <v>0.879</v>
      </c>
      <c r="K11" s="20">
        <v>61.72</v>
      </c>
      <c r="L11" s="20">
        <f t="shared" si="2"/>
        <v>61.72</v>
      </c>
      <c r="M11" s="20">
        <f t="shared" si="3"/>
        <v>61.72</v>
      </c>
      <c r="N11" s="73">
        <v>2830</v>
      </c>
      <c r="O11" s="23">
        <v>0.71</v>
      </c>
      <c r="P11" s="21">
        <v>0.39600000000000002</v>
      </c>
      <c r="Q11" s="20">
        <v>38.020000000000003</v>
      </c>
      <c r="R11" s="20">
        <f t="shared" si="4"/>
        <v>38.020000000000003</v>
      </c>
      <c r="S11" s="20">
        <f t="shared" si="5"/>
        <v>38.020000000000003</v>
      </c>
      <c r="T11" s="73">
        <v>1527</v>
      </c>
      <c r="U11" s="23">
        <v>0.68</v>
      </c>
      <c r="V11" s="21">
        <v>0.71399999999999997</v>
      </c>
      <c r="W11" s="20">
        <v>38.020000000000003</v>
      </c>
      <c r="X11" s="20">
        <f t="shared" si="6"/>
        <v>38.020000000000003</v>
      </c>
      <c r="Y11" s="20">
        <f t="shared" si="7"/>
        <v>38.020000000000003</v>
      </c>
      <c r="AA11" s="462">
        <v>109</v>
      </c>
      <c r="AB11" s="72">
        <f t="shared" si="8"/>
        <v>1.0900000000000001</v>
      </c>
      <c r="AC11" s="25">
        <f t="shared" si="9"/>
        <v>1.0000000000000009E-2</v>
      </c>
    </row>
    <row r="12" spans="1:29" x14ac:dyDescent="0.2">
      <c r="A12" s="22">
        <v>36373</v>
      </c>
      <c r="B12" s="73">
        <v>11889</v>
      </c>
      <c r="C12" s="23">
        <v>0.83</v>
      </c>
      <c r="D12" s="21">
        <v>0.45</v>
      </c>
      <c r="E12" s="20">
        <v>49.62</v>
      </c>
      <c r="F12" s="20">
        <f t="shared" si="0"/>
        <v>49.62</v>
      </c>
      <c r="G12" s="20">
        <f t="shared" si="1"/>
        <v>49.62</v>
      </c>
      <c r="H12" s="73">
        <v>1869</v>
      </c>
      <c r="I12" s="23">
        <v>0.42</v>
      </c>
      <c r="J12" s="21">
        <v>0.70499999999999996</v>
      </c>
      <c r="K12" s="20">
        <v>49.62</v>
      </c>
      <c r="L12" s="20">
        <f t="shared" si="2"/>
        <v>49.62</v>
      </c>
      <c r="M12" s="20">
        <f t="shared" si="3"/>
        <v>49.62</v>
      </c>
      <c r="N12" s="73">
        <v>2128</v>
      </c>
      <c r="O12" s="23">
        <v>0.63</v>
      </c>
      <c r="P12" s="21">
        <v>0.31900000000000001</v>
      </c>
      <c r="Q12" s="20">
        <v>52.05</v>
      </c>
      <c r="R12" s="20">
        <f t="shared" si="4"/>
        <v>52.05</v>
      </c>
      <c r="S12" s="20">
        <f t="shared" si="5"/>
        <v>52.05</v>
      </c>
      <c r="T12" s="73">
        <v>1265</v>
      </c>
      <c r="U12" s="23">
        <v>0.73</v>
      </c>
      <c r="V12" s="21">
        <v>0.58499999999999996</v>
      </c>
      <c r="W12" s="20">
        <v>52.05</v>
      </c>
      <c r="X12" s="20">
        <f t="shared" si="6"/>
        <v>52.05</v>
      </c>
      <c r="Y12" s="20">
        <f t="shared" si="7"/>
        <v>52.05</v>
      </c>
      <c r="AA12" s="462">
        <v>83.199138653432456</v>
      </c>
      <c r="AB12" s="72">
        <f t="shared" si="8"/>
        <v>0.83199138653432458</v>
      </c>
      <c r="AC12" s="25">
        <f t="shared" si="9"/>
        <v>1.991386534324624E-3</v>
      </c>
    </row>
    <row r="13" spans="1:29" x14ac:dyDescent="0.2">
      <c r="A13" s="22">
        <v>36404</v>
      </c>
      <c r="B13" s="73">
        <v>13771</v>
      </c>
      <c r="C13" s="23">
        <v>0.96</v>
      </c>
      <c r="D13" s="21">
        <v>0.36700000000000005</v>
      </c>
      <c r="E13" s="20">
        <v>72.97</v>
      </c>
      <c r="F13" s="20">
        <f t="shared" si="0"/>
        <v>72.97</v>
      </c>
      <c r="G13" s="20">
        <f t="shared" si="1"/>
        <v>72.97</v>
      </c>
      <c r="H13" s="73">
        <v>2385</v>
      </c>
      <c r="I13" s="23">
        <v>0.47</v>
      </c>
      <c r="J13" s="21">
        <v>0.61599999999999999</v>
      </c>
      <c r="K13" s="20">
        <v>72.97</v>
      </c>
      <c r="L13" s="20">
        <f t="shared" si="2"/>
        <v>72.97</v>
      </c>
      <c r="M13" s="20">
        <f t="shared" si="3"/>
        <v>72.97</v>
      </c>
      <c r="N13" s="73">
        <v>1794</v>
      </c>
      <c r="O13" s="23">
        <v>0.6</v>
      </c>
      <c r="P13" s="21">
        <v>0.252</v>
      </c>
      <c r="Q13" s="20">
        <v>71.47</v>
      </c>
      <c r="R13" s="20">
        <f t="shared" si="4"/>
        <v>71.47</v>
      </c>
      <c r="S13" s="20">
        <f t="shared" si="5"/>
        <v>71.47</v>
      </c>
      <c r="T13" s="73">
        <v>975</v>
      </c>
      <c r="U13" s="23">
        <v>0.72</v>
      </c>
      <c r="V13" s="21">
        <v>0.438</v>
      </c>
      <c r="W13" s="20">
        <v>71.47</v>
      </c>
      <c r="X13" s="20">
        <f t="shared" si="6"/>
        <v>71.47</v>
      </c>
      <c r="Y13" s="20">
        <f t="shared" si="7"/>
        <v>71.47</v>
      </c>
      <c r="AA13" s="462">
        <v>95.998887525490773</v>
      </c>
      <c r="AB13" s="72">
        <f t="shared" si="8"/>
        <v>0.95998887525490773</v>
      </c>
      <c r="AC13" s="25">
        <f t="shared" si="9"/>
        <v>-1.1124745092239152E-5</v>
      </c>
    </row>
    <row r="14" spans="1:29" x14ac:dyDescent="0.2">
      <c r="A14" s="22">
        <v>36434</v>
      </c>
      <c r="B14" s="73">
        <v>10561</v>
      </c>
      <c r="C14" s="23">
        <v>0.61</v>
      </c>
      <c r="D14" s="21">
        <v>0.26400000000000001</v>
      </c>
      <c r="E14" s="20">
        <v>91.94</v>
      </c>
      <c r="F14" s="20">
        <f t="shared" si="0"/>
        <v>91.94</v>
      </c>
      <c r="G14" s="20">
        <f t="shared" si="1"/>
        <v>91.94</v>
      </c>
      <c r="H14" s="73">
        <v>6932</v>
      </c>
      <c r="I14" s="23">
        <v>1.1599999999999999</v>
      </c>
      <c r="J14" s="21">
        <v>0.79200000000000004</v>
      </c>
      <c r="K14" s="20">
        <v>91.94</v>
      </c>
      <c r="L14" s="20">
        <f t="shared" si="2"/>
        <v>91.94</v>
      </c>
      <c r="M14" s="20">
        <f t="shared" si="3"/>
        <v>91.94</v>
      </c>
      <c r="N14" s="73">
        <v>1915</v>
      </c>
      <c r="O14" s="23">
        <v>0.56999999999999995</v>
      </c>
      <c r="P14" s="21">
        <v>0.17</v>
      </c>
      <c r="Q14" s="20">
        <v>90.75</v>
      </c>
      <c r="R14" s="20">
        <f t="shared" si="4"/>
        <v>90.75</v>
      </c>
      <c r="S14" s="20">
        <f t="shared" si="5"/>
        <v>90.75</v>
      </c>
      <c r="T14" s="73">
        <v>1211</v>
      </c>
      <c r="U14" s="23">
        <v>0.8</v>
      </c>
      <c r="V14" s="21">
        <v>0.28699999999999998</v>
      </c>
      <c r="W14" s="20">
        <v>90.75</v>
      </c>
      <c r="X14" s="20">
        <f t="shared" si="6"/>
        <v>90.75</v>
      </c>
      <c r="Y14" s="20">
        <f t="shared" si="7"/>
        <v>90.75</v>
      </c>
      <c r="AA14" s="462">
        <v>60.696014142579344</v>
      </c>
      <c r="AB14" s="72">
        <f t="shared" si="8"/>
        <v>0.60696014142579346</v>
      </c>
      <c r="AC14" s="25">
        <f t="shared" si="9"/>
        <v>-3.0398585742065221E-3</v>
      </c>
    </row>
    <row r="15" spans="1:29" x14ac:dyDescent="0.2">
      <c r="A15" s="22">
        <v>36465</v>
      </c>
      <c r="B15" s="73">
        <v>15333</v>
      </c>
      <c r="C15" s="23">
        <v>0.7</v>
      </c>
      <c r="D15" s="21">
        <v>0.19699999999999998</v>
      </c>
      <c r="E15" s="24">
        <v>155.51</v>
      </c>
      <c r="F15" s="24">
        <f t="shared" si="0"/>
        <v>155.51</v>
      </c>
      <c r="G15" s="20">
        <f t="shared" si="1"/>
        <v>155.51</v>
      </c>
      <c r="H15" s="73">
        <v>2686</v>
      </c>
      <c r="I15" s="23">
        <v>0.57999999999999996</v>
      </c>
      <c r="J15" s="21">
        <v>0.66200000000000003</v>
      </c>
      <c r="K15" s="24">
        <v>155.51</v>
      </c>
      <c r="L15" s="20">
        <f t="shared" si="2"/>
        <v>155.51</v>
      </c>
      <c r="M15" s="20">
        <f t="shared" si="3"/>
        <v>155.51</v>
      </c>
      <c r="N15" s="73">
        <v>4093</v>
      </c>
      <c r="O15" s="23">
        <v>0.75</v>
      </c>
      <c r="P15" s="21">
        <v>0.159</v>
      </c>
      <c r="Q15" s="24">
        <v>161.1</v>
      </c>
      <c r="R15" s="20">
        <f t="shared" si="4"/>
        <v>161.1</v>
      </c>
      <c r="S15" s="20">
        <f t="shared" si="5"/>
        <v>161.1</v>
      </c>
      <c r="T15" s="73">
        <v>2320</v>
      </c>
      <c r="U15" s="23">
        <v>0.93</v>
      </c>
      <c r="V15" s="21">
        <v>0.24</v>
      </c>
      <c r="W15" s="24">
        <v>161.1</v>
      </c>
      <c r="X15" s="20">
        <f t="shared" si="6"/>
        <v>161.1</v>
      </c>
      <c r="Y15" s="20">
        <f t="shared" si="7"/>
        <v>161.1</v>
      </c>
      <c r="AA15" s="462">
        <v>69.888269928708809</v>
      </c>
      <c r="AB15" s="72">
        <f t="shared" si="8"/>
        <v>0.69888269928708813</v>
      </c>
      <c r="AC15" s="25">
        <f t="shared" si="9"/>
        <v>-1.1173007129118284E-3</v>
      </c>
    </row>
    <row r="16" spans="1:29" x14ac:dyDescent="0.2">
      <c r="A16" s="22">
        <v>36495</v>
      </c>
      <c r="B16" s="73">
        <v>22081</v>
      </c>
      <c r="C16" s="23">
        <v>0.68</v>
      </c>
      <c r="D16" s="21">
        <v>0.18100000000000002</v>
      </c>
      <c r="E16" s="20">
        <v>213.93</v>
      </c>
      <c r="F16" s="20">
        <f t="shared" si="0"/>
        <v>213.93</v>
      </c>
      <c r="G16" s="20">
        <f t="shared" si="1"/>
        <v>213.93</v>
      </c>
      <c r="H16" s="73">
        <v>2227</v>
      </c>
      <c r="I16" s="23">
        <v>0.59</v>
      </c>
      <c r="J16" s="21">
        <v>0.52900000000000003</v>
      </c>
      <c r="K16" s="20">
        <v>213.93</v>
      </c>
      <c r="L16" s="20">
        <f t="shared" si="2"/>
        <v>213.93</v>
      </c>
      <c r="M16" s="20">
        <f t="shared" si="3"/>
        <v>213.93</v>
      </c>
      <c r="N16" s="73">
        <v>9370</v>
      </c>
      <c r="O16" s="23">
        <v>0.96</v>
      </c>
      <c r="P16" s="21">
        <v>0.218</v>
      </c>
      <c r="Q16" s="20">
        <v>211.22</v>
      </c>
      <c r="R16" s="20">
        <f t="shared" si="4"/>
        <v>211.22</v>
      </c>
      <c r="S16" s="20">
        <f t="shared" si="5"/>
        <v>211.22</v>
      </c>
      <c r="T16" s="73">
        <v>5641</v>
      </c>
      <c r="U16" s="23">
        <v>1.17</v>
      </c>
      <c r="V16" s="21">
        <v>0.45700000000000002</v>
      </c>
      <c r="W16" s="20">
        <v>211.22</v>
      </c>
      <c r="X16" s="20">
        <f t="shared" si="6"/>
        <v>211.22</v>
      </c>
      <c r="Y16" s="20">
        <f t="shared" si="7"/>
        <v>211.22</v>
      </c>
    </row>
    <row r="17" spans="1:31" x14ac:dyDescent="0.2">
      <c r="A17" s="22">
        <v>36526</v>
      </c>
      <c r="B17" s="73">
        <v>43025</v>
      </c>
      <c r="C17" s="23">
        <v>0.97</v>
      </c>
      <c r="D17" s="21">
        <v>0.29299999999999998</v>
      </c>
      <c r="E17" s="20">
        <v>285.5</v>
      </c>
      <c r="F17" s="20">
        <f t="shared" si="0"/>
        <v>285.5</v>
      </c>
      <c r="G17" s="20">
        <f t="shared" si="1"/>
        <v>285.5</v>
      </c>
      <c r="H17" s="73">
        <v>3076</v>
      </c>
      <c r="I17" s="23">
        <v>0.82</v>
      </c>
      <c r="J17" s="21">
        <v>0.47499999999999998</v>
      </c>
      <c r="K17" s="20">
        <v>285.5</v>
      </c>
      <c r="L17" s="20">
        <f t="shared" si="2"/>
        <v>285.5</v>
      </c>
      <c r="M17" s="20">
        <f t="shared" si="3"/>
        <v>285.5</v>
      </c>
      <c r="N17" s="73">
        <v>12148</v>
      </c>
      <c r="O17" s="23">
        <v>0.89</v>
      </c>
      <c r="P17" s="21">
        <v>0.35700000000000004</v>
      </c>
      <c r="Q17" s="20">
        <v>187.58</v>
      </c>
      <c r="R17" s="20">
        <f t="shared" si="4"/>
        <v>187.58</v>
      </c>
      <c r="S17" s="20">
        <f t="shared" si="5"/>
        <v>187.58</v>
      </c>
      <c r="T17" s="73">
        <v>12057</v>
      </c>
      <c r="U17" s="23">
        <v>1.42</v>
      </c>
      <c r="V17" s="21">
        <v>0.755</v>
      </c>
      <c r="W17" s="20">
        <v>187.58</v>
      </c>
      <c r="X17" s="20">
        <f t="shared" si="6"/>
        <v>187.58</v>
      </c>
      <c r="Y17" s="20">
        <f t="shared" si="7"/>
        <v>187.58</v>
      </c>
    </row>
    <row r="18" spans="1:31" x14ac:dyDescent="0.2">
      <c r="A18" s="22">
        <v>36557</v>
      </c>
      <c r="B18" s="73">
        <v>53942</v>
      </c>
      <c r="C18" s="23">
        <v>1.1499999999999999</v>
      </c>
      <c r="D18" s="21">
        <v>0.45</v>
      </c>
      <c r="E18" s="20">
        <v>190.88</v>
      </c>
      <c r="F18" s="20">
        <f t="shared" si="0"/>
        <v>190.88</v>
      </c>
      <c r="G18" s="20">
        <f t="shared" si="1"/>
        <v>190.88</v>
      </c>
      <c r="H18" s="73">
        <v>4419</v>
      </c>
      <c r="I18" s="23">
        <v>1.08</v>
      </c>
      <c r="J18" s="21">
        <v>0.47299999999999998</v>
      </c>
      <c r="K18" s="20">
        <v>190.88</v>
      </c>
      <c r="L18" s="20">
        <f t="shared" si="2"/>
        <v>190.88</v>
      </c>
      <c r="M18" s="20">
        <f t="shared" si="3"/>
        <v>190.88</v>
      </c>
      <c r="N18" s="73">
        <v>15942</v>
      </c>
      <c r="O18" s="23">
        <v>1.1000000000000001</v>
      </c>
      <c r="P18" s="21">
        <v>0.54100000000000004</v>
      </c>
      <c r="Q18" s="20">
        <v>158.55000000000001</v>
      </c>
      <c r="R18" s="20">
        <f t="shared" si="4"/>
        <v>158.55000000000001</v>
      </c>
      <c r="S18" s="20">
        <f t="shared" si="5"/>
        <v>158.55000000000001</v>
      </c>
      <c r="T18" s="73">
        <v>13406</v>
      </c>
      <c r="U18" s="23">
        <v>1.17</v>
      </c>
      <c r="V18" s="21">
        <v>0.80700000000000005</v>
      </c>
      <c r="W18" s="20">
        <v>158.55000000000001</v>
      </c>
      <c r="X18" s="20">
        <f t="shared" si="6"/>
        <v>158.55000000000001</v>
      </c>
      <c r="Y18" s="20">
        <f t="shared" si="7"/>
        <v>158.55000000000001</v>
      </c>
    </row>
    <row r="19" spans="1:31" x14ac:dyDescent="0.2">
      <c r="A19" s="22">
        <v>36586</v>
      </c>
      <c r="B19" s="73">
        <v>47730</v>
      </c>
      <c r="C19" s="23">
        <v>1.0900000000000001</v>
      </c>
      <c r="D19" s="21">
        <v>0.58499999999999996</v>
      </c>
      <c r="E19" s="20">
        <v>86.56</v>
      </c>
      <c r="F19" s="20">
        <f t="shared" si="0"/>
        <v>86.56</v>
      </c>
      <c r="G19" s="20">
        <f t="shared" si="1"/>
        <v>86.56</v>
      </c>
      <c r="H19" s="73">
        <v>4682</v>
      </c>
      <c r="I19" s="23">
        <v>1.25</v>
      </c>
      <c r="J19" s="21">
        <v>0.52300000000000002</v>
      </c>
      <c r="K19" s="20">
        <v>86.56</v>
      </c>
      <c r="L19" s="20">
        <f t="shared" si="2"/>
        <v>86.56</v>
      </c>
      <c r="M19" s="20">
        <f t="shared" si="3"/>
        <v>86.56</v>
      </c>
      <c r="N19" s="73">
        <v>12727</v>
      </c>
      <c r="O19" s="23">
        <v>0.91</v>
      </c>
      <c r="P19" s="21">
        <v>0.66</v>
      </c>
      <c r="Q19" s="20">
        <v>63.93</v>
      </c>
      <c r="R19" s="20">
        <f t="shared" si="4"/>
        <v>63.93</v>
      </c>
      <c r="S19" s="20">
        <f t="shared" si="5"/>
        <v>63.93</v>
      </c>
      <c r="T19" s="73">
        <v>16985</v>
      </c>
      <c r="U19" s="23">
        <v>1.27</v>
      </c>
      <c r="V19" s="21">
        <v>0.83299999999999996</v>
      </c>
      <c r="W19" s="20">
        <v>63.93</v>
      </c>
      <c r="X19" s="20">
        <f t="shared" si="6"/>
        <v>63.93</v>
      </c>
      <c r="Y19" s="20">
        <f t="shared" si="7"/>
        <v>63.93</v>
      </c>
    </row>
    <row r="20" spans="1:31" x14ac:dyDescent="0.2">
      <c r="A20" s="22">
        <v>36617</v>
      </c>
      <c r="B20" s="73">
        <v>28030</v>
      </c>
      <c r="C20" s="23">
        <v>0.85</v>
      </c>
      <c r="D20" s="21">
        <v>0.59399999999999997</v>
      </c>
      <c r="E20" s="20">
        <v>56.67</v>
      </c>
      <c r="F20" s="20">
        <f t="shared" si="0"/>
        <v>56.67</v>
      </c>
      <c r="G20" s="20">
        <f t="shared" si="1"/>
        <v>56.67</v>
      </c>
      <c r="H20" s="73">
        <v>2040</v>
      </c>
      <c r="I20" s="23">
        <v>0.63</v>
      </c>
      <c r="J20" s="21">
        <v>0.4</v>
      </c>
      <c r="K20" s="20">
        <v>56.67</v>
      </c>
      <c r="L20" s="20">
        <f t="shared" si="2"/>
        <v>56.67</v>
      </c>
      <c r="M20" s="20">
        <f t="shared" si="3"/>
        <v>56.67</v>
      </c>
      <c r="N20" s="73">
        <v>9993</v>
      </c>
      <c r="O20" s="23">
        <v>0.9</v>
      </c>
      <c r="P20" s="21">
        <v>0.71199999999999997</v>
      </c>
      <c r="Q20" s="20">
        <v>33.299999999999997</v>
      </c>
      <c r="R20" s="20">
        <f t="shared" si="4"/>
        <v>33.299999999999997</v>
      </c>
      <c r="S20" s="20">
        <f t="shared" si="5"/>
        <v>33.299999999999997</v>
      </c>
      <c r="T20" s="73">
        <v>14787</v>
      </c>
      <c r="U20" s="23">
        <v>1.1100000000000001</v>
      </c>
      <c r="V20" s="21">
        <v>0.83699999999999997</v>
      </c>
      <c r="W20" s="20">
        <v>33.299999999999997</v>
      </c>
      <c r="X20" s="20">
        <f t="shared" si="6"/>
        <v>33.299999999999997</v>
      </c>
      <c r="Y20" s="20">
        <f t="shared" si="7"/>
        <v>33.299999999999997</v>
      </c>
      <c r="AB20" s="20" t="s">
        <v>240</v>
      </c>
      <c r="AC20" s="20" t="s">
        <v>147</v>
      </c>
      <c r="AD20" s="20" t="s">
        <v>207</v>
      </c>
      <c r="AE20" s="20" t="s">
        <v>241</v>
      </c>
    </row>
    <row r="21" spans="1:31" x14ac:dyDescent="0.2">
      <c r="A21" s="22">
        <v>36647</v>
      </c>
      <c r="B21" s="73">
        <v>18146</v>
      </c>
      <c r="C21" s="23">
        <v>0.74</v>
      </c>
      <c r="D21" s="21">
        <v>0.54100000000000004</v>
      </c>
      <c r="E21" s="20">
        <v>86.08</v>
      </c>
      <c r="F21" s="20">
        <f t="shared" si="0"/>
        <v>86.08</v>
      </c>
      <c r="G21" s="20">
        <f t="shared" si="1"/>
        <v>86.08</v>
      </c>
      <c r="H21" s="73">
        <v>2330</v>
      </c>
      <c r="I21" s="23">
        <v>0.55000000000000004</v>
      </c>
      <c r="J21" s="21">
        <v>0.30199999999999999</v>
      </c>
      <c r="K21" s="20">
        <v>86.08</v>
      </c>
      <c r="L21" s="20">
        <f t="shared" si="2"/>
        <v>86.08</v>
      </c>
      <c r="M21" s="20">
        <f t="shared" si="3"/>
        <v>86.08</v>
      </c>
      <c r="N21" s="73">
        <v>5088</v>
      </c>
      <c r="O21" s="25">
        <v>0.73</v>
      </c>
      <c r="P21" s="21">
        <v>0.67300000000000004</v>
      </c>
      <c r="Q21" s="20">
        <v>47.84</v>
      </c>
      <c r="R21" s="20">
        <f t="shared" si="4"/>
        <v>47.84</v>
      </c>
      <c r="S21" s="20">
        <f t="shared" si="5"/>
        <v>47.84</v>
      </c>
      <c r="T21" s="73">
        <v>10046</v>
      </c>
      <c r="U21" s="25">
        <v>1.1599999999999999</v>
      </c>
      <c r="V21" s="21">
        <v>0.82099999999999995</v>
      </c>
      <c r="W21" s="20">
        <v>47.84</v>
      </c>
      <c r="X21" s="20">
        <f t="shared" si="6"/>
        <v>47.84</v>
      </c>
      <c r="Y21" s="20">
        <f t="shared" si="7"/>
        <v>47.84</v>
      </c>
      <c r="AA21" s="48" t="s">
        <v>208</v>
      </c>
      <c r="AB21" s="49">
        <v>7.2999999999999995E-2</v>
      </c>
      <c r="AC21" s="49">
        <v>6.3E-2</v>
      </c>
      <c r="AD21" s="82">
        <f>AE21/$AE$25</f>
        <v>4.5406672555548006E-2</v>
      </c>
      <c r="AE21" s="50">
        <v>10692</v>
      </c>
    </row>
    <row r="22" spans="1:31" x14ac:dyDescent="0.2">
      <c r="A22" s="22">
        <v>36678</v>
      </c>
      <c r="B22" s="73">
        <v>15987</v>
      </c>
      <c r="C22" s="23">
        <v>0.77</v>
      </c>
      <c r="D22" s="21">
        <v>0.47299999999999998</v>
      </c>
      <c r="E22" s="20">
        <v>137.16</v>
      </c>
      <c r="F22" s="20">
        <f t="shared" si="0"/>
        <v>137.16</v>
      </c>
      <c r="G22" s="20">
        <f t="shared" si="1"/>
        <v>137.16</v>
      </c>
      <c r="H22" s="73">
        <v>2812</v>
      </c>
      <c r="I22" s="23">
        <v>0.55000000000000004</v>
      </c>
      <c r="J22" s="21">
        <v>0.29599999999999999</v>
      </c>
      <c r="K22" s="20">
        <v>137.16</v>
      </c>
      <c r="L22" s="20">
        <f t="shared" si="2"/>
        <v>137.16</v>
      </c>
      <c r="M22" s="20">
        <f t="shared" si="3"/>
        <v>137.16</v>
      </c>
      <c r="N22" s="73">
        <v>3607</v>
      </c>
      <c r="O22" s="25">
        <v>0.76</v>
      </c>
      <c r="P22" s="21">
        <v>0.61799999999999999</v>
      </c>
      <c r="Q22" s="20">
        <v>69.510000000000005</v>
      </c>
      <c r="R22" s="20">
        <f t="shared" si="4"/>
        <v>69.510000000000005</v>
      </c>
      <c r="S22" s="20">
        <f t="shared" si="5"/>
        <v>69.510000000000005</v>
      </c>
      <c r="T22" s="73">
        <v>3539</v>
      </c>
      <c r="U22" s="25">
        <v>0.83</v>
      </c>
      <c r="V22" s="21">
        <v>0.81100000000000005</v>
      </c>
      <c r="W22" s="20">
        <v>69.510000000000005</v>
      </c>
      <c r="X22" s="20">
        <f t="shared" si="6"/>
        <v>69.510000000000005</v>
      </c>
      <c r="Y22" s="20">
        <f t="shared" si="7"/>
        <v>69.510000000000005</v>
      </c>
      <c r="AA22" s="48" t="s">
        <v>142</v>
      </c>
      <c r="AB22" s="49">
        <v>0.13100000000000001</v>
      </c>
      <c r="AC22" s="49">
        <v>0.14499999999999999</v>
      </c>
      <c r="AD22" s="82">
        <f>AE22/$AE$25</f>
        <v>0.21315485492967318</v>
      </c>
      <c r="AE22" s="50">
        <v>50192</v>
      </c>
    </row>
    <row r="23" spans="1:31" x14ac:dyDescent="0.2">
      <c r="A23" s="22">
        <v>36708</v>
      </c>
      <c r="B23" s="73">
        <v>15295</v>
      </c>
      <c r="C23" s="25">
        <v>0.89</v>
      </c>
      <c r="D23" s="21">
        <v>0.40200000000000002</v>
      </c>
      <c r="E23" s="20">
        <v>145.72999999999999</v>
      </c>
      <c r="F23" s="20">
        <f t="shared" si="0"/>
        <v>145.72999999999999</v>
      </c>
      <c r="G23" s="20">
        <f t="shared" si="1"/>
        <v>145.72999999999999</v>
      </c>
      <c r="H23" s="73">
        <v>4736</v>
      </c>
      <c r="I23" s="25">
        <v>0.92</v>
      </c>
      <c r="J23" s="21">
        <v>0.441</v>
      </c>
      <c r="K23" s="20">
        <v>145.72999999999999</v>
      </c>
      <c r="L23" s="20">
        <f t="shared" si="2"/>
        <v>145.72999999999999</v>
      </c>
      <c r="M23" s="20">
        <f t="shared" si="3"/>
        <v>145.72999999999999</v>
      </c>
      <c r="N23" s="73">
        <v>2925</v>
      </c>
      <c r="O23" s="25">
        <v>0.74</v>
      </c>
      <c r="P23" s="21">
        <v>0.54900000000000004</v>
      </c>
      <c r="Q23" s="20">
        <v>99.53</v>
      </c>
      <c r="R23" s="20">
        <f t="shared" si="4"/>
        <v>99.53</v>
      </c>
      <c r="S23" s="20">
        <f t="shared" si="5"/>
        <v>99.53</v>
      </c>
      <c r="T23" s="73">
        <v>2190</v>
      </c>
      <c r="U23" s="25">
        <v>0.89</v>
      </c>
      <c r="V23" s="21">
        <v>0.755</v>
      </c>
      <c r="W23" s="20">
        <v>99.53</v>
      </c>
      <c r="X23" s="20">
        <f t="shared" si="6"/>
        <v>99.53</v>
      </c>
      <c r="Y23" s="20">
        <f t="shared" si="7"/>
        <v>99.53</v>
      </c>
      <c r="AA23" s="48" t="s">
        <v>138</v>
      </c>
      <c r="AB23" s="49">
        <v>0.129</v>
      </c>
      <c r="AC23" s="49">
        <v>0.16200000000000001</v>
      </c>
      <c r="AD23" s="82">
        <f>AE23/$AE$25</f>
        <v>6.0809777807977167E-2</v>
      </c>
      <c r="AE23" s="50">
        <v>14319</v>
      </c>
    </row>
    <row r="24" spans="1:31" x14ac:dyDescent="0.2">
      <c r="A24" s="22">
        <v>36739</v>
      </c>
      <c r="B24" s="73">
        <v>14128</v>
      </c>
      <c r="C24" s="25">
        <v>0.99</v>
      </c>
      <c r="D24" s="21">
        <v>0.32400000000000001</v>
      </c>
      <c r="E24" s="20">
        <v>129.80000000000001</v>
      </c>
      <c r="F24" s="20">
        <f t="shared" si="0"/>
        <v>129.80000000000001</v>
      </c>
      <c r="G24" s="20">
        <f t="shared" si="1"/>
        <v>129.80000000000001</v>
      </c>
      <c r="H24" s="73">
        <v>2908</v>
      </c>
      <c r="I24" s="25">
        <v>0.67</v>
      </c>
      <c r="J24" s="21">
        <v>0.47</v>
      </c>
      <c r="K24" s="20">
        <v>129.80000000000001</v>
      </c>
      <c r="L24" s="20">
        <f t="shared" si="2"/>
        <v>129.80000000000001</v>
      </c>
      <c r="M24" s="20">
        <f t="shared" si="3"/>
        <v>129.80000000000001</v>
      </c>
      <c r="N24" s="73">
        <v>2559</v>
      </c>
      <c r="O24" s="25">
        <v>0.76</v>
      </c>
      <c r="P24" s="21">
        <v>0.46800000000000003</v>
      </c>
      <c r="Q24" s="20">
        <v>89.72</v>
      </c>
      <c r="R24" s="20">
        <f t="shared" si="4"/>
        <v>89.72</v>
      </c>
      <c r="S24" s="20">
        <f t="shared" si="5"/>
        <v>89.72</v>
      </c>
      <c r="T24" s="73">
        <v>1677</v>
      </c>
      <c r="U24" s="72">
        <v>0.97</v>
      </c>
      <c r="V24" s="21">
        <v>0.61499999999999999</v>
      </c>
      <c r="W24" s="20">
        <v>89.72</v>
      </c>
      <c r="X24" s="20">
        <f t="shared" si="6"/>
        <v>89.72</v>
      </c>
      <c r="Y24" s="20">
        <f t="shared" si="7"/>
        <v>89.72</v>
      </c>
      <c r="AA24" s="48" t="s">
        <v>137</v>
      </c>
      <c r="AB24" s="49">
        <f>0.429+0.198+0.04</f>
        <v>0.66700000000000004</v>
      </c>
      <c r="AC24" s="49">
        <v>0.63</v>
      </c>
      <c r="AD24" s="82">
        <f>AE24/$AE$25</f>
        <v>0.68062869470680165</v>
      </c>
      <c r="AE24" s="50">
        <v>160269</v>
      </c>
    </row>
    <row r="25" spans="1:31" x14ac:dyDescent="0.2">
      <c r="A25" s="22">
        <v>36770</v>
      </c>
      <c r="B25" s="73">
        <v>25786</v>
      </c>
      <c r="C25" s="25">
        <v>1.8</v>
      </c>
      <c r="D25" s="21">
        <v>0.308</v>
      </c>
      <c r="E25" s="20">
        <v>156.11000000000001</v>
      </c>
      <c r="F25" s="20">
        <v>156.11000000000001</v>
      </c>
      <c r="G25" s="20">
        <v>156.11000000000001</v>
      </c>
      <c r="H25" s="74">
        <v>12726</v>
      </c>
      <c r="I25" s="25">
        <v>2.5099999999999998</v>
      </c>
      <c r="J25" s="21">
        <v>0.85699999999999998</v>
      </c>
      <c r="K25" s="20">
        <v>175.99</v>
      </c>
      <c r="L25" s="20">
        <v>175.99</v>
      </c>
      <c r="M25" s="20">
        <v>156.11000000000001</v>
      </c>
      <c r="N25" s="73">
        <v>2742</v>
      </c>
      <c r="O25" s="25">
        <v>0.91</v>
      </c>
      <c r="P25" s="21">
        <v>0.39400000000000002</v>
      </c>
      <c r="Q25" s="20">
        <v>101.49</v>
      </c>
      <c r="R25" s="20">
        <v>101.49</v>
      </c>
      <c r="S25" s="20">
        <v>101.49</v>
      </c>
      <c r="T25" s="73">
        <v>1239</v>
      </c>
      <c r="U25" s="72">
        <v>0.92</v>
      </c>
      <c r="V25" s="21">
        <v>0.45400000000000001</v>
      </c>
      <c r="W25" s="20">
        <v>101.49</v>
      </c>
      <c r="X25" s="20">
        <v>101.49</v>
      </c>
      <c r="Y25" s="20">
        <v>66.06</v>
      </c>
      <c r="AA25" s="20" t="s">
        <v>172</v>
      </c>
      <c r="AB25" s="49">
        <f>SUM(AB21:AB24)</f>
        <v>1</v>
      </c>
      <c r="AC25" s="49">
        <f>SUM(AC21:AC24)</f>
        <v>1</v>
      </c>
      <c r="AD25" s="82">
        <f>SUM(AD21:AD24)</f>
        <v>1</v>
      </c>
      <c r="AE25" s="50">
        <f>SUM(AE21:AE24)</f>
        <v>235472</v>
      </c>
    </row>
    <row r="26" spans="1:31" x14ac:dyDescent="0.2">
      <c r="A26" s="22">
        <v>36800</v>
      </c>
      <c r="B26" s="73">
        <v>15963</v>
      </c>
      <c r="C26" s="25">
        <v>0.92</v>
      </c>
      <c r="D26" s="21">
        <v>0.23</v>
      </c>
      <c r="E26" s="20">
        <v>93.02</v>
      </c>
      <c r="F26" s="20">
        <v>93.02</v>
      </c>
      <c r="G26" s="20">
        <v>93.02</v>
      </c>
      <c r="H26" s="73">
        <v>13578</v>
      </c>
      <c r="I26" s="25">
        <v>1.84</v>
      </c>
      <c r="J26" s="21">
        <v>0.96199999999999997</v>
      </c>
      <c r="K26" s="20">
        <v>93.02</v>
      </c>
      <c r="L26" s="20">
        <v>93.02</v>
      </c>
      <c r="M26" s="20">
        <v>27.45</v>
      </c>
      <c r="N26" s="73">
        <v>2308</v>
      </c>
      <c r="O26" s="25">
        <v>0.69</v>
      </c>
      <c r="P26" s="21">
        <v>0.28899999999999998</v>
      </c>
      <c r="Q26" s="20">
        <v>76.069999999999993</v>
      </c>
      <c r="R26" s="20">
        <v>76.069999999999993</v>
      </c>
      <c r="S26" s="20">
        <v>76.069999999999993</v>
      </c>
      <c r="T26" s="73">
        <v>1336</v>
      </c>
      <c r="U26" s="72">
        <v>0.88</v>
      </c>
      <c r="V26" s="21">
        <v>0.32100000000000001</v>
      </c>
      <c r="W26" s="20">
        <v>76.069999999999993</v>
      </c>
      <c r="X26" s="20">
        <v>76.069999999999993</v>
      </c>
      <c r="Y26" s="20">
        <v>76.069999999999993</v>
      </c>
    </row>
    <row r="27" spans="1:31" x14ac:dyDescent="0.2">
      <c r="A27" s="22">
        <v>36831</v>
      </c>
      <c r="B27" s="73">
        <v>23973</v>
      </c>
      <c r="C27" s="25">
        <v>1.0900000000000001</v>
      </c>
      <c r="D27" s="21">
        <v>0.22090000000000001</v>
      </c>
      <c r="E27" s="20">
        <v>149.69999999999999</v>
      </c>
      <c r="F27" s="20">
        <v>149.69999999999999</v>
      </c>
      <c r="G27" s="20">
        <v>149.69999999999999</v>
      </c>
      <c r="H27" s="73">
        <v>4701</v>
      </c>
      <c r="I27" s="25">
        <v>0.85</v>
      </c>
      <c r="J27" s="21">
        <v>0.92900000000000005</v>
      </c>
      <c r="K27" s="20">
        <v>149.69999999999999</v>
      </c>
      <c r="L27" s="20">
        <v>149.69999999999999</v>
      </c>
      <c r="M27" s="20">
        <v>147.15</v>
      </c>
      <c r="N27" s="73">
        <v>4889</v>
      </c>
      <c r="O27" s="25">
        <v>0.9</v>
      </c>
      <c r="P27" s="21">
        <v>0.27539999999999998</v>
      </c>
      <c r="Q27" s="20">
        <v>127.3</v>
      </c>
      <c r="R27" s="20">
        <v>127.3</v>
      </c>
      <c r="S27" s="20">
        <v>127.3</v>
      </c>
      <c r="T27" s="73">
        <v>2693</v>
      </c>
      <c r="U27" s="72">
        <v>1.08</v>
      </c>
      <c r="V27" s="21">
        <v>0.29020000000000001</v>
      </c>
      <c r="W27" s="20">
        <v>149.69999999999999</v>
      </c>
      <c r="X27" s="20">
        <v>127.3</v>
      </c>
      <c r="Y27" s="20">
        <v>127.3</v>
      </c>
    </row>
    <row r="28" spans="1:31" x14ac:dyDescent="0.2">
      <c r="A28" s="22">
        <v>36861</v>
      </c>
      <c r="B28" s="73">
        <v>35177</v>
      </c>
      <c r="C28" s="25">
        <v>1.07</v>
      </c>
      <c r="D28" s="21">
        <v>0.28499999999999998</v>
      </c>
      <c r="E28" s="20">
        <v>103.54</v>
      </c>
      <c r="F28" s="20">
        <v>103.54</v>
      </c>
      <c r="G28" s="20">
        <v>103.54</v>
      </c>
      <c r="H28" s="73">
        <v>3495</v>
      </c>
      <c r="I28" s="25">
        <v>0.78</v>
      </c>
      <c r="J28" s="21">
        <v>0.89400000000000002</v>
      </c>
      <c r="K28" s="20">
        <v>103.54</v>
      </c>
      <c r="L28" s="20">
        <v>103.54</v>
      </c>
      <c r="M28" s="20">
        <v>101.77</v>
      </c>
      <c r="N28" s="73">
        <v>10389</v>
      </c>
      <c r="O28" s="25">
        <v>1.07</v>
      </c>
      <c r="P28" s="21">
        <v>0.36799999999999999</v>
      </c>
      <c r="Q28" s="20">
        <v>72.16</v>
      </c>
      <c r="R28" s="20">
        <v>72.16</v>
      </c>
      <c r="S28" s="20">
        <v>72.16</v>
      </c>
      <c r="T28" s="73">
        <v>6510</v>
      </c>
      <c r="U28" s="72">
        <v>1.35</v>
      </c>
      <c r="V28" s="21">
        <v>0.59299999999999997</v>
      </c>
      <c r="W28" s="20">
        <v>103.54</v>
      </c>
      <c r="X28" s="20">
        <v>103.54</v>
      </c>
      <c r="Y28" s="20">
        <v>103.54</v>
      </c>
    </row>
    <row r="29" spans="1:31" x14ac:dyDescent="0.2">
      <c r="A29" s="22">
        <v>36892</v>
      </c>
      <c r="B29" s="73">
        <v>32294</v>
      </c>
      <c r="C29" s="25">
        <v>0.75</v>
      </c>
      <c r="D29" s="21">
        <v>0.314</v>
      </c>
      <c r="E29" s="20">
        <v>56.92</v>
      </c>
      <c r="F29" s="20">
        <v>56.92</v>
      </c>
      <c r="G29" s="20">
        <v>56.92</v>
      </c>
      <c r="H29" s="73">
        <v>7699</v>
      </c>
      <c r="I29" s="25">
        <v>2.0499999999999998</v>
      </c>
      <c r="J29" s="21">
        <v>0.98599999999999999</v>
      </c>
      <c r="K29" s="20">
        <v>56.92</v>
      </c>
      <c r="L29" s="20">
        <v>56.92</v>
      </c>
      <c r="M29" s="20">
        <v>56.92</v>
      </c>
      <c r="N29" s="73">
        <v>9717</v>
      </c>
      <c r="O29" s="25">
        <v>0.72</v>
      </c>
      <c r="P29" s="21">
        <v>0.41399999999999998</v>
      </c>
      <c r="Q29" s="20">
        <v>33.869999999999997</v>
      </c>
      <c r="R29" s="20">
        <v>33.869999999999997</v>
      </c>
      <c r="S29" s="20">
        <v>33.869999999999997</v>
      </c>
      <c r="T29" s="73">
        <v>7783</v>
      </c>
      <c r="U29" s="72">
        <v>0.92</v>
      </c>
      <c r="V29" s="21">
        <v>0.71899999999999997</v>
      </c>
      <c r="W29" s="20">
        <v>33.869999999999997</v>
      </c>
      <c r="X29" s="20">
        <v>33.869999999999997</v>
      </c>
      <c r="Y29" s="20">
        <v>33.869999999999997</v>
      </c>
    </row>
    <row r="30" spans="1:31" x14ac:dyDescent="0.2">
      <c r="A30" s="22">
        <v>36923</v>
      </c>
      <c r="B30" s="73">
        <v>33656</v>
      </c>
      <c r="C30" s="25">
        <v>0.71</v>
      </c>
      <c r="D30" s="21">
        <v>0.33439999999999998</v>
      </c>
      <c r="E30" s="20">
        <v>160.29</v>
      </c>
      <c r="F30" s="20">
        <v>160.29</v>
      </c>
      <c r="G30" s="20">
        <v>160.29</v>
      </c>
      <c r="H30" s="73">
        <v>13436</v>
      </c>
      <c r="I30" s="25">
        <v>2.76</v>
      </c>
      <c r="J30" s="21">
        <v>0.97389999999999999</v>
      </c>
      <c r="K30" s="20">
        <v>160.29</v>
      </c>
      <c r="L30" s="20">
        <v>153.47</v>
      </c>
      <c r="M30" s="20">
        <v>153.47</v>
      </c>
      <c r="N30" s="73">
        <v>5095</v>
      </c>
      <c r="O30" s="25">
        <v>0.35</v>
      </c>
      <c r="P30" s="21">
        <v>0.38169999999999998</v>
      </c>
      <c r="Q30" s="20">
        <v>121.47</v>
      </c>
      <c r="R30" s="20">
        <v>121.47</v>
      </c>
      <c r="S30" s="20">
        <v>121.47</v>
      </c>
      <c r="T30" s="73">
        <v>8407</v>
      </c>
      <c r="U30" s="72">
        <v>0.73</v>
      </c>
      <c r="V30" s="21">
        <v>0.7248</v>
      </c>
      <c r="W30" s="20">
        <v>121.47</v>
      </c>
      <c r="X30" s="20">
        <v>121.47</v>
      </c>
      <c r="Y30" s="20">
        <v>121.47</v>
      </c>
    </row>
    <row r="31" spans="1:31" x14ac:dyDescent="0.2">
      <c r="A31" s="22">
        <v>36951</v>
      </c>
      <c r="B31" s="75"/>
      <c r="C31" s="75"/>
      <c r="D31" s="76"/>
      <c r="E31" s="20">
        <v>165.97</v>
      </c>
      <c r="F31" s="20">
        <v>165.97</v>
      </c>
      <c r="G31" s="20">
        <v>165.97</v>
      </c>
      <c r="K31" s="20">
        <v>165.97</v>
      </c>
      <c r="L31" s="20">
        <v>149.84</v>
      </c>
      <c r="M31" s="20">
        <v>149.84</v>
      </c>
      <c r="Q31" s="20">
        <v>154.21</v>
      </c>
      <c r="R31" s="20">
        <v>154.21</v>
      </c>
      <c r="S31" s="20">
        <v>154.21</v>
      </c>
      <c r="W31" s="20">
        <v>154.21</v>
      </c>
      <c r="X31" s="20">
        <v>154.21</v>
      </c>
      <c r="Y31" s="20">
        <v>154.21</v>
      </c>
    </row>
    <row r="32" spans="1:31" x14ac:dyDescent="0.2">
      <c r="A32" s="22">
        <v>36982</v>
      </c>
      <c r="B32" s="75"/>
      <c r="C32" s="75"/>
      <c r="D32" s="76"/>
      <c r="Q32" s="20"/>
      <c r="R32" s="20"/>
    </row>
    <row r="33" spans="1:22" x14ac:dyDescent="0.2">
      <c r="A33" s="22">
        <v>37012</v>
      </c>
      <c r="B33" s="75"/>
      <c r="C33" s="75"/>
      <c r="D33" s="76"/>
      <c r="Q33" s="20"/>
      <c r="R33" s="20"/>
    </row>
    <row r="34" spans="1:22" x14ac:dyDescent="0.2">
      <c r="A34" s="22">
        <v>37043</v>
      </c>
      <c r="B34" s="75"/>
      <c r="C34" s="75"/>
      <c r="D34" s="76"/>
      <c r="Q34" s="20"/>
      <c r="R34" s="20"/>
    </row>
    <row r="35" spans="1:22" x14ac:dyDescent="0.2">
      <c r="A35" s="22">
        <v>37073</v>
      </c>
    </row>
    <row r="37" spans="1:22" x14ac:dyDescent="0.2">
      <c r="B37" s="365" t="s">
        <v>211</v>
      </c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6"/>
      <c r="N37" s="21"/>
      <c r="P37" s="20"/>
      <c r="Q37" s="20"/>
      <c r="R37" s="20"/>
      <c r="T37" s="21"/>
      <c r="U37" s="21"/>
      <c r="V37" s="21"/>
    </row>
    <row r="38" spans="1:22" x14ac:dyDescent="0.2">
      <c r="A38" s="75"/>
      <c r="B38" s="428" t="s">
        <v>137</v>
      </c>
      <c r="C38" s="429"/>
      <c r="D38" s="429"/>
      <c r="E38" s="428" t="s">
        <v>138</v>
      </c>
      <c r="F38" s="429"/>
      <c r="G38" s="429"/>
      <c r="H38" s="428" t="s">
        <v>142</v>
      </c>
      <c r="I38" s="429"/>
      <c r="J38" s="430"/>
      <c r="K38" s="428" t="s">
        <v>208</v>
      </c>
      <c r="L38" s="429"/>
      <c r="M38" s="430"/>
      <c r="N38" s="21"/>
      <c r="O38" s="485" t="s">
        <v>295</v>
      </c>
      <c r="P38" s="486"/>
      <c r="Q38" s="486"/>
      <c r="R38" s="486"/>
      <c r="S38" s="487"/>
      <c r="T38" s="427" t="s">
        <v>296</v>
      </c>
      <c r="U38" s="21"/>
      <c r="V38" s="21"/>
    </row>
    <row r="39" spans="1:22" x14ac:dyDescent="0.2">
      <c r="A39" s="77"/>
      <c r="B39" s="78" t="s">
        <v>261</v>
      </c>
      <c r="C39" s="78">
        <v>2000</v>
      </c>
      <c r="D39" s="78" t="s">
        <v>279</v>
      </c>
      <c r="E39" s="78" t="s">
        <v>261</v>
      </c>
      <c r="F39" s="78">
        <v>2000</v>
      </c>
      <c r="G39" s="78" t="s">
        <v>279</v>
      </c>
      <c r="H39" s="78" t="s">
        <v>261</v>
      </c>
      <c r="I39" s="78">
        <v>2000</v>
      </c>
      <c r="J39" s="78" t="s">
        <v>279</v>
      </c>
      <c r="K39" s="78" t="s">
        <v>261</v>
      </c>
      <c r="L39" s="78">
        <v>2000</v>
      </c>
      <c r="M39" s="78" t="s">
        <v>279</v>
      </c>
      <c r="N39" s="21"/>
      <c r="O39"/>
      <c r="P39" s="20" t="s">
        <v>137</v>
      </c>
      <c r="Q39" s="20" t="s">
        <v>138</v>
      </c>
      <c r="R39" s="20" t="s">
        <v>142</v>
      </c>
      <c r="S39" s="20" t="s">
        <v>208</v>
      </c>
      <c r="T39" s="21"/>
      <c r="U39" s="21"/>
      <c r="V39" s="21"/>
    </row>
    <row r="40" spans="1:22" x14ac:dyDescent="0.2">
      <c r="A40" s="79" t="s">
        <v>132</v>
      </c>
      <c r="B40" s="80">
        <f>D5</f>
        <v>0.56799999999999995</v>
      </c>
      <c r="C40" s="81">
        <f>D17</f>
        <v>0.29299999999999998</v>
      </c>
      <c r="D40" s="81">
        <f>D29</f>
        <v>0.314</v>
      </c>
      <c r="E40" s="81">
        <f>J5</f>
        <v>0.79200000000000004</v>
      </c>
      <c r="F40" s="81">
        <f>J17</f>
        <v>0.47499999999999998</v>
      </c>
      <c r="G40" s="81">
        <f>J29</f>
        <v>0.98599999999999999</v>
      </c>
      <c r="H40" s="81">
        <f>P5</f>
        <v>0.44400000000000001</v>
      </c>
      <c r="I40" s="81">
        <f>P17</f>
        <v>0.35700000000000004</v>
      </c>
      <c r="J40" s="81">
        <f>P29</f>
        <v>0.41399999999999998</v>
      </c>
      <c r="K40" s="81">
        <f>V5</f>
        <v>0.74199999999999999</v>
      </c>
      <c r="L40" s="81">
        <f>V17</f>
        <v>0.755</v>
      </c>
      <c r="M40" s="81">
        <f>V29</f>
        <v>0.71899999999999997</v>
      </c>
      <c r="N40" s="21"/>
      <c r="O40" s="20" t="s">
        <v>283</v>
      </c>
      <c r="P40" s="426">
        <v>44568.022669999998</v>
      </c>
      <c r="Q40" s="426">
        <v>4347.1427359999998</v>
      </c>
      <c r="R40" s="426">
        <v>13576.023900000002</v>
      </c>
      <c r="S40" s="426">
        <v>8508.6983999999993</v>
      </c>
      <c r="T40" s="21"/>
      <c r="U40" s="21"/>
      <c r="V40" s="21"/>
    </row>
    <row r="41" spans="1:22" x14ac:dyDescent="0.2">
      <c r="A41" s="79" t="s">
        <v>150</v>
      </c>
      <c r="B41" s="80">
        <f t="shared" ref="B41:B51" si="10">D6</f>
        <v>0.622</v>
      </c>
      <c r="C41" s="81">
        <f t="shared" ref="C41:C51" si="11">D18</f>
        <v>0.45</v>
      </c>
      <c r="D41" s="81">
        <f>D30</f>
        <v>0.33439999999999998</v>
      </c>
      <c r="E41" s="81">
        <f t="shared" ref="E41:E51" si="12">J6</f>
        <v>0.84399999999999997</v>
      </c>
      <c r="F41" s="81">
        <f t="shared" ref="F41:F51" si="13">J18</f>
        <v>0.47299999999999998</v>
      </c>
      <c r="G41" s="81">
        <f>J30</f>
        <v>0.97389999999999999</v>
      </c>
      <c r="H41" s="81">
        <f t="shared" ref="H41:H51" si="14">P6</f>
        <v>0.42599999999999999</v>
      </c>
      <c r="I41" s="81">
        <f t="shared" ref="I41:I51" si="15">P18</f>
        <v>0.54100000000000004</v>
      </c>
      <c r="J41" s="81">
        <f>P30</f>
        <v>0.38169999999999998</v>
      </c>
      <c r="K41" s="81">
        <f t="shared" ref="K41:K51" si="16">V6</f>
        <v>0.80200000000000005</v>
      </c>
      <c r="L41" s="81">
        <f t="shared" ref="L41:L51" si="17">V18</f>
        <v>0.80700000000000005</v>
      </c>
      <c r="M41" s="81">
        <f>V30</f>
        <v>0.7248</v>
      </c>
      <c r="N41" s="21"/>
      <c r="O41" s="20" t="s">
        <v>284</v>
      </c>
      <c r="P41" s="426">
        <v>47230.70422</v>
      </c>
      <c r="Q41" s="426">
        <v>4839.283034</v>
      </c>
      <c r="R41" s="426">
        <v>14513.986600000002</v>
      </c>
      <c r="S41" s="426">
        <v>11492.225199999999</v>
      </c>
      <c r="T41" s="21"/>
      <c r="U41" s="21"/>
      <c r="V41" s="21"/>
    </row>
    <row r="42" spans="1:22" x14ac:dyDescent="0.2">
      <c r="A42" s="79" t="s">
        <v>133</v>
      </c>
      <c r="B42" s="80">
        <f t="shared" si="10"/>
        <v>0.71</v>
      </c>
      <c r="C42" s="81">
        <f t="shared" si="11"/>
        <v>0.58499999999999996</v>
      </c>
      <c r="D42" s="81"/>
      <c r="E42" s="81">
        <f t="shared" si="12"/>
        <v>0.749</v>
      </c>
      <c r="F42" s="81">
        <f t="shared" si="13"/>
        <v>0.52300000000000002</v>
      </c>
      <c r="G42" s="81"/>
      <c r="H42" s="81">
        <f t="shared" si="14"/>
        <v>0.58599999999999997</v>
      </c>
      <c r="I42" s="81">
        <f t="shared" si="15"/>
        <v>0.66</v>
      </c>
      <c r="J42" s="81"/>
      <c r="K42" s="81">
        <f t="shared" si="16"/>
        <v>0.81</v>
      </c>
      <c r="L42" s="81">
        <f t="shared" si="17"/>
        <v>0.83299999999999996</v>
      </c>
      <c r="M42" s="81"/>
      <c r="N42" s="21"/>
      <c r="O42" s="20" t="s">
        <v>285</v>
      </c>
      <c r="P42" s="426">
        <v>44282.306284000006</v>
      </c>
      <c r="Q42" s="426">
        <v>4315.3791939999992</v>
      </c>
      <c r="R42" s="426">
        <v>14044.766000000001</v>
      </c>
      <c r="S42" s="426">
        <v>13351.415800000001</v>
      </c>
      <c r="T42" s="21"/>
      <c r="U42" s="21"/>
      <c r="V42" s="21"/>
    </row>
    <row r="43" spans="1:22" x14ac:dyDescent="0.2">
      <c r="A43" s="79" t="s">
        <v>151</v>
      </c>
      <c r="B43" s="80">
        <f t="shared" si="10"/>
        <v>0.69799999999999995</v>
      </c>
      <c r="C43" s="81">
        <f t="shared" si="11"/>
        <v>0.59399999999999997</v>
      </c>
      <c r="D43" s="81"/>
      <c r="E43" s="81">
        <f t="shared" si="12"/>
        <v>0.72699999999999998</v>
      </c>
      <c r="F43" s="81">
        <f t="shared" si="13"/>
        <v>0.4</v>
      </c>
      <c r="G43" s="81"/>
      <c r="H43" s="81">
        <f t="shared" si="14"/>
        <v>0.57399999999999995</v>
      </c>
      <c r="I43" s="81">
        <f t="shared" si="15"/>
        <v>0.71199999999999997</v>
      </c>
      <c r="J43" s="81"/>
      <c r="K43" s="81">
        <f t="shared" si="16"/>
        <v>0.83199999999999996</v>
      </c>
      <c r="L43" s="81">
        <f t="shared" si="17"/>
        <v>0.83699999999999997</v>
      </c>
      <c r="M43" s="81"/>
      <c r="N43" s="21"/>
      <c r="O43" s="20" t="s">
        <v>286</v>
      </c>
      <c r="P43" s="426">
        <v>32949.234524</v>
      </c>
      <c r="Q43" s="426">
        <v>3830.7681400000001</v>
      </c>
      <c r="R43" s="426">
        <v>11150.971500000001</v>
      </c>
      <c r="S43" s="426">
        <v>13303.336799999999</v>
      </c>
      <c r="T43" s="21"/>
      <c r="U43" s="21"/>
      <c r="V43" s="21"/>
    </row>
    <row r="44" spans="1:22" x14ac:dyDescent="0.2">
      <c r="A44" s="79" t="s">
        <v>152</v>
      </c>
      <c r="B44" s="80">
        <f t="shared" si="10"/>
        <v>0.65400000000000003</v>
      </c>
      <c r="C44" s="81">
        <f t="shared" si="11"/>
        <v>0.54100000000000004</v>
      </c>
      <c r="D44" s="81"/>
      <c r="E44" s="81">
        <f t="shared" si="12"/>
        <v>0.60799999999999998</v>
      </c>
      <c r="F44" s="81">
        <f t="shared" si="13"/>
        <v>0.30199999999999999</v>
      </c>
      <c r="G44" s="81"/>
      <c r="H44" s="81">
        <f t="shared" si="14"/>
        <v>0.52900000000000003</v>
      </c>
      <c r="I44" s="81">
        <f t="shared" si="15"/>
        <v>0.67300000000000004</v>
      </c>
      <c r="J44" s="81"/>
      <c r="K44" s="81">
        <f t="shared" si="16"/>
        <v>0.83699999999999997</v>
      </c>
      <c r="L44" s="81">
        <f t="shared" si="17"/>
        <v>0.82099999999999995</v>
      </c>
      <c r="M44" s="81"/>
      <c r="N44" s="21"/>
      <c r="O44" s="20" t="s">
        <v>287</v>
      </c>
      <c r="P44" s="426">
        <v>24508.549597999994</v>
      </c>
      <c r="Q44" s="426">
        <v>5091.3770160000004</v>
      </c>
      <c r="R44" s="426">
        <v>6941.0725000000002</v>
      </c>
      <c r="S44" s="426">
        <v>8654.7736000000004</v>
      </c>
      <c r="T44" s="21"/>
      <c r="U44" s="21"/>
      <c r="V44" s="21"/>
    </row>
    <row r="45" spans="1:22" x14ac:dyDescent="0.2">
      <c r="A45" s="79" t="s">
        <v>134</v>
      </c>
      <c r="B45" s="80">
        <f t="shared" si="10"/>
        <v>0.60099999999999998</v>
      </c>
      <c r="C45" s="81">
        <f t="shared" si="11"/>
        <v>0.47299999999999998</v>
      </c>
      <c r="D45" s="81"/>
      <c r="E45" s="81">
        <f t="shared" si="12"/>
        <v>0.76100000000000001</v>
      </c>
      <c r="F45" s="81">
        <f t="shared" si="13"/>
        <v>0.29599999999999999</v>
      </c>
      <c r="G45" s="81"/>
      <c r="H45" s="81">
        <f t="shared" si="14"/>
        <v>0.46399999999999997</v>
      </c>
      <c r="I45" s="81">
        <f t="shared" si="15"/>
        <v>0.61799999999999999</v>
      </c>
      <c r="J45" s="81"/>
      <c r="K45" s="81">
        <f t="shared" si="16"/>
        <v>0.81</v>
      </c>
      <c r="L45" s="81">
        <f t="shared" si="17"/>
        <v>0.81100000000000005</v>
      </c>
      <c r="M45" s="81"/>
      <c r="N45" s="21"/>
      <c r="O45" s="20" t="s">
        <v>288</v>
      </c>
      <c r="P45" s="426">
        <v>20901.763075999996</v>
      </c>
      <c r="Q45" s="426">
        <v>6144.2633040000001</v>
      </c>
      <c r="R45" s="426">
        <v>4773.3168999999998</v>
      </c>
      <c r="S45" s="426">
        <v>4249.8451999999997</v>
      </c>
      <c r="T45" s="21"/>
      <c r="U45" s="21"/>
      <c r="V45" s="21"/>
    </row>
    <row r="46" spans="1:22" x14ac:dyDescent="0.2">
      <c r="A46" s="79" t="s">
        <v>135</v>
      </c>
      <c r="B46" s="80">
        <f t="shared" si="10"/>
        <v>0.54200000000000004</v>
      </c>
      <c r="C46" s="81">
        <f t="shared" si="11"/>
        <v>0.40200000000000002</v>
      </c>
      <c r="D46" s="81"/>
      <c r="E46" s="81">
        <f t="shared" si="12"/>
        <v>0.879</v>
      </c>
      <c r="F46" s="81">
        <f t="shared" si="13"/>
        <v>0.441</v>
      </c>
      <c r="G46" s="81"/>
      <c r="H46" s="81">
        <f t="shared" si="14"/>
        <v>0.39600000000000002</v>
      </c>
      <c r="I46" s="81">
        <f t="shared" si="15"/>
        <v>0.54900000000000004</v>
      </c>
      <c r="J46" s="81"/>
      <c r="K46" s="81">
        <f t="shared" si="16"/>
        <v>0.71399999999999997</v>
      </c>
      <c r="L46" s="81">
        <f t="shared" si="17"/>
        <v>0.755</v>
      </c>
      <c r="M46" s="81"/>
      <c r="N46" s="21"/>
      <c r="O46" s="20" t="s">
        <v>289</v>
      </c>
      <c r="P46" s="426">
        <v>17255.203205999998</v>
      </c>
      <c r="Q46" s="426">
        <v>6397.9263999999994</v>
      </c>
      <c r="R46" s="426">
        <v>3940.8305</v>
      </c>
      <c r="S46" s="426">
        <v>2466.9425999999999</v>
      </c>
      <c r="T46" s="21"/>
      <c r="U46" s="21"/>
      <c r="V46" s="21"/>
    </row>
    <row r="47" spans="1:22" x14ac:dyDescent="0.2">
      <c r="A47" s="79" t="s">
        <v>153</v>
      </c>
      <c r="B47" s="80">
        <f t="shared" si="10"/>
        <v>0.45</v>
      </c>
      <c r="C47" s="81">
        <f t="shared" si="11"/>
        <v>0.32400000000000001</v>
      </c>
      <c r="D47" s="81"/>
      <c r="E47" s="81">
        <f t="shared" si="12"/>
        <v>0.70499999999999996</v>
      </c>
      <c r="F47" s="81">
        <f t="shared" si="13"/>
        <v>0.47</v>
      </c>
      <c r="G47" s="81"/>
      <c r="H47" s="81">
        <f t="shared" si="14"/>
        <v>0.31900000000000001</v>
      </c>
      <c r="I47" s="81">
        <f t="shared" si="15"/>
        <v>0.46800000000000003</v>
      </c>
      <c r="J47" s="81"/>
      <c r="K47" s="81">
        <f t="shared" si="16"/>
        <v>0.58499999999999996</v>
      </c>
      <c r="L47" s="81">
        <f t="shared" si="17"/>
        <v>0.61499999999999999</v>
      </c>
      <c r="M47" s="81"/>
      <c r="N47" s="21"/>
      <c r="O47" s="20" t="s">
        <v>290</v>
      </c>
      <c r="P47" s="426">
        <v>14342.954288000001</v>
      </c>
      <c r="Q47" s="426">
        <v>5632.6324059999997</v>
      </c>
      <c r="R47" s="426">
        <v>3380.2433000000005</v>
      </c>
      <c r="S47" s="426">
        <v>1735.4494</v>
      </c>
      <c r="T47" s="21"/>
      <c r="U47" s="21"/>
      <c r="V47" s="21"/>
    </row>
    <row r="48" spans="1:22" x14ac:dyDescent="0.2">
      <c r="A48" s="79" t="s">
        <v>154</v>
      </c>
      <c r="B48" s="80">
        <f t="shared" si="10"/>
        <v>0.36700000000000005</v>
      </c>
      <c r="C48" s="81">
        <f t="shared" si="11"/>
        <v>0.308</v>
      </c>
      <c r="D48" s="81"/>
      <c r="E48" s="81">
        <f t="shared" si="12"/>
        <v>0.61599999999999999</v>
      </c>
      <c r="F48" s="81">
        <f t="shared" si="13"/>
        <v>0.85699999999999998</v>
      </c>
      <c r="G48" s="81"/>
      <c r="H48" s="81">
        <f t="shared" si="14"/>
        <v>0.252</v>
      </c>
      <c r="I48" s="81">
        <f t="shared" si="15"/>
        <v>0.39400000000000002</v>
      </c>
      <c r="J48" s="81"/>
      <c r="K48" s="81">
        <f t="shared" si="16"/>
        <v>0.438</v>
      </c>
      <c r="L48" s="81">
        <f t="shared" si="17"/>
        <v>0.45400000000000001</v>
      </c>
      <c r="M48" s="81"/>
      <c r="N48" s="21"/>
      <c r="O48" s="20" t="s">
        <v>291</v>
      </c>
      <c r="P48" s="426">
        <v>14397.872517999998</v>
      </c>
      <c r="Q48" s="426">
        <v>6511.4078479999998</v>
      </c>
      <c r="R48" s="426">
        <v>2997.9040000000005</v>
      </c>
      <c r="S48" s="426">
        <v>1350.1156000000001</v>
      </c>
      <c r="T48" s="21"/>
      <c r="U48" s="21"/>
      <c r="V48" s="21"/>
    </row>
    <row r="49" spans="1:22" x14ac:dyDescent="0.2">
      <c r="A49" s="79" t="s">
        <v>155</v>
      </c>
      <c r="B49" s="80">
        <f t="shared" si="10"/>
        <v>0.26400000000000001</v>
      </c>
      <c r="C49" s="81">
        <f t="shared" si="11"/>
        <v>0.23</v>
      </c>
      <c r="E49" s="81">
        <f t="shared" si="12"/>
        <v>0.79200000000000004</v>
      </c>
      <c r="F49" s="81">
        <f t="shared" si="13"/>
        <v>0.96199999999999997</v>
      </c>
      <c r="G49" s="21"/>
      <c r="H49" s="81">
        <f t="shared" si="14"/>
        <v>0.17</v>
      </c>
      <c r="I49" s="81">
        <f t="shared" si="15"/>
        <v>0.28899999999999998</v>
      </c>
      <c r="K49" s="81">
        <f t="shared" si="16"/>
        <v>0.28699999999999998</v>
      </c>
      <c r="L49" s="81">
        <f t="shared" si="17"/>
        <v>0.32100000000000001</v>
      </c>
      <c r="M49" s="21"/>
      <c r="N49" s="21"/>
      <c r="O49" s="20" t="s">
        <v>292</v>
      </c>
      <c r="P49" s="426">
        <v>17466.893266000003</v>
      </c>
      <c r="Q49" s="426">
        <v>7377.34926</v>
      </c>
      <c r="R49" s="426">
        <v>3352.6161000000002</v>
      </c>
      <c r="S49" s="426">
        <v>1512.8609999999999</v>
      </c>
      <c r="T49" s="21"/>
      <c r="U49" s="21"/>
      <c r="V49" s="21"/>
    </row>
    <row r="50" spans="1:22" x14ac:dyDescent="0.2">
      <c r="A50" s="79" t="s">
        <v>136</v>
      </c>
      <c r="B50" s="80">
        <f t="shared" si="10"/>
        <v>0.19699999999999998</v>
      </c>
      <c r="C50" s="81">
        <f t="shared" si="11"/>
        <v>0.22090000000000001</v>
      </c>
      <c r="E50" s="81">
        <f t="shared" si="12"/>
        <v>0.66200000000000003</v>
      </c>
      <c r="F50" s="81">
        <f t="shared" si="13"/>
        <v>0.92900000000000005</v>
      </c>
      <c r="G50" s="21"/>
      <c r="H50" s="81">
        <f t="shared" si="14"/>
        <v>0.159</v>
      </c>
      <c r="I50" s="81">
        <f t="shared" si="15"/>
        <v>0.27539999999999998</v>
      </c>
      <c r="K50" s="81">
        <f t="shared" si="16"/>
        <v>0.24</v>
      </c>
      <c r="L50" s="81">
        <f t="shared" si="17"/>
        <v>0.29020000000000001</v>
      </c>
      <c r="M50" s="21"/>
      <c r="N50" s="21"/>
      <c r="O50" s="20" t="s">
        <v>293</v>
      </c>
      <c r="P50" s="426">
        <v>22046.464743999997</v>
      </c>
      <c r="Q50" s="426">
        <v>5537.4984999999997</v>
      </c>
      <c r="R50" s="426">
        <v>5435.0312999999996</v>
      </c>
      <c r="S50" s="426">
        <v>2491.8277999999996</v>
      </c>
      <c r="T50" s="21"/>
      <c r="U50" s="21"/>
      <c r="V50" s="21"/>
    </row>
    <row r="51" spans="1:22" x14ac:dyDescent="0.2">
      <c r="A51" s="79" t="s">
        <v>156</v>
      </c>
      <c r="B51" s="80">
        <f t="shared" si="10"/>
        <v>0.18100000000000002</v>
      </c>
      <c r="C51" s="81">
        <f t="shared" si="11"/>
        <v>0.28499999999999998</v>
      </c>
      <c r="E51" s="81">
        <f t="shared" si="12"/>
        <v>0.52900000000000003</v>
      </c>
      <c r="F51" s="81">
        <f t="shared" si="13"/>
        <v>0.89400000000000002</v>
      </c>
      <c r="G51" s="21"/>
      <c r="H51" s="81">
        <f t="shared" si="14"/>
        <v>0.218</v>
      </c>
      <c r="I51" s="81">
        <f t="shared" si="15"/>
        <v>0.36799999999999999</v>
      </c>
      <c r="K51" s="81">
        <f t="shared" si="16"/>
        <v>0.45700000000000002</v>
      </c>
      <c r="L51" s="81">
        <f t="shared" si="17"/>
        <v>0.59299999999999997</v>
      </c>
      <c r="M51" s="21"/>
      <c r="N51" s="21"/>
      <c r="O51" s="20" t="s">
        <v>294</v>
      </c>
      <c r="P51" s="426">
        <v>32981.237041999993</v>
      </c>
      <c r="Q51" s="426">
        <v>4482.5366999999997</v>
      </c>
      <c r="R51" s="426">
        <v>9732.2746999999999</v>
      </c>
      <c r="S51" s="426">
        <v>4837.9322000000002</v>
      </c>
      <c r="T51" s="21"/>
      <c r="U51" s="21"/>
      <c r="V51" s="21"/>
    </row>
    <row r="52" spans="1:22" x14ac:dyDescent="0.2">
      <c r="C52" s="336"/>
      <c r="E52" s="336"/>
      <c r="G52" s="336"/>
      <c r="I52" s="336"/>
    </row>
    <row r="53" spans="1:22" x14ac:dyDescent="0.2">
      <c r="D53" s="21" t="s">
        <v>134</v>
      </c>
      <c r="E53" s="20" t="s">
        <v>135</v>
      </c>
      <c r="F53" s="20" t="s">
        <v>153</v>
      </c>
      <c r="G53" s="20" t="s">
        <v>154</v>
      </c>
      <c r="H53" s="20" t="s">
        <v>155</v>
      </c>
    </row>
    <row r="54" spans="1:22" x14ac:dyDescent="0.2">
      <c r="C54" s="20" t="s">
        <v>268</v>
      </c>
      <c r="D54" s="84">
        <f>C45*100</f>
        <v>47.3</v>
      </c>
      <c r="E54" s="84">
        <f>C46*100</f>
        <v>40.200000000000003</v>
      </c>
      <c r="F54" s="84">
        <f>C47*100</f>
        <v>32.4</v>
      </c>
      <c r="G54" s="84">
        <f>C48*100</f>
        <v>30.8</v>
      </c>
      <c r="H54" s="84">
        <f>C49*100</f>
        <v>23</v>
      </c>
    </row>
    <row r="55" spans="1:22" x14ac:dyDescent="0.2">
      <c r="C55" s="20" t="s">
        <v>129</v>
      </c>
      <c r="D55" s="84">
        <f>F45*100</f>
        <v>29.599999999999998</v>
      </c>
      <c r="E55" s="84">
        <f>F46*100</f>
        <v>44.1</v>
      </c>
      <c r="F55" s="84">
        <f>F47*100</f>
        <v>47</v>
      </c>
      <c r="G55" s="84">
        <f>F48*100</f>
        <v>85.7</v>
      </c>
      <c r="H55" s="84">
        <f>F49*100</f>
        <v>96.2</v>
      </c>
    </row>
    <row r="56" spans="1:22" x14ac:dyDescent="0.2">
      <c r="C56" s="20" t="s">
        <v>131</v>
      </c>
      <c r="D56" s="84">
        <f>I45*100</f>
        <v>61.8</v>
      </c>
      <c r="E56" s="84">
        <f>I46*100</f>
        <v>54.900000000000006</v>
      </c>
      <c r="F56" s="84">
        <f>I47*100</f>
        <v>46.800000000000004</v>
      </c>
      <c r="G56" s="84">
        <f>I48*100</f>
        <v>39.4</v>
      </c>
      <c r="H56" s="84">
        <f>I49*100</f>
        <v>28.9</v>
      </c>
    </row>
    <row r="57" spans="1:22" x14ac:dyDescent="0.2">
      <c r="C57" s="20" t="s">
        <v>130</v>
      </c>
      <c r="D57" s="84">
        <f>L45*100</f>
        <v>81.100000000000009</v>
      </c>
      <c r="E57" s="84">
        <f>L46*100</f>
        <v>75.5</v>
      </c>
      <c r="F57" s="84">
        <f>L47*100</f>
        <v>61.5</v>
      </c>
      <c r="G57" s="84">
        <f>L48*100</f>
        <v>45.4</v>
      </c>
      <c r="H57" s="84">
        <f>L49*100</f>
        <v>32.1</v>
      </c>
    </row>
  </sheetData>
  <mergeCells count="1">
    <mergeCell ref="O38:S38"/>
  </mergeCells>
  <pageMargins left="0.25" right="0.25" top="0.75" bottom="0.75" header="0.49212598499999999" footer="0.49212598499999999"/>
  <pageSetup scale="57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Page1</vt:lpstr>
      <vt:lpstr>Page2</vt:lpstr>
      <vt:lpstr>Page3</vt:lpstr>
      <vt:lpstr>Page4</vt:lpstr>
      <vt:lpstr>Data</vt:lpstr>
      <vt:lpstr>Data!Print_Area</vt:lpstr>
      <vt:lpstr>Page1!Print_Area</vt:lpstr>
      <vt:lpstr>Page2!Print_Area</vt:lpstr>
      <vt:lpstr>Page3!Print_Area</vt:lpstr>
      <vt:lpstr>Page4!Print_Area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ESA Intranet</dc:title>
  <dc:creator>Guy Ishikawa</dc:creator>
  <cp:lastModifiedBy>Jan Havlíček</cp:lastModifiedBy>
  <cp:lastPrinted>2001-03-09T20:03:35Z</cp:lastPrinted>
  <dcterms:created xsi:type="dcterms:W3CDTF">2000-08-01T19:08:21Z</dcterms:created>
  <dcterms:modified xsi:type="dcterms:W3CDTF">2023-09-18T19:27:17Z</dcterms:modified>
</cp:coreProperties>
</file>