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8F942A2-C58D-4670-94A4-51319EB53C22}" xr6:coauthVersionLast="47" xr6:coauthVersionMax="47" xr10:uidLastSave="{00000000-0000-0000-0000-000000000000}"/>
  <bookViews>
    <workbookView xWindow="-120" yWindow="-120" windowWidth="38640" windowHeight="15720" activeTab="2"/>
  </bookViews>
  <sheets>
    <sheet name="overview" sheetId="8" r:id="rId1"/>
    <sheet name="support for reclass of ENA" sheetId="1" r:id="rId2"/>
    <sheet name="qualifications" sheetId="2" r:id="rId3"/>
  </sheets>
  <definedNames>
    <definedName name="_xlnm.Print_Area" localSheetId="0">overview!$A$1:$AF$88</definedName>
  </definedName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" i="8" l="1"/>
  <c r="T7" i="8"/>
  <c r="V7" i="8"/>
  <c r="X7" i="8"/>
  <c r="Z7" i="8"/>
  <c r="AB7" i="8"/>
  <c r="AC7" i="8"/>
  <c r="AD7" i="8"/>
  <c r="AE7" i="8"/>
  <c r="AF7" i="8"/>
  <c r="E9" i="8"/>
  <c r="G9" i="8"/>
  <c r="R9" i="8"/>
  <c r="T9" i="8"/>
  <c r="V9" i="8"/>
  <c r="X9" i="8"/>
  <c r="Z9" i="8"/>
  <c r="AB9" i="8"/>
  <c r="AC9" i="8"/>
  <c r="AD9" i="8"/>
  <c r="AE9" i="8"/>
  <c r="AF9" i="8"/>
  <c r="T10" i="8"/>
  <c r="V10" i="8"/>
  <c r="X10" i="8"/>
  <c r="Z10" i="8"/>
  <c r="AB10" i="8"/>
  <c r="AC10" i="8"/>
  <c r="AD10" i="8"/>
  <c r="AE10" i="8"/>
  <c r="AF10" i="8"/>
  <c r="Z13" i="8"/>
  <c r="AB13" i="8"/>
  <c r="AC13" i="8"/>
  <c r="AD13" i="8"/>
  <c r="AE13" i="8"/>
  <c r="AF13" i="8"/>
  <c r="Z14" i="8"/>
  <c r="Z15" i="8"/>
  <c r="Z16" i="8"/>
  <c r="R17" i="8"/>
  <c r="Z17" i="8"/>
  <c r="AB17" i="8"/>
  <c r="AC17" i="8"/>
  <c r="AD17" i="8"/>
  <c r="AE17" i="8"/>
  <c r="AF17" i="8"/>
  <c r="Z18" i="8"/>
  <c r="Z19" i="8"/>
  <c r="Z20" i="8"/>
  <c r="Z21" i="8"/>
  <c r="Z22" i="8"/>
  <c r="Z23" i="8"/>
  <c r="Z24" i="8"/>
  <c r="Z25" i="8"/>
  <c r="Z26" i="8"/>
  <c r="Z27" i="8"/>
  <c r="R28" i="8"/>
  <c r="Z28" i="8"/>
  <c r="Z29" i="8"/>
  <c r="Z30" i="8"/>
  <c r="E32" i="8"/>
  <c r="G32" i="8"/>
  <c r="R32" i="8"/>
  <c r="T32" i="8"/>
  <c r="V32" i="8"/>
  <c r="X32" i="8"/>
  <c r="Z32" i="8"/>
  <c r="T33" i="8"/>
  <c r="V33" i="8"/>
  <c r="X33" i="8"/>
  <c r="Z33" i="8"/>
  <c r="Z37" i="8"/>
  <c r="T38" i="8"/>
  <c r="V38" i="8"/>
  <c r="X38" i="8"/>
  <c r="Z38" i="8"/>
  <c r="Z39" i="8"/>
  <c r="R40" i="8"/>
  <c r="T40" i="8"/>
  <c r="V40" i="8"/>
  <c r="X40" i="8"/>
  <c r="Z40" i="8"/>
  <c r="Z41" i="8"/>
  <c r="Z42" i="8"/>
  <c r="T43" i="8"/>
  <c r="V43" i="8"/>
  <c r="X43" i="8"/>
  <c r="Z43" i="8"/>
  <c r="T44" i="8"/>
  <c r="V44" i="8"/>
  <c r="Z44" i="8"/>
  <c r="Z45" i="8"/>
  <c r="T46" i="8"/>
  <c r="V46" i="8"/>
  <c r="X46" i="8"/>
  <c r="Z46" i="8"/>
  <c r="Z47" i="8"/>
  <c r="R48" i="8"/>
  <c r="Z48" i="8"/>
  <c r="R49" i="8"/>
  <c r="V49" i="8"/>
  <c r="Z49" i="8"/>
  <c r="G56" i="8"/>
  <c r="R56" i="8"/>
  <c r="Z56" i="8"/>
  <c r="Z57" i="8"/>
  <c r="Z58" i="8"/>
  <c r="Z59" i="8"/>
  <c r="Z60" i="8"/>
  <c r="Z61" i="8"/>
  <c r="R62" i="8"/>
  <c r="Z62" i="8"/>
  <c r="Z64" i="8"/>
  <c r="G73" i="8"/>
  <c r="R73" i="8"/>
  <c r="T73" i="8"/>
  <c r="V73" i="8"/>
  <c r="X73" i="8"/>
  <c r="Z73" i="8"/>
  <c r="Z75" i="8"/>
  <c r="Z76" i="8"/>
  <c r="Z77" i="8"/>
  <c r="Z78" i="8"/>
  <c r="Z79" i="8"/>
  <c r="Z80" i="8"/>
  <c r="Z81" i="8"/>
  <c r="Z82" i="8"/>
  <c r="Z83" i="8"/>
  <c r="Z84" i="8"/>
  <c r="Z85" i="8"/>
  <c r="Z86" i="8"/>
  <c r="E3" i="1"/>
  <c r="F3" i="1"/>
  <c r="G3" i="1"/>
  <c r="H3" i="1"/>
  <c r="I3" i="1"/>
  <c r="M3" i="1"/>
  <c r="N3" i="1"/>
  <c r="O3" i="1"/>
  <c r="P3" i="1"/>
  <c r="Q3" i="1"/>
  <c r="S3" i="1"/>
  <c r="T3" i="1"/>
  <c r="U3" i="1"/>
  <c r="V3" i="1"/>
  <c r="W3" i="1"/>
  <c r="M4" i="1"/>
  <c r="N4" i="1"/>
  <c r="O4" i="1"/>
  <c r="P4" i="1"/>
  <c r="Q4" i="1"/>
  <c r="M5" i="1"/>
  <c r="N5" i="1"/>
  <c r="O5" i="1"/>
  <c r="P5" i="1"/>
  <c r="Q5" i="1"/>
  <c r="E6" i="1"/>
  <c r="F6" i="1"/>
  <c r="G6" i="1"/>
  <c r="H6" i="1"/>
  <c r="I6" i="1"/>
  <c r="M6" i="1"/>
  <c r="N6" i="1"/>
  <c r="O6" i="1"/>
  <c r="P6" i="1"/>
  <c r="Q6" i="1"/>
  <c r="S6" i="1"/>
  <c r="T6" i="1"/>
  <c r="U6" i="1"/>
  <c r="V6" i="1"/>
  <c r="W6" i="1"/>
  <c r="M7" i="1"/>
  <c r="N7" i="1"/>
  <c r="O7" i="1"/>
  <c r="P7" i="1"/>
  <c r="Q7" i="1"/>
  <c r="M8" i="1"/>
  <c r="N8" i="1"/>
  <c r="O8" i="1"/>
  <c r="P8" i="1"/>
  <c r="Q8" i="1"/>
  <c r="M9" i="1"/>
  <c r="N9" i="1"/>
  <c r="O9" i="1"/>
  <c r="P9" i="1"/>
  <c r="Q9" i="1"/>
  <c r="E11" i="1"/>
  <c r="F11" i="1"/>
  <c r="G11" i="1"/>
  <c r="H11" i="1"/>
  <c r="I11" i="1"/>
  <c r="M11" i="1"/>
  <c r="N11" i="1"/>
  <c r="O11" i="1"/>
  <c r="P11" i="1"/>
  <c r="Q11" i="1"/>
  <c r="S11" i="1"/>
  <c r="T11" i="1"/>
  <c r="U11" i="1"/>
  <c r="V11" i="1"/>
  <c r="W11" i="1"/>
  <c r="E21" i="1"/>
  <c r="F21" i="1"/>
  <c r="G21" i="1"/>
  <c r="H21" i="1"/>
  <c r="I21" i="1"/>
  <c r="M21" i="1"/>
  <c r="N21" i="1"/>
  <c r="O21" i="1"/>
  <c r="P21" i="1"/>
  <c r="Q21" i="1"/>
  <c r="E24" i="1"/>
  <c r="F24" i="1"/>
  <c r="G24" i="1"/>
  <c r="H24" i="1"/>
  <c r="I24" i="1"/>
  <c r="M24" i="1"/>
  <c r="N24" i="1"/>
  <c r="O24" i="1"/>
  <c r="P24" i="1"/>
  <c r="Q24" i="1"/>
</calcChain>
</file>

<file path=xl/comments1.xml><?xml version="1.0" encoding="utf-8"?>
<comments xmlns="http://schemas.openxmlformats.org/spreadsheetml/2006/main">
  <authors>
    <author>Shona A. Wilson</author>
  </authors>
  <commentList>
    <comment ref="B10" authorId="0" shapeId="0">
      <text>
        <r>
          <rPr>
            <b/>
            <sz val="8"/>
            <color indexed="81"/>
            <rFont val="Tahoma"/>
          </rPr>
          <t>Canada: 260098 -133837-5673
financial gas &amp; power 31, 484 - 53166, 0 (pwr to immaterial to split out)
physical gas shipped but not billed - 39864
phy gas ar  62714
phy gas ap - 24440 
phy gas ap pay lesser or - 96663</t>
        </r>
        <r>
          <rPr>
            <sz val="8"/>
            <color indexed="81"/>
            <rFont val="Tahoma"/>
          </rPr>
          <t xml:space="preserve">
</t>
        </r>
      </text>
    </comment>
    <comment ref="B13" authorId="0" shapeId="0">
      <text>
        <r>
          <rPr>
            <b/>
            <sz val="8"/>
            <color indexed="81"/>
            <rFont val="Tahoma"/>
          </rPr>
          <t>Canada: 0+0+5609, 
physical power 30,634 - 40900 - 81301</t>
        </r>
      </text>
    </comment>
    <comment ref="V49" authorId="0" shapeId="0">
      <text>
        <r>
          <rPr>
            <b/>
            <sz val="8"/>
            <color indexed="81"/>
            <rFont val="Tahoma"/>
          </rPr>
          <t>Shona A. Wilson:</t>
        </r>
        <r>
          <rPr>
            <sz val="8"/>
            <color indexed="81"/>
            <rFont val="Tahoma"/>
          </rPr>
          <t xml:space="preserve">
net AR/AP per Clara</t>
        </r>
      </text>
    </comment>
  </commentList>
</comments>
</file>

<file path=xl/sharedStrings.xml><?xml version="1.0" encoding="utf-8"?>
<sst xmlns="http://schemas.openxmlformats.org/spreadsheetml/2006/main" count="271" uniqueCount="186">
  <si>
    <t>CC Power - Canada</t>
  </si>
  <si>
    <t>CC Power - West</t>
  </si>
  <si>
    <t>CC Power - East</t>
  </si>
  <si>
    <t>Regrouping of Gas &amp; Power</t>
  </si>
  <si>
    <t>5 day</t>
  </si>
  <si>
    <t>to be moved to line:</t>
  </si>
  <si>
    <t>Total</t>
  </si>
  <si>
    <t>Bandwidth - Origination</t>
  </si>
  <si>
    <t>Net Asset/(Liability) values per rolls</t>
  </si>
  <si>
    <t>Difference</t>
  </si>
  <si>
    <t>in net asset columns</t>
  </si>
  <si>
    <t>Currency Swap</t>
  </si>
  <si>
    <t>-</t>
  </si>
  <si>
    <t>**Value At Risk</t>
  </si>
  <si>
    <t xml:space="preserve"> BCF</t>
  </si>
  <si>
    <t xml:space="preserve"> TWH</t>
  </si>
  <si>
    <t>35 BCF</t>
  </si>
  <si>
    <t>20 BCF</t>
  </si>
  <si>
    <t>3.5 TWH</t>
  </si>
  <si>
    <t>375,000 Met Tons</t>
  </si>
  <si>
    <t>2,000,000 Met Tons</t>
  </si>
  <si>
    <t>200 BCF</t>
  </si>
  <si>
    <t>20 TWH</t>
  </si>
  <si>
    <t>16 MM BBLS WTI</t>
  </si>
  <si>
    <t>9 BCF</t>
  </si>
  <si>
    <t>12 BCF</t>
  </si>
  <si>
    <t>40,000 EOL EQ. Cont</t>
  </si>
  <si>
    <t>30 MM Tons</t>
  </si>
  <si>
    <t>83,000 FTL</t>
  </si>
  <si>
    <t>103,750 FTL</t>
  </si>
  <si>
    <t>1,000,000 Credits</t>
  </si>
  <si>
    <t>300 K MWH</t>
  </si>
  <si>
    <t>$200 MM</t>
  </si>
  <si>
    <t>$150 MM</t>
  </si>
  <si>
    <t>$250 K Basis Pts</t>
  </si>
  <si>
    <t>500,000 Met Tons</t>
  </si>
  <si>
    <t>44 MM BD FT</t>
  </si>
  <si>
    <t>2,500,000 Met Tons</t>
  </si>
  <si>
    <t>28,000 CPP</t>
  </si>
  <si>
    <t>56,000 CPP</t>
  </si>
  <si>
    <t>2 MM 128 M SDRAM</t>
  </si>
  <si>
    <t>$300 MM</t>
  </si>
  <si>
    <r>
      <t xml:space="preserve">ENRON TRANSPORTATION &amp; SERVICES   </t>
    </r>
    <r>
      <rPr>
        <sz val="10"/>
        <color indexed="10"/>
        <rFont val="Franklin Gothic Medium Cond"/>
        <family val="2"/>
      </rPr>
      <t>* See Below</t>
    </r>
  </si>
  <si>
    <t>Going Concern Basis</t>
  </si>
  <si>
    <t xml:space="preserve">TOTAL </t>
  </si>
  <si>
    <t>TOTAL EWS</t>
  </si>
  <si>
    <t>**</t>
  </si>
  <si>
    <t>ENRON BROADBAND SERVICES</t>
  </si>
  <si>
    <t>TOTAL TRADING</t>
  </si>
  <si>
    <t>Coal</t>
  </si>
  <si>
    <t>Enron Direct Canada Gas</t>
  </si>
  <si>
    <t>Less:  Merchant Portfolio Items</t>
  </si>
  <si>
    <t>Cross Commodity</t>
  </si>
  <si>
    <t>EWS OFFICE OF THE CHAIR</t>
  </si>
  <si>
    <t>S America Electricity</t>
  </si>
  <si>
    <t>Other</t>
  </si>
  <si>
    <t>Sensitivity</t>
  </si>
  <si>
    <t>MTD</t>
  </si>
  <si>
    <t>QTD</t>
  </si>
  <si>
    <t>YTD</t>
  </si>
  <si>
    <t xml:space="preserve"> </t>
  </si>
  <si>
    <t>ENRON EUROPE</t>
  </si>
  <si>
    <t>EES Power-Gas</t>
  </si>
  <si>
    <t>EES Tariff Management</t>
  </si>
  <si>
    <t>NON TRADING ACTIVITY</t>
  </si>
  <si>
    <t>Equity Trading</t>
  </si>
  <si>
    <t>Convertible Arbitrage</t>
  </si>
  <si>
    <t>Pulp &amp; Paper</t>
  </si>
  <si>
    <t>Lumber</t>
  </si>
  <si>
    <t>Steel</t>
  </si>
  <si>
    <t>Bandwidth</t>
  </si>
  <si>
    <t>Advertising</t>
  </si>
  <si>
    <t>DRAM</t>
  </si>
  <si>
    <t>Net Open Position</t>
  </si>
  <si>
    <t>Overall</t>
  </si>
  <si>
    <t>Maturity Gap Risk</t>
  </si>
  <si>
    <t>One Day</t>
  </si>
  <si>
    <t>Profit &amp; Loss</t>
  </si>
  <si>
    <t>Daily</t>
  </si>
  <si>
    <t>5 Day</t>
  </si>
  <si>
    <t>East</t>
  </si>
  <si>
    <t>West</t>
  </si>
  <si>
    <t>Canada</t>
  </si>
  <si>
    <t>Drift</t>
  </si>
  <si>
    <t>U.S.</t>
  </si>
  <si>
    <t>ENRON GLOBAL ASSETS</t>
  </si>
  <si>
    <t>Origination</t>
  </si>
  <si>
    <t>Global Risk Markets Trading</t>
  </si>
  <si>
    <t>Financial Trading</t>
  </si>
  <si>
    <t>N America Natural Gas</t>
  </si>
  <si>
    <t>Intramonth Allocation Drift</t>
  </si>
  <si>
    <t>Merchant Portfolio</t>
  </si>
  <si>
    <t>Capital Portfolio</t>
  </si>
  <si>
    <t>Power - West</t>
  </si>
  <si>
    <t>Power - Canada</t>
  </si>
  <si>
    <t>N. America Gas</t>
  </si>
  <si>
    <t>Power - East</t>
  </si>
  <si>
    <t>LA-NY TDM DS3</t>
  </si>
  <si>
    <t>N America Electricity</t>
  </si>
  <si>
    <t>N American Electricity</t>
  </si>
  <si>
    <t>Global Products</t>
  </si>
  <si>
    <t>PORTLAND GENERAL ELECTRIC</t>
  </si>
  <si>
    <t>N American Natural Gas</t>
  </si>
  <si>
    <t>Weather Derivatives</t>
  </si>
  <si>
    <t>LNG</t>
  </si>
  <si>
    <t xml:space="preserve">Coal </t>
  </si>
  <si>
    <t>Freight Markets</t>
  </si>
  <si>
    <t>Emissions</t>
  </si>
  <si>
    <t>ENRON ENERGY SERVICES</t>
  </si>
  <si>
    <t xml:space="preserve">EES WHOLESALE </t>
  </si>
  <si>
    <t>EES Natural Gas</t>
  </si>
  <si>
    <t>EES Power</t>
  </si>
  <si>
    <t>EES Drift</t>
  </si>
  <si>
    <t>Limit</t>
  </si>
  <si>
    <t>Interest Rate</t>
  </si>
  <si>
    <t>Foreign Currency</t>
  </si>
  <si>
    <t>Canada Power-Gas</t>
  </si>
  <si>
    <t>YTD P&amp;L Not Available Due To System Valuation Issues</t>
  </si>
  <si>
    <t>by BUSINESS UNIT - DESK</t>
  </si>
  <si>
    <t>EES Origination</t>
  </si>
  <si>
    <t>Enron Direct Canada Power</t>
  </si>
  <si>
    <t>S America Natural Gas</t>
  </si>
  <si>
    <t>*</t>
  </si>
  <si>
    <t>TWH</t>
  </si>
  <si>
    <t>BCF</t>
  </si>
  <si>
    <t>Vessel Trading</t>
  </si>
  <si>
    <t>90 BCF</t>
  </si>
  <si>
    <t>EES Other</t>
  </si>
  <si>
    <t>Cross Commodity Gas</t>
  </si>
  <si>
    <t>3 bil</t>
  </si>
  <si>
    <t>80 million</t>
  </si>
  <si>
    <t>1 million</t>
  </si>
  <si>
    <t>3 million</t>
  </si>
  <si>
    <t>Accounts receivable</t>
  </si>
  <si>
    <t>in  USD '000</t>
  </si>
  <si>
    <t>Shipped but not billed</t>
  </si>
  <si>
    <t>Total balances at 11/30/01</t>
  </si>
  <si>
    <t>11/30 Price Risk Assets, Liabilities and P&amp;L - Draft</t>
  </si>
  <si>
    <t>Accounts payable</t>
  </si>
  <si>
    <t>Metals &amp; Minerals (although there are US companies, all monies received from sale of these companies goto the receivership)</t>
  </si>
  <si>
    <t>Only public assets are valued at the 11/30 value.  All private assets are valued only quarterly, so values are 9/30/01 values.</t>
  </si>
  <si>
    <t>Merchant Asset Portfolio</t>
  </si>
  <si>
    <t>Intercompany transactions for European companies</t>
  </si>
  <si>
    <t>There has been no credit reserve taken against intercompany transactions with companies in receivership.</t>
  </si>
  <si>
    <t>N America Natural Gas (includes Canada)</t>
  </si>
  <si>
    <t>N America Electricity (includes Canada)</t>
  </si>
  <si>
    <t>Other (ECTGLORES - Panama)</t>
  </si>
  <si>
    <t>FX/Interest rate</t>
  </si>
  <si>
    <t>Morgan terminated trades on 11/29 which are included in this balance (approximate payables 300 million, 320 million on receivables side)</t>
  </si>
  <si>
    <t>ECTRIC balances</t>
  </si>
  <si>
    <t>The ECTRIC group does not feel extremely comfortable with their numbers</t>
  </si>
  <si>
    <t>Intercompanies</t>
  </si>
  <si>
    <t>All intercompanies are included in the balances</t>
  </si>
  <si>
    <t>Metals</t>
  </si>
  <si>
    <t>Although there are US companies, any monies from their sale will goto the UK receivership</t>
  </si>
  <si>
    <t>AR/AP</t>
  </si>
  <si>
    <t>EIM includes all AR/AP including items relating to mills</t>
  </si>
  <si>
    <t>ECTRIC Continental Power</t>
  </si>
  <si>
    <t>ECTRIC gas</t>
  </si>
  <si>
    <t>ECTRIC EIM (P&amp;L included above)</t>
  </si>
  <si>
    <t>ECTRIC liquids (P&amp;L included above)</t>
  </si>
  <si>
    <t>ECTRIC Singapore (P&amp;L included above)</t>
  </si>
  <si>
    <t>ECTRIC coal (P&amp;L included above)</t>
  </si>
  <si>
    <t>ECTRIC Nordic Power</t>
  </si>
  <si>
    <t>EEFT</t>
  </si>
  <si>
    <t>Enron Finland</t>
  </si>
  <si>
    <t>ECTRIC UK Power &amp; UK Gas</t>
  </si>
  <si>
    <t>Excludes inventory</t>
  </si>
  <si>
    <t>EIM</t>
  </si>
  <si>
    <t>Does not include reserves that should be taken on Duferco 17 mil and Huntco for 11 million</t>
  </si>
  <si>
    <t>EGM crude prepaids (P&amp;L not included in DPR)</t>
  </si>
  <si>
    <t>ENRON AMERICA</t>
  </si>
  <si>
    <t xml:space="preserve">ENRON GLOBAL MARKETS </t>
  </si>
  <si>
    <t>ENRON INDUSTRIAL MARKETS</t>
  </si>
  <si>
    <t>ECTRIC - P&amp;L not available, see qualifications</t>
  </si>
  <si>
    <t>EEL P&amp;L</t>
  </si>
  <si>
    <t>Not available due to fact P&amp;L includes amount for co's in receivership (non-ECTRIC amounts)</t>
  </si>
  <si>
    <t xml:space="preserve">PRM Net Asset/(Liability) values </t>
  </si>
  <si>
    <t>ENA merchant assets</t>
  </si>
  <si>
    <t>The P&amp;L for these is included in the other line.  Also, accounting is working to reconcile their figures to this schedule.</t>
  </si>
  <si>
    <t>EWS</t>
  </si>
  <si>
    <t>Net PRM and Net AR/AP as of 11/30/01</t>
  </si>
  <si>
    <t>prepared by Shona Wilson X39123</t>
  </si>
  <si>
    <t>Numbers should include sch B&amp;C</t>
  </si>
  <si>
    <t>Supporting information</t>
  </si>
  <si>
    <t>EWS schedule at 11/30/01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</si>
</sst>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_);[Red]\(#,##0.0\)"/>
    <numFmt numFmtId="165" formatCode="#,##0.000_);[Red]\(#,##0.000\)"/>
    <numFmt numFmtId="166" formatCode="#,##0.0000_);[Red]\(#,##0.0000\)"/>
    <numFmt numFmtId="167" formatCode="#,##0.00000000_);[Red]\(#,##0.00000000\)"/>
    <numFmt numFmtId="168" formatCode="yy\-mm\-dd"/>
    <numFmt numFmtId="169" formatCode="0.0000%"/>
    <numFmt numFmtId="170" formatCode="yyyy\-mmm\-dd"/>
    <numFmt numFmtId="171" formatCode="yyyy\-mmm"/>
    <numFmt numFmtId="172" formatCode="yyyy"/>
    <numFmt numFmtId="173" formatCode="#,##0_);[Red]\(#,##0\);"/>
    <numFmt numFmtId="174" formatCode="0.0%\ ;[Red]\(0.0%\)"/>
    <numFmt numFmtId="175" formatCode="0.00%\ ;[Red]\(0.00%\)"/>
    <numFmt numFmtId="176" formatCode="#,##0_);\(#,##0\);\-"/>
    <numFmt numFmtId="177" formatCode="#,##0.0000"/>
    <numFmt numFmtId="178" formatCode="_(* #,##0_);_(* \(#,##0\);_(* &quot;-&quot;??_);_(@_)"/>
    <numFmt numFmtId="179" formatCode="m/d/yy\ h:mm\ AM/PM"/>
  </numFmts>
  <fonts count="45">
    <font>
      <sz val="10"/>
      <name val="Arial"/>
    </font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12"/>
      <name val="Franklin Gothic Medium Cond"/>
      <family val="2"/>
    </font>
    <font>
      <sz val="10"/>
      <name val="Franklin Gothic Medium Cond"/>
      <family val="2"/>
    </font>
    <font>
      <sz val="12"/>
      <name val="Franklin Gothic Medium Cond"/>
      <family val="2"/>
    </font>
    <font>
      <sz val="7"/>
      <name val="Franklin Gothic Medium Cond"/>
      <family val="2"/>
    </font>
    <font>
      <b/>
      <u/>
      <sz val="11"/>
      <name val="Franklin Gothic Medium Cond"/>
      <family val="2"/>
    </font>
    <font>
      <sz val="14"/>
      <name val="Franklin Gothic Medium Cond"/>
      <family val="2"/>
    </font>
    <font>
      <b/>
      <sz val="10"/>
      <name val="Franklin Gothic Medium Cond"/>
      <family val="2"/>
    </font>
    <font>
      <sz val="11"/>
      <name val="Franklin Gothic Medium Cond"/>
      <family val="2"/>
    </font>
    <font>
      <sz val="12"/>
      <color indexed="10"/>
      <name val="Franklin Gothic Medium Cond"/>
      <family val="2"/>
    </font>
    <font>
      <b/>
      <sz val="9"/>
      <name val="Franklin Gothic Medium Cond"/>
      <family val="2"/>
    </font>
    <font>
      <sz val="9"/>
      <name val="Franklin Gothic Medium Cond"/>
      <family val="2"/>
    </font>
    <font>
      <b/>
      <sz val="8"/>
      <name val="Franklin Gothic Medium Cond"/>
      <family val="2"/>
    </font>
    <font>
      <sz val="8"/>
      <name val="Franklin Gothic Medium Cond"/>
      <family val="2"/>
    </font>
    <font>
      <sz val="9"/>
      <color indexed="10"/>
      <name val="Franklin Gothic Medium Cond"/>
      <family val="2"/>
    </font>
    <font>
      <b/>
      <sz val="11"/>
      <name val="Franklin Gothic Medium Cond"/>
      <family val="2"/>
    </font>
    <font>
      <b/>
      <sz val="11"/>
      <color indexed="10"/>
      <name val="Franklin Gothic Medium Cond"/>
      <family val="2"/>
    </font>
    <font>
      <sz val="10"/>
      <color indexed="10"/>
      <name val="Franklin Gothic Medium Cond"/>
      <family val="2"/>
    </font>
    <font>
      <b/>
      <sz val="9"/>
      <color indexed="10"/>
      <name val="Franklin Gothic Medium Cond"/>
      <family val="2"/>
    </font>
    <font>
      <b/>
      <sz val="10"/>
      <color indexed="10"/>
      <name val="Franklin Gothic Medium Cond"/>
      <family val="2"/>
    </font>
    <font>
      <b/>
      <sz val="7"/>
      <name val="Franklin Gothic Medium Cond"/>
      <family val="2"/>
    </font>
    <font>
      <sz val="10"/>
      <name val="Arial"/>
      <family val="2"/>
    </font>
    <font>
      <sz val="10"/>
      <name val="Britannic Bold"/>
      <family val="2"/>
    </font>
    <font>
      <b/>
      <i/>
      <sz val="1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51">
    <xf numFmtId="0" fontId="0" fillId="0" borderId="0"/>
    <xf numFmtId="164" fontId="2" fillId="0" borderId="0" applyFont="0" applyFill="0" applyBorder="0" applyAlignment="0" applyProtection="0">
      <alignment vertical="top"/>
    </xf>
    <xf numFmtId="40" fontId="2" fillId="0" borderId="0" applyFont="0" applyFill="0" applyBorder="0" applyAlignment="0" applyProtection="0">
      <alignment vertical="top"/>
    </xf>
    <xf numFmtId="165" fontId="2" fillId="0" borderId="0" applyFont="0" applyFill="0" applyBorder="0" applyAlignment="0" applyProtection="0">
      <alignment vertical="top"/>
    </xf>
    <xf numFmtId="166" fontId="2" fillId="0" borderId="0" applyFont="0" applyFill="0" applyBorder="0" applyAlignment="0" applyProtection="0">
      <alignment vertical="top"/>
    </xf>
    <xf numFmtId="167" fontId="2" fillId="0" borderId="0" applyFont="0" applyFill="0" applyBorder="0" applyAlignment="0" applyProtection="0">
      <alignment vertical="top"/>
    </xf>
    <xf numFmtId="1" fontId="3" fillId="0" borderId="0" applyFont="0" applyFill="0" applyBorder="0" applyProtection="0">
      <alignment horizontal="left" vertical="top"/>
    </xf>
    <xf numFmtId="168" fontId="4" fillId="0" borderId="1" applyNumberFormat="0" applyFont="0" applyFill="0" applyAlignment="0" applyProtection="0">
      <alignment horizontal="left" vertical="top" wrapText="1"/>
    </xf>
    <xf numFmtId="38" fontId="5" fillId="0" borderId="0" applyNumberFormat="0" applyFill="0" applyBorder="0" applyAlignment="0" applyProtection="0">
      <alignment vertical="top"/>
    </xf>
    <xf numFmtId="169" fontId="6" fillId="0" borderId="0" applyNumberFormat="0" applyFill="0" applyBorder="0" applyAlignment="0" applyProtection="0">
      <alignment vertical="top"/>
    </xf>
    <xf numFmtId="38" fontId="2" fillId="0" borderId="0" applyNumberFormat="0" applyFont="0" applyBorder="0" applyAlignment="0" applyProtection="0">
      <alignment vertical="top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0" fontId="6" fillId="0" borderId="0" applyFont="0" applyFill="0" applyBorder="0" applyAlignment="0" applyProtection="0">
      <alignment horizontal="left" vertical="top"/>
    </xf>
    <xf numFmtId="171" fontId="6" fillId="0" borderId="0" applyFont="0" applyFill="0" applyBorder="0" applyAlignment="0" applyProtection="0">
      <alignment vertical="top"/>
    </xf>
    <xf numFmtId="168" fontId="6" fillId="0" borderId="0" applyFont="0" applyFill="0" applyBorder="0" applyAlignment="0" applyProtection="0">
      <alignment horizontal="left" vertical="top"/>
    </xf>
    <xf numFmtId="172" fontId="2" fillId="0" borderId="0" applyFont="0" applyFill="0" applyBorder="0" applyAlignment="0" applyProtection="0">
      <alignment vertical="top"/>
    </xf>
    <xf numFmtId="38" fontId="2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2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2" fillId="4" borderId="0" applyNumberFormat="0" applyFont="0" applyBorder="0" applyAlignment="0" applyProtection="0">
      <alignment vertical="top"/>
    </xf>
    <xf numFmtId="38" fontId="2" fillId="5" borderId="0" applyNumberFormat="0" applyFont="0" applyBorder="0" applyAlignment="0" applyProtection="0">
      <alignment vertical="top"/>
    </xf>
    <xf numFmtId="173" fontId="2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164" fontId="2" fillId="7" borderId="0" applyNumberFormat="0" applyFont="0" applyBorder="0" applyAlignment="0" applyProtection="0">
      <alignment horizontal="right" vertical="top"/>
    </xf>
    <xf numFmtId="166" fontId="2" fillId="8" borderId="0" applyNumberFormat="0" applyFont="0" applyBorder="0" applyAlignment="0" applyProtection="0">
      <alignment vertical="top"/>
    </xf>
    <xf numFmtId="38" fontId="2" fillId="9" borderId="0" applyNumberFormat="0" applyFont="0" applyBorder="0" applyAlignment="0" applyProtection="0">
      <alignment vertical="top"/>
    </xf>
    <xf numFmtId="174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69" fontId="2" fillId="0" borderId="0" applyFont="0" applyFill="0" applyBorder="0" applyAlignment="0" applyProtection="0">
      <alignment vertical="top"/>
    </xf>
    <xf numFmtId="38" fontId="14" fillId="0" borderId="0" applyNumberFormat="0" applyFill="0" applyBorder="0" applyAlignment="0" applyProtection="0">
      <alignment vertical="top"/>
    </xf>
    <xf numFmtId="173" fontId="2" fillId="10" borderId="0" applyNumberFormat="0" applyFont="0" applyBorder="0" applyAlignment="0" applyProtection="0">
      <alignment vertical="top"/>
    </xf>
    <xf numFmtId="176" fontId="15" fillId="11" borderId="0" applyBorder="0" applyAlignment="0" applyProtection="0">
      <alignment vertical="top"/>
    </xf>
    <xf numFmtId="0" fontId="16" fillId="12" borderId="2" applyNumberFormat="0" applyFont="0" applyBorder="0" applyAlignment="0" applyProtection="0">
      <alignment horizontal="left"/>
    </xf>
    <xf numFmtId="37" fontId="3" fillId="0" borderId="3" applyNumberFormat="0" applyFont="0" applyFill="0" applyAlignment="0"/>
    <xf numFmtId="20" fontId="2" fillId="0" borderId="0" applyFont="0" applyFill="0" applyBorder="0" applyAlignment="0" applyProtection="0">
      <alignment vertical="top"/>
    </xf>
    <xf numFmtId="21" fontId="2" fillId="0" borderId="0" applyFont="0" applyFill="0" applyBorder="0" applyAlignment="0" applyProtection="0">
      <alignment vertical="top"/>
    </xf>
    <xf numFmtId="38" fontId="4" fillId="0" borderId="0" applyNumberFormat="0" applyFill="0" applyBorder="0" applyProtection="0">
      <alignment vertical="top" wrapText="1"/>
    </xf>
    <xf numFmtId="37" fontId="3" fillId="0" borderId="4" applyNumberFormat="0" applyFont="0" applyFill="0" applyAlignment="0"/>
    <xf numFmtId="38" fontId="17" fillId="0" borderId="0" applyNumberFormat="0" applyFill="0" applyBorder="0" applyAlignment="0" applyProtection="0">
      <alignment vertical="top"/>
    </xf>
    <xf numFmtId="173" fontId="2" fillId="4" borderId="0" applyNumberFormat="0" applyFont="0" applyBorder="0" applyAlignment="0" applyProtection="0">
      <alignment vertical="top"/>
    </xf>
    <xf numFmtId="38" fontId="18" fillId="8" borderId="0" applyNumberFormat="0" applyBorder="0" applyAlignment="0" applyProtection="0">
      <alignment vertical="top"/>
    </xf>
    <xf numFmtId="169" fontId="2" fillId="0" borderId="0" applyNumberFormat="0" applyFont="0" applyFill="0" applyBorder="0" applyProtection="0">
      <alignment vertical="top" wrapText="1"/>
    </xf>
    <xf numFmtId="177" fontId="2" fillId="0" borderId="0" applyFont="0" applyFill="0" applyBorder="0" applyAlignment="0" applyProtection="0"/>
    <xf numFmtId="1" fontId="3" fillId="0" borderId="0" applyFont="0" applyFill="0" applyBorder="0" applyProtection="0">
      <alignment horizontal="right" vertical="top"/>
    </xf>
    <xf numFmtId="173" fontId="2" fillId="0" borderId="0" applyFont="0" applyFill="0" applyBorder="0" applyAlignment="0" applyProtection="0">
      <alignment vertical="top" wrapText="1"/>
    </xf>
    <xf numFmtId="38" fontId="2" fillId="0" borderId="0" applyFont="0" applyFill="0" applyBorder="0" applyAlignment="0" applyProtection="0">
      <alignment horizontal="right" vertical="top"/>
    </xf>
  </cellStyleXfs>
  <cellXfs count="213">
    <xf numFmtId="0" fontId="0" fillId="0" borderId="0" xfId="0"/>
    <xf numFmtId="0" fontId="19" fillId="0" borderId="0" xfId="0" applyFont="1" applyAlignment="1">
      <alignment horizontal="left"/>
    </xf>
    <xf numFmtId="0" fontId="20" fillId="0" borderId="0" xfId="0" applyFont="1"/>
    <xf numFmtId="0" fontId="21" fillId="0" borderId="0" xfId="0" applyFont="1" applyAlignment="1">
      <alignment horizontal="center"/>
    </xf>
    <xf numFmtId="0" fontId="21" fillId="0" borderId="0" xfId="0" applyFont="1"/>
    <xf numFmtId="178" fontId="21" fillId="0" borderId="0" xfId="11" applyNumberFormat="1" applyFont="1" applyAlignment="1">
      <alignment horizontal="right"/>
    </xf>
    <xf numFmtId="179" fontId="22" fillId="0" borderId="0" xfId="11" applyNumberFormat="1" applyFont="1" applyAlignment="1">
      <alignment horizontal="center"/>
    </xf>
    <xf numFmtId="0" fontId="23" fillId="0" borderId="0" xfId="0" applyFont="1" applyFill="1" applyAlignment="1">
      <alignment horizontal="left"/>
    </xf>
    <xf numFmtId="178" fontId="24" fillId="0" borderId="0" xfId="11" applyNumberFormat="1" applyFont="1" applyAlignment="1">
      <alignment horizontal="left"/>
    </xf>
    <xf numFmtId="0" fontId="25" fillId="0" borderId="0" xfId="0" applyFont="1"/>
    <xf numFmtId="0" fontId="26" fillId="0" borderId="0" xfId="0" applyFont="1"/>
    <xf numFmtId="0" fontId="20" fillId="0" borderId="5" xfId="0" applyFont="1" applyBorder="1"/>
    <xf numFmtId="0" fontId="20" fillId="0" borderId="0" xfId="0" applyFont="1" applyAlignment="1">
      <alignment horizontal="center"/>
    </xf>
    <xf numFmtId="178" fontId="20" fillId="0" borderId="0" xfId="11" applyNumberFormat="1" applyFont="1" applyAlignment="1">
      <alignment horizontal="right"/>
    </xf>
    <xf numFmtId="0" fontId="25" fillId="0" borderId="6" xfId="0" applyFont="1" applyBorder="1" applyAlignment="1">
      <alignment horizontal="center"/>
    </xf>
    <xf numFmtId="0" fontId="20" fillId="0" borderId="7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20" fillId="0" borderId="9" xfId="0" applyFont="1" applyBorder="1" applyAlignment="1">
      <alignment horizontal="center"/>
    </xf>
    <xf numFmtId="178" fontId="20" fillId="0" borderId="9" xfId="11" applyNumberFormat="1" applyFont="1" applyBorder="1" applyAlignment="1">
      <alignment horizontal="center"/>
    </xf>
    <xf numFmtId="178" fontId="20" fillId="0" borderId="8" xfId="11" applyNumberFormat="1" applyFont="1" applyBorder="1" applyAlignment="1">
      <alignment horizontal="center"/>
    </xf>
    <xf numFmtId="178" fontId="20" fillId="0" borderId="9" xfId="11" applyNumberFormat="1" applyFont="1" applyFill="1" applyBorder="1" applyAlignment="1">
      <alignment horizontal="center"/>
    </xf>
    <xf numFmtId="178" fontId="20" fillId="0" borderId="10" xfId="11" applyNumberFormat="1" applyFont="1" applyFill="1" applyBorder="1" applyAlignment="1">
      <alignment horizontal="center"/>
    </xf>
    <xf numFmtId="178" fontId="20" fillId="0" borderId="8" xfId="11" applyNumberFormat="1" applyFont="1" applyFill="1" applyBorder="1" applyAlignment="1">
      <alignment horizontal="center"/>
    </xf>
    <xf numFmtId="0" fontId="20" fillId="0" borderId="0" xfId="0" applyFont="1" applyBorder="1" applyAlignment="1">
      <alignment horizontal="center"/>
    </xf>
    <xf numFmtId="178" fontId="20" fillId="0" borderId="0" xfId="11" applyNumberFormat="1" applyFont="1" applyBorder="1" applyAlignment="1">
      <alignment horizontal="right"/>
    </xf>
    <xf numFmtId="178" fontId="20" fillId="0" borderId="0" xfId="11" applyNumberFormat="1" applyFont="1" applyFill="1" applyBorder="1" applyAlignment="1">
      <alignment horizontal="right"/>
    </xf>
    <xf numFmtId="0" fontId="20" fillId="0" borderId="0" xfId="0" applyFont="1" applyFill="1" applyAlignment="1">
      <alignment horizontal="center"/>
    </xf>
    <xf numFmtId="178" fontId="25" fillId="0" borderId="11" xfId="11" applyNumberFormat="1" applyFont="1" applyFill="1" applyBorder="1" applyAlignment="1">
      <alignment horizontal="right"/>
    </xf>
    <xf numFmtId="178" fontId="25" fillId="0" borderId="11" xfId="11" applyNumberFormat="1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29" fillId="0" borderId="5" xfId="0" applyFont="1" applyBorder="1"/>
    <xf numFmtId="43" fontId="29" fillId="0" borderId="12" xfId="0" applyNumberFormat="1" applyFont="1" applyFill="1" applyBorder="1" applyAlignment="1">
      <alignment horizontal="center"/>
    </xf>
    <xf numFmtId="43" fontId="29" fillId="0" borderId="1" xfId="0" applyNumberFormat="1" applyFont="1" applyBorder="1" applyAlignment="1">
      <alignment horizontal="center"/>
    </xf>
    <xf numFmtId="178" fontId="29" fillId="0" borderId="1" xfId="11" applyNumberFormat="1" applyFont="1" applyFill="1" applyBorder="1" applyAlignment="1">
      <alignment horizontal="right"/>
    </xf>
    <xf numFmtId="178" fontId="29" fillId="0" borderId="1" xfId="11" applyNumberFormat="1" applyFont="1" applyBorder="1" applyAlignment="1">
      <alignment horizontal="right"/>
    </xf>
    <xf numFmtId="0" fontId="30" fillId="0" borderId="0" xfId="0" applyFont="1"/>
    <xf numFmtId="0" fontId="31" fillId="0" borderId="0" xfId="0" applyFont="1"/>
    <xf numFmtId="0" fontId="31" fillId="0" borderId="5" xfId="0" applyFont="1" applyBorder="1"/>
    <xf numFmtId="43" fontId="31" fillId="0" borderId="12" xfId="0" applyNumberFormat="1" applyFont="1" applyFill="1" applyBorder="1" applyAlignment="1">
      <alignment horizontal="center"/>
    </xf>
    <xf numFmtId="178" fontId="31" fillId="0" borderId="1" xfId="11" applyNumberFormat="1" applyFont="1" applyBorder="1" applyAlignment="1">
      <alignment horizontal="right"/>
    </xf>
    <xf numFmtId="0" fontId="29" fillId="0" borderId="0" xfId="0" applyFont="1" applyFill="1" applyAlignment="1">
      <alignment horizontal="center"/>
    </xf>
    <xf numFmtId="0" fontId="29" fillId="0" borderId="0" xfId="0" applyFont="1" applyAlignment="1">
      <alignment horizontal="center"/>
    </xf>
    <xf numFmtId="0" fontId="29" fillId="0" borderId="0" xfId="0" applyFont="1" applyAlignment="1">
      <alignment horizontal="right"/>
    </xf>
    <xf numFmtId="0" fontId="29" fillId="0" borderId="0" xfId="0" applyFont="1" applyBorder="1"/>
    <xf numFmtId="178" fontId="20" fillId="0" borderId="0" xfId="11" applyNumberFormat="1" applyFont="1" applyAlignment="1">
      <alignment horizontal="center"/>
    </xf>
    <xf numFmtId="178" fontId="25" fillId="0" borderId="0" xfId="11" applyNumberFormat="1" applyFont="1" applyBorder="1" applyAlignment="1">
      <alignment horizontal="right"/>
    </xf>
    <xf numFmtId="43" fontId="29" fillId="0" borderId="12" xfId="0" applyNumberFormat="1" applyFont="1" applyBorder="1" applyAlignment="1">
      <alignment horizontal="center"/>
    </xf>
    <xf numFmtId="178" fontId="29" fillId="0" borderId="1" xfId="0" applyNumberFormat="1" applyFont="1" applyBorder="1" applyAlignment="1">
      <alignment horizontal="right"/>
    </xf>
    <xf numFmtId="0" fontId="32" fillId="0" borderId="0" xfId="0" applyFont="1" applyAlignment="1">
      <alignment horizontal="left"/>
    </xf>
    <xf numFmtId="0" fontId="29" fillId="0" borderId="0" xfId="0" applyFont="1" applyBorder="1" applyAlignment="1">
      <alignment horizontal="center"/>
    </xf>
    <xf numFmtId="43" fontId="29" fillId="0" borderId="0" xfId="0" applyNumberFormat="1" applyFont="1" applyBorder="1" applyAlignment="1">
      <alignment horizontal="center"/>
    </xf>
    <xf numFmtId="178" fontId="29" fillId="0" borderId="0" xfId="0" applyNumberFormat="1" applyFont="1" applyBorder="1" applyAlignment="1">
      <alignment horizontal="right"/>
    </xf>
    <xf numFmtId="178" fontId="29" fillId="0" borderId="0" xfId="11" applyNumberFormat="1" applyFont="1" applyAlignment="1">
      <alignment horizontal="center"/>
    </xf>
    <xf numFmtId="178" fontId="29" fillId="0" borderId="0" xfId="11" applyNumberFormat="1" applyFont="1" applyAlignment="1">
      <alignment horizontal="right"/>
    </xf>
    <xf numFmtId="0" fontId="33" fillId="0" borderId="0" xfId="0" applyFont="1"/>
    <xf numFmtId="0" fontId="26" fillId="0" borderId="5" xfId="0" applyFont="1" applyBorder="1"/>
    <xf numFmtId="0" fontId="26" fillId="0" borderId="0" xfId="0" applyFont="1" applyFill="1" applyAlignment="1">
      <alignment horizontal="center"/>
    </xf>
    <xf numFmtId="0" fontId="26" fillId="0" borderId="0" xfId="0" applyFont="1" applyAlignment="1">
      <alignment horizontal="center"/>
    </xf>
    <xf numFmtId="0" fontId="20" fillId="0" borderId="0" xfId="0" applyFont="1" applyAlignment="1">
      <alignment horizontal="right"/>
    </xf>
    <xf numFmtId="0" fontId="25" fillId="0" borderId="5" xfId="0" applyFont="1" applyBorder="1"/>
    <xf numFmtId="0" fontId="25" fillId="0" borderId="0" xfId="0" applyFont="1" applyFill="1" applyAlignment="1">
      <alignment horizontal="center"/>
    </xf>
    <xf numFmtId="0" fontId="25" fillId="0" borderId="0" xfId="0" applyFont="1" applyAlignment="1">
      <alignment horizontal="center"/>
    </xf>
    <xf numFmtId="43" fontId="29" fillId="0" borderId="1" xfId="0" applyNumberFormat="1" applyFont="1" applyFill="1" applyBorder="1" applyAlignment="1">
      <alignment horizontal="center"/>
    </xf>
    <xf numFmtId="0" fontId="26" fillId="0" borderId="0" xfId="0" applyFont="1" applyAlignment="1">
      <alignment horizontal="right"/>
    </xf>
    <xf numFmtId="0" fontId="34" fillId="0" borderId="0" xfId="0" applyFont="1" applyAlignment="1">
      <alignment horizontal="left"/>
    </xf>
    <xf numFmtId="0" fontId="36" fillId="0" borderId="0" xfId="0" applyFont="1" applyAlignment="1">
      <alignment horizontal="center"/>
    </xf>
    <xf numFmtId="0" fontId="32" fillId="0" borderId="0" xfId="0" applyFont="1"/>
    <xf numFmtId="0" fontId="36" fillId="0" borderId="0" xfId="0" applyFont="1"/>
    <xf numFmtId="2" fontId="29" fillId="0" borderId="1" xfId="0" applyNumberFormat="1" applyFont="1" applyBorder="1" applyAlignment="1">
      <alignment horizontal="center"/>
    </xf>
    <xf numFmtId="0" fontId="25" fillId="8" borderId="0" xfId="0" applyFont="1" applyFill="1"/>
    <xf numFmtId="0" fontId="25" fillId="8" borderId="5" xfId="0" applyFont="1" applyFill="1" applyBorder="1"/>
    <xf numFmtId="0" fontId="37" fillId="0" borderId="0" xfId="0" applyFont="1" applyAlignment="1">
      <alignment horizontal="right"/>
    </xf>
    <xf numFmtId="0" fontId="25" fillId="13" borderId="0" xfId="0" applyFont="1" applyFill="1"/>
    <xf numFmtId="178" fontId="25" fillId="0" borderId="0" xfId="11" applyNumberFormat="1" applyFont="1" applyAlignment="1">
      <alignment horizontal="right"/>
    </xf>
    <xf numFmtId="0" fontId="29" fillId="0" borderId="0" xfId="0" applyFont="1" applyFill="1"/>
    <xf numFmtId="0" fontId="20" fillId="0" borderId="0" xfId="0" applyFont="1" applyBorder="1"/>
    <xf numFmtId="0" fontId="37" fillId="0" borderId="0" xfId="0" applyFont="1" applyAlignment="1">
      <alignment horizontal="center"/>
    </xf>
    <xf numFmtId="179" fontId="38" fillId="0" borderId="0" xfId="0" applyNumberFormat="1" applyFont="1" applyAlignment="1">
      <alignment horizontal="left"/>
    </xf>
    <xf numFmtId="178" fontId="29" fillId="0" borderId="0" xfId="11" applyNumberFormat="1" applyFont="1" applyBorder="1" applyAlignment="1">
      <alignment horizontal="right"/>
    </xf>
    <xf numFmtId="178" fontId="29" fillId="0" borderId="0" xfId="11" applyNumberFormat="1" applyFont="1" applyFill="1" applyBorder="1" applyAlignment="1">
      <alignment horizontal="right"/>
    </xf>
    <xf numFmtId="178" fontId="25" fillId="0" borderId="13" xfId="11" applyNumberFormat="1" applyFont="1" applyFill="1" applyBorder="1" applyAlignment="1">
      <alignment horizontal="right"/>
    </xf>
    <xf numFmtId="178" fontId="25" fillId="0" borderId="14" xfId="11" applyNumberFormat="1" applyFont="1" applyBorder="1" applyAlignment="1">
      <alignment horizontal="right"/>
    </xf>
    <xf numFmtId="178" fontId="25" fillId="0" borderId="15" xfId="11" applyNumberFormat="1" applyFont="1" applyBorder="1" applyAlignment="1">
      <alignment horizontal="right"/>
    </xf>
    <xf numFmtId="178" fontId="29" fillId="0" borderId="16" xfId="11" applyNumberFormat="1" applyFont="1" applyBorder="1" applyAlignment="1">
      <alignment horizontal="right"/>
    </xf>
    <xf numFmtId="178" fontId="29" fillId="0" borderId="9" xfId="11" applyNumberFormat="1" applyFont="1" applyBorder="1" applyAlignment="1">
      <alignment horizontal="right"/>
    </xf>
    <xf numFmtId="0" fontId="25" fillId="0" borderId="5" xfId="0" applyFont="1" applyFill="1" applyBorder="1"/>
    <xf numFmtId="178" fontId="20" fillId="0" borderId="0" xfId="11" quotePrefix="1" applyNumberFormat="1" applyFont="1" applyBorder="1" applyAlignment="1">
      <alignment horizontal="center"/>
    </xf>
    <xf numFmtId="178" fontId="0" fillId="0" borderId="0" xfId="0" applyNumberFormat="1"/>
    <xf numFmtId="178" fontId="31" fillId="0" borderId="1" xfId="11" applyNumberFormat="1" applyFont="1" applyBorder="1" applyAlignment="1">
      <alignment horizontal="center"/>
    </xf>
    <xf numFmtId="0" fontId="0" fillId="0" borderId="0" xfId="0" applyBorder="1"/>
    <xf numFmtId="0" fontId="40" fillId="0" borderId="0" xfId="0" applyFont="1"/>
    <xf numFmtId="0" fontId="39" fillId="0" borderId="0" xfId="0" applyFont="1" applyAlignment="1">
      <alignment horizontal="center"/>
    </xf>
    <xf numFmtId="178" fontId="39" fillId="0" borderId="0" xfId="11" applyNumberFormat="1" applyFont="1" applyBorder="1" applyAlignment="1">
      <alignment horizontal="center"/>
    </xf>
    <xf numFmtId="0" fontId="1" fillId="0" borderId="0" xfId="0" applyFont="1" applyBorder="1"/>
    <xf numFmtId="178" fontId="20" fillId="0" borderId="0" xfId="11" applyNumberFormat="1" applyFont="1" applyFill="1" applyBorder="1" applyAlignment="1">
      <alignment horizontal="center"/>
    </xf>
    <xf numFmtId="178" fontId="31" fillId="0" borderId="0" xfId="11" applyNumberFormat="1" applyFont="1" applyFill="1" applyBorder="1" applyAlignment="1">
      <alignment horizontal="right"/>
    </xf>
    <xf numFmtId="0" fontId="0" fillId="0" borderId="0" xfId="0" applyFill="1"/>
    <xf numFmtId="178" fontId="31" fillId="0" borderId="1" xfId="11" applyNumberFormat="1" applyFont="1" applyFill="1" applyBorder="1" applyAlignment="1">
      <alignment horizontal="center"/>
    </xf>
    <xf numFmtId="178" fontId="31" fillId="0" borderId="0" xfId="11" applyNumberFormat="1" applyFont="1" applyFill="1" applyBorder="1" applyAlignment="1">
      <alignment horizontal="center"/>
    </xf>
    <xf numFmtId="178" fontId="31" fillId="14" borderId="1" xfId="11" applyNumberFormat="1" applyFont="1" applyFill="1" applyBorder="1" applyAlignment="1">
      <alignment horizontal="right"/>
    </xf>
    <xf numFmtId="178" fontId="29" fillId="14" borderId="1" xfId="11" applyNumberFormat="1" applyFont="1" applyFill="1" applyBorder="1" applyAlignment="1">
      <alignment horizontal="right"/>
    </xf>
    <xf numFmtId="178" fontId="31" fillId="0" borderId="0" xfId="11" applyNumberFormat="1" applyFont="1" applyFill="1" applyBorder="1" applyAlignment="1">
      <alignment horizontal="left"/>
    </xf>
    <xf numFmtId="178" fontId="0" fillId="0" borderId="1" xfId="0" applyNumberFormat="1" applyBorder="1"/>
    <xf numFmtId="178" fontId="30" fillId="0" borderId="0" xfId="11" applyNumberFormat="1" applyFont="1" applyFill="1" applyBorder="1" applyAlignment="1">
      <alignment horizontal="left"/>
    </xf>
    <xf numFmtId="38" fontId="0" fillId="0" borderId="0" xfId="0" applyNumberFormat="1"/>
    <xf numFmtId="38" fontId="0" fillId="14" borderId="1" xfId="0" applyNumberFormat="1" applyFill="1" applyBorder="1"/>
    <xf numFmtId="38" fontId="0" fillId="0" borderId="1" xfId="0" applyNumberFormat="1" applyBorder="1"/>
    <xf numFmtId="178" fontId="28" fillId="15" borderId="11" xfId="11" applyNumberFormat="1" applyFont="1" applyFill="1" applyBorder="1" applyAlignment="1">
      <alignment horizontal="right"/>
    </xf>
    <xf numFmtId="38" fontId="29" fillId="14" borderId="1" xfId="0" applyNumberFormat="1" applyFont="1" applyFill="1" applyBorder="1"/>
    <xf numFmtId="178" fontId="28" fillId="13" borderId="11" xfId="11" applyNumberFormat="1" applyFont="1" applyFill="1" applyBorder="1" applyAlignment="1">
      <alignment horizontal="right"/>
    </xf>
    <xf numFmtId="178" fontId="28" fillId="0" borderId="0" xfId="11" applyNumberFormat="1" applyFont="1" applyFill="1" applyBorder="1" applyAlignment="1">
      <alignment horizontal="right"/>
    </xf>
    <xf numFmtId="0" fontId="29" fillId="0" borderId="17" xfId="0" applyFont="1" applyFill="1" applyBorder="1"/>
    <xf numFmtId="0" fontId="29" fillId="0" borderId="0" xfId="0" applyFont="1" applyFill="1" applyBorder="1" applyAlignment="1">
      <alignment horizontal="right"/>
    </xf>
    <xf numFmtId="178" fontId="28" fillId="8" borderId="11" xfId="11" applyNumberFormat="1" applyFont="1" applyFill="1" applyBorder="1" applyAlignment="1">
      <alignment horizontal="right"/>
    </xf>
    <xf numFmtId="178" fontId="28" fillId="0" borderId="11" xfId="11" applyNumberFormat="1" applyFont="1" applyBorder="1" applyAlignment="1">
      <alignment horizontal="right"/>
    </xf>
    <xf numFmtId="178" fontId="29" fillId="0" borderId="17" xfId="11" applyNumberFormat="1" applyFont="1" applyFill="1" applyBorder="1" applyAlignment="1">
      <alignment horizontal="left"/>
    </xf>
    <xf numFmtId="38" fontId="28" fillId="15" borderId="11" xfId="11" applyNumberFormat="1" applyFont="1" applyFill="1" applyBorder="1" applyAlignment="1">
      <alignment horizontal="right"/>
    </xf>
    <xf numFmtId="38" fontId="20" fillId="0" borderId="5" xfId="0" applyNumberFormat="1" applyFont="1" applyBorder="1"/>
    <xf numFmtId="38" fontId="20" fillId="0" borderId="0" xfId="0" applyNumberFormat="1" applyFont="1" applyFill="1" applyAlignment="1">
      <alignment horizontal="center"/>
    </xf>
    <xf numFmtId="38" fontId="20" fillId="0" borderId="0" xfId="0" applyNumberFormat="1" applyFont="1" applyAlignment="1">
      <alignment horizontal="center"/>
    </xf>
    <xf numFmtId="38" fontId="20" fillId="0" borderId="0" xfId="0" applyNumberFormat="1" applyFont="1"/>
    <xf numFmtId="38" fontId="25" fillId="0" borderId="11" xfId="11" applyNumberFormat="1" applyFont="1" applyFill="1" applyBorder="1" applyAlignment="1">
      <alignment horizontal="right"/>
    </xf>
    <xf numFmtId="38" fontId="25" fillId="0" borderId="11" xfId="11" applyNumberFormat="1" applyFont="1" applyBorder="1" applyAlignment="1">
      <alignment horizontal="right"/>
    </xf>
    <xf numFmtId="38" fontId="29" fillId="0" borderId="0" xfId="0" applyNumberFormat="1" applyFont="1"/>
    <xf numFmtId="38" fontId="29" fillId="0" borderId="5" xfId="0" applyNumberFormat="1" applyFont="1" applyBorder="1"/>
    <xf numFmtId="38" fontId="29" fillId="0" borderId="12" xfId="0" applyNumberFormat="1" applyFont="1" applyFill="1" applyBorder="1" applyAlignment="1">
      <alignment horizontal="center"/>
    </xf>
    <xf numFmtId="38" fontId="29" fillId="0" borderId="1" xfId="0" applyNumberFormat="1" applyFont="1" applyBorder="1" applyAlignment="1">
      <alignment horizontal="center"/>
    </xf>
    <xf numFmtId="38" fontId="29" fillId="0" borderId="1" xfId="11" applyNumberFormat="1" applyFont="1" applyFill="1" applyBorder="1" applyAlignment="1">
      <alignment horizontal="right"/>
    </xf>
    <xf numFmtId="38" fontId="29" fillId="0" borderId="1" xfId="11" applyNumberFormat="1" applyFont="1" applyBorder="1" applyAlignment="1">
      <alignment horizontal="right"/>
    </xf>
    <xf numFmtId="38" fontId="29" fillId="14" borderId="1" xfId="11" applyNumberFormat="1" applyFont="1" applyFill="1" applyBorder="1" applyAlignment="1">
      <alignment horizontal="right"/>
    </xf>
    <xf numFmtId="38" fontId="29" fillId="0" borderId="0" xfId="0" applyNumberFormat="1" applyFont="1" applyFill="1"/>
    <xf numFmtId="38" fontId="31" fillId="0" borderId="0" xfId="0" applyNumberFormat="1" applyFont="1"/>
    <xf numFmtId="38" fontId="31" fillId="0" borderId="5" xfId="0" applyNumberFormat="1" applyFont="1" applyBorder="1"/>
    <xf numFmtId="38" fontId="31" fillId="0" borderId="12" xfId="0" applyNumberFormat="1" applyFont="1" applyFill="1" applyBorder="1" applyAlignment="1">
      <alignment horizontal="center"/>
    </xf>
    <xf numFmtId="38" fontId="31" fillId="0" borderId="0" xfId="0" applyNumberFormat="1" applyFont="1" applyAlignment="1">
      <alignment horizontal="center"/>
    </xf>
    <xf numFmtId="38" fontId="31" fillId="0" borderId="1" xfId="11" applyNumberFormat="1" applyFont="1" applyBorder="1" applyAlignment="1">
      <alignment horizontal="right"/>
    </xf>
    <xf numFmtId="38" fontId="31" fillId="0" borderId="0" xfId="0" applyNumberFormat="1" applyFont="1" applyAlignment="1">
      <alignment horizontal="right"/>
    </xf>
    <xf numFmtId="38" fontId="31" fillId="0" borderId="1" xfId="11" applyNumberFormat="1" applyFont="1" applyFill="1" applyBorder="1" applyAlignment="1">
      <alignment horizontal="right"/>
    </xf>
    <xf numFmtId="38" fontId="29" fillId="0" borderId="0" xfId="0" applyNumberFormat="1" applyFont="1" applyFill="1" applyAlignment="1">
      <alignment horizontal="center"/>
    </xf>
    <xf numFmtId="38" fontId="29" fillId="0" borderId="0" xfId="0" applyNumberFormat="1" applyFont="1" applyAlignment="1">
      <alignment horizontal="center"/>
    </xf>
    <xf numFmtId="38" fontId="29" fillId="0" borderId="0" xfId="0" applyNumberFormat="1" applyFont="1" applyAlignment="1">
      <alignment horizontal="right"/>
    </xf>
    <xf numFmtId="38" fontId="31" fillId="0" borderId="0" xfId="0" applyNumberFormat="1" applyFont="1" applyFill="1" applyAlignment="1">
      <alignment horizontal="center"/>
    </xf>
    <xf numFmtId="38" fontId="31" fillId="0" borderId="18" xfId="11" applyNumberFormat="1" applyFont="1" applyBorder="1" applyAlignment="1">
      <alignment horizontal="right"/>
    </xf>
    <xf numFmtId="38" fontId="31" fillId="0" borderId="0" xfId="11" applyNumberFormat="1" applyFont="1" applyBorder="1" applyAlignment="1">
      <alignment horizontal="right"/>
    </xf>
    <xf numFmtId="38" fontId="29" fillId="0" borderId="0" xfId="0" applyNumberFormat="1" applyFont="1" applyBorder="1"/>
    <xf numFmtId="38" fontId="29" fillId="0" borderId="0" xfId="0" applyNumberFormat="1" applyFont="1" applyBorder="1" applyAlignment="1">
      <alignment horizontal="right"/>
    </xf>
    <xf numFmtId="38" fontId="20" fillId="0" borderId="0" xfId="11" applyNumberFormat="1" applyFont="1" applyAlignment="1">
      <alignment horizontal="right"/>
    </xf>
    <xf numFmtId="38" fontId="29" fillId="0" borderId="0" xfId="11" applyNumberFormat="1" applyFont="1" applyAlignment="1">
      <alignment horizontal="right"/>
    </xf>
    <xf numFmtId="38" fontId="29" fillId="0" borderId="1" xfId="0" applyNumberFormat="1" applyFont="1" applyFill="1" applyBorder="1" applyAlignment="1">
      <alignment horizontal="center"/>
    </xf>
    <xf numFmtId="38" fontId="32" fillId="0" borderId="0" xfId="0" applyNumberFormat="1" applyFont="1"/>
    <xf numFmtId="38" fontId="31" fillId="0" borderId="1" xfId="0" applyNumberFormat="1" applyFont="1" applyBorder="1" applyAlignment="1">
      <alignment horizontal="center"/>
    </xf>
    <xf numFmtId="38" fontId="35" fillId="0" borderId="0" xfId="0" applyNumberFormat="1" applyFont="1" applyAlignment="1">
      <alignment horizontal="right"/>
    </xf>
    <xf numFmtId="38" fontId="25" fillId="0" borderId="5" xfId="0" applyNumberFormat="1" applyFont="1" applyBorder="1"/>
    <xf numFmtId="38" fontId="25" fillId="0" borderId="0" xfId="0" applyNumberFormat="1" applyFont="1"/>
    <xf numFmtId="38" fontId="28" fillId="0" borderId="0" xfId="0" applyNumberFormat="1" applyFont="1" applyFill="1"/>
    <xf numFmtId="38" fontId="20" fillId="0" borderId="0" xfId="0" applyNumberFormat="1" applyFont="1" applyAlignment="1">
      <alignment horizontal="right"/>
    </xf>
    <xf numFmtId="38" fontId="29" fillId="0" borderId="0" xfId="11" applyNumberFormat="1" applyFont="1" applyBorder="1" applyAlignment="1">
      <alignment horizontal="right"/>
    </xf>
    <xf numFmtId="38" fontId="34" fillId="0" borderId="0" xfId="0" applyNumberFormat="1" applyFont="1" applyAlignment="1">
      <alignment horizontal="left"/>
    </xf>
    <xf numFmtId="38" fontId="0" fillId="0" borderId="0" xfId="0" applyNumberFormat="1" applyAlignment="1"/>
    <xf numFmtId="38" fontId="26" fillId="0" borderId="0" xfId="0" applyNumberFormat="1" applyFont="1" applyAlignment="1">
      <alignment horizontal="center"/>
    </xf>
    <xf numFmtId="38" fontId="26" fillId="0" borderId="0" xfId="0" applyNumberFormat="1" applyFont="1" applyAlignment="1">
      <alignment horizontal="right"/>
    </xf>
    <xf numFmtId="38" fontId="26" fillId="0" borderId="0" xfId="11" applyNumberFormat="1" applyFont="1" applyAlignment="1">
      <alignment horizontal="right"/>
    </xf>
    <xf numFmtId="38" fontId="35" fillId="0" borderId="0" xfId="0" applyNumberFormat="1" applyFont="1" applyAlignment="1">
      <alignment horizontal="center"/>
    </xf>
    <xf numFmtId="38" fontId="25" fillId="0" borderId="5" xfId="0" applyNumberFormat="1" applyFont="1" applyFill="1" applyBorder="1"/>
    <xf numFmtId="0" fontId="25" fillId="4" borderId="0" xfId="0" applyFont="1" applyFill="1"/>
    <xf numFmtId="38" fontId="25" fillId="4" borderId="0" xfId="0" applyNumberFormat="1" applyFont="1" applyFill="1"/>
    <xf numFmtId="38" fontId="25" fillId="4" borderId="0" xfId="0" applyNumberFormat="1" applyFont="1" applyFill="1" applyAlignment="1">
      <alignment horizontal="center"/>
    </xf>
    <xf numFmtId="38" fontId="25" fillId="4" borderId="0" xfId="11" applyNumberFormat="1" applyFont="1" applyFill="1" applyAlignment="1">
      <alignment horizontal="right"/>
    </xf>
    <xf numFmtId="38" fontId="28" fillId="4" borderId="11" xfId="11" applyNumberFormat="1" applyFont="1" applyFill="1" applyBorder="1" applyAlignment="1">
      <alignment horizontal="right"/>
    </xf>
    <xf numFmtId="0" fontId="25" fillId="0" borderId="0" xfId="0" applyFont="1" applyFill="1"/>
    <xf numFmtId="38" fontId="25" fillId="0" borderId="0" xfId="0" applyNumberFormat="1" applyFont="1" applyFill="1"/>
    <xf numFmtId="38" fontId="28" fillId="0" borderId="0" xfId="11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38" fontId="0" fillId="0" borderId="0" xfId="0" applyNumberFormat="1" applyBorder="1"/>
    <xf numFmtId="6" fontId="41" fillId="0" borderId="0" xfId="12" applyNumberFormat="1" applyFont="1" applyFill="1" applyBorder="1"/>
    <xf numFmtId="0" fontId="41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38" fontId="4" fillId="0" borderId="0" xfId="0" applyNumberFormat="1" applyFont="1" applyFill="1" applyBorder="1" applyAlignment="1">
      <alignment horizontal="right"/>
    </xf>
    <xf numFmtId="178" fontId="21" fillId="0" borderId="0" xfId="11" applyNumberFormat="1" applyFont="1" applyAlignment="1">
      <alignment horizontal="left"/>
    </xf>
    <xf numFmtId="38" fontId="29" fillId="0" borderId="19" xfId="0" applyNumberFormat="1" applyFont="1" applyBorder="1" applyAlignment="1">
      <alignment horizontal="right"/>
    </xf>
    <xf numFmtId="38" fontId="19" fillId="0" borderId="0" xfId="0" applyNumberFormat="1" applyFont="1" applyAlignment="1">
      <alignment horizontal="left"/>
    </xf>
    <xf numFmtId="38" fontId="26" fillId="0" borderId="0" xfId="0" applyNumberFormat="1" applyFont="1"/>
    <xf numFmtId="38" fontId="25" fillId="8" borderId="0" xfId="0" applyNumberFormat="1" applyFont="1" applyFill="1"/>
    <xf numFmtId="38" fontId="25" fillId="13" borderId="0" xfId="0" applyNumberFormat="1" applyFont="1" applyFill="1"/>
    <xf numFmtId="38" fontId="38" fillId="0" borderId="0" xfId="0" applyNumberFormat="1" applyFont="1" applyAlignment="1">
      <alignment horizontal="left"/>
    </xf>
    <xf numFmtId="38" fontId="29" fillId="0" borderId="0" xfId="11" applyNumberFormat="1" applyFont="1" applyFill="1" applyBorder="1" applyAlignment="1">
      <alignment horizontal="right"/>
    </xf>
    <xf numFmtId="0" fontId="29" fillId="0" borderId="0" xfId="0" applyFont="1" applyFill="1" applyBorder="1"/>
    <xf numFmtId="178" fontId="21" fillId="0" borderId="0" xfId="11" applyNumberFormat="1" applyFont="1" applyFill="1" applyAlignment="1">
      <alignment horizontal="right"/>
    </xf>
    <xf numFmtId="178" fontId="20" fillId="0" borderId="0" xfId="11" applyNumberFormat="1" applyFont="1" applyFill="1" applyAlignment="1">
      <alignment horizontal="right"/>
    </xf>
    <xf numFmtId="178" fontId="20" fillId="0" borderId="0" xfId="11" quotePrefix="1" applyNumberFormat="1" applyFont="1" applyFill="1" applyBorder="1" applyAlignment="1">
      <alignment horizontal="center"/>
    </xf>
    <xf numFmtId="38" fontId="29" fillId="0" borderId="0" xfId="11" applyNumberFormat="1" applyFont="1" applyFill="1" applyAlignment="1">
      <alignment horizontal="right"/>
    </xf>
    <xf numFmtId="38" fontId="29" fillId="0" borderId="0" xfId="0" applyNumberFormat="1" applyFont="1" applyFill="1" applyBorder="1" applyAlignment="1">
      <alignment horizontal="right"/>
    </xf>
    <xf numFmtId="178" fontId="29" fillId="0" borderId="0" xfId="11" applyNumberFormat="1" applyFont="1" applyFill="1" applyAlignment="1">
      <alignment horizontal="right"/>
    </xf>
    <xf numFmtId="38" fontId="29" fillId="0" borderId="16" xfId="11" applyNumberFormat="1" applyFont="1" applyBorder="1" applyAlignment="1">
      <alignment horizontal="right"/>
    </xf>
    <xf numFmtId="38" fontId="29" fillId="0" borderId="20" xfId="11" applyNumberFormat="1" applyFont="1" applyFill="1" applyBorder="1" applyAlignment="1">
      <alignment horizontal="right"/>
    </xf>
    <xf numFmtId="38" fontId="29" fillId="0" borderId="0" xfId="0" applyNumberFormat="1" applyFont="1" applyFill="1" applyBorder="1"/>
    <xf numFmtId="178" fontId="31" fillId="0" borderId="0" xfId="11" applyNumberFormat="1" applyFont="1" applyBorder="1" applyAlignment="1">
      <alignment horizontal="center"/>
    </xf>
    <xf numFmtId="178" fontId="20" fillId="0" borderId="0" xfId="11" applyNumberFormat="1" applyFont="1" applyBorder="1" applyAlignment="1">
      <alignment horizontal="center"/>
    </xf>
    <xf numFmtId="38" fontId="29" fillId="0" borderId="21" xfId="0" applyNumberFormat="1" applyFont="1" applyBorder="1" applyAlignment="1">
      <alignment horizontal="right"/>
    </xf>
    <xf numFmtId="38" fontId="29" fillId="0" borderId="0" xfId="11" applyNumberFormat="1" applyFont="1" applyFill="1" applyBorder="1" applyAlignment="1">
      <alignment horizontal="center"/>
    </xf>
    <xf numFmtId="0" fontId="44" fillId="0" borderId="0" xfId="0" applyFont="1"/>
    <xf numFmtId="0" fontId="25" fillId="0" borderId="22" xfId="0" applyFont="1" applyBorder="1" applyAlignment="1">
      <alignment horizontal="center"/>
    </xf>
    <xf numFmtId="0" fontId="25" fillId="0" borderId="6" xfId="0" applyFont="1" applyBorder="1" applyAlignment="1">
      <alignment horizontal="center"/>
    </xf>
    <xf numFmtId="178" fontId="25" fillId="0" borderId="22" xfId="11" applyNumberFormat="1" applyFont="1" applyBorder="1" applyAlignment="1">
      <alignment horizontal="center"/>
    </xf>
    <xf numFmtId="178" fontId="25" fillId="0" borderId="4" xfId="11" applyNumberFormat="1" applyFont="1" applyBorder="1" applyAlignment="1">
      <alignment horizontal="center"/>
    </xf>
    <xf numFmtId="178" fontId="25" fillId="0" borderId="6" xfId="11" applyNumberFormat="1" applyFont="1" applyBorder="1" applyAlignment="1">
      <alignment horizontal="center"/>
    </xf>
    <xf numFmtId="178" fontId="27" fillId="0" borderId="7" xfId="11" applyNumberFormat="1" applyFont="1" applyBorder="1" applyAlignment="1">
      <alignment horizontal="left"/>
    </xf>
    <xf numFmtId="179" fontId="38" fillId="0" borderId="0" xfId="0" applyNumberFormat="1" applyFont="1" applyAlignment="1">
      <alignment horizontal="left"/>
    </xf>
    <xf numFmtId="0" fontId="25" fillId="16" borderId="22" xfId="0" applyFont="1" applyFill="1" applyBorder="1" applyAlignment="1">
      <alignment horizontal="center"/>
    </xf>
    <xf numFmtId="0" fontId="25" fillId="16" borderId="6" xfId="0" applyFont="1" applyFill="1" applyBorder="1" applyAlignment="1">
      <alignment horizontal="center"/>
    </xf>
    <xf numFmtId="0" fontId="23" fillId="4" borderId="0" xfId="0" applyFont="1" applyFill="1" applyAlignment="1">
      <alignment horizontal="left"/>
    </xf>
  </cellXfs>
  <cellStyles count="51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t_yet_active" xfId="28"/>
    <cellStyle name="Output" xfId="29" builtinId="21" customBuiltin="1"/>
    <cellStyle name="Outstanding" xfId="30"/>
    <cellStyle name="Percent1" xfId="31"/>
    <cellStyle name="Percent2" xfId="32"/>
    <cellStyle name="Percent4" xfId="33"/>
    <cellStyle name="Power" xfId="34"/>
    <cellStyle name="Quarters" xfId="35"/>
    <cellStyle name="SBZero" xfId="36"/>
    <cellStyle name="Shaded" xfId="37"/>
    <cellStyle name="sum" xfId="38"/>
    <cellStyle name="Time-minutes" xfId="39"/>
    <cellStyle name="Time-seconds" xfId="40"/>
    <cellStyle name="Title" xfId="41" builtinId="15" customBuiltin="1"/>
    <cellStyle name="total" xfId="42"/>
    <cellStyle name="Transportation" xfId="43"/>
    <cellStyle name="USD_day_analysis" xfId="44"/>
    <cellStyle name="Warning" xfId="45"/>
    <cellStyle name="Wrapped" xfId="46"/>
    <cellStyle name="xrate" xfId="47"/>
    <cellStyle name="year" xfId="48"/>
    <cellStyle name="Zero suppress" xfId="49"/>
    <cellStyle name="zpatchnumbers" xfId="5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B8D7EE"/>
      <rgbColor rgb="00993366"/>
      <rgbColor rgb="00FFFFCC"/>
      <rgbColor rgb="00CCFFFF"/>
      <rgbColor rgb="00660066"/>
      <rgbColor rgb="00FF8080"/>
      <rgbColor rgb="000066CC"/>
      <rgbColor rgb="00CCCCFF"/>
      <rgbColor rgb="00A5F9CB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52"/>
  <sheetViews>
    <sheetView workbookViewId="0">
      <selection activeCell="AB1" sqref="AB1"/>
    </sheetView>
  </sheetViews>
  <sheetFormatPr defaultRowHeight="12.75"/>
  <cols>
    <col min="1" max="1" width="2.28515625" customWidth="1"/>
    <col min="2" max="2" width="2.85546875" customWidth="1"/>
    <col min="3" max="3" width="41.28515625" customWidth="1"/>
    <col min="4" max="4" width="21" style="105" hidden="1" customWidth="1"/>
    <col min="5" max="5" width="13.140625" hidden="1" customWidth="1"/>
    <col min="6" max="6" width="2" hidden="1" customWidth="1"/>
    <col min="7" max="7" width="21" hidden="1" customWidth="1"/>
    <col min="8" max="8" width="3.140625" customWidth="1"/>
    <col min="9" max="10" width="0" hidden="1" customWidth="1"/>
    <col min="11" max="11" width="9.140625" hidden="1" customWidth="1"/>
    <col min="12" max="12" width="2.42578125" hidden="1" customWidth="1"/>
    <col min="13" max="14" width="0" hidden="1" customWidth="1"/>
    <col min="15" max="15" width="2" hidden="1" customWidth="1"/>
    <col min="16" max="17" width="0" hidden="1" customWidth="1"/>
    <col min="18" max="18" width="25.85546875" hidden="1" customWidth="1"/>
    <col min="19" max="19" width="2.28515625" style="97" hidden="1" customWidth="1"/>
    <col min="20" max="20" width="25.85546875" hidden="1" customWidth="1"/>
    <col min="21" max="21" width="3.85546875" style="97" hidden="1" customWidth="1"/>
    <col min="22" max="22" width="25.85546875" hidden="1" customWidth="1"/>
    <col min="23" max="23" width="2.5703125" style="97" hidden="1" customWidth="1"/>
    <col min="24" max="24" width="25.85546875" hidden="1" customWidth="1"/>
    <col min="25" max="25" width="1.5703125" style="97" customWidth="1"/>
    <col min="26" max="26" width="25.85546875" customWidth="1"/>
    <col min="27" max="27" width="2.5703125" customWidth="1"/>
    <col min="28" max="28" width="12.28515625" customWidth="1"/>
    <col min="29" max="29" width="12.5703125" customWidth="1"/>
    <col min="30" max="30" width="12.85546875" customWidth="1"/>
    <col min="31" max="31" width="12.28515625" customWidth="1"/>
    <col min="32" max="32" width="12.7109375" customWidth="1"/>
    <col min="33" max="33" width="61.7109375" customWidth="1"/>
  </cols>
  <sheetData>
    <row r="1" spans="1:33" ht="16.5">
      <c r="A1" s="1" t="s">
        <v>137</v>
      </c>
      <c r="B1" s="1"/>
      <c r="C1" s="1"/>
      <c r="D1" s="182"/>
      <c r="E1" s="1"/>
      <c r="F1" s="1"/>
      <c r="G1" s="1"/>
      <c r="H1" s="1"/>
      <c r="I1" s="1"/>
      <c r="J1" s="2"/>
      <c r="K1" s="3" t="s">
        <v>60</v>
      </c>
      <c r="L1" s="4"/>
      <c r="M1" s="3"/>
      <c r="N1" s="3"/>
      <c r="O1" s="4"/>
      <c r="P1" s="5"/>
      <c r="Q1" s="5" t="s">
        <v>60</v>
      </c>
      <c r="R1" s="5"/>
      <c r="S1" s="189"/>
      <c r="T1" s="5"/>
      <c r="U1" s="189"/>
      <c r="V1" s="5"/>
      <c r="W1" s="189"/>
      <c r="X1" s="5"/>
      <c r="Y1" s="189"/>
      <c r="Z1" s="5"/>
      <c r="AA1" s="4"/>
      <c r="AB1" s="180"/>
      <c r="AC1" s="5"/>
      <c r="AD1" s="5"/>
      <c r="AE1" s="6"/>
      <c r="AF1" s="6"/>
    </row>
    <row r="2" spans="1:33" ht="16.5">
      <c r="A2" s="212" t="s">
        <v>118</v>
      </c>
      <c r="B2" s="212"/>
      <c r="C2" s="212"/>
      <c r="D2" s="212"/>
      <c r="E2" s="212"/>
      <c r="F2" s="212"/>
      <c r="G2" s="212"/>
      <c r="H2" s="212"/>
      <c r="I2" s="7"/>
      <c r="J2" s="2"/>
      <c r="K2" s="3" t="s">
        <v>60</v>
      </c>
      <c r="L2" s="4"/>
      <c r="M2" s="3"/>
      <c r="N2" s="3"/>
      <c r="O2" s="4"/>
      <c r="P2" s="5"/>
      <c r="Q2" s="5" t="s">
        <v>60</v>
      </c>
      <c r="R2" s="5"/>
      <c r="S2" s="189"/>
      <c r="T2" s="5"/>
      <c r="U2" s="189"/>
      <c r="V2" s="5"/>
      <c r="W2" s="189"/>
      <c r="X2" s="5"/>
      <c r="Y2" s="189"/>
      <c r="Z2" s="5"/>
      <c r="AA2" s="4"/>
      <c r="AB2" s="5"/>
      <c r="AC2" s="5"/>
      <c r="AD2" s="5"/>
      <c r="AE2" s="5"/>
      <c r="AF2" s="5"/>
    </row>
    <row r="3" spans="1:33" ht="19.5">
      <c r="A3" s="9" t="s">
        <v>134</v>
      </c>
      <c r="B3" s="10"/>
      <c r="C3" s="2"/>
      <c r="D3" s="121"/>
      <c r="E3" s="2"/>
      <c r="F3" s="2"/>
      <c r="G3" s="2"/>
      <c r="H3" s="76"/>
      <c r="I3" s="12"/>
      <c r="J3" s="12"/>
      <c r="K3" s="12"/>
      <c r="L3" s="2"/>
      <c r="M3" s="12"/>
      <c r="N3" s="12"/>
      <c r="O3" s="2"/>
      <c r="P3" s="8"/>
      <c r="Q3" s="13"/>
      <c r="R3" s="13"/>
      <c r="S3" s="190"/>
      <c r="T3" s="13"/>
      <c r="U3" s="190"/>
      <c r="V3" s="13"/>
      <c r="W3" s="190"/>
      <c r="X3" s="13"/>
      <c r="Y3" s="190"/>
      <c r="Z3" s="13"/>
      <c r="AA3" s="2"/>
      <c r="AB3" s="208"/>
      <c r="AC3" s="208"/>
      <c r="AD3" s="208"/>
      <c r="AE3" s="208"/>
      <c r="AF3" s="208"/>
    </row>
    <row r="4" spans="1:33" ht="16.5" thickBot="1">
      <c r="A4" s="9" t="s">
        <v>180</v>
      </c>
      <c r="B4" s="10"/>
      <c r="C4" s="2"/>
      <c r="D4" s="121"/>
      <c r="E4" s="89" t="s">
        <v>9</v>
      </c>
      <c r="F4" s="2"/>
      <c r="G4" s="89" t="s">
        <v>43</v>
      </c>
      <c r="H4" s="11"/>
      <c r="I4" s="210" t="s">
        <v>73</v>
      </c>
      <c r="J4" s="211"/>
      <c r="K4" s="14"/>
      <c r="L4" s="2"/>
      <c r="M4" s="203" t="s">
        <v>75</v>
      </c>
      <c r="N4" s="204"/>
      <c r="O4" s="2"/>
      <c r="P4" s="203" t="s">
        <v>13</v>
      </c>
      <c r="Q4" s="204"/>
      <c r="R4" s="89" t="s">
        <v>177</v>
      </c>
      <c r="S4" s="99"/>
      <c r="T4" s="89" t="s">
        <v>133</v>
      </c>
      <c r="U4" s="99"/>
      <c r="V4" s="89" t="s">
        <v>138</v>
      </c>
      <c r="W4" s="99"/>
      <c r="X4" s="89" t="s">
        <v>135</v>
      </c>
      <c r="Y4" s="99"/>
      <c r="Z4" s="89" t="s">
        <v>136</v>
      </c>
      <c r="AA4" s="2"/>
      <c r="AB4" s="205" t="s">
        <v>77</v>
      </c>
      <c r="AC4" s="206"/>
      <c r="AD4" s="206"/>
      <c r="AE4" s="206"/>
      <c r="AF4" s="207"/>
    </row>
    <row r="5" spans="1:33" ht="16.5" thickTop="1">
      <c r="A5" s="9" t="s">
        <v>181</v>
      </c>
      <c r="B5" s="10"/>
      <c r="C5" s="2"/>
      <c r="D5" s="121"/>
      <c r="E5" s="89" t="s">
        <v>10</v>
      </c>
      <c r="F5" s="2"/>
      <c r="G5" s="89" t="s">
        <v>8</v>
      </c>
      <c r="H5" s="11"/>
      <c r="I5" s="15" t="s">
        <v>74</v>
      </c>
      <c r="J5" s="16" t="s">
        <v>113</v>
      </c>
      <c r="K5" s="16" t="s">
        <v>113</v>
      </c>
      <c r="L5" s="12"/>
      <c r="M5" s="17" t="s">
        <v>56</v>
      </c>
      <c r="N5" s="16" t="s">
        <v>113</v>
      </c>
      <c r="O5" s="12"/>
      <c r="P5" s="18" t="s">
        <v>76</v>
      </c>
      <c r="Q5" s="19" t="s">
        <v>113</v>
      </c>
      <c r="R5" s="89"/>
      <c r="S5" s="99"/>
      <c r="T5" s="89"/>
      <c r="U5" s="99"/>
      <c r="V5" s="89"/>
      <c r="W5" s="99"/>
      <c r="X5" s="89"/>
      <c r="Y5" s="99"/>
      <c r="Z5" s="89"/>
      <c r="AA5" s="2"/>
      <c r="AB5" s="20" t="s">
        <v>78</v>
      </c>
      <c r="AC5" s="21" t="s">
        <v>79</v>
      </c>
      <c r="AD5" s="21" t="s">
        <v>57</v>
      </c>
      <c r="AE5" s="21" t="s">
        <v>58</v>
      </c>
      <c r="AF5" s="22" t="s">
        <v>59</v>
      </c>
    </row>
    <row r="6" spans="1:33" ht="16.5" thickBot="1">
      <c r="A6" s="9"/>
      <c r="B6" s="10"/>
      <c r="C6" s="2"/>
      <c r="D6" s="121"/>
      <c r="E6" s="198"/>
      <c r="F6" s="2"/>
      <c r="G6" s="198"/>
      <c r="H6" s="11"/>
      <c r="I6" s="23"/>
      <c r="J6" s="23"/>
      <c r="K6" s="23"/>
      <c r="L6" s="12"/>
      <c r="M6" s="23"/>
      <c r="N6" s="23"/>
      <c r="O6" s="12"/>
      <c r="P6" s="199"/>
      <c r="Q6" s="199"/>
      <c r="R6" s="198"/>
      <c r="S6" s="99"/>
      <c r="T6" s="198"/>
      <c r="U6" s="99"/>
      <c r="V6" s="198"/>
      <c r="W6" s="99"/>
      <c r="X6" s="198"/>
      <c r="Y6" s="99"/>
      <c r="Z6" s="198"/>
      <c r="AA6" s="2"/>
      <c r="AB6" s="95"/>
      <c r="AC6" s="95"/>
      <c r="AD6" s="95"/>
      <c r="AE6" s="95"/>
    </row>
    <row r="7" spans="1:33" ht="14.25" thickBot="1">
      <c r="A7" s="165" t="s">
        <v>45</v>
      </c>
      <c r="B7" s="165"/>
      <c r="C7" s="165"/>
      <c r="D7" s="166"/>
      <c r="E7" s="165"/>
      <c r="F7" s="170"/>
      <c r="G7" s="171"/>
      <c r="H7" s="164"/>
      <c r="I7" s="167"/>
      <c r="J7" s="167"/>
      <c r="K7" s="167"/>
      <c r="L7" s="166"/>
      <c r="M7" s="167"/>
      <c r="N7" s="167"/>
      <c r="O7" s="166"/>
      <c r="P7" s="168"/>
      <c r="Q7" s="168"/>
      <c r="R7" s="169">
        <f>+R73+R64+R56+R32+R9</f>
        <v>2308870.1550000003</v>
      </c>
      <c r="S7" s="172"/>
      <c r="T7" s="169">
        <f>+T73+T64+T56+T32+T9</f>
        <v>2373549.977</v>
      </c>
      <c r="U7" s="172"/>
      <c r="V7" s="169">
        <f>+V73+V64+V56+V32+V9</f>
        <v>-1983410.838</v>
      </c>
      <c r="W7" s="172"/>
      <c r="X7" s="169">
        <f>+X73+X64+X56+X32+X9</f>
        <v>-138355.09299999999</v>
      </c>
      <c r="Y7" s="172"/>
      <c r="Z7" s="169">
        <f>+Z73+Z64+Z56+Z32+Z9</f>
        <v>2560654.2009999994</v>
      </c>
      <c r="AA7" s="155"/>
      <c r="AB7" s="169">
        <f>+AB73+AB64+AB56+AB32+AB9</f>
        <v>-91421.373510000034</v>
      </c>
      <c r="AC7" s="169">
        <f>+AC73+AC64+AC56+AC32+AC9</f>
        <v>48845.181979999936</v>
      </c>
      <c r="AD7" s="169">
        <f>+AD73+AD64+AD56+AD32+AD9</f>
        <v>225395.21102999998</v>
      </c>
      <c r="AE7" s="169">
        <f>+AE73+AE64+AE56+AE32+AE9</f>
        <v>140603.48369000002</v>
      </c>
      <c r="AF7" s="169">
        <f>+AF73+AF64+AF56+AF32+AF9</f>
        <v>4179398.5927699995</v>
      </c>
    </row>
    <row r="8" spans="1:33" ht="16.5" thickBot="1">
      <c r="A8" s="9"/>
      <c r="B8" s="10"/>
      <c r="C8" s="2"/>
      <c r="D8" s="121"/>
      <c r="E8" s="2"/>
      <c r="F8" s="2"/>
      <c r="G8" s="2"/>
      <c r="H8" s="11"/>
      <c r="I8" s="23"/>
      <c r="J8" s="23"/>
      <c r="K8" s="23"/>
      <c r="L8" s="12"/>
      <c r="M8" s="23"/>
      <c r="N8" s="23"/>
      <c r="O8" s="12"/>
      <c r="P8" s="24"/>
      <c r="Q8" s="24"/>
      <c r="R8" s="87"/>
      <c r="S8" s="191"/>
      <c r="T8" s="87"/>
      <c r="U8" s="191"/>
      <c r="V8" s="87"/>
      <c r="W8" s="191"/>
      <c r="X8" s="87"/>
      <c r="Y8" s="191"/>
      <c r="Z8" s="87"/>
      <c r="AA8" s="2"/>
      <c r="AB8" s="25"/>
      <c r="AC8" s="25"/>
      <c r="AD8" s="25"/>
      <c r="AE8" s="25"/>
      <c r="AF8" s="25"/>
    </row>
    <row r="9" spans="1:33" ht="14.25" thickBot="1">
      <c r="A9" s="9" t="s">
        <v>171</v>
      </c>
      <c r="B9" s="2"/>
      <c r="C9" s="2"/>
      <c r="D9" s="121" t="s">
        <v>129</v>
      </c>
      <c r="E9" s="121">
        <f>+G9-R9</f>
        <v>1562570</v>
      </c>
      <c r="F9" s="2"/>
      <c r="G9" s="117">
        <f>2067641+R28</f>
        <v>2889536.9720000001</v>
      </c>
      <c r="H9" s="118"/>
      <c r="I9" s="119"/>
      <c r="J9" s="120"/>
      <c r="K9" s="120"/>
      <c r="L9" s="121"/>
      <c r="M9" s="120"/>
      <c r="N9" s="120"/>
      <c r="O9" s="121"/>
      <c r="P9" s="122">
        <v>75940.897590000008</v>
      </c>
      <c r="Q9" s="123">
        <v>75000</v>
      </c>
      <c r="R9" s="117">
        <f>+R10+R13+R17+R28+R29+R30</f>
        <v>1326966.9720000001</v>
      </c>
      <c r="S9" s="172"/>
      <c r="T9" s="117">
        <f>SUM(T10:T30)</f>
        <v>384980</v>
      </c>
      <c r="U9" s="172"/>
      <c r="V9" s="117">
        <f>SUM(V10:V30)</f>
        <v>-349006</v>
      </c>
      <c r="W9" s="172"/>
      <c r="X9" s="117">
        <f>+X10+X13</f>
        <v>-126838</v>
      </c>
      <c r="Y9" s="172"/>
      <c r="Z9" s="117">
        <f>+Z10+Z13+Z17+Z28+Z29+Z30</f>
        <v>1236102.9720000001</v>
      </c>
      <c r="AA9" s="124"/>
      <c r="AB9" s="117">
        <f>+AB10+AB13+AB17+AB29+AB30</f>
        <v>-71961.09977000003</v>
      </c>
      <c r="AC9" s="117">
        <f>+AC10+AC13+AC17+AC29+AC30</f>
        <v>117641.77578999996</v>
      </c>
      <c r="AD9" s="117">
        <f>+AD10+AD13+AD17+AD29+AD30</f>
        <v>342946.89178999997</v>
      </c>
      <c r="AE9" s="117">
        <f>+AE10+AE13+AE17+AE29+AE30</f>
        <v>270090.78503999999</v>
      </c>
      <c r="AF9" s="117">
        <f>+AF10+AF13+AF17+AF29+AF30</f>
        <v>3992979.4232099997</v>
      </c>
    </row>
    <row r="10" spans="1:33" ht="13.5">
      <c r="A10" s="29"/>
      <c r="B10" s="30" t="s">
        <v>144</v>
      </c>
      <c r="C10" s="29"/>
      <c r="D10" s="124"/>
      <c r="E10" s="30"/>
      <c r="F10" s="30"/>
      <c r="G10" s="124"/>
      <c r="H10" s="125"/>
      <c r="I10" s="126">
        <v>-219.9</v>
      </c>
      <c r="J10" s="127" t="s">
        <v>124</v>
      </c>
      <c r="K10" s="127">
        <v>500</v>
      </c>
      <c r="L10" s="124"/>
      <c r="M10" s="126">
        <v>-293.70999999999998</v>
      </c>
      <c r="N10" s="127" t="s">
        <v>124</v>
      </c>
      <c r="O10" s="124"/>
      <c r="P10" s="128">
        <v>68530.350890000002</v>
      </c>
      <c r="Q10" s="129">
        <v>85000</v>
      </c>
      <c r="R10" s="130">
        <v>-555955</v>
      </c>
      <c r="S10" s="187"/>
      <c r="T10" s="130">
        <f>260098+31484+62714</f>
        <v>354296</v>
      </c>
      <c r="U10" s="187"/>
      <c r="V10" s="130">
        <f>-133837-53166-24440-96663</f>
        <v>-308106</v>
      </c>
      <c r="W10" s="187"/>
      <c r="X10" s="130">
        <f>-5673-39864</f>
        <v>-45537</v>
      </c>
      <c r="Y10" s="187"/>
      <c r="Z10" s="130">
        <f>SUM(R10:X10)</f>
        <v>-555302</v>
      </c>
      <c r="AA10" s="131"/>
      <c r="AB10" s="109">
        <f>SUM(AB11:AB12)</f>
        <v>-76404.545730000027</v>
      </c>
      <c r="AC10" s="109">
        <f>SUM(AC11:AC12)</f>
        <v>66313.614639999956</v>
      </c>
      <c r="AD10" s="109">
        <f>SUM(AD11:AD12)</f>
        <v>304589.49138999998</v>
      </c>
      <c r="AE10" s="109">
        <f>SUM(AE11:AE12)</f>
        <v>99868.432750000007</v>
      </c>
      <c r="AF10" s="109">
        <f>SUM(AF11:AF12)</f>
        <v>1618972.7568899998</v>
      </c>
    </row>
    <row r="11" spans="1:33" ht="13.5" hidden="1">
      <c r="A11" s="36"/>
      <c r="B11" s="37"/>
      <c r="C11" s="37" t="s">
        <v>84</v>
      </c>
      <c r="D11" s="132"/>
      <c r="E11" s="37"/>
      <c r="F11" s="37"/>
      <c r="G11" s="132"/>
      <c r="H11" s="133"/>
      <c r="I11" s="134">
        <v>-213.69</v>
      </c>
      <c r="J11" s="135"/>
      <c r="K11" s="135"/>
      <c r="L11" s="132"/>
      <c r="M11" s="135"/>
      <c r="N11" s="135"/>
      <c r="O11" s="132"/>
      <c r="P11" s="136">
        <v>68977.167560000002</v>
      </c>
      <c r="Q11" s="137"/>
      <c r="R11" s="130"/>
      <c r="S11" s="187"/>
      <c r="T11" s="130"/>
      <c r="U11" s="187"/>
      <c r="V11" s="130"/>
      <c r="W11" s="187"/>
      <c r="X11" s="130"/>
      <c r="Y11" s="187"/>
      <c r="Z11" s="130"/>
      <c r="AA11" s="131"/>
      <c r="AB11" s="109">
        <v>-74926.95199000003</v>
      </c>
      <c r="AC11" s="109">
        <v>71930.910559999975</v>
      </c>
      <c r="AD11" s="109">
        <v>214898.72119000001</v>
      </c>
      <c r="AE11" s="109">
        <v>120289.29247000001</v>
      </c>
      <c r="AF11" s="109">
        <v>1407451.9123599997</v>
      </c>
    </row>
    <row r="12" spans="1:33" ht="13.5" hidden="1">
      <c r="A12" s="36"/>
      <c r="B12" s="37"/>
      <c r="C12" s="37" t="s">
        <v>82</v>
      </c>
      <c r="D12" s="132"/>
      <c r="E12" s="37"/>
      <c r="F12" s="37"/>
      <c r="G12" s="132"/>
      <c r="H12" s="133"/>
      <c r="I12" s="134">
        <v>-6.21</v>
      </c>
      <c r="J12" s="135"/>
      <c r="K12" s="135"/>
      <c r="L12" s="132"/>
      <c r="M12" s="135"/>
      <c r="N12" s="135"/>
      <c r="O12" s="132"/>
      <c r="P12" s="136">
        <v>886.53601000000003</v>
      </c>
      <c r="Q12" s="137"/>
      <c r="R12" s="130"/>
      <c r="S12" s="187"/>
      <c r="T12" s="130"/>
      <c r="U12" s="187"/>
      <c r="V12" s="130"/>
      <c r="W12" s="187"/>
      <c r="X12" s="130"/>
      <c r="Y12" s="187"/>
      <c r="Z12" s="130"/>
      <c r="AA12" s="131"/>
      <c r="AB12" s="109">
        <v>-1477.5937400000003</v>
      </c>
      <c r="AC12" s="109">
        <v>-5617.2959200000205</v>
      </c>
      <c r="AD12" s="109">
        <v>89690.770199999999</v>
      </c>
      <c r="AE12" s="109">
        <v>-20420.859720000015</v>
      </c>
      <c r="AF12" s="109">
        <v>211520.84453000003</v>
      </c>
    </row>
    <row r="13" spans="1:33" ht="13.5">
      <c r="A13" s="29"/>
      <c r="B13" s="30" t="s">
        <v>145</v>
      </c>
      <c r="C13" s="30"/>
      <c r="D13" s="124"/>
      <c r="E13" s="30"/>
      <c r="F13" s="30"/>
      <c r="G13" s="124"/>
      <c r="H13" s="125"/>
      <c r="I13" s="126">
        <v>23.108604239999998</v>
      </c>
      <c r="J13" s="127" t="s">
        <v>123</v>
      </c>
      <c r="K13" s="127">
        <v>90</v>
      </c>
      <c r="L13" s="124"/>
      <c r="M13" s="126">
        <v>-12.066572039999999</v>
      </c>
      <c r="N13" s="127" t="s">
        <v>123</v>
      </c>
      <c r="O13" s="124"/>
      <c r="P13" s="128">
        <v>15247.140429999999</v>
      </c>
      <c r="Q13" s="129">
        <v>54000</v>
      </c>
      <c r="R13" s="130">
        <v>1050337</v>
      </c>
      <c r="S13" s="187"/>
      <c r="T13" s="130">
        <v>30684</v>
      </c>
      <c r="U13" s="187"/>
      <c r="V13" s="130">
        <v>-40900</v>
      </c>
      <c r="W13" s="187"/>
      <c r="X13" s="130">
        <v>-81301</v>
      </c>
      <c r="Y13" s="187"/>
      <c r="Z13" s="130">
        <f t="shared" ref="Z13:Z30" si="0">SUM(R13:X13)</f>
        <v>958820</v>
      </c>
      <c r="AA13" s="131"/>
      <c r="AB13" s="109">
        <f>SUM(AB14:AB16)</f>
        <v>-12503.821039999999</v>
      </c>
      <c r="AC13" s="109">
        <f>SUM(AC14:AC16)</f>
        <v>35323.891150000003</v>
      </c>
      <c r="AD13" s="109">
        <f>SUM(AD14:AD16)</f>
        <v>19525.870789999986</v>
      </c>
      <c r="AE13" s="109">
        <f>SUM(AE14:AE16)</f>
        <v>114552.38133</v>
      </c>
      <c r="AF13" s="109">
        <f>SUM(AF14:AF16)</f>
        <v>1422718.1328099999</v>
      </c>
      <c r="AG13" s="88"/>
    </row>
    <row r="14" spans="1:33" ht="13.5" hidden="1">
      <c r="A14" s="36"/>
      <c r="B14" s="37"/>
      <c r="C14" s="37" t="s">
        <v>80</v>
      </c>
      <c r="D14" s="132"/>
      <c r="E14" s="37"/>
      <c r="F14" s="37"/>
      <c r="G14" s="132"/>
      <c r="H14" s="133"/>
      <c r="I14" s="134">
        <v>-15.314814140000001</v>
      </c>
      <c r="J14" s="127" t="s">
        <v>123</v>
      </c>
      <c r="K14" s="135"/>
      <c r="L14" s="132"/>
      <c r="M14" s="135"/>
      <c r="N14" s="135"/>
      <c r="O14" s="132"/>
      <c r="P14" s="136">
        <v>10795.171039999999</v>
      </c>
      <c r="Q14" s="137"/>
      <c r="R14" s="130"/>
      <c r="S14" s="187"/>
      <c r="T14" s="130"/>
      <c r="U14" s="187"/>
      <c r="V14" s="130"/>
      <c r="W14" s="187"/>
      <c r="X14" s="130"/>
      <c r="Y14" s="187"/>
      <c r="Z14" s="130">
        <f t="shared" si="0"/>
        <v>0</v>
      </c>
      <c r="AA14" s="131"/>
      <c r="AB14" s="109">
        <v>-23585.28095</v>
      </c>
      <c r="AC14" s="109">
        <v>11886.789960000004</v>
      </c>
      <c r="AD14" s="109">
        <v>57158.602510000004</v>
      </c>
      <c r="AE14" s="109">
        <v>15912.620420000003</v>
      </c>
      <c r="AF14" s="109">
        <v>433114.50409999985</v>
      </c>
    </row>
    <row r="15" spans="1:33" ht="13.5" hidden="1">
      <c r="A15" s="36"/>
      <c r="B15" s="37"/>
      <c r="C15" s="37" t="s">
        <v>81</v>
      </c>
      <c r="D15" s="132"/>
      <c r="E15" s="37"/>
      <c r="F15" s="37"/>
      <c r="G15" s="132"/>
      <c r="H15" s="133"/>
      <c r="I15" s="134">
        <v>-10.008307380000002</v>
      </c>
      <c r="J15" s="127" t="s">
        <v>123</v>
      </c>
      <c r="K15" s="135"/>
      <c r="L15" s="132"/>
      <c r="M15" s="135"/>
      <c r="N15" s="135"/>
      <c r="O15" s="132"/>
      <c r="P15" s="136">
        <v>7885.59285</v>
      </c>
      <c r="Q15" s="137"/>
      <c r="R15" s="130"/>
      <c r="S15" s="187"/>
      <c r="T15" s="130"/>
      <c r="U15" s="187"/>
      <c r="V15" s="130"/>
      <c r="W15" s="187"/>
      <c r="X15" s="130"/>
      <c r="Y15" s="187"/>
      <c r="Z15" s="130">
        <f t="shared" si="0"/>
        <v>0</v>
      </c>
      <c r="AA15" s="131"/>
      <c r="AB15" s="109">
        <v>9720.7999700000018</v>
      </c>
      <c r="AC15" s="109">
        <v>27878.094020000004</v>
      </c>
      <c r="AD15" s="109">
        <v>59508.783939999994</v>
      </c>
      <c r="AE15" s="109">
        <v>60661.392859999993</v>
      </c>
      <c r="AF15" s="109">
        <v>878751.89028999989</v>
      </c>
    </row>
    <row r="16" spans="1:33" ht="13.5" hidden="1">
      <c r="A16" s="36"/>
      <c r="B16" s="37"/>
      <c r="C16" s="37" t="s">
        <v>82</v>
      </c>
      <c r="D16" s="132"/>
      <c r="E16" s="37"/>
      <c r="F16" s="37"/>
      <c r="G16" s="132"/>
      <c r="H16" s="133"/>
      <c r="I16" s="134">
        <v>48.431725759999999</v>
      </c>
      <c r="J16" s="127" t="s">
        <v>123</v>
      </c>
      <c r="K16" s="135"/>
      <c r="L16" s="132"/>
      <c r="M16" s="135"/>
      <c r="N16" s="135"/>
      <c r="O16" s="132"/>
      <c r="P16" s="138">
        <v>16609.47379</v>
      </c>
      <c r="Q16" s="137"/>
      <c r="R16" s="130"/>
      <c r="S16" s="187"/>
      <c r="T16" s="130"/>
      <c r="U16" s="187"/>
      <c r="V16" s="130"/>
      <c r="W16" s="187"/>
      <c r="X16" s="130"/>
      <c r="Y16" s="187"/>
      <c r="Z16" s="130">
        <f t="shared" si="0"/>
        <v>0</v>
      </c>
      <c r="AA16" s="131"/>
      <c r="AB16" s="109">
        <v>1360.65994</v>
      </c>
      <c r="AC16" s="109">
        <v>-4440.9928300000056</v>
      </c>
      <c r="AD16" s="109">
        <v>-97141.515660000005</v>
      </c>
      <c r="AE16" s="109">
        <v>37978.368050000012</v>
      </c>
      <c r="AF16" s="109">
        <v>110851.73841999999</v>
      </c>
    </row>
    <row r="17" spans="1:33" ht="13.5">
      <c r="A17" s="29"/>
      <c r="B17" s="30" t="s">
        <v>52</v>
      </c>
      <c r="C17" s="30"/>
      <c r="D17" s="124"/>
      <c r="E17" s="30"/>
      <c r="F17" s="30"/>
      <c r="G17" s="124"/>
      <c r="H17" s="125"/>
      <c r="I17" s="139"/>
      <c r="J17" s="140"/>
      <c r="K17" s="140"/>
      <c r="L17" s="124"/>
      <c r="M17" s="140"/>
      <c r="N17" s="140"/>
      <c r="O17" s="124"/>
      <c r="P17" s="136">
        <v>6840.4756900000002</v>
      </c>
      <c r="Q17" s="141"/>
      <c r="R17" s="130">
        <f>SUM(R24:R27)</f>
        <v>3771</v>
      </c>
      <c r="S17" s="187"/>
      <c r="T17" s="130"/>
      <c r="U17" s="187"/>
      <c r="V17" s="130"/>
      <c r="W17" s="187"/>
      <c r="X17" s="130"/>
      <c r="Y17" s="187"/>
      <c r="Z17" s="130">
        <f t="shared" si="0"/>
        <v>3771</v>
      </c>
      <c r="AA17" s="131"/>
      <c r="AB17" s="130">
        <f>SUM(AB24:AB27)</f>
        <v>15.73</v>
      </c>
      <c r="AC17" s="130">
        <f>SUM(AC24:AC27)</f>
        <v>-927.26699999999994</v>
      </c>
      <c r="AD17" s="130">
        <f>SUM(AD24:AD27)</f>
        <v>1899.99261</v>
      </c>
      <c r="AE17" s="130">
        <f>SUM(AE24:AE27)</f>
        <v>5001.1819599999999</v>
      </c>
      <c r="AF17" s="130">
        <f>SUM(AF24:AF27)</f>
        <v>6009.8510100000003</v>
      </c>
    </row>
    <row r="18" spans="1:33" ht="13.5" hidden="1">
      <c r="A18" s="36"/>
      <c r="B18" s="37"/>
      <c r="C18" s="37" t="s">
        <v>95</v>
      </c>
      <c r="D18" s="132"/>
      <c r="E18" s="37"/>
      <c r="F18" s="37"/>
      <c r="G18" s="132"/>
      <c r="H18" s="133"/>
      <c r="I18" s="142"/>
      <c r="J18" s="135"/>
      <c r="K18" s="135"/>
      <c r="L18" s="132"/>
      <c r="M18" s="135"/>
      <c r="N18" s="135"/>
      <c r="O18" s="132"/>
      <c r="P18" s="136"/>
      <c r="Q18" s="137"/>
      <c r="R18" s="130"/>
      <c r="S18" s="187"/>
      <c r="T18" s="130"/>
      <c r="U18" s="187"/>
      <c r="V18" s="130"/>
      <c r="W18" s="187"/>
      <c r="X18" s="130">
        <v>-81301</v>
      </c>
      <c r="Y18" s="187"/>
      <c r="Z18" s="130">
        <f t="shared" si="0"/>
        <v>-81301</v>
      </c>
      <c r="AA18" s="131"/>
      <c r="AB18" s="130"/>
      <c r="AC18" s="130"/>
      <c r="AD18" s="130"/>
      <c r="AE18" s="130"/>
      <c r="AF18" s="130"/>
    </row>
    <row r="19" spans="1:33" ht="13.5" hidden="1">
      <c r="A19" s="36"/>
      <c r="B19" s="37"/>
      <c r="C19" s="37" t="s">
        <v>96</v>
      </c>
      <c r="D19" s="132"/>
      <c r="E19" s="37"/>
      <c r="F19" s="37"/>
      <c r="G19" s="132"/>
      <c r="H19" s="133"/>
      <c r="I19" s="142"/>
      <c r="J19" s="135"/>
      <c r="K19" s="135"/>
      <c r="L19" s="132"/>
      <c r="M19" s="135"/>
      <c r="N19" s="135"/>
      <c r="O19" s="132"/>
      <c r="P19" s="136"/>
      <c r="Q19" s="137"/>
      <c r="R19" s="130"/>
      <c r="S19" s="187"/>
      <c r="T19" s="130"/>
      <c r="U19" s="187"/>
      <c r="V19" s="130"/>
      <c r="W19" s="187"/>
      <c r="X19" s="130">
        <v>-81301</v>
      </c>
      <c r="Y19" s="187"/>
      <c r="Z19" s="130">
        <f t="shared" si="0"/>
        <v>-81301</v>
      </c>
      <c r="AA19" s="131"/>
      <c r="AB19" s="130"/>
      <c r="AC19" s="130"/>
      <c r="AD19" s="130"/>
      <c r="AE19" s="130"/>
      <c r="AF19" s="130"/>
    </row>
    <row r="20" spans="1:33" ht="13.5" hidden="1">
      <c r="A20" s="36"/>
      <c r="B20" s="37"/>
      <c r="C20" s="37" t="s">
        <v>93</v>
      </c>
      <c r="D20" s="132"/>
      <c r="E20" s="37"/>
      <c r="F20" s="37"/>
      <c r="G20" s="132"/>
      <c r="H20" s="133"/>
      <c r="I20" s="142"/>
      <c r="J20" s="135"/>
      <c r="K20" s="135"/>
      <c r="L20" s="132"/>
      <c r="M20" s="135"/>
      <c r="N20" s="135"/>
      <c r="O20" s="132"/>
      <c r="P20" s="136"/>
      <c r="Q20" s="137"/>
      <c r="R20" s="130"/>
      <c r="S20" s="187"/>
      <c r="T20" s="130"/>
      <c r="U20" s="187"/>
      <c r="V20" s="130"/>
      <c r="W20" s="187"/>
      <c r="X20" s="130">
        <v>-81301</v>
      </c>
      <c r="Y20" s="187"/>
      <c r="Z20" s="130">
        <f t="shared" si="0"/>
        <v>-81301</v>
      </c>
      <c r="AA20" s="131"/>
      <c r="AB20" s="130"/>
      <c r="AC20" s="130"/>
      <c r="AD20" s="130"/>
      <c r="AE20" s="130"/>
      <c r="AF20" s="130"/>
    </row>
    <row r="21" spans="1:33" ht="13.5" hidden="1">
      <c r="A21" s="36"/>
      <c r="B21" s="37"/>
      <c r="C21" s="37" t="s">
        <v>94</v>
      </c>
      <c r="D21" s="132"/>
      <c r="E21" s="37"/>
      <c r="F21" s="37"/>
      <c r="G21" s="132"/>
      <c r="H21" s="133"/>
      <c r="I21" s="142"/>
      <c r="J21" s="135"/>
      <c r="K21" s="135"/>
      <c r="L21" s="132"/>
      <c r="M21" s="135"/>
      <c r="N21" s="135"/>
      <c r="O21" s="132"/>
      <c r="P21" s="136"/>
      <c r="Q21" s="137"/>
      <c r="R21" s="130"/>
      <c r="S21" s="187"/>
      <c r="T21" s="130"/>
      <c r="U21" s="187"/>
      <c r="V21" s="130"/>
      <c r="W21" s="187"/>
      <c r="X21" s="130">
        <v>-81301</v>
      </c>
      <c r="Y21" s="187"/>
      <c r="Z21" s="130">
        <f t="shared" si="0"/>
        <v>-81301</v>
      </c>
      <c r="AA21" s="131"/>
      <c r="AB21" s="130"/>
      <c r="AC21" s="130"/>
      <c r="AD21" s="130"/>
      <c r="AE21" s="130"/>
      <c r="AF21" s="130"/>
    </row>
    <row r="22" spans="1:33" ht="13.5" hidden="1">
      <c r="A22" s="36"/>
      <c r="B22" s="37"/>
      <c r="C22" s="37" t="s">
        <v>100</v>
      </c>
      <c r="D22" s="132"/>
      <c r="E22" s="37"/>
      <c r="F22" s="37"/>
      <c r="G22" s="132"/>
      <c r="H22" s="133"/>
      <c r="I22" s="142"/>
      <c r="J22" s="135"/>
      <c r="K22" s="135"/>
      <c r="L22" s="132"/>
      <c r="M22" s="135"/>
      <c r="N22" s="135"/>
      <c r="O22" s="132"/>
      <c r="P22" s="136"/>
      <c r="Q22" s="137"/>
      <c r="R22" s="130"/>
      <c r="S22" s="187"/>
      <c r="T22" s="130"/>
      <c r="U22" s="187"/>
      <c r="V22" s="130"/>
      <c r="W22" s="187"/>
      <c r="X22" s="130">
        <v>-81301</v>
      </c>
      <c r="Y22" s="187"/>
      <c r="Z22" s="130">
        <f t="shared" si="0"/>
        <v>-81301</v>
      </c>
      <c r="AA22" s="131"/>
      <c r="AB22" s="130"/>
      <c r="AC22" s="130"/>
      <c r="AD22" s="130"/>
      <c r="AE22" s="130"/>
      <c r="AF22" s="130"/>
    </row>
    <row r="23" spans="1:33" ht="13.5" hidden="1">
      <c r="A23" s="36"/>
      <c r="B23" s="37"/>
      <c r="C23" s="37" t="s">
        <v>49</v>
      </c>
      <c r="D23" s="132"/>
      <c r="E23" s="37"/>
      <c r="F23" s="37"/>
      <c r="G23" s="132"/>
      <c r="H23" s="133"/>
      <c r="I23" s="142"/>
      <c r="J23" s="135"/>
      <c r="K23" s="135"/>
      <c r="L23" s="132"/>
      <c r="M23" s="135"/>
      <c r="N23" s="135"/>
      <c r="O23" s="132"/>
      <c r="P23" s="143"/>
      <c r="Q23" s="137"/>
      <c r="R23" s="130"/>
      <c r="S23" s="187"/>
      <c r="T23" s="130"/>
      <c r="U23" s="187"/>
      <c r="V23" s="130"/>
      <c r="W23" s="187"/>
      <c r="X23" s="130">
        <v>-81301</v>
      </c>
      <c r="Y23" s="187"/>
      <c r="Z23" s="130">
        <f t="shared" si="0"/>
        <v>-81301</v>
      </c>
      <c r="AA23" s="131"/>
      <c r="AB23" s="130"/>
      <c r="AC23" s="130"/>
      <c r="AD23" s="130"/>
      <c r="AE23" s="130"/>
      <c r="AF23" s="130"/>
    </row>
    <row r="24" spans="1:33" ht="13.5" hidden="1">
      <c r="A24" s="36"/>
      <c r="B24" s="37"/>
      <c r="C24" s="37" t="s">
        <v>100</v>
      </c>
      <c r="D24" s="132"/>
      <c r="E24" s="37"/>
      <c r="F24" s="37"/>
      <c r="G24" s="132"/>
      <c r="H24" s="133"/>
      <c r="I24" s="142"/>
      <c r="J24" s="135"/>
      <c r="K24" s="135"/>
      <c r="L24" s="132"/>
      <c r="M24" s="135"/>
      <c r="N24" s="135"/>
      <c r="O24" s="132"/>
      <c r="P24" s="144"/>
      <c r="Q24" s="137"/>
      <c r="R24" s="130">
        <v>3771</v>
      </c>
      <c r="S24" s="187"/>
      <c r="T24" s="130"/>
      <c r="U24" s="187"/>
      <c r="V24" s="130"/>
      <c r="W24" s="187"/>
      <c r="X24" s="130">
        <v>-81301</v>
      </c>
      <c r="Y24" s="187"/>
      <c r="Z24" s="130">
        <f t="shared" si="0"/>
        <v>-77530</v>
      </c>
      <c r="AA24" s="131"/>
      <c r="AB24" s="109">
        <v>0</v>
      </c>
      <c r="AC24" s="109">
        <v>-1000.001</v>
      </c>
      <c r="AD24" s="109">
        <v>500.13461000000001</v>
      </c>
      <c r="AE24" s="109">
        <v>3728.2639599999998</v>
      </c>
      <c r="AF24" s="109">
        <v>5115.7284200000004</v>
      </c>
    </row>
    <row r="25" spans="1:33" ht="13.5" hidden="1">
      <c r="A25" s="36"/>
      <c r="B25" s="37"/>
      <c r="C25" s="37" t="s">
        <v>69</v>
      </c>
      <c r="D25" s="132"/>
      <c r="E25" s="37"/>
      <c r="F25" s="37"/>
      <c r="G25" s="132"/>
      <c r="H25" s="133"/>
      <c r="I25" s="142"/>
      <c r="J25" s="135"/>
      <c r="K25" s="135"/>
      <c r="L25" s="132"/>
      <c r="M25" s="135"/>
      <c r="N25" s="135"/>
      <c r="O25" s="132"/>
      <c r="P25" s="144"/>
      <c r="Q25" s="137"/>
      <c r="R25" s="130"/>
      <c r="S25" s="187"/>
      <c r="T25" s="130"/>
      <c r="U25" s="187"/>
      <c r="V25" s="130"/>
      <c r="W25" s="187"/>
      <c r="X25" s="130">
        <v>-81301</v>
      </c>
      <c r="Y25" s="187"/>
      <c r="Z25" s="130">
        <f t="shared" si="0"/>
        <v>-81301</v>
      </c>
      <c r="AA25" s="131"/>
      <c r="AB25" s="109">
        <v>0</v>
      </c>
      <c r="AC25" s="109">
        <v>0</v>
      </c>
      <c r="AD25" s="109">
        <v>0</v>
      </c>
      <c r="AE25" s="109">
        <v>0</v>
      </c>
      <c r="AF25" s="109">
        <v>161.21241000000001</v>
      </c>
    </row>
    <row r="26" spans="1:33" ht="13.5" hidden="1">
      <c r="A26" s="36"/>
      <c r="B26" s="37"/>
      <c r="C26" s="37" t="s">
        <v>49</v>
      </c>
      <c r="D26" s="132"/>
      <c r="E26" s="37"/>
      <c r="F26" s="37"/>
      <c r="G26" s="132"/>
      <c r="H26" s="133"/>
      <c r="I26" s="142"/>
      <c r="J26" s="135"/>
      <c r="K26" s="135"/>
      <c r="L26" s="132"/>
      <c r="M26" s="135"/>
      <c r="N26" s="135"/>
      <c r="O26" s="132"/>
      <c r="P26" s="144"/>
      <c r="Q26" s="137"/>
      <c r="R26" s="130"/>
      <c r="S26" s="187"/>
      <c r="T26" s="130"/>
      <c r="U26" s="187"/>
      <c r="V26" s="130"/>
      <c r="W26" s="187"/>
      <c r="X26" s="130">
        <v>-81301</v>
      </c>
      <c r="Y26" s="187"/>
      <c r="Z26" s="130">
        <f t="shared" si="0"/>
        <v>-81301</v>
      </c>
      <c r="AA26" s="131"/>
      <c r="AB26" s="109">
        <v>0</v>
      </c>
      <c r="AC26" s="109">
        <v>0</v>
      </c>
      <c r="AD26" s="109">
        <v>0</v>
      </c>
      <c r="AE26" s="109">
        <v>0</v>
      </c>
      <c r="AF26" s="109">
        <v>9.7041800000000009</v>
      </c>
    </row>
    <row r="27" spans="1:33" ht="13.5" hidden="1">
      <c r="A27" s="36"/>
      <c r="B27" s="37"/>
      <c r="C27" s="37" t="s">
        <v>11</v>
      </c>
      <c r="D27" s="132"/>
      <c r="E27" s="37"/>
      <c r="F27" s="37"/>
      <c r="G27" s="132"/>
      <c r="H27" s="133"/>
      <c r="I27" s="142"/>
      <c r="J27" s="135"/>
      <c r="K27" s="135"/>
      <c r="L27" s="132"/>
      <c r="M27" s="135"/>
      <c r="N27" s="135"/>
      <c r="O27" s="132"/>
      <c r="P27" s="144"/>
      <c r="Q27" s="137"/>
      <c r="R27" s="130"/>
      <c r="S27" s="187"/>
      <c r="T27" s="130"/>
      <c r="U27" s="187"/>
      <c r="V27" s="130"/>
      <c r="W27" s="187"/>
      <c r="X27" s="130">
        <v>-81301</v>
      </c>
      <c r="Y27" s="187"/>
      <c r="Z27" s="130">
        <f t="shared" si="0"/>
        <v>-81301</v>
      </c>
      <c r="AA27" s="131"/>
      <c r="AB27" s="109">
        <v>15.73</v>
      </c>
      <c r="AC27" s="109">
        <v>72.733999999999995</v>
      </c>
      <c r="AD27" s="109">
        <v>1399.8579999999999</v>
      </c>
      <c r="AE27" s="109">
        <v>1272.9179999999999</v>
      </c>
      <c r="AF27" s="109">
        <v>723.20600000000002</v>
      </c>
    </row>
    <row r="28" spans="1:33" ht="13.5">
      <c r="A28" s="29"/>
      <c r="B28" s="30" t="s">
        <v>91</v>
      </c>
      <c r="C28" s="30"/>
      <c r="D28" s="124"/>
      <c r="E28" s="30"/>
      <c r="F28" s="30"/>
      <c r="G28" s="124"/>
      <c r="H28" s="125"/>
      <c r="I28" s="139"/>
      <c r="J28" s="140"/>
      <c r="K28" s="140"/>
      <c r="L28" s="124"/>
      <c r="M28" s="140"/>
      <c r="N28" s="140"/>
      <c r="O28" s="124"/>
      <c r="P28" s="145"/>
      <c r="Q28" s="141"/>
      <c r="R28" s="130">
        <f>821895972/1000</f>
        <v>821895.97199999995</v>
      </c>
      <c r="S28" s="187"/>
      <c r="T28" s="130"/>
      <c r="U28" s="187"/>
      <c r="V28" s="130"/>
      <c r="W28" s="187"/>
      <c r="X28" s="130"/>
      <c r="Y28" s="187"/>
      <c r="Z28" s="130">
        <f t="shared" si="0"/>
        <v>821895.97199999995</v>
      </c>
      <c r="AA28" s="131"/>
      <c r="AB28" s="130">
        <v>0</v>
      </c>
      <c r="AC28" s="130">
        <v>0</v>
      </c>
      <c r="AD28" s="130">
        <v>0</v>
      </c>
      <c r="AE28" s="130"/>
      <c r="AF28" s="130"/>
      <c r="AG28" s="116"/>
    </row>
    <row r="29" spans="1:33" ht="13.5">
      <c r="A29" s="29"/>
      <c r="B29" s="30" t="s">
        <v>55</v>
      </c>
      <c r="C29" s="30"/>
      <c r="D29" s="124"/>
      <c r="E29" s="30"/>
      <c r="F29" s="30"/>
      <c r="G29" s="124"/>
      <c r="H29" s="125"/>
      <c r="I29" s="139"/>
      <c r="J29" s="140"/>
      <c r="K29" s="140"/>
      <c r="L29" s="124"/>
      <c r="M29" s="140"/>
      <c r="N29" s="140"/>
      <c r="O29" s="124"/>
      <c r="P29" s="145"/>
      <c r="Q29" s="141"/>
      <c r="R29" s="130">
        <v>6918</v>
      </c>
      <c r="S29" s="187"/>
      <c r="T29" s="130"/>
      <c r="U29" s="187"/>
      <c r="V29" s="130"/>
      <c r="W29" s="187"/>
      <c r="X29" s="130"/>
      <c r="Y29" s="187"/>
      <c r="Z29" s="130">
        <f t="shared" si="0"/>
        <v>6918</v>
      </c>
      <c r="AA29" s="131"/>
      <c r="AB29" s="130">
        <v>9882</v>
      </c>
      <c r="AC29" s="130">
        <v>9882</v>
      </c>
      <c r="AD29" s="130">
        <v>9882</v>
      </c>
      <c r="AE29" s="130">
        <v>33555</v>
      </c>
      <c r="AF29" s="130">
        <v>806789</v>
      </c>
    </row>
    <row r="30" spans="1:33" ht="13.5">
      <c r="A30" s="29"/>
      <c r="B30" s="30" t="s">
        <v>83</v>
      </c>
      <c r="C30" s="30"/>
      <c r="D30" s="124"/>
      <c r="E30" s="30"/>
      <c r="F30" s="30"/>
      <c r="G30" s="124"/>
      <c r="H30" s="125"/>
      <c r="I30" s="139"/>
      <c r="J30" s="140"/>
      <c r="K30" s="140"/>
      <c r="L30" s="124"/>
      <c r="M30" s="140"/>
      <c r="N30" s="140"/>
      <c r="O30" s="124"/>
      <c r="P30" s="146"/>
      <c r="Q30" s="141"/>
      <c r="R30" s="130"/>
      <c r="S30" s="187"/>
      <c r="T30" s="130"/>
      <c r="U30" s="187"/>
      <c r="V30" s="130"/>
      <c r="W30" s="187"/>
      <c r="X30" s="130"/>
      <c r="Y30" s="187"/>
      <c r="Z30" s="130">
        <f t="shared" si="0"/>
        <v>0</v>
      </c>
      <c r="AA30" s="131"/>
      <c r="AB30" s="130">
        <v>7049.5370000000003</v>
      </c>
      <c r="AC30" s="130">
        <v>7049.5370000000003</v>
      </c>
      <c r="AD30" s="130">
        <v>7049.5370000000003</v>
      </c>
      <c r="AE30" s="130">
        <v>17113.789000000001</v>
      </c>
      <c r="AF30" s="130">
        <v>138489.6825</v>
      </c>
    </row>
    <row r="31" spans="1:33" ht="16.5" thickBot="1">
      <c r="A31" s="9"/>
      <c r="B31" s="10"/>
      <c r="C31" s="2"/>
      <c r="D31" s="121"/>
      <c r="E31" s="2"/>
      <c r="F31" s="2"/>
      <c r="G31" s="121"/>
      <c r="H31" s="118"/>
      <c r="I31" s="119"/>
      <c r="J31" s="120"/>
      <c r="K31" s="120"/>
      <c r="L31" s="121"/>
      <c r="M31" s="120"/>
      <c r="N31" s="120"/>
      <c r="O31" s="121"/>
      <c r="P31" s="147"/>
      <c r="Q31" s="147"/>
      <c r="R31" s="148"/>
      <c r="S31" s="192"/>
      <c r="T31" s="148"/>
      <c r="U31" s="192"/>
      <c r="V31" s="148"/>
      <c r="W31" s="192"/>
      <c r="X31" s="148"/>
      <c r="Y31" s="192"/>
      <c r="Z31" s="148"/>
      <c r="AA31" s="131"/>
      <c r="AB31" s="148"/>
      <c r="AC31" s="148"/>
      <c r="AD31" s="148"/>
      <c r="AE31" s="148"/>
      <c r="AF31" s="148"/>
    </row>
    <row r="32" spans="1:33" ht="14.25" thickBot="1">
      <c r="A32" s="9" t="s">
        <v>172</v>
      </c>
      <c r="B32" s="2"/>
      <c r="C32" s="2"/>
      <c r="D32" s="121" t="s">
        <v>130</v>
      </c>
      <c r="E32" s="121">
        <f>+G32-R32</f>
        <v>151968</v>
      </c>
      <c r="F32" s="2"/>
      <c r="G32" s="117">
        <f>+R48+626424</f>
        <v>669619.66200000001</v>
      </c>
      <c r="H32" s="118"/>
      <c r="I32" s="119"/>
      <c r="J32" s="120"/>
      <c r="K32" s="120"/>
      <c r="L32" s="121"/>
      <c r="M32" s="120"/>
      <c r="N32" s="120"/>
      <c r="O32" s="121"/>
      <c r="P32" s="123">
        <v>11233.349240284866</v>
      </c>
      <c r="Q32" s="123">
        <v>15000</v>
      </c>
      <c r="R32" s="117">
        <f>+R33+R38+R39+R40+R43+R44+R45+R46+R47+R48+R49</f>
        <v>517651.66200000001</v>
      </c>
      <c r="S32" s="172"/>
      <c r="T32" s="117">
        <f>SUM(T33:T49)</f>
        <v>1705302.9769999997</v>
      </c>
      <c r="U32" s="172"/>
      <c r="V32" s="117">
        <f>SUM(V33:V49)</f>
        <v>-1527334.838</v>
      </c>
      <c r="W32" s="172"/>
      <c r="X32" s="117">
        <f>SUM(X33:X49)</f>
        <v>-16586.093000000001</v>
      </c>
      <c r="Y32" s="172"/>
      <c r="Z32" s="117">
        <f>SUM(R32:X32)</f>
        <v>679033.70799999952</v>
      </c>
      <c r="AA32" s="131"/>
      <c r="AB32" s="117">
        <v>-20204.39272</v>
      </c>
      <c r="AC32" s="117">
        <v>-67585.06647000002</v>
      </c>
      <c r="AD32" s="117">
        <v>-104336.01887999999</v>
      </c>
      <c r="AE32" s="117">
        <v>-114801.77879999997</v>
      </c>
      <c r="AF32" s="117">
        <v>157079.51089999996</v>
      </c>
    </row>
    <row r="33" spans="1:33" ht="13.5">
      <c r="A33" s="29"/>
      <c r="B33" s="30" t="s">
        <v>100</v>
      </c>
      <c r="C33" s="30"/>
      <c r="D33" s="124"/>
      <c r="E33" s="30"/>
      <c r="F33" s="30"/>
      <c r="G33" s="124"/>
      <c r="H33" s="125"/>
      <c r="I33" s="126">
        <v>0</v>
      </c>
      <c r="J33" s="127" t="s">
        <v>23</v>
      </c>
      <c r="K33" s="127">
        <v>16</v>
      </c>
      <c r="L33" s="124"/>
      <c r="M33" s="149" t="e">
        <v>#N/A</v>
      </c>
      <c r="N33" s="127" t="s">
        <v>23</v>
      </c>
      <c r="O33" s="124"/>
      <c r="P33" s="128">
        <v>10919.243269999999</v>
      </c>
      <c r="Q33" s="128">
        <v>15000</v>
      </c>
      <c r="R33" s="130">
        <v>401546</v>
      </c>
      <c r="S33" s="187"/>
      <c r="T33" s="130">
        <f>1577866053/1000</f>
        <v>1577866.0530000001</v>
      </c>
      <c r="U33" s="187"/>
      <c r="V33" s="130">
        <f>-1479709941/1000</f>
        <v>-1479709.9410000001</v>
      </c>
      <c r="W33" s="187"/>
      <c r="X33" s="130">
        <f>-7736220/1000</f>
        <v>-7736.22</v>
      </c>
      <c r="Y33" s="187"/>
      <c r="Z33" s="130">
        <f>SUM(R33:X33)</f>
        <v>491965.89199999999</v>
      </c>
      <c r="AA33" s="131"/>
      <c r="AB33" s="130">
        <v>-17063.77118</v>
      </c>
      <c r="AC33" s="130">
        <v>-57525.906080000001</v>
      </c>
      <c r="AD33" s="130">
        <v>-91645.484899999996</v>
      </c>
      <c r="AE33" s="130">
        <v>-109113.79722000001</v>
      </c>
      <c r="AF33" s="130">
        <v>9532.4110199999996</v>
      </c>
    </row>
    <row r="34" spans="1:33" ht="13.5" hidden="1">
      <c r="A34" s="36"/>
      <c r="B34" s="37"/>
      <c r="C34" s="37" t="s">
        <v>100</v>
      </c>
      <c r="D34" s="132"/>
      <c r="E34" s="37"/>
      <c r="F34" s="37"/>
      <c r="G34" s="132"/>
      <c r="H34" s="133"/>
      <c r="I34" s="142"/>
      <c r="J34" s="135"/>
      <c r="K34" s="135"/>
      <c r="L34" s="132"/>
      <c r="M34" s="135"/>
      <c r="N34" s="135"/>
      <c r="O34" s="132"/>
      <c r="P34" s="128">
        <v>10764.45543</v>
      </c>
      <c r="Q34" s="137"/>
      <c r="R34" s="130"/>
      <c r="S34" s="187"/>
      <c r="T34" s="130"/>
      <c r="U34" s="187"/>
      <c r="V34" s="130"/>
      <c r="W34" s="187"/>
      <c r="X34" s="130"/>
      <c r="Y34" s="187"/>
      <c r="Z34" s="130"/>
      <c r="AA34" s="131"/>
      <c r="AB34" s="130">
        <v>-16494.205379999999</v>
      </c>
      <c r="AC34" s="130">
        <v>-58253.608820000001</v>
      </c>
      <c r="AD34" s="130">
        <v>-91328.110480000003</v>
      </c>
      <c r="AE34" s="130">
        <v>-105638.15523</v>
      </c>
      <c r="AF34" s="130">
        <v>-168878.62512000001</v>
      </c>
    </row>
    <row r="35" spans="1:33" ht="13.5" hidden="1">
      <c r="A35" s="36"/>
      <c r="B35" s="37"/>
      <c r="C35" s="37" t="s">
        <v>86</v>
      </c>
      <c r="D35" s="132"/>
      <c r="E35" s="37"/>
      <c r="F35" s="37"/>
      <c r="G35" s="132"/>
      <c r="H35" s="133"/>
      <c r="I35" s="142"/>
      <c r="J35" s="135"/>
      <c r="K35" s="135"/>
      <c r="L35" s="132"/>
      <c r="M35" s="135"/>
      <c r="N35" s="135"/>
      <c r="O35" s="132"/>
      <c r="P35" s="137"/>
      <c r="Q35" s="137"/>
      <c r="R35" s="130"/>
      <c r="S35" s="187"/>
      <c r="T35" s="130"/>
      <c r="U35" s="187"/>
      <c r="V35" s="130"/>
      <c r="W35" s="187"/>
      <c r="X35" s="130"/>
      <c r="Y35" s="187"/>
      <c r="Z35" s="130"/>
      <c r="AA35" s="131"/>
      <c r="AB35" s="130">
        <v>0</v>
      </c>
      <c r="AC35" s="130">
        <v>0</v>
      </c>
      <c r="AD35" s="130">
        <v>0</v>
      </c>
      <c r="AE35" s="130">
        <v>0</v>
      </c>
      <c r="AF35" s="130">
        <v>159274.84405000001</v>
      </c>
    </row>
    <row r="36" spans="1:33" ht="13.5" hidden="1">
      <c r="A36" s="36"/>
      <c r="B36" s="37" t="s">
        <v>60</v>
      </c>
      <c r="C36" s="37" t="s">
        <v>89</v>
      </c>
      <c r="D36" s="132"/>
      <c r="E36" s="37"/>
      <c r="F36" s="37"/>
      <c r="G36" s="132"/>
      <c r="H36" s="133"/>
      <c r="I36" s="134">
        <v>-19.86</v>
      </c>
      <c r="J36" s="127" t="s">
        <v>124</v>
      </c>
      <c r="K36" s="135"/>
      <c r="L36" s="132"/>
      <c r="M36" s="135"/>
      <c r="N36" s="135"/>
      <c r="O36" s="132"/>
      <c r="P36" s="136">
        <v>763.24943999999994</v>
      </c>
      <c r="Q36" s="105"/>
      <c r="R36" s="130"/>
      <c r="S36" s="187"/>
      <c r="T36" s="130"/>
      <c r="U36" s="187"/>
      <c r="V36" s="130"/>
      <c r="W36" s="187"/>
      <c r="X36" s="130"/>
      <c r="Y36" s="187"/>
      <c r="Z36" s="130"/>
      <c r="AA36" s="131"/>
      <c r="AB36" s="130">
        <v>-569.56580000000008</v>
      </c>
      <c r="AC36" s="130">
        <v>727.70273999999995</v>
      </c>
      <c r="AD36" s="130">
        <v>-317.37441999999999</v>
      </c>
      <c r="AE36" s="130">
        <v>-3475.6419900000001</v>
      </c>
      <c r="AF36" s="130">
        <v>19136.192089999997</v>
      </c>
    </row>
    <row r="37" spans="1:33" ht="13.5">
      <c r="A37" s="36"/>
      <c r="B37" s="37" t="s">
        <v>170</v>
      </c>
      <c r="C37" s="37"/>
      <c r="D37" s="132"/>
      <c r="E37" s="37"/>
      <c r="F37" s="37"/>
      <c r="G37" s="132"/>
      <c r="H37" s="133"/>
      <c r="I37" s="134"/>
      <c r="J37" s="127"/>
      <c r="K37" s="135"/>
      <c r="L37" s="132"/>
      <c r="M37" s="135"/>
      <c r="N37" s="135"/>
      <c r="O37" s="132"/>
      <c r="P37" s="136"/>
      <c r="Q37" s="105"/>
      <c r="R37" s="130"/>
      <c r="S37" s="187"/>
      <c r="T37" s="130">
        <v>50540</v>
      </c>
      <c r="U37" s="187"/>
      <c r="V37" s="130"/>
      <c r="W37" s="187"/>
      <c r="X37" s="130"/>
      <c r="Y37" s="187"/>
      <c r="Z37" s="130">
        <f>SUM(R37:X37)</f>
        <v>50540</v>
      </c>
      <c r="AA37" s="131"/>
      <c r="AB37" s="130"/>
      <c r="AC37" s="130"/>
      <c r="AD37" s="130"/>
      <c r="AE37" s="130"/>
      <c r="AF37" s="130"/>
    </row>
    <row r="38" spans="1:33" ht="13.5">
      <c r="A38" s="29"/>
      <c r="B38" s="30" t="s">
        <v>104</v>
      </c>
      <c r="C38" s="67"/>
      <c r="D38" s="150"/>
      <c r="E38" s="67"/>
      <c r="F38" s="67"/>
      <c r="G38" s="150"/>
      <c r="H38" s="125"/>
      <c r="I38" s="126">
        <v>9.7999999999999997E-3</v>
      </c>
      <c r="J38" s="127" t="s">
        <v>24</v>
      </c>
      <c r="K38" s="127">
        <v>9</v>
      </c>
      <c r="L38" s="124"/>
      <c r="M38" s="149">
        <v>9.7999999999999997E-3</v>
      </c>
      <c r="N38" s="127" t="s">
        <v>25</v>
      </c>
      <c r="O38" s="124"/>
      <c r="P38" s="129">
        <v>0.13459000000000002</v>
      </c>
      <c r="Q38" s="129">
        <v>5000</v>
      </c>
      <c r="R38" s="130">
        <v>2642</v>
      </c>
      <c r="S38" s="187"/>
      <c r="T38" s="130">
        <f>12766815/1000</f>
        <v>12766.815000000001</v>
      </c>
      <c r="U38" s="187"/>
      <c r="V38" s="130">
        <f>-8626934/1000</f>
        <v>-8626.9339999999993</v>
      </c>
      <c r="W38" s="187"/>
      <c r="X38" s="130">
        <f>1762486/1000</f>
        <v>1762.4860000000001</v>
      </c>
      <c r="Y38" s="187"/>
      <c r="Z38" s="130">
        <f t="shared" ref="Z38:Z49" si="1">SUM(R38:X38)</f>
        <v>8544.367000000002</v>
      </c>
      <c r="AA38" s="131"/>
      <c r="AB38" s="130">
        <v>0.21739</v>
      </c>
      <c r="AC38" s="130">
        <v>352.76570000000004</v>
      </c>
      <c r="AD38" s="130">
        <v>596.24679000000003</v>
      </c>
      <c r="AE38" s="130">
        <v>1637.04485</v>
      </c>
      <c r="AF38" s="130">
        <v>4845.3665599999995</v>
      </c>
    </row>
    <row r="39" spans="1:33" ht="13.5">
      <c r="A39" s="29"/>
      <c r="B39" s="30" t="s">
        <v>103</v>
      </c>
      <c r="C39" s="30"/>
      <c r="D39" s="124"/>
      <c r="E39" s="30"/>
      <c r="F39" s="30"/>
      <c r="G39" s="124"/>
      <c r="H39" s="125"/>
      <c r="I39" s="126">
        <v>9456.01</v>
      </c>
      <c r="J39" s="127" t="s">
        <v>26</v>
      </c>
      <c r="K39" s="127">
        <v>40000</v>
      </c>
      <c r="L39" s="124"/>
      <c r="M39" s="140"/>
      <c r="N39" s="140"/>
      <c r="O39" s="124"/>
      <c r="P39" s="129">
        <v>2502.9073900000003</v>
      </c>
      <c r="Q39" s="129">
        <v>4500</v>
      </c>
      <c r="R39" s="130">
        <v>58341</v>
      </c>
      <c r="S39" s="187"/>
      <c r="T39" s="130">
        <v>610</v>
      </c>
      <c r="U39" s="187"/>
      <c r="V39" s="130">
        <v>0</v>
      </c>
      <c r="W39" s="187"/>
      <c r="X39" s="130">
        <v>0</v>
      </c>
      <c r="Y39" s="187"/>
      <c r="Z39" s="130">
        <f t="shared" si="1"/>
        <v>58951</v>
      </c>
      <c r="AA39" s="131"/>
      <c r="AB39" s="130">
        <v>-885.38695999999993</v>
      </c>
      <c r="AC39" s="130">
        <v>-9325.23128</v>
      </c>
      <c r="AD39" s="130">
        <v>-16794.395329999999</v>
      </c>
      <c r="AE39" s="130">
        <v>-18795.651149999998</v>
      </c>
      <c r="AF39" s="130">
        <v>7714.1001399999996</v>
      </c>
    </row>
    <row r="40" spans="1:33" ht="13.5">
      <c r="A40" s="29"/>
      <c r="B40" s="30" t="s">
        <v>105</v>
      </c>
      <c r="C40" s="30"/>
      <c r="D40" s="124"/>
      <c r="E40" s="30"/>
      <c r="F40" s="30"/>
      <c r="G40" s="124"/>
      <c r="H40" s="125"/>
      <c r="I40" s="126">
        <v>-0.40563254999999998</v>
      </c>
      <c r="J40" s="127" t="s">
        <v>27</v>
      </c>
      <c r="K40" s="127">
        <v>30</v>
      </c>
      <c r="L40" s="124"/>
      <c r="M40" s="149">
        <v>-0.28474918999999999</v>
      </c>
      <c r="N40" s="127" t="s">
        <v>27</v>
      </c>
      <c r="O40" s="124"/>
      <c r="P40" s="129">
        <v>346.59478000000001</v>
      </c>
      <c r="Q40" s="129">
        <v>7000</v>
      </c>
      <c r="R40" s="130">
        <f>SUM(R41:R42)</f>
        <v>35694</v>
      </c>
      <c r="S40" s="187"/>
      <c r="T40" s="130">
        <f>35525471/1000</f>
        <v>35525.470999999998</v>
      </c>
      <c r="U40" s="187"/>
      <c r="V40" s="130">
        <f>-16383986/1000</f>
        <v>-16383.986000000001</v>
      </c>
      <c r="W40" s="187"/>
      <c r="X40" s="130">
        <f>-5934219/1000</f>
        <v>-5934.2190000000001</v>
      </c>
      <c r="Y40" s="187"/>
      <c r="Z40" s="130">
        <f t="shared" si="1"/>
        <v>48901.265999999989</v>
      </c>
      <c r="AA40" s="131"/>
      <c r="AB40" s="130">
        <v>-2561.4120200000002</v>
      </c>
      <c r="AC40" s="130">
        <v>-1788.03442</v>
      </c>
      <c r="AD40" s="130">
        <v>265.30756999999994</v>
      </c>
      <c r="AE40" s="130">
        <v>4258.76181</v>
      </c>
      <c r="AF40" s="130">
        <v>75669.962209999998</v>
      </c>
    </row>
    <row r="41" spans="1:33" ht="13.5" hidden="1">
      <c r="A41" s="29"/>
      <c r="B41" s="30"/>
      <c r="C41" s="37" t="s">
        <v>49</v>
      </c>
      <c r="D41" s="132"/>
      <c r="E41" s="37"/>
      <c r="F41" s="37"/>
      <c r="G41" s="132"/>
      <c r="H41" s="125"/>
      <c r="I41" s="126">
        <v>-0.40563254999999998</v>
      </c>
      <c r="J41" s="140"/>
      <c r="K41" s="140"/>
      <c r="L41" s="124"/>
      <c r="M41" s="140"/>
      <c r="N41" s="140"/>
      <c r="O41" s="124"/>
      <c r="P41" s="129">
        <v>346.59478000000001</v>
      </c>
      <c r="Q41" s="129">
        <v>7000</v>
      </c>
      <c r="R41" s="130">
        <v>35694</v>
      </c>
      <c r="S41" s="187"/>
      <c r="T41" s="130"/>
      <c r="U41" s="187"/>
      <c r="V41" s="130"/>
      <c r="W41" s="187"/>
      <c r="X41" s="130"/>
      <c r="Y41" s="187"/>
      <c r="Z41" s="130">
        <f t="shared" si="1"/>
        <v>35694</v>
      </c>
      <c r="AA41" s="131"/>
      <c r="AB41" s="130">
        <v>-2561.4120200000002</v>
      </c>
      <c r="AC41" s="130">
        <v>-1466.2669100000001</v>
      </c>
      <c r="AD41" s="130">
        <v>-651.54227000000003</v>
      </c>
      <c r="AE41" s="130">
        <v>1426.51674</v>
      </c>
      <c r="AF41" s="130">
        <v>62371.605809999994</v>
      </c>
    </row>
    <row r="42" spans="1:33" ht="13.5" hidden="1">
      <c r="A42" s="29"/>
      <c r="B42" s="30"/>
      <c r="C42" s="37" t="s">
        <v>125</v>
      </c>
      <c r="D42" s="132"/>
      <c r="E42" s="37"/>
      <c r="F42" s="37"/>
      <c r="G42" s="132"/>
      <c r="H42" s="125"/>
      <c r="I42" s="126">
        <v>0</v>
      </c>
      <c r="J42" s="140"/>
      <c r="K42" s="140"/>
      <c r="L42" s="124"/>
      <c r="M42" s="140"/>
      <c r="N42" s="140"/>
      <c r="O42" s="124"/>
      <c r="P42" s="129">
        <v>0</v>
      </c>
      <c r="Q42" s="129">
        <v>2000</v>
      </c>
      <c r="R42" s="130">
        <v>0</v>
      </c>
      <c r="S42" s="187"/>
      <c r="T42" s="130"/>
      <c r="U42" s="187"/>
      <c r="V42" s="130"/>
      <c r="W42" s="187"/>
      <c r="X42" s="130"/>
      <c r="Y42" s="187"/>
      <c r="Z42" s="130">
        <f t="shared" si="1"/>
        <v>0</v>
      </c>
      <c r="AA42" s="131"/>
      <c r="AB42" s="130">
        <v>0</v>
      </c>
      <c r="AC42" s="130">
        <v>-321.76751000000002</v>
      </c>
      <c r="AD42" s="130">
        <v>916.84983999999997</v>
      </c>
      <c r="AE42" s="130">
        <v>2832.2450699999999</v>
      </c>
      <c r="AF42" s="130">
        <v>13298.356399999999</v>
      </c>
    </row>
    <row r="43" spans="1:33" ht="13.5">
      <c r="A43" s="29"/>
      <c r="B43" s="30" t="s">
        <v>106</v>
      </c>
      <c r="C43" s="30"/>
      <c r="D43" s="124"/>
      <c r="E43" s="30"/>
      <c r="F43" s="30"/>
      <c r="G43" s="124"/>
      <c r="H43" s="125"/>
      <c r="I43" s="126">
        <v>3336.1</v>
      </c>
      <c r="J43" s="127" t="s">
        <v>28</v>
      </c>
      <c r="K43" s="127">
        <v>83000</v>
      </c>
      <c r="L43" s="124"/>
      <c r="M43" s="149">
        <v>3236.82</v>
      </c>
      <c r="N43" s="127" t="s">
        <v>29</v>
      </c>
      <c r="O43" s="124"/>
      <c r="P43" s="129">
        <v>245</v>
      </c>
      <c r="Q43" s="129">
        <v>2000</v>
      </c>
      <c r="R43" s="130">
        <v>2593</v>
      </c>
      <c r="S43" s="187"/>
      <c r="T43" s="130">
        <f>4104586/1000</f>
        <v>4104.5860000000002</v>
      </c>
      <c r="U43" s="187"/>
      <c r="V43" s="130">
        <f>-598875/1000</f>
        <v>-598.875</v>
      </c>
      <c r="W43" s="187"/>
      <c r="X43" s="130">
        <f>-625105/1000</f>
        <v>-625.10500000000002</v>
      </c>
      <c r="Y43" s="187"/>
      <c r="Z43" s="130">
        <f>SUM(R43:X43)</f>
        <v>5473.6059999999998</v>
      </c>
      <c r="AA43" s="131"/>
      <c r="AB43" s="130">
        <v>-0.95098000000000005</v>
      </c>
      <c r="AC43" s="130">
        <v>-56.595480000000002</v>
      </c>
      <c r="AD43" s="130">
        <v>-298.30304000000001</v>
      </c>
      <c r="AE43" s="130">
        <v>-324.98670000000004</v>
      </c>
      <c r="AF43" s="130">
        <v>2567.58653</v>
      </c>
    </row>
    <row r="44" spans="1:33" ht="13.5">
      <c r="A44" s="29"/>
      <c r="B44" s="30" t="s">
        <v>107</v>
      </c>
      <c r="C44" s="30"/>
      <c r="D44" s="124"/>
      <c r="E44" s="30"/>
      <c r="F44" s="30"/>
      <c r="G44" s="124"/>
      <c r="H44" s="125"/>
      <c r="I44" s="126">
        <v>-253848.73</v>
      </c>
      <c r="J44" s="127" t="s">
        <v>30</v>
      </c>
      <c r="K44" s="127">
        <v>1000000</v>
      </c>
      <c r="L44" s="124"/>
      <c r="M44" s="149">
        <v>-117460.67</v>
      </c>
      <c r="N44" s="127" t="s">
        <v>30</v>
      </c>
      <c r="O44" s="124"/>
      <c r="P44" s="129">
        <v>1135.7528600000001</v>
      </c>
      <c r="Q44" s="129">
        <v>3000</v>
      </c>
      <c r="R44" s="130">
        <v>-31617</v>
      </c>
      <c r="S44" s="187"/>
      <c r="T44" s="130">
        <f>1991500/1000</f>
        <v>1991.5</v>
      </c>
      <c r="U44" s="187"/>
      <c r="V44" s="130">
        <f>-882500/1000</f>
        <v>-882.5</v>
      </c>
      <c r="W44" s="187"/>
      <c r="X44" s="130">
        <v>0</v>
      </c>
      <c r="Y44" s="187"/>
      <c r="Z44" s="130">
        <f t="shared" si="1"/>
        <v>-30508</v>
      </c>
      <c r="AA44" s="131"/>
      <c r="AB44" s="130">
        <v>-657.67462999999998</v>
      </c>
      <c r="AC44" s="130">
        <v>-2439.8825400000001</v>
      </c>
      <c r="AD44" s="130">
        <v>-1575.1245200000001</v>
      </c>
      <c r="AE44" s="130">
        <v>-1899.1594899999945</v>
      </c>
      <c r="AF44" s="130">
        <v>-1540.2745600000001</v>
      </c>
    </row>
    <row r="45" spans="1:33" ht="13.5">
      <c r="A45" s="29"/>
      <c r="B45" s="30" t="s">
        <v>87</v>
      </c>
      <c r="C45" s="30"/>
      <c r="D45" s="124"/>
      <c r="E45" s="30"/>
      <c r="F45" s="30"/>
      <c r="G45" s="124"/>
      <c r="H45" s="125"/>
      <c r="I45" s="126">
        <v>-31.439430000000002</v>
      </c>
      <c r="J45" s="127" t="s">
        <v>31</v>
      </c>
      <c r="K45" s="127">
        <v>300</v>
      </c>
      <c r="L45" s="124"/>
      <c r="M45" s="140"/>
      <c r="N45" s="140"/>
      <c r="O45" s="124"/>
      <c r="P45" s="129">
        <v>36.533259999999999</v>
      </c>
      <c r="Q45" s="129">
        <v>3000</v>
      </c>
      <c r="R45" s="130">
        <v>194</v>
      </c>
      <c r="S45" s="187"/>
      <c r="T45" s="130">
        <v>0</v>
      </c>
      <c r="U45" s="187"/>
      <c r="V45" s="130">
        <v>0</v>
      </c>
      <c r="W45" s="187"/>
      <c r="X45" s="130">
        <v>0</v>
      </c>
      <c r="Y45" s="187"/>
      <c r="Z45" s="130">
        <f t="shared" si="1"/>
        <v>194</v>
      </c>
      <c r="AA45" s="131"/>
      <c r="AB45" s="130">
        <v>0.53791999999999995</v>
      </c>
      <c r="AC45" s="130">
        <v>9.5482199999999988</v>
      </c>
      <c r="AD45" s="130">
        <v>91.78913</v>
      </c>
      <c r="AE45" s="130">
        <v>171.57468</v>
      </c>
      <c r="AF45" s="130">
        <v>2956.03181</v>
      </c>
    </row>
    <row r="46" spans="1:33" ht="13.5">
      <c r="A46" s="29"/>
      <c r="B46" s="30" t="s">
        <v>146</v>
      </c>
      <c r="C46" s="30"/>
      <c r="D46" s="124"/>
      <c r="E46" s="30"/>
      <c r="F46" s="30"/>
      <c r="G46" s="124"/>
      <c r="H46" s="125"/>
      <c r="I46" s="139"/>
      <c r="J46" s="140"/>
      <c r="K46" s="140"/>
      <c r="L46" s="124"/>
      <c r="M46" s="140"/>
      <c r="N46" s="140"/>
      <c r="O46" s="124"/>
      <c r="P46" s="141"/>
      <c r="Q46" s="141"/>
      <c r="R46" s="130"/>
      <c r="S46" s="187"/>
      <c r="T46" s="130">
        <f>21898552/1000</f>
        <v>21898.552</v>
      </c>
      <c r="U46" s="187"/>
      <c r="V46" s="130">
        <f>-13033319/1000</f>
        <v>-13033.319</v>
      </c>
      <c r="W46" s="187"/>
      <c r="X46" s="130">
        <f>-4053035/1000</f>
        <v>-4053.0349999999999</v>
      </c>
      <c r="Y46" s="187"/>
      <c r="Z46" s="130">
        <f t="shared" si="1"/>
        <v>4812.1980000000003</v>
      </c>
      <c r="AA46" s="131"/>
      <c r="AB46" s="130">
        <v>0</v>
      </c>
      <c r="AC46" s="130">
        <v>0</v>
      </c>
      <c r="AD46" s="130">
        <v>0</v>
      </c>
      <c r="AE46" s="130">
        <v>0</v>
      </c>
      <c r="AF46" s="130">
        <v>3261</v>
      </c>
    </row>
    <row r="47" spans="1:33" ht="13.5">
      <c r="A47" s="29"/>
      <c r="B47" s="30" t="s">
        <v>83</v>
      </c>
      <c r="C47" s="30"/>
      <c r="D47" s="124"/>
      <c r="E47" s="30"/>
      <c r="F47" s="30"/>
      <c r="G47" s="124"/>
      <c r="H47" s="125"/>
      <c r="I47" s="139"/>
      <c r="J47" s="140"/>
      <c r="K47" s="140"/>
      <c r="L47" s="124"/>
      <c r="M47" s="140"/>
      <c r="N47" s="140"/>
      <c r="O47" s="124"/>
      <c r="P47" s="141"/>
      <c r="Q47" s="141"/>
      <c r="R47" s="130"/>
      <c r="S47" s="187"/>
      <c r="T47" s="130"/>
      <c r="U47" s="187"/>
      <c r="V47" s="130"/>
      <c r="W47" s="187"/>
      <c r="X47" s="130"/>
      <c r="Y47" s="187"/>
      <c r="Z47" s="130">
        <f t="shared" si="1"/>
        <v>0</v>
      </c>
      <c r="AA47" s="131"/>
      <c r="AB47" s="130">
        <v>1086.201</v>
      </c>
      <c r="AC47" s="130">
        <v>1086.201</v>
      </c>
      <c r="AD47" s="130">
        <v>1086.201</v>
      </c>
      <c r="AE47" s="130">
        <v>2233.0439999999999</v>
      </c>
      <c r="AF47" s="130">
        <v>6735.6985000000004</v>
      </c>
    </row>
    <row r="48" spans="1:33" ht="13.5">
      <c r="A48" s="29"/>
      <c r="B48" s="30" t="s">
        <v>91</v>
      </c>
      <c r="C48" s="30"/>
      <c r="D48" s="124"/>
      <c r="E48" s="30"/>
      <c r="F48" s="30"/>
      <c r="G48" s="124"/>
      <c r="H48" s="125"/>
      <c r="I48" s="139"/>
      <c r="J48" s="140"/>
      <c r="K48" s="140"/>
      <c r="L48" s="124"/>
      <c r="M48" s="140"/>
      <c r="N48" s="140"/>
      <c r="O48" s="124"/>
      <c r="P48" s="141"/>
      <c r="Q48" s="141"/>
      <c r="R48" s="130">
        <f>43195662/1000</f>
        <v>43195.661999999997</v>
      </c>
      <c r="S48" s="187"/>
      <c r="T48" s="130"/>
      <c r="U48" s="187"/>
      <c r="V48" s="130"/>
      <c r="W48" s="187"/>
      <c r="X48" s="130"/>
      <c r="Y48" s="187"/>
      <c r="Z48" s="130">
        <f t="shared" si="1"/>
        <v>43195.661999999997</v>
      </c>
      <c r="AA48" s="131"/>
      <c r="AB48" s="130">
        <v>1.13174</v>
      </c>
      <c r="AC48" s="130">
        <v>2.8846699999999981</v>
      </c>
      <c r="AD48" s="130">
        <v>1730.1796200000001</v>
      </c>
      <c r="AE48" s="130">
        <v>1896.8513699999999</v>
      </c>
      <c r="AF48" s="130">
        <v>4015.0212999999999</v>
      </c>
      <c r="AG48" s="88"/>
    </row>
    <row r="49" spans="1:33" ht="13.5">
      <c r="A49" s="29"/>
      <c r="B49" s="30" t="s">
        <v>88</v>
      </c>
      <c r="C49" s="30"/>
      <c r="D49" s="124"/>
      <c r="E49" s="30"/>
      <c r="F49" s="30"/>
      <c r="G49" s="124"/>
      <c r="H49" s="125"/>
      <c r="I49" s="139"/>
      <c r="J49" s="140"/>
      <c r="K49" s="140"/>
      <c r="L49" s="124"/>
      <c r="M49" s="140"/>
      <c r="N49" s="140"/>
      <c r="O49" s="124"/>
      <c r="P49" s="141"/>
      <c r="Q49" s="141"/>
      <c r="R49" s="130">
        <f>SUM(R50:R53)</f>
        <v>5063</v>
      </c>
      <c r="S49" s="187"/>
      <c r="T49" s="130">
        <v>0</v>
      </c>
      <c r="U49" s="187"/>
      <c r="V49" s="130">
        <f>-8099283/1000</f>
        <v>-8099.2830000000004</v>
      </c>
      <c r="W49" s="187"/>
      <c r="X49" s="130">
        <v>0</v>
      </c>
      <c r="Y49" s="187"/>
      <c r="Z49" s="130">
        <f t="shared" si="1"/>
        <v>-3036.2830000000004</v>
      </c>
      <c r="AA49" s="131"/>
      <c r="AB49" s="130">
        <v>-123.285</v>
      </c>
      <c r="AC49" s="130">
        <v>2099.1837399999999</v>
      </c>
      <c r="AD49" s="130">
        <v>2207.5648000000001</v>
      </c>
      <c r="AE49" s="130">
        <v>5134.5390500000003</v>
      </c>
      <c r="AF49" s="130">
        <v>41322.607389999997</v>
      </c>
    </row>
    <row r="50" spans="1:33" ht="13.5" hidden="1">
      <c r="A50" s="36"/>
      <c r="B50" s="37" t="s">
        <v>60</v>
      </c>
      <c r="C50" s="37" t="s">
        <v>65</v>
      </c>
      <c r="D50" s="132"/>
      <c r="E50" s="37"/>
      <c r="F50" s="37"/>
      <c r="G50" s="132"/>
      <c r="H50" s="133"/>
      <c r="I50" s="126">
        <v>0</v>
      </c>
      <c r="J50" s="151" t="s">
        <v>32</v>
      </c>
      <c r="K50" s="151">
        <v>200</v>
      </c>
      <c r="L50" s="132"/>
      <c r="M50" s="135"/>
      <c r="N50" s="135"/>
      <c r="O50" s="132"/>
      <c r="P50" s="136">
        <v>0</v>
      </c>
      <c r="Q50" s="136">
        <v>10000</v>
      </c>
      <c r="R50" s="128">
        <v>-1627</v>
      </c>
      <c r="S50" s="187"/>
      <c r="T50" s="128"/>
      <c r="U50" s="187"/>
      <c r="V50" s="128"/>
      <c r="W50" s="187"/>
      <c r="X50" s="128"/>
      <c r="Y50" s="187"/>
      <c r="Z50" s="128"/>
      <c r="AA50" s="131"/>
      <c r="AB50" s="128">
        <v>-12</v>
      </c>
      <c r="AC50" s="128">
        <v>-109.80825999999999</v>
      </c>
      <c r="AD50" s="129">
        <v>-1421.14653</v>
      </c>
      <c r="AE50" s="129">
        <v>-987.7414399999999</v>
      </c>
      <c r="AF50" s="129">
        <v>9488.8296199999986</v>
      </c>
    </row>
    <row r="51" spans="1:33" ht="13.5" hidden="1">
      <c r="A51" s="36"/>
      <c r="B51" s="37" t="s">
        <v>60</v>
      </c>
      <c r="C51" s="37" t="s">
        <v>66</v>
      </c>
      <c r="D51" s="132"/>
      <c r="E51" s="37"/>
      <c r="F51" s="37"/>
      <c r="G51" s="132"/>
      <c r="H51" s="133"/>
      <c r="I51" s="126">
        <v>-16</v>
      </c>
      <c r="J51" s="151" t="s">
        <v>33</v>
      </c>
      <c r="K51" s="151">
        <v>150</v>
      </c>
      <c r="L51" s="132"/>
      <c r="M51" s="135"/>
      <c r="N51" s="135"/>
      <c r="O51" s="132"/>
      <c r="P51" s="136">
        <v>0</v>
      </c>
      <c r="Q51" s="136">
        <v>2000</v>
      </c>
      <c r="R51" s="128">
        <v>121</v>
      </c>
      <c r="S51" s="187"/>
      <c r="T51" s="128"/>
      <c r="U51" s="187"/>
      <c r="V51" s="128"/>
      <c r="W51" s="187"/>
      <c r="X51" s="128"/>
      <c r="Y51" s="187"/>
      <c r="Z51" s="128"/>
      <c r="AA51" s="131"/>
      <c r="AB51" s="128">
        <v>-111.285</v>
      </c>
      <c r="AC51" s="128">
        <v>1873.71</v>
      </c>
      <c r="AD51" s="129">
        <v>4187.2573300000004</v>
      </c>
      <c r="AE51" s="129">
        <v>4968.9224899999999</v>
      </c>
      <c r="AF51" s="129">
        <v>12390.01619</v>
      </c>
    </row>
    <row r="52" spans="1:33" ht="13.5" hidden="1">
      <c r="A52" s="36"/>
      <c r="B52" s="37" t="s">
        <v>60</v>
      </c>
      <c r="C52" s="37" t="s">
        <v>115</v>
      </c>
      <c r="D52" s="132"/>
      <c r="E52" s="37"/>
      <c r="F52" s="37"/>
      <c r="G52" s="132"/>
      <c r="H52" s="133"/>
      <c r="I52" s="126">
        <v>0</v>
      </c>
      <c r="J52" s="151" t="s">
        <v>33</v>
      </c>
      <c r="K52" s="151">
        <v>150</v>
      </c>
      <c r="L52" s="132"/>
      <c r="M52" s="135"/>
      <c r="N52" s="152"/>
      <c r="O52" s="132"/>
      <c r="P52" s="136">
        <v>80</v>
      </c>
      <c r="Q52" s="136">
        <v>5000</v>
      </c>
      <c r="R52" s="128">
        <v>-18091</v>
      </c>
      <c r="S52" s="187"/>
      <c r="T52" s="128"/>
      <c r="U52" s="187"/>
      <c r="V52" s="128"/>
      <c r="W52" s="187"/>
      <c r="X52" s="128"/>
      <c r="Y52" s="187"/>
      <c r="Z52" s="128"/>
      <c r="AA52" s="131"/>
      <c r="AB52" s="128">
        <v>0</v>
      </c>
      <c r="AC52" s="128">
        <v>335.28199999999998</v>
      </c>
      <c r="AD52" s="129">
        <v>-558.54600000000005</v>
      </c>
      <c r="AE52" s="129">
        <v>1161.6579999999999</v>
      </c>
      <c r="AF52" s="129">
        <v>18950.503000000001</v>
      </c>
    </row>
    <row r="53" spans="1:33" ht="13.5" hidden="1">
      <c r="A53" s="36"/>
      <c r="B53" s="37" t="s">
        <v>60</v>
      </c>
      <c r="C53" s="37" t="s">
        <v>114</v>
      </c>
      <c r="D53" s="132"/>
      <c r="E53" s="37"/>
      <c r="F53" s="37"/>
      <c r="G53" s="132"/>
      <c r="H53" s="133"/>
      <c r="I53" s="126">
        <v>0</v>
      </c>
      <c r="J53" s="151" t="s">
        <v>34</v>
      </c>
      <c r="K53" s="151">
        <v>250</v>
      </c>
      <c r="L53" s="132"/>
      <c r="M53" s="135"/>
      <c r="N53" s="135"/>
      <c r="O53" s="132"/>
      <c r="P53" s="137"/>
      <c r="Q53" s="137"/>
      <c r="R53" s="128">
        <v>24660</v>
      </c>
      <c r="S53" s="187"/>
      <c r="T53" s="128"/>
      <c r="U53" s="187"/>
      <c r="V53" s="128"/>
      <c r="W53" s="187"/>
      <c r="X53" s="128"/>
      <c r="Y53" s="187"/>
      <c r="Z53" s="128"/>
      <c r="AA53" s="131"/>
      <c r="AB53" s="124"/>
      <c r="AC53" s="124"/>
      <c r="AD53" s="124"/>
      <c r="AE53" s="124"/>
      <c r="AF53" s="124"/>
    </row>
    <row r="54" spans="1:33" ht="13.5" hidden="1">
      <c r="A54" s="36"/>
      <c r="B54" s="37" t="s">
        <v>60</v>
      </c>
      <c r="C54" s="37" t="s">
        <v>55</v>
      </c>
      <c r="D54" s="132"/>
      <c r="E54" s="37"/>
      <c r="F54" s="37"/>
      <c r="G54" s="132"/>
      <c r="H54" s="133"/>
      <c r="I54" s="149">
        <v>0</v>
      </c>
      <c r="J54" s="135"/>
      <c r="K54" s="151">
        <v>250</v>
      </c>
      <c r="L54" s="132"/>
      <c r="M54" s="135"/>
      <c r="N54" s="135"/>
      <c r="O54" s="132"/>
      <c r="P54" s="105"/>
      <c r="Q54" s="105"/>
      <c r="R54" s="128"/>
      <c r="S54" s="187"/>
      <c r="T54" s="128"/>
      <c r="U54" s="187"/>
      <c r="V54" s="128"/>
      <c r="W54" s="187"/>
      <c r="X54" s="128"/>
      <c r="Y54" s="187"/>
      <c r="Z54" s="128"/>
      <c r="AA54" s="131"/>
      <c r="AB54" s="128">
        <v>0</v>
      </c>
      <c r="AC54" s="128">
        <v>0</v>
      </c>
      <c r="AD54" s="128">
        <v>0</v>
      </c>
      <c r="AE54" s="128">
        <v>-8.3000000000000007</v>
      </c>
      <c r="AF54" s="128">
        <v>493.25857999999994</v>
      </c>
    </row>
    <row r="55" spans="1:33" ht="16.5" thickBot="1">
      <c r="A55" s="29"/>
      <c r="B55" s="10"/>
      <c r="C55" s="2"/>
      <c r="D55" s="121"/>
      <c r="E55" s="2"/>
      <c r="F55" s="2"/>
      <c r="G55" s="121"/>
      <c r="H55" s="125"/>
      <c r="I55" s="139"/>
      <c r="J55" s="140"/>
      <c r="K55" s="140"/>
      <c r="L55" s="124"/>
      <c r="M55" s="140"/>
      <c r="N55" s="140"/>
      <c r="O55" s="124"/>
      <c r="P55" s="148"/>
      <c r="Q55" s="148"/>
      <c r="R55" s="148"/>
      <c r="S55" s="192"/>
      <c r="T55" s="148"/>
      <c r="U55" s="192"/>
      <c r="V55" s="148"/>
      <c r="W55" s="192"/>
      <c r="X55" s="148"/>
      <c r="Y55" s="192"/>
      <c r="Z55" s="148"/>
      <c r="AA55" s="131"/>
      <c r="AB55" s="148"/>
      <c r="AC55" s="148"/>
      <c r="AD55" s="148"/>
      <c r="AE55" s="148"/>
      <c r="AF55" s="148"/>
    </row>
    <row r="56" spans="1:33" ht="14.25" thickBot="1">
      <c r="A56" s="9" t="s">
        <v>173</v>
      </c>
      <c r="B56" s="9"/>
      <c r="C56" s="9"/>
      <c r="D56" s="154" t="s">
        <v>131</v>
      </c>
      <c r="E56" s="121"/>
      <c r="F56" s="9"/>
      <c r="G56" s="117">
        <f>+R62+253402</f>
        <v>284155.52100000001</v>
      </c>
      <c r="H56" s="153"/>
      <c r="I56" s="119"/>
      <c r="J56" s="120"/>
      <c r="K56" s="120"/>
      <c r="L56" s="121"/>
      <c r="M56" s="120"/>
      <c r="N56" s="120"/>
      <c r="O56" s="154"/>
      <c r="P56" s="123">
        <v>1558.3793899999998</v>
      </c>
      <c r="Q56" s="123">
        <v>5000</v>
      </c>
      <c r="R56" s="117">
        <f>SUM(R57:R62)</f>
        <v>284155.52100000001</v>
      </c>
      <c r="S56" s="172"/>
      <c r="T56" s="117">
        <v>123452</v>
      </c>
      <c r="U56" s="172"/>
      <c r="V56" s="117">
        <v>-23559</v>
      </c>
      <c r="W56" s="172"/>
      <c r="X56" s="117">
        <v>5069</v>
      </c>
      <c r="Y56" s="172"/>
      <c r="Z56" s="117">
        <f t="shared" ref="Z56:Z62" si="2">SUM(R56:X56)</f>
        <v>389117.52100000001</v>
      </c>
      <c r="AA56" s="155"/>
      <c r="AB56" s="117">
        <v>2960.0069800000001</v>
      </c>
      <c r="AC56" s="117">
        <v>1210.4091100000001</v>
      </c>
      <c r="AD56" s="117">
        <v>-10104.298029999996</v>
      </c>
      <c r="AE56" s="117">
        <v>-11374.11289</v>
      </c>
      <c r="AF56" s="117">
        <v>54567.904919999986</v>
      </c>
    </row>
    <row r="57" spans="1:33" ht="13.5" hidden="1">
      <c r="A57" s="68"/>
      <c r="B57" s="30" t="s">
        <v>67</v>
      </c>
      <c r="C57" s="30"/>
      <c r="D57" s="124"/>
      <c r="E57" s="30"/>
      <c r="F57" s="30"/>
      <c r="G57" s="124"/>
      <c r="H57" s="125"/>
      <c r="I57" s="126">
        <v>-220128.95</v>
      </c>
      <c r="J57" s="127" t="s">
        <v>35</v>
      </c>
      <c r="K57" s="127">
        <v>500000</v>
      </c>
      <c r="L57" s="124"/>
      <c r="M57" s="149">
        <v>94965.17</v>
      </c>
      <c r="N57" s="127" t="s">
        <v>35</v>
      </c>
      <c r="O57" s="124"/>
      <c r="P57" s="129">
        <v>1485.54502</v>
      </c>
      <c r="Q57" s="129">
        <v>5000</v>
      </c>
      <c r="R57" s="130">
        <v>104422</v>
      </c>
      <c r="S57" s="187"/>
      <c r="T57" s="130"/>
      <c r="U57" s="187"/>
      <c r="V57" s="130"/>
      <c r="W57" s="187"/>
      <c r="X57" s="130"/>
      <c r="Y57" s="187"/>
      <c r="Z57" s="130">
        <f t="shared" si="2"/>
        <v>104422</v>
      </c>
      <c r="AA57" s="131"/>
      <c r="AB57" s="130">
        <v>1842.06385</v>
      </c>
      <c r="AC57" s="130">
        <v>478.09944999999999</v>
      </c>
      <c r="AD57" s="130">
        <v>-8382.5821499999984</v>
      </c>
      <c r="AE57" s="130">
        <v>-7579.324779999999</v>
      </c>
      <c r="AF57" s="130">
        <v>4480.6799800000008</v>
      </c>
    </row>
    <row r="58" spans="1:33" ht="13.5" hidden="1">
      <c r="A58" s="29"/>
      <c r="B58" s="30" t="s">
        <v>68</v>
      </c>
      <c r="C58" s="30"/>
      <c r="D58" s="124"/>
      <c r="E58" s="30"/>
      <c r="F58" s="30"/>
      <c r="G58" s="124"/>
      <c r="H58" s="125"/>
      <c r="I58" s="126">
        <v>-24.158529999999999</v>
      </c>
      <c r="J58" s="127" t="s">
        <v>36</v>
      </c>
      <c r="K58" s="127">
        <v>44</v>
      </c>
      <c r="L58" s="124"/>
      <c r="M58" s="149">
        <v>-24.158529999999999</v>
      </c>
      <c r="N58" s="127" t="s">
        <v>36</v>
      </c>
      <c r="O58" s="124"/>
      <c r="P58" s="129">
        <v>35.651129999999995</v>
      </c>
      <c r="Q58" s="129">
        <v>500</v>
      </c>
      <c r="R58" s="130">
        <v>189</v>
      </c>
      <c r="S58" s="187"/>
      <c r="T58" s="130"/>
      <c r="U58" s="187"/>
      <c r="V58" s="130"/>
      <c r="W58" s="187"/>
      <c r="X58" s="130"/>
      <c r="Y58" s="187"/>
      <c r="Z58" s="130">
        <f t="shared" si="2"/>
        <v>189</v>
      </c>
      <c r="AA58" s="131"/>
      <c r="AB58" s="130">
        <v>109.20699999999999</v>
      </c>
      <c r="AC58" s="130">
        <v>-91.379000000000005</v>
      </c>
      <c r="AD58" s="130">
        <v>-287.50900000000001</v>
      </c>
      <c r="AE58" s="130">
        <v>-807.20899999999995</v>
      </c>
      <c r="AF58" s="130">
        <v>-7584.5010000000002</v>
      </c>
    </row>
    <row r="59" spans="1:33" ht="13.5" hidden="1">
      <c r="A59" s="29"/>
      <c r="B59" s="30" t="s">
        <v>69</v>
      </c>
      <c r="C59" s="30"/>
      <c r="D59" s="124"/>
      <c r="E59" s="30"/>
      <c r="F59" s="30"/>
      <c r="G59" s="124"/>
      <c r="H59" s="125"/>
      <c r="I59" s="126">
        <v>15940.27</v>
      </c>
      <c r="J59" s="127" t="s">
        <v>37</v>
      </c>
      <c r="K59" s="127">
        <v>2500000</v>
      </c>
      <c r="L59" s="124"/>
      <c r="M59" s="149">
        <v>-180919.8</v>
      </c>
      <c r="N59" s="127" t="s">
        <v>37</v>
      </c>
      <c r="O59" s="124"/>
      <c r="P59" s="129">
        <v>343.75198999999998</v>
      </c>
      <c r="Q59" s="129">
        <v>5000</v>
      </c>
      <c r="R59" s="130">
        <v>148791</v>
      </c>
      <c r="S59" s="187"/>
      <c r="T59" s="130"/>
      <c r="U59" s="187"/>
      <c r="V59" s="130"/>
      <c r="W59" s="187"/>
      <c r="X59" s="130"/>
      <c r="Y59" s="187"/>
      <c r="Z59" s="130">
        <f t="shared" si="2"/>
        <v>148791</v>
      </c>
      <c r="AA59" s="131"/>
      <c r="AB59" s="130">
        <v>-70.096869999999996</v>
      </c>
      <c r="AC59" s="130">
        <v>-255.14434</v>
      </c>
      <c r="AD59" s="130">
        <v>-2513.0398799999994</v>
      </c>
      <c r="AE59" s="130">
        <v>-5464.6391100000001</v>
      </c>
      <c r="AF59" s="130">
        <v>48764.413579999993</v>
      </c>
    </row>
    <row r="60" spans="1:33" ht="13.5" hidden="1">
      <c r="A60" s="29"/>
      <c r="B60" s="30" t="s">
        <v>55</v>
      </c>
      <c r="C60" s="30"/>
      <c r="D60" s="124"/>
      <c r="E60" s="30"/>
      <c r="F60" s="30"/>
      <c r="G60" s="124"/>
      <c r="H60" s="125"/>
      <c r="I60" s="139"/>
      <c r="J60" s="140"/>
      <c r="K60" s="140"/>
      <c r="L60" s="124"/>
      <c r="M60" s="140"/>
      <c r="N60" s="140"/>
      <c r="O60" s="124"/>
      <c r="P60" s="141"/>
      <c r="Q60" s="141"/>
      <c r="R60" s="130"/>
      <c r="S60" s="187"/>
      <c r="T60" s="130"/>
      <c r="U60" s="187"/>
      <c r="V60" s="130"/>
      <c r="W60" s="187"/>
      <c r="X60" s="130"/>
      <c r="Y60" s="187"/>
      <c r="Z60" s="130">
        <f t="shared" si="2"/>
        <v>0</v>
      </c>
      <c r="AA60" s="131"/>
      <c r="AB60" s="130">
        <v>0</v>
      </c>
      <c r="AC60" s="130">
        <v>0</v>
      </c>
      <c r="AD60" s="130">
        <v>0</v>
      </c>
      <c r="AE60" s="130">
        <v>0</v>
      </c>
      <c r="AF60" s="130">
        <v>0</v>
      </c>
    </row>
    <row r="61" spans="1:33" ht="13.5" hidden="1">
      <c r="A61" s="29"/>
      <c r="B61" s="30" t="s">
        <v>83</v>
      </c>
      <c r="C61" s="30"/>
      <c r="D61" s="124"/>
      <c r="E61" s="30"/>
      <c r="F61" s="30"/>
      <c r="G61" s="124"/>
      <c r="H61" s="125"/>
      <c r="I61" s="139"/>
      <c r="J61" s="140"/>
      <c r="K61" s="140"/>
      <c r="L61" s="124"/>
      <c r="M61" s="140"/>
      <c r="N61" s="140"/>
      <c r="O61" s="124"/>
      <c r="P61" s="141"/>
      <c r="Q61" s="141"/>
      <c r="R61" s="130"/>
      <c r="S61" s="187"/>
      <c r="T61" s="130"/>
      <c r="U61" s="187"/>
      <c r="V61" s="130"/>
      <c r="W61" s="187"/>
      <c r="X61" s="130"/>
      <c r="Y61" s="187"/>
      <c r="Z61" s="130">
        <f t="shared" si="2"/>
        <v>0</v>
      </c>
      <c r="AA61" s="131"/>
      <c r="AB61" s="130">
        <v>1078.8330000000001</v>
      </c>
      <c r="AC61" s="130">
        <v>1078.8330000000001</v>
      </c>
      <c r="AD61" s="130">
        <v>1078.8330000000001</v>
      </c>
      <c r="AE61" s="130">
        <v>2477.06</v>
      </c>
      <c r="AF61" s="130">
        <v>5542.8140000000003</v>
      </c>
    </row>
    <row r="62" spans="1:33" ht="13.5" hidden="1">
      <c r="A62" s="29"/>
      <c r="B62" s="30" t="s">
        <v>91</v>
      </c>
      <c r="C62" s="30"/>
      <c r="D62" s="124"/>
      <c r="E62" s="30"/>
      <c r="F62" s="30"/>
      <c r="G62" s="124"/>
      <c r="H62" s="125"/>
      <c r="I62" s="139"/>
      <c r="J62" s="140"/>
      <c r="K62" s="140"/>
      <c r="L62" s="124"/>
      <c r="M62" s="140"/>
      <c r="N62" s="140"/>
      <c r="O62" s="124"/>
      <c r="P62" s="141"/>
      <c r="Q62" s="141"/>
      <c r="R62" s="130">
        <f>30753521/1000</f>
        <v>30753.521000000001</v>
      </c>
      <c r="S62" s="187"/>
      <c r="T62" s="130"/>
      <c r="U62" s="187"/>
      <c r="V62" s="130"/>
      <c r="W62" s="187"/>
      <c r="X62" s="130"/>
      <c r="Y62" s="187"/>
      <c r="Z62" s="130">
        <f t="shared" si="2"/>
        <v>30753.521000000001</v>
      </c>
      <c r="AA62" s="131"/>
      <c r="AB62" s="130">
        <v>0</v>
      </c>
      <c r="AC62" s="130">
        <v>0</v>
      </c>
      <c r="AD62" s="130">
        <v>0</v>
      </c>
      <c r="AE62" s="130">
        <v>0</v>
      </c>
      <c r="AF62" s="130">
        <v>3364.49836</v>
      </c>
      <c r="AG62" s="88"/>
    </row>
    <row r="63" spans="1:33" ht="16.5" thickBot="1">
      <c r="A63" s="68"/>
      <c r="B63" s="10"/>
      <c r="C63" s="2"/>
      <c r="D63" s="121"/>
      <c r="E63" s="2"/>
      <c r="F63" s="2"/>
      <c r="G63" s="121"/>
      <c r="H63" s="125"/>
      <c r="I63" s="119"/>
      <c r="J63" s="120"/>
      <c r="K63" s="120"/>
      <c r="L63" s="124"/>
      <c r="M63" s="120"/>
      <c r="N63" s="120"/>
      <c r="O63" s="124"/>
      <c r="P63" s="156"/>
      <c r="Q63" s="156"/>
      <c r="R63" s="148"/>
      <c r="S63" s="192"/>
      <c r="T63" s="148"/>
      <c r="U63" s="192"/>
      <c r="V63" s="148"/>
      <c r="W63" s="192"/>
      <c r="X63" s="148"/>
      <c r="Y63" s="192"/>
      <c r="Z63" s="148"/>
      <c r="AA63" s="131"/>
      <c r="AB63" s="148"/>
      <c r="AC63" s="148"/>
      <c r="AD63" s="148"/>
      <c r="AE63" s="148"/>
      <c r="AF63" s="148"/>
    </row>
    <row r="64" spans="1:33" ht="14.25" thickBot="1">
      <c r="A64" s="9" t="s">
        <v>47</v>
      </c>
      <c r="B64" s="9"/>
      <c r="C64" s="9"/>
      <c r="D64" s="154" t="s">
        <v>132</v>
      </c>
      <c r="E64" s="9"/>
      <c r="F64" s="9"/>
      <c r="G64" s="172"/>
      <c r="H64" s="153"/>
      <c r="I64" s="119"/>
      <c r="J64" s="120"/>
      <c r="K64" s="120"/>
      <c r="L64" s="154"/>
      <c r="M64" s="120"/>
      <c r="N64" s="120"/>
      <c r="O64" s="154"/>
      <c r="P64" s="123">
        <v>7.0216799999999999</v>
      </c>
      <c r="Q64" s="123">
        <v>500</v>
      </c>
      <c r="R64" s="117">
        <v>-8</v>
      </c>
      <c r="S64" s="172"/>
      <c r="T64" s="117">
        <v>178</v>
      </c>
      <c r="U64" s="172"/>
      <c r="V64" s="117">
        <v>0</v>
      </c>
      <c r="W64" s="172"/>
      <c r="X64" s="117">
        <v>0</v>
      </c>
      <c r="Y64" s="172"/>
      <c r="Z64" s="117">
        <f>SUM(R64:X64)</f>
        <v>170</v>
      </c>
      <c r="AA64" s="155"/>
      <c r="AB64" s="117">
        <v>-2215.8879999999999</v>
      </c>
      <c r="AC64" s="117">
        <v>-2421.9364499999997</v>
      </c>
      <c r="AD64" s="117">
        <v>-3111.3638499999997</v>
      </c>
      <c r="AE64" s="117">
        <v>-3311.4096600000003</v>
      </c>
      <c r="AF64" s="117">
        <v>-25228.246259999996</v>
      </c>
    </row>
    <row r="65" spans="1:33" ht="13.5" hidden="1">
      <c r="A65" s="68"/>
      <c r="B65" s="30" t="s">
        <v>70</v>
      </c>
      <c r="C65" s="30"/>
      <c r="D65" s="124"/>
      <c r="E65" s="30"/>
      <c r="F65" s="30"/>
      <c r="G65" s="124"/>
      <c r="H65" s="125"/>
      <c r="I65" s="126">
        <v>8.5399999999999991</v>
      </c>
      <c r="J65" s="127" t="s">
        <v>97</v>
      </c>
      <c r="K65" s="127"/>
      <c r="L65" s="124"/>
      <c r="M65" s="149">
        <v>8.56</v>
      </c>
      <c r="N65" s="127" t="s">
        <v>97</v>
      </c>
      <c r="O65" s="124"/>
      <c r="P65" s="129">
        <v>7.0216799999999999</v>
      </c>
      <c r="Q65" s="129">
        <v>2000</v>
      </c>
      <c r="R65" s="130">
        <v>22</v>
      </c>
      <c r="S65" s="187"/>
      <c r="T65" s="130"/>
      <c r="U65" s="187"/>
      <c r="V65" s="130"/>
      <c r="W65" s="187"/>
      <c r="X65" s="130"/>
      <c r="Y65" s="187"/>
      <c r="Z65" s="130"/>
      <c r="AA65" s="131"/>
      <c r="AB65" s="130">
        <v>-2346.1010000000001</v>
      </c>
      <c r="AC65" s="130">
        <v>-2552.0590400000001</v>
      </c>
      <c r="AD65" s="130">
        <v>-3241.3037100000001</v>
      </c>
      <c r="AE65" s="130">
        <v>-3594.2695800000001</v>
      </c>
      <c r="AF65" s="130">
        <v>-21564.28645</v>
      </c>
    </row>
    <row r="66" spans="1:33" ht="13.5" hidden="1">
      <c r="A66" s="36"/>
      <c r="B66" s="37" t="s">
        <v>7</v>
      </c>
      <c r="C66" s="37"/>
      <c r="D66" s="132"/>
      <c r="E66" s="37"/>
      <c r="F66" s="37"/>
      <c r="G66" s="132"/>
      <c r="H66" s="133"/>
      <c r="I66" s="142"/>
      <c r="J66" s="135"/>
      <c r="K66" s="135"/>
      <c r="L66" s="132"/>
      <c r="M66" s="135"/>
      <c r="N66" s="135"/>
      <c r="O66" s="132"/>
      <c r="P66" s="137"/>
      <c r="Q66" s="137"/>
      <c r="R66" s="130"/>
      <c r="S66" s="187"/>
      <c r="T66" s="130"/>
      <c r="U66" s="187"/>
      <c r="V66" s="130"/>
      <c r="W66" s="187"/>
      <c r="X66" s="130"/>
      <c r="Y66" s="187"/>
      <c r="Z66" s="130"/>
      <c r="AA66" s="131"/>
      <c r="AB66" s="130">
        <v>0</v>
      </c>
      <c r="AC66" s="130">
        <v>0</v>
      </c>
      <c r="AD66" s="130">
        <v>0</v>
      </c>
      <c r="AE66" s="130">
        <v>0</v>
      </c>
      <c r="AF66" s="130">
        <v>90.425899999999999</v>
      </c>
    </row>
    <row r="67" spans="1:33" ht="13.5" hidden="1">
      <c r="A67" s="29"/>
      <c r="B67" s="30" t="s">
        <v>71</v>
      </c>
      <c r="C67" s="30"/>
      <c r="D67" s="124"/>
      <c r="E67" s="30"/>
      <c r="F67" s="30"/>
      <c r="G67" s="124"/>
      <c r="H67" s="125"/>
      <c r="I67" s="126">
        <v>26.59</v>
      </c>
      <c r="J67" s="127" t="s">
        <v>38</v>
      </c>
      <c r="K67" s="127">
        <v>28000</v>
      </c>
      <c r="L67" s="124"/>
      <c r="M67" s="149">
        <v>26.59</v>
      </c>
      <c r="N67" s="127" t="s">
        <v>39</v>
      </c>
      <c r="O67" s="124"/>
      <c r="P67" s="129">
        <v>0</v>
      </c>
      <c r="Q67" s="129">
        <v>2000</v>
      </c>
      <c r="R67" s="130">
        <v>-101</v>
      </c>
      <c r="S67" s="187"/>
      <c r="T67" s="130"/>
      <c r="U67" s="187"/>
      <c r="V67" s="130"/>
      <c r="W67" s="187"/>
      <c r="X67" s="130"/>
      <c r="Y67" s="187"/>
      <c r="Z67" s="130"/>
      <c r="AA67" s="131"/>
      <c r="AB67" s="130">
        <v>0</v>
      </c>
      <c r="AC67" s="130">
        <v>-9.040999999999999E-2</v>
      </c>
      <c r="AD67" s="130">
        <v>-0.27313999999999999</v>
      </c>
      <c r="AE67" s="130">
        <v>-6.7260799999999996</v>
      </c>
      <c r="AF67" s="130">
        <v>613.55039999999997</v>
      </c>
    </row>
    <row r="68" spans="1:33" ht="13.5" hidden="1">
      <c r="A68" s="29"/>
      <c r="B68" s="30" t="s">
        <v>72</v>
      </c>
      <c r="C68" s="30"/>
      <c r="D68" s="124"/>
      <c r="E68" s="30"/>
      <c r="F68" s="30"/>
      <c r="G68" s="124"/>
      <c r="H68" s="125"/>
      <c r="I68" s="126">
        <v>0</v>
      </c>
      <c r="J68" s="127" t="s">
        <v>40</v>
      </c>
      <c r="K68" s="127">
        <v>2</v>
      </c>
      <c r="L68" s="124"/>
      <c r="M68" s="149">
        <v>0</v>
      </c>
      <c r="N68" s="127" t="s">
        <v>40</v>
      </c>
      <c r="O68" s="124"/>
      <c r="P68" s="129">
        <v>0</v>
      </c>
      <c r="Q68" s="129">
        <v>1000</v>
      </c>
      <c r="R68" s="130"/>
      <c r="S68" s="187"/>
      <c r="T68" s="130"/>
      <c r="U68" s="187"/>
      <c r="V68" s="130"/>
      <c r="W68" s="187"/>
      <c r="X68" s="130"/>
      <c r="Y68" s="187"/>
      <c r="Z68" s="130"/>
      <c r="AA68" s="131"/>
      <c r="AB68" s="130">
        <v>0</v>
      </c>
      <c r="AC68" s="130">
        <v>0</v>
      </c>
      <c r="AD68" s="130">
        <v>0</v>
      </c>
      <c r="AE68" s="130">
        <v>0</v>
      </c>
      <c r="AF68" s="130">
        <v>42.308450000000001</v>
      </c>
    </row>
    <row r="69" spans="1:33" ht="13.5" hidden="1">
      <c r="A69" s="29"/>
      <c r="B69" s="30" t="s">
        <v>83</v>
      </c>
      <c r="C69" s="30"/>
      <c r="D69" s="124"/>
      <c r="E69" s="30"/>
      <c r="F69" s="30"/>
      <c r="G69" s="124"/>
      <c r="H69" s="125"/>
      <c r="I69" s="139"/>
      <c r="J69" s="140"/>
      <c r="K69" s="140"/>
      <c r="L69" s="124"/>
      <c r="M69" s="140"/>
      <c r="N69" s="140"/>
      <c r="O69" s="124"/>
      <c r="P69" s="141"/>
      <c r="Q69" s="141"/>
      <c r="R69" s="130"/>
      <c r="S69" s="187"/>
      <c r="T69" s="130"/>
      <c r="U69" s="187"/>
      <c r="V69" s="130"/>
      <c r="W69" s="187"/>
      <c r="X69" s="130"/>
      <c r="Y69" s="187"/>
      <c r="Z69" s="130"/>
      <c r="AA69" s="131"/>
      <c r="AB69" s="130">
        <v>130.21299999999999</v>
      </c>
      <c r="AC69" s="130">
        <v>130.21299999999999</v>
      </c>
      <c r="AD69" s="130">
        <v>130.21299999999999</v>
      </c>
      <c r="AE69" s="130">
        <v>289.58600000000001</v>
      </c>
      <c r="AF69" s="130">
        <v>799.66</v>
      </c>
    </row>
    <row r="70" spans="1:33" ht="13.5" hidden="1">
      <c r="A70" s="29"/>
      <c r="B70" s="30" t="s">
        <v>91</v>
      </c>
      <c r="C70" s="30"/>
      <c r="D70" s="124"/>
      <c r="E70" s="30"/>
      <c r="F70" s="30"/>
      <c r="G70" s="124"/>
      <c r="H70" s="125"/>
      <c r="I70" s="139"/>
      <c r="J70" s="140"/>
      <c r="K70" s="140"/>
      <c r="L70" s="124"/>
      <c r="M70" s="140"/>
      <c r="N70" s="140"/>
      <c r="O70" s="124"/>
      <c r="P70" s="141"/>
      <c r="Q70" s="141"/>
      <c r="R70" s="130"/>
      <c r="S70" s="187"/>
      <c r="T70" s="130"/>
      <c r="U70" s="187"/>
      <c r="V70" s="130"/>
      <c r="W70" s="187"/>
      <c r="X70" s="130"/>
      <c r="Y70" s="187"/>
      <c r="Z70" s="130"/>
      <c r="AA70" s="131"/>
      <c r="AB70" s="130">
        <v>0</v>
      </c>
      <c r="AC70" s="130">
        <v>0</v>
      </c>
      <c r="AD70" s="130">
        <v>0</v>
      </c>
      <c r="AE70" s="130">
        <v>0</v>
      </c>
      <c r="AF70" s="130">
        <v>-5209.9045599999999</v>
      </c>
      <c r="AG70" s="88"/>
    </row>
    <row r="71" spans="1:33" ht="13.5">
      <c r="A71" s="29"/>
      <c r="B71" s="30"/>
      <c r="C71" s="30"/>
      <c r="D71" s="124"/>
      <c r="E71" s="30"/>
      <c r="F71" s="30"/>
      <c r="G71" s="124"/>
      <c r="H71" s="125"/>
      <c r="I71" s="139"/>
      <c r="J71" s="140"/>
      <c r="K71" s="140"/>
      <c r="L71" s="124"/>
      <c r="M71" s="140"/>
      <c r="N71" s="140"/>
      <c r="O71" s="124"/>
      <c r="P71" s="141"/>
      <c r="Q71" s="141"/>
      <c r="R71" s="157"/>
      <c r="S71" s="187"/>
      <c r="T71" s="157"/>
      <c r="U71" s="187"/>
      <c r="V71" s="157"/>
      <c r="W71" s="187"/>
      <c r="X71" s="157"/>
      <c r="Y71" s="187"/>
      <c r="Z71" s="157"/>
      <c r="AA71" s="131"/>
      <c r="AB71" s="157"/>
      <c r="AC71" s="157"/>
      <c r="AD71" s="157"/>
      <c r="AE71" s="157"/>
      <c r="AF71" s="157"/>
    </row>
    <row r="72" spans="1:33" ht="16.5" thickBot="1">
      <c r="A72" s="65" t="s">
        <v>174</v>
      </c>
      <c r="B72" s="65"/>
      <c r="C72" s="65"/>
      <c r="D72" s="158"/>
      <c r="E72" s="65"/>
      <c r="F72" s="65"/>
      <c r="G72" s="158"/>
      <c r="H72" s="158"/>
      <c r="I72" s="158"/>
      <c r="J72" s="158"/>
      <c r="K72" s="159"/>
      <c r="L72" s="159"/>
      <c r="M72" s="159"/>
      <c r="N72" s="160"/>
      <c r="O72" s="160"/>
      <c r="P72" s="161"/>
      <c r="Q72" s="162"/>
      <c r="R72" s="181"/>
      <c r="S72" s="193"/>
      <c r="T72" s="200"/>
      <c r="U72" s="193"/>
      <c r="V72" s="200"/>
      <c r="W72" s="193"/>
      <c r="X72" s="200"/>
      <c r="Y72" s="193"/>
      <c r="Z72" s="200"/>
      <c r="AA72" s="201"/>
      <c r="AB72" s="146"/>
      <c r="AC72" s="157"/>
      <c r="AD72" s="146"/>
      <c r="AE72" s="146"/>
      <c r="AF72" s="146"/>
    </row>
    <row r="73" spans="1:33" ht="14.25" thickBot="1">
      <c r="A73" s="9" t="s">
        <v>61</v>
      </c>
      <c r="B73" s="2"/>
      <c r="C73" s="2"/>
      <c r="D73" s="121"/>
      <c r="E73" s="2"/>
      <c r="F73" s="2"/>
      <c r="G73" s="117">
        <f>SUM(G74:G86)</f>
        <v>0</v>
      </c>
      <c r="H73" s="118"/>
      <c r="I73" s="119"/>
      <c r="J73" s="120"/>
      <c r="K73" s="120"/>
      <c r="L73" s="121"/>
      <c r="M73" s="120"/>
      <c r="N73" s="163"/>
      <c r="O73" s="121"/>
      <c r="P73" s="122" t="s">
        <v>12</v>
      </c>
      <c r="Q73" s="123">
        <v>12000</v>
      </c>
      <c r="R73" s="117">
        <f>SUM(R75:R86)</f>
        <v>180104</v>
      </c>
      <c r="S73" s="172"/>
      <c r="T73" s="117">
        <f>SUM(T75:T86)</f>
        <v>159637</v>
      </c>
      <c r="U73" s="172"/>
      <c r="V73" s="117">
        <f>SUM(V75:V86)</f>
        <v>-83511</v>
      </c>
      <c r="W73" s="172"/>
      <c r="X73" s="117">
        <f>SUM(X75:X86)</f>
        <v>0</v>
      </c>
      <c r="Y73" s="172"/>
      <c r="Z73" s="117">
        <f>SUM(Z75:Z86)</f>
        <v>256230</v>
      </c>
      <c r="AA73" s="131"/>
      <c r="AB73" s="172"/>
      <c r="AC73" s="172"/>
      <c r="AD73" s="172"/>
      <c r="AE73" s="172"/>
      <c r="AF73" s="172"/>
    </row>
    <row r="74" spans="1:33" ht="13.5">
      <c r="A74" s="29"/>
      <c r="B74" s="30" t="s">
        <v>139</v>
      </c>
      <c r="C74" s="30"/>
      <c r="D74" s="124"/>
      <c r="E74" s="30"/>
      <c r="F74" s="30"/>
      <c r="G74" s="124"/>
      <c r="H74" s="125"/>
      <c r="I74" s="126">
        <v>0</v>
      </c>
      <c r="J74" s="127" t="s">
        <v>19</v>
      </c>
      <c r="K74" s="127">
        <v>375000</v>
      </c>
      <c r="L74" s="124"/>
      <c r="M74" s="149">
        <v>0</v>
      </c>
      <c r="N74" s="127" t="s">
        <v>20</v>
      </c>
      <c r="O74" s="124"/>
      <c r="P74" s="136" t="s">
        <v>12</v>
      </c>
      <c r="Q74" s="195">
        <v>8000</v>
      </c>
      <c r="R74" s="196"/>
      <c r="S74" s="187"/>
      <c r="T74" s="196"/>
      <c r="U74" s="187"/>
      <c r="V74" s="196"/>
      <c r="W74" s="187"/>
      <c r="X74" s="196"/>
      <c r="Y74" s="187"/>
      <c r="Z74" s="196"/>
      <c r="AA74" s="197"/>
      <c r="AB74" s="187"/>
      <c r="AC74" s="187"/>
      <c r="AD74" s="187"/>
      <c r="AE74" s="187"/>
      <c r="AF74" s="187"/>
    </row>
    <row r="75" spans="1:33" ht="13.5">
      <c r="A75" s="29"/>
      <c r="B75" s="30" t="s">
        <v>164</v>
      </c>
      <c r="C75" s="30"/>
      <c r="D75" s="124"/>
      <c r="E75" s="30"/>
      <c r="F75" s="30"/>
      <c r="G75" s="124"/>
      <c r="H75" s="125"/>
      <c r="I75" s="126">
        <v>0</v>
      </c>
      <c r="J75" s="127" t="s">
        <v>21</v>
      </c>
      <c r="K75" s="127">
        <v>200</v>
      </c>
      <c r="L75" s="124"/>
      <c r="M75" s="149">
        <v>0</v>
      </c>
      <c r="N75" s="127" t="s">
        <v>126</v>
      </c>
      <c r="O75" s="124"/>
      <c r="P75" s="136" t="s">
        <v>12</v>
      </c>
      <c r="Q75" s="129">
        <v>10000</v>
      </c>
      <c r="R75" s="130"/>
      <c r="S75" s="187"/>
      <c r="T75" s="130">
        <v>153</v>
      </c>
      <c r="U75" s="187"/>
      <c r="V75" s="130"/>
      <c r="W75" s="187"/>
      <c r="X75" s="130"/>
      <c r="Y75" s="187"/>
      <c r="Z75" s="130">
        <f>SUM(R75:X75)</f>
        <v>153</v>
      </c>
      <c r="AA75" s="131"/>
      <c r="AB75" s="187"/>
      <c r="AC75" s="187"/>
      <c r="AD75" s="187"/>
      <c r="AE75" s="187"/>
      <c r="AF75" s="187"/>
    </row>
    <row r="76" spans="1:33" ht="13.5">
      <c r="A76" s="66"/>
      <c r="B76" s="30" t="s">
        <v>165</v>
      </c>
      <c r="C76" s="30"/>
      <c r="D76" s="124"/>
      <c r="E76" s="30"/>
      <c r="F76" s="30"/>
      <c r="G76" s="124"/>
      <c r="H76" s="125"/>
      <c r="I76" s="126"/>
      <c r="J76" s="127"/>
      <c r="K76" s="127"/>
      <c r="L76" s="124"/>
      <c r="M76" s="149"/>
      <c r="N76" s="127"/>
      <c r="O76" s="124"/>
      <c r="P76" s="136"/>
      <c r="Q76" s="129"/>
      <c r="R76" s="130"/>
      <c r="S76" s="187"/>
      <c r="T76" s="130"/>
      <c r="U76" s="187"/>
      <c r="V76" s="130">
        <v>191</v>
      </c>
      <c r="W76" s="187"/>
      <c r="X76" s="130"/>
      <c r="Y76" s="187"/>
      <c r="Z76" s="130">
        <f t="shared" ref="Z76:Z86" si="3">SUM(R76:X76)</f>
        <v>191</v>
      </c>
      <c r="AA76" s="131"/>
      <c r="AB76" s="187"/>
      <c r="AC76" s="187"/>
      <c r="AD76" s="187"/>
      <c r="AE76" s="187"/>
      <c r="AF76" s="187"/>
    </row>
    <row r="77" spans="1:33" ht="13.5">
      <c r="A77" s="29"/>
      <c r="B77" s="30" t="s">
        <v>163</v>
      </c>
      <c r="C77" s="30"/>
      <c r="D77" s="124"/>
      <c r="E77" s="30"/>
      <c r="F77" s="30"/>
      <c r="G77" s="124"/>
      <c r="H77" s="125"/>
      <c r="I77" s="126">
        <v>0</v>
      </c>
      <c r="J77" s="127" t="s">
        <v>22</v>
      </c>
      <c r="K77" s="127">
        <v>20</v>
      </c>
      <c r="L77" s="124"/>
      <c r="M77" s="149">
        <v>0</v>
      </c>
      <c r="N77" s="127" t="s">
        <v>22</v>
      </c>
      <c r="O77" s="124"/>
      <c r="P77" s="136" t="s">
        <v>12</v>
      </c>
      <c r="Q77" s="129">
        <v>5000</v>
      </c>
      <c r="R77" s="130">
        <v>-5207</v>
      </c>
      <c r="S77" s="187"/>
      <c r="T77" s="130">
        <v>379</v>
      </c>
      <c r="U77" s="187"/>
      <c r="V77" s="130">
        <v>485</v>
      </c>
      <c r="W77" s="187"/>
      <c r="X77" s="130"/>
      <c r="Y77" s="187"/>
      <c r="Z77" s="130">
        <f t="shared" si="3"/>
        <v>-4343</v>
      </c>
      <c r="AA77" s="131"/>
      <c r="AB77" s="187"/>
      <c r="AC77" s="187"/>
      <c r="AD77" s="187"/>
      <c r="AE77" s="187"/>
      <c r="AF77" s="187"/>
    </row>
    <row r="78" spans="1:33" ht="13.5">
      <c r="A78" s="29"/>
      <c r="B78" s="30" t="s">
        <v>160</v>
      </c>
      <c r="C78" s="30"/>
      <c r="D78" s="124"/>
      <c r="E78" s="30"/>
      <c r="F78" s="30"/>
      <c r="G78" s="124"/>
      <c r="H78" s="125"/>
      <c r="I78" s="140"/>
      <c r="J78" s="140"/>
      <c r="K78" s="140"/>
      <c r="L78" s="124"/>
      <c r="M78" s="140"/>
      <c r="N78" s="140"/>
      <c r="O78" s="124"/>
      <c r="P78" s="141"/>
      <c r="Q78" s="141"/>
      <c r="R78" s="130">
        <v>65566</v>
      </c>
      <c r="S78" s="187"/>
      <c r="T78" s="130">
        <v>132453</v>
      </c>
      <c r="U78" s="187"/>
      <c r="V78" s="130">
        <v>-68573</v>
      </c>
      <c r="W78" s="187"/>
      <c r="X78" s="130"/>
      <c r="Y78" s="187"/>
      <c r="Z78" s="130">
        <f t="shared" si="3"/>
        <v>129446</v>
      </c>
      <c r="AA78" s="131"/>
      <c r="AB78" s="187"/>
      <c r="AC78" s="187"/>
      <c r="AD78" s="187"/>
      <c r="AE78" s="187"/>
      <c r="AF78" s="187"/>
    </row>
    <row r="79" spans="1:33" ht="13.5">
      <c r="A79" s="29"/>
      <c r="B79" s="30" t="s">
        <v>161</v>
      </c>
      <c r="C79" s="30"/>
      <c r="D79" s="124"/>
      <c r="E79" s="30"/>
      <c r="F79" s="30"/>
      <c r="G79" s="124"/>
      <c r="H79" s="125"/>
      <c r="I79" s="140"/>
      <c r="J79" s="140"/>
      <c r="K79" s="140"/>
      <c r="L79" s="124"/>
      <c r="M79" s="140"/>
      <c r="N79" s="140"/>
      <c r="O79" s="124"/>
      <c r="P79" s="141"/>
      <c r="Q79" s="141"/>
      <c r="R79" s="130">
        <v>-1671</v>
      </c>
      <c r="S79" s="187"/>
      <c r="T79" s="130">
        <v>4266</v>
      </c>
      <c r="U79" s="187"/>
      <c r="V79" s="130">
        <v>-5296</v>
      </c>
      <c r="W79" s="187"/>
      <c r="X79" s="130"/>
      <c r="Y79" s="187"/>
      <c r="Z79" s="130">
        <f t="shared" si="3"/>
        <v>-2701</v>
      </c>
      <c r="AA79" s="131"/>
      <c r="AB79" s="187"/>
      <c r="AC79" s="187"/>
      <c r="AD79" s="187"/>
      <c r="AE79" s="187"/>
      <c r="AF79" s="187"/>
    </row>
    <row r="80" spans="1:33" ht="13.5">
      <c r="A80" s="29"/>
      <c r="B80" s="30" t="s">
        <v>162</v>
      </c>
      <c r="C80" s="30"/>
      <c r="D80" s="124"/>
      <c r="E80" s="30"/>
      <c r="F80" s="30"/>
      <c r="G80" s="124"/>
      <c r="H80" s="125"/>
      <c r="I80" s="140"/>
      <c r="J80" s="140"/>
      <c r="K80" s="140"/>
      <c r="L80" s="124"/>
      <c r="M80" s="140"/>
      <c r="N80" s="140"/>
      <c r="O80" s="124"/>
      <c r="P80" s="141"/>
      <c r="Q80" s="141"/>
      <c r="R80" s="130">
        <v>-3177</v>
      </c>
      <c r="S80" s="187"/>
      <c r="T80" s="130">
        <v>17402</v>
      </c>
      <c r="U80" s="187"/>
      <c r="V80" s="130">
        <v>-8390</v>
      </c>
      <c r="W80" s="187"/>
      <c r="X80" s="130"/>
      <c r="Y80" s="187"/>
      <c r="Z80" s="130">
        <f t="shared" si="3"/>
        <v>5835</v>
      </c>
      <c r="AA80" s="131"/>
      <c r="AB80" s="187"/>
      <c r="AC80" s="187"/>
      <c r="AD80" s="187"/>
      <c r="AE80" s="187"/>
      <c r="AF80" s="187"/>
    </row>
    <row r="81" spans="1:33" ht="13.5">
      <c r="A81" s="29"/>
      <c r="B81" s="30" t="s">
        <v>166</v>
      </c>
      <c r="C81" s="30"/>
      <c r="D81" s="124"/>
      <c r="E81" s="30"/>
      <c r="F81" s="30"/>
      <c r="G81" s="124"/>
      <c r="H81" s="125"/>
      <c r="I81" s="140"/>
      <c r="J81" s="140"/>
      <c r="K81" s="140"/>
      <c r="L81" s="124"/>
      <c r="M81" s="140"/>
      <c r="N81" s="140"/>
      <c r="O81" s="124"/>
      <c r="P81" s="141"/>
      <c r="Q81" s="141"/>
      <c r="R81" s="130">
        <v>125118</v>
      </c>
      <c r="S81" s="187"/>
      <c r="T81" s="130">
        <v>4984</v>
      </c>
      <c r="U81" s="187"/>
      <c r="V81" s="130">
        <v>1314</v>
      </c>
      <c r="W81" s="187"/>
      <c r="X81" s="130"/>
      <c r="Y81" s="187"/>
      <c r="Z81" s="130">
        <f t="shared" si="3"/>
        <v>131416</v>
      </c>
      <c r="AA81" s="131"/>
      <c r="AB81" s="187"/>
      <c r="AC81" s="187"/>
      <c r="AD81" s="187"/>
      <c r="AE81" s="187"/>
      <c r="AF81" s="187"/>
    </row>
    <row r="82" spans="1:33" ht="13.5">
      <c r="A82" s="29"/>
      <c r="B82" s="30" t="s">
        <v>157</v>
      </c>
      <c r="C82" s="30"/>
      <c r="D82" s="124"/>
      <c r="E82" s="30"/>
      <c r="F82" s="30"/>
      <c r="G82" s="124"/>
      <c r="H82" s="125"/>
      <c r="I82" s="140"/>
      <c r="J82" s="140"/>
      <c r="K82" s="140"/>
      <c r="L82" s="124"/>
      <c r="M82" s="140"/>
      <c r="N82" s="140"/>
      <c r="O82" s="124"/>
      <c r="P82" s="141"/>
      <c r="Q82" s="141"/>
      <c r="R82" s="130">
        <v>-2771</v>
      </c>
      <c r="S82" s="187"/>
      <c r="T82" s="130">
        <v>0</v>
      </c>
      <c r="U82" s="187"/>
      <c r="V82" s="130">
        <v>0</v>
      </c>
      <c r="W82" s="187"/>
      <c r="X82" s="130"/>
      <c r="Y82" s="187"/>
      <c r="Z82" s="130">
        <f t="shared" si="3"/>
        <v>-2771</v>
      </c>
      <c r="AA82" s="131"/>
      <c r="AB82" s="187"/>
      <c r="AC82" s="187"/>
      <c r="AD82" s="187"/>
      <c r="AE82" s="187"/>
      <c r="AF82" s="187"/>
    </row>
    <row r="83" spans="1:33" ht="13.5">
      <c r="A83" s="29"/>
      <c r="B83" s="30" t="s">
        <v>158</v>
      </c>
      <c r="C83" s="30"/>
      <c r="D83" s="124"/>
      <c r="E83" s="30"/>
      <c r="F83" s="30"/>
      <c r="G83" s="124"/>
      <c r="H83" s="125"/>
      <c r="I83" s="140"/>
      <c r="J83" s="140"/>
      <c r="K83" s="140"/>
      <c r="L83" s="124"/>
      <c r="M83" s="140"/>
      <c r="N83" s="140"/>
      <c r="O83" s="124"/>
      <c r="P83" s="141"/>
      <c r="Q83" s="141"/>
      <c r="R83" s="130">
        <v>438</v>
      </c>
      <c r="S83" s="187"/>
      <c r="T83" s="130">
        <v>0</v>
      </c>
      <c r="U83" s="187"/>
      <c r="V83" s="130">
        <v>0</v>
      </c>
      <c r="W83" s="187"/>
      <c r="X83" s="130"/>
      <c r="Y83" s="187"/>
      <c r="Z83" s="130">
        <f t="shared" si="3"/>
        <v>438</v>
      </c>
      <c r="AA83" s="131"/>
      <c r="AB83" s="187"/>
      <c r="AC83" s="187"/>
      <c r="AD83" s="187"/>
      <c r="AE83" s="187"/>
      <c r="AF83" s="187"/>
    </row>
    <row r="84" spans="1:33" ht="13.5">
      <c r="A84" s="29"/>
      <c r="B84" s="30" t="s">
        <v>159</v>
      </c>
      <c r="C84" s="30"/>
      <c r="D84" s="124"/>
      <c r="E84" s="30"/>
      <c r="F84" s="30"/>
      <c r="G84" s="124"/>
      <c r="H84" s="125"/>
      <c r="I84" s="140"/>
      <c r="J84" s="140"/>
      <c r="K84" s="140"/>
      <c r="L84" s="124"/>
      <c r="M84" s="140"/>
      <c r="N84" s="140"/>
      <c r="O84" s="124"/>
      <c r="P84" s="141"/>
      <c r="Q84" s="141"/>
      <c r="R84" s="130">
        <v>1808</v>
      </c>
      <c r="S84" s="187"/>
      <c r="T84" s="130">
        <v>0</v>
      </c>
      <c r="U84" s="187"/>
      <c r="V84" s="130">
        <v>-3242</v>
      </c>
      <c r="W84" s="187"/>
      <c r="X84" s="130"/>
      <c r="Y84" s="187"/>
      <c r="Z84" s="130">
        <f t="shared" si="3"/>
        <v>-1434</v>
      </c>
      <c r="AA84" s="131"/>
      <c r="AB84" s="187"/>
      <c r="AC84" s="187"/>
      <c r="AD84" s="187"/>
      <c r="AE84" s="187"/>
      <c r="AF84" s="187"/>
    </row>
    <row r="85" spans="1:33" ht="13.5">
      <c r="A85" s="29"/>
      <c r="B85" s="30" t="s">
        <v>83</v>
      </c>
      <c r="C85" s="30"/>
      <c r="D85" s="124"/>
      <c r="E85" s="30"/>
      <c r="F85" s="30"/>
      <c r="G85" s="124"/>
      <c r="H85" s="125"/>
      <c r="I85" s="140"/>
      <c r="J85" s="140"/>
      <c r="K85" s="140"/>
      <c r="L85" s="124"/>
      <c r="M85" s="140"/>
      <c r="N85" s="140"/>
      <c r="O85" s="124"/>
      <c r="P85" s="141"/>
      <c r="Q85" s="141"/>
      <c r="R85" s="130"/>
      <c r="S85" s="187"/>
      <c r="T85" s="130"/>
      <c r="U85" s="187"/>
      <c r="V85" s="130"/>
      <c r="W85" s="187"/>
      <c r="X85" s="130"/>
      <c r="Y85" s="187"/>
      <c r="Z85" s="130">
        <f t="shared" si="3"/>
        <v>0</v>
      </c>
      <c r="AA85" s="131"/>
      <c r="AB85" s="187"/>
      <c r="AC85" s="187"/>
      <c r="AD85" s="187"/>
      <c r="AE85" s="187"/>
      <c r="AF85" s="187"/>
    </row>
    <row r="86" spans="1:33" ht="13.5">
      <c r="A86" s="29"/>
      <c r="B86" s="30" t="s">
        <v>91</v>
      </c>
      <c r="C86" s="30"/>
      <c r="D86" s="124"/>
      <c r="E86" s="30"/>
      <c r="F86" s="30"/>
      <c r="G86" s="124"/>
      <c r="H86" s="125"/>
      <c r="I86" s="139"/>
      <c r="J86" s="140"/>
      <c r="K86" s="140"/>
      <c r="L86" s="124"/>
      <c r="M86" s="140"/>
      <c r="N86" s="140"/>
      <c r="O86" s="124"/>
      <c r="P86" s="141"/>
      <c r="Q86" s="141"/>
      <c r="R86" s="130"/>
      <c r="S86" s="187"/>
      <c r="T86" s="130"/>
      <c r="U86" s="187"/>
      <c r="V86" s="130"/>
      <c r="W86" s="187"/>
      <c r="X86" s="130"/>
      <c r="Y86" s="187"/>
      <c r="Z86" s="130">
        <f t="shared" si="3"/>
        <v>0</v>
      </c>
      <c r="AA86" s="131"/>
      <c r="AB86" s="187"/>
      <c r="AC86" s="187"/>
      <c r="AD86" s="187"/>
      <c r="AE86" s="187"/>
      <c r="AF86" s="187"/>
      <c r="AG86" s="88"/>
    </row>
    <row r="87" spans="1:33" ht="13.5">
      <c r="A87" s="29"/>
      <c r="B87" s="30"/>
      <c r="C87" s="30"/>
      <c r="D87" s="124"/>
      <c r="E87" s="30"/>
      <c r="F87" s="30"/>
      <c r="G87" s="124"/>
      <c r="H87" s="125"/>
      <c r="I87" s="139"/>
      <c r="J87" s="140"/>
      <c r="K87" s="140"/>
      <c r="L87" s="124"/>
      <c r="M87" s="140"/>
      <c r="N87" s="140"/>
      <c r="O87" s="124"/>
      <c r="P87" s="141"/>
      <c r="Q87" s="141"/>
      <c r="R87" s="157"/>
      <c r="S87" s="187"/>
      <c r="T87" s="157"/>
      <c r="U87" s="187"/>
      <c r="V87" s="157"/>
      <c r="W87" s="187"/>
      <c r="X87" s="157"/>
      <c r="Y87" s="187"/>
      <c r="Z87" s="157"/>
      <c r="AA87" s="124"/>
      <c r="AB87" s="157"/>
      <c r="AC87" s="157"/>
      <c r="AD87" s="157"/>
      <c r="AE87" s="157"/>
      <c r="AF87" s="157"/>
      <c r="AG87" s="88"/>
    </row>
    <row r="88" spans="1:33" ht="13.5">
      <c r="A88" s="36" t="s">
        <v>182</v>
      </c>
      <c r="AG88" s="88"/>
    </row>
    <row r="89" spans="1:33" ht="14.25" hidden="1" thickBot="1">
      <c r="A89" s="29"/>
      <c r="B89" s="30"/>
      <c r="C89" s="30"/>
      <c r="D89" s="124"/>
      <c r="E89" s="30"/>
      <c r="F89" s="30"/>
      <c r="G89" s="30"/>
      <c r="H89" s="31"/>
      <c r="I89" s="41"/>
      <c r="J89" s="42"/>
      <c r="K89" s="42"/>
      <c r="L89" s="30"/>
      <c r="M89" s="42"/>
      <c r="N89" s="42"/>
      <c r="O89" s="30"/>
      <c r="P89" s="43"/>
      <c r="Q89" s="43"/>
      <c r="R89" s="79"/>
      <c r="S89" s="80"/>
      <c r="T89" s="79"/>
      <c r="U89" s="80"/>
      <c r="V89" s="79"/>
      <c r="W89" s="80"/>
      <c r="X89" s="79"/>
      <c r="Y89" s="80"/>
      <c r="Z89" s="79"/>
      <c r="AA89" s="30"/>
      <c r="AB89" s="79"/>
      <c r="AC89" s="79"/>
      <c r="AD89" s="79"/>
      <c r="AE89" s="79"/>
      <c r="AF89" s="79"/>
    </row>
    <row r="90" spans="1:33" ht="14.25" hidden="1" thickBot="1">
      <c r="A90" s="9" t="s">
        <v>53</v>
      </c>
      <c r="B90" s="2"/>
      <c r="C90" s="2"/>
      <c r="D90" s="121"/>
      <c r="E90" s="2"/>
      <c r="F90" s="2"/>
      <c r="G90" s="2"/>
      <c r="H90" s="11"/>
      <c r="I90" s="26"/>
      <c r="J90" s="45"/>
      <c r="K90" s="45"/>
      <c r="L90" s="12"/>
      <c r="M90" s="23"/>
      <c r="N90" s="23"/>
      <c r="O90" s="12"/>
      <c r="P90" s="81">
        <v>0</v>
      </c>
      <c r="Q90" s="82">
        <v>0</v>
      </c>
      <c r="R90" s="111"/>
      <c r="S90" s="111"/>
      <c r="T90" s="111"/>
      <c r="U90" s="111"/>
      <c r="V90" s="111"/>
      <c r="W90" s="111"/>
      <c r="X90" s="111"/>
      <c r="Y90" s="111"/>
      <c r="Z90" s="111"/>
      <c r="AA90" s="44"/>
      <c r="AB90" s="108">
        <v>0</v>
      </c>
      <c r="AC90" s="108">
        <v>0</v>
      </c>
      <c r="AD90" s="108">
        <v>0</v>
      </c>
      <c r="AE90" s="108">
        <v>0</v>
      </c>
      <c r="AF90" s="108">
        <v>-29933.05672</v>
      </c>
    </row>
    <row r="91" spans="1:33" ht="14.25" hidden="1" thickBot="1">
      <c r="R91" s="112"/>
      <c r="S91" s="188"/>
      <c r="T91" s="188"/>
      <c r="U91" s="188"/>
      <c r="V91" s="188"/>
      <c r="W91" s="188"/>
      <c r="X91" s="188"/>
      <c r="Y91" s="188"/>
      <c r="Z91" s="188"/>
      <c r="AA91" s="30"/>
      <c r="AB91" s="30"/>
      <c r="AC91" s="30"/>
      <c r="AD91" s="30"/>
      <c r="AE91" s="30"/>
      <c r="AF91" s="30"/>
    </row>
    <row r="92" spans="1:33" ht="14.25" hidden="1" thickBot="1">
      <c r="A92" s="9" t="s">
        <v>85</v>
      </c>
      <c r="B92" s="9"/>
      <c r="C92" s="9"/>
      <c r="D92" s="154"/>
      <c r="E92" s="9"/>
      <c r="F92" s="9"/>
      <c r="G92" s="9"/>
      <c r="H92" s="60"/>
      <c r="I92" s="61"/>
      <c r="J92" s="62"/>
      <c r="K92" s="62"/>
      <c r="L92" s="9"/>
      <c r="M92" s="62"/>
      <c r="N92" s="62" t="s">
        <v>60</v>
      </c>
      <c r="O92" s="9"/>
      <c r="P92" s="28">
        <v>289.71290000000005</v>
      </c>
      <c r="Q92" s="83">
        <v>500</v>
      </c>
      <c r="R92" s="111"/>
      <c r="S92" s="111"/>
      <c r="T92" s="111"/>
      <c r="U92" s="111"/>
      <c r="V92" s="111"/>
      <c r="W92" s="111"/>
      <c r="X92" s="111"/>
      <c r="Y92" s="111"/>
      <c r="Z92" s="111"/>
      <c r="AA92" s="29"/>
      <c r="AB92" s="108">
        <v>363.67985999999996</v>
      </c>
      <c r="AC92" s="108">
        <v>645.35523000000001</v>
      </c>
      <c r="AD92" s="108">
        <v>4481.7639899999995</v>
      </c>
      <c r="AE92" s="108">
        <v>3830.7730700000002</v>
      </c>
      <c r="AF92" s="108">
        <v>630.87287999999899</v>
      </c>
    </row>
    <row r="93" spans="1:33" ht="13.5" hidden="1">
      <c r="A93" s="29"/>
      <c r="B93" s="30" t="s">
        <v>121</v>
      </c>
      <c r="C93" s="30"/>
      <c r="D93" s="124"/>
      <c r="E93" s="30"/>
      <c r="F93" s="30"/>
      <c r="G93" s="30"/>
      <c r="H93" s="31"/>
      <c r="I93" s="32">
        <v>-16.78</v>
      </c>
      <c r="J93" s="33" t="s">
        <v>16</v>
      </c>
      <c r="K93" s="33">
        <v>35</v>
      </c>
      <c r="L93" s="30"/>
      <c r="M93" s="63">
        <v>-4.5</v>
      </c>
      <c r="N93" s="33" t="s">
        <v>17</v>
      </c>
      <c r="O93" s="30"/>
      <c r="P93" s="34">
        <v>66.491489999999999</v>
      </c>
      <c r="Q93" s="84">
        <v>2000</v>
      </c>
      <c r="R93" s="80"/>
      <c r="S93" s="80"/>
      <c r="T93" s="80"/>
      <c r="U93" s="80"/>
      <c r="V93" s="80"/>
      <c r="W93" s="80"/>
      <c r="X93" s="80"/>
      <c r="Y93" s="80"/>
      <c r="Z93" s="80"/>
      <c r="AA93" s="30"/>
      <c r="AB93" s="34">
        <v>-1.93024</v>
      </c>
      <c r="AC93" s="34">
        <v>147.59625</v>
      </c>
      <c r="AD93" s="35">
        <v>117.00622</v>
      </c>
      <c r="AE93" s="35">
        <v>-3.0462899999999937</v>
      </c>
      <c r="AF93" s="35">
        <v>-746.19288000000006</v>
      </c>
    </row>
    <row r="94" spans="1:33" ht="13.5" hidden="1">
      <c r="A94" s="29"/>
      <c r="B94" s="30" t="s">
        <v>54</v>
      </c>
      <c r="C94" s="30"/>
      <c r="D94" s="124"/>
      <c r="E94" s="30"/>
      <c r="F94" s="30"/>
      <c r="G94" s="30"/>
      <c r="H94" s="31"/>
      <c r="I94" s="32">
        <v>1.16255277</v>
      </c>
      <c r="J94" s="33" t="s">
        <v>18</v>
      </c>
      <c r="K94" s="33">
        <v>3.5</v>
      </c>
      <c r="L94" s="30"/>
      <c r="M94" s="63">
        <v>0.37338139000000004</v>
      </c>
      <c r="N94" s="33" t="s">
        <v>18</v>
      </c>
      <c r="O94" s="30"/>
      <c r="P94" s="35">
        <v>273.87645000000003</v>
      </c>
      <c r="Q94" s="84">
        <v>5000</v>
      </c>
      <c r="R94" s="80"/>
      <c r="S94" s="80"/>
      <c r="T94" s="80"/>
      <c r="U94" s="80"/>
      <c r="V94" s="80"/>
      <c r="W94" s="80"/>
      <c r="X94" s="80"/>
      <c r="Y94" s="80"/>
      <c r="Z94" s="80"/>
      <c r="AA94" s="30"/>
      <c r="AB94" s="34">
        <v>365.61009999999999</v>
      </c>
      <c r="AC94" s="34">
        <v>497.75898000000001</v>
      </c>
      <c r="AD94" s="35">
        <v>4364.7577699999993</v>
      </c>
      <c r="AE94" s="35">
        <v>3833.81936</v>
      </c>
      <c r="AF94" s="35">
        <v>26060.065759999998</v>
      </c>
    </row>
    <row r="95" spans="1:33" ht="13.5" hidden="1">
      <c r="A95" s="29"/>
      <c r="B95" s="30" t="s">
        <v>55</v>
      </c>
      <c r="C95" s="30"/>
      <c r="D95" s="124"/>
      <c r="E95" s="30"/>
      <c r="F95" s="30"/>
      <c r="G95" s="30"/>
      <c r="H95" s="31"/>
      <c r="I95" s="41"/>
      <c r="J95" s="42"/>
      <c r="K95" s="42"/>
      <c r="L95" s="30"/>
      <c r="M95" s="42"/>
      <c r="N95" s="42"/>
      <c r="O95" s="30"/>
      <c r="P95" s="43"/>
      <c r="Q95" s="43"/>
      <c r="R95" s="80"/>
      <c r="S95" s="80"/>
      <c r="T95" s="80"/>
      <c r="U95" s="80"/>
      <c r="V95" s="80"/>
      <c r="W95" s="80"/>
      <c r="X95" s="80"/>
      <c r="Y95" s="80"/>
      <c r="Z95" s="80"/>
      <c r="AA95" s="30"/>
      <c r="AB95" s="35">
        <v>0</v>
      </c>
      <c r="AC95" s="35">
        <v>0</v>
      </c>
      <c r="AD95" s="35">
        <v>0</v>
      </c>
      <c r="AE95" s="35">
        <v>0</v>
      </c>
      <c r="AF95" s="35">
        <v>-24683</v>
      </c>
    </row>
    <row r="96" spans="1:33" ht="14.25" hidden="1" thickBot="1">
      <c r="A96" s="29"/>
      <c r="B96" s="30"/>
      <c r="C96" s="30"/>
      <c r="D96" s="124"/>
      <c r="E96" s="30"/>
      <c r="F96" s="30"/>
      <c r="G96" s="30"/>
      <c r="H96" s="31"/>
      <c r="I96" s="41"/>
      <c r="J96" s="42"/>
      <c r="K96" s="42"/>
      <c r="L96" s="30"/>
      <c r="M96" s="42"/>
      <c r="N96" s="42"/>
      <c r="O96" s="30"/>
      <c r="P96" s="43"/>
      <c r="Q96" s="43"/>
      <c r="R96" s="80"/>
      <c r="S96" s="80"/>
      <c r="T96" s="80"/>
      <c r="U96" s="80"/>
      <c r="V96" s="80"/>
      <c r="W96" s="80"/>
      <c r="X96" s="80"/>
      <c r="Y96" s="80"/>
      <c r="Z96" s="80"/>
      <c r="AA96" s="30"/>
      <c r="AB96" s="79"/>
      <c r="AC96" s="79"/>
      <c r="AD96" s="79"/>
      <c r="AE96" s="79"/>
      <c r="AF96" s="79"/>
    </row>
    <row r="97" spans="1:32" ht="14.25" hidden="1" thickBot="1">
      <c r="A97" s="9" t="s">
        <v>109</v>
      </c>
      <c r="B97" s="2"/>
      <c r="C97" s="2"/>
      <c r="D97" s="121"/>
      <c r="E97" s="2"/>
      <c r="F97" s="2"/>
      <c r="G97" s="2"/>
      <c r="H97" s="11"/>
      <c r="I97" s="26"/>
      <c r="J97" s="45"/>
      <c r="K97" s="45"/>
      <c r="L97" s="2"/>
      <c r="M97" s="12"/>
      <c r="N97" s="23"/>
      <c r="O97" s="23"/>
      <c r="P97" s="28">
        <v>2312.5717100000002</v>
      </c>
      <c r="Q97" s="46"/>
      <c r="R97" s="111"/>
      <c r="S97" s="111"/>
      <c r="T97" s="111"/>
      <c r="U97" s="111"/>
      <c r="V97" s="111"/>
      <c r="W97" s="111"/>
      <c r="X97" s="111"/>
      <c r="Y97" s="111"/>
      <c r="Z97" s="111"/>
      <c r="AA97" s="30"/>
      <c r="AB97" s="108">
        <v>3204.047</v>
      </c>
      <c r="AC97" s="108">
        <v>18008.454959999999</v>
      </c>
      <c r="AD97" s="108">
        <v>47733.413159999996</v>
      </c>
      <c r="AE97" s="108">
        <v>8260.1021200000032</v>
      </c>
      <c r="AF97" s="108">
        <v>-512707.56741000002</v>
      </c>
    </row>
    <row r="98" spans="1:32" ht="13.5" hidden="1">
      <c r="A98" s="29"/>
      <c r="B98" s="30" t="s">
        <v>110</v>
      </c>
      <c r="C98" s="30"/>
      <c r="D98" s="124"/>
      <c r="E98" s="30"/>
      <c r="F98" s="30"/>
      <c r="G98" s="30"/>
      <c r="H98" s="31"/>
      <c r="I98" s="32">
        <v>-3.46</v>
      </c>
      <c r="J98" s="33" t="s">
        <v>124</v>
      </c>
      <c r="K98" s="33" t="s">
        <v>14</v>
      </c>
      <c r="L98" s="42"/>
      <c r="M98" s="33">
        <v>-1.17</v>
      </c>
      <c r="N98" s="47" t="s">
        <v>124</v>
      </c>
      <c r="O98" s="42"/>
      <c r="P98" s="48">
        <v>484.20375000000001</v>
      </c>
      <c r="Q98" s="49"/>
      <c r="R98" s="80"/>
      <c r="S98" s="80"/>
      <c r="T98" s="80"/>
      <c r="U98" s="80"/>
      <c r="V98" s="80"/>
      <c r="W98" s="80"/>
      <c r="X98" s="80"/>
      <c r="Y98" s="80"/>
      <c r="Z98" s="80"/>
      <c r="AA98" s="30"/>
      <c r="AB98" s="35">
        <v>-10.335000000000001</v>
      </c>
      <c r="AC98" s="35">
        <v>-1972.82104</v>
      </c>
      <c r="AD98" s="35">
        <v>-1559.51178</v>
      </c>
      <c r="AE98" s="35">
        <v>-7499.6242999999995</v>
      </c>
      <c r="AF98" s="35">
        <v>-22066.6325</v>
      </c>
    </row>
    <row r="99" spans="1:32" ht="13.5" hidden="1">
      <c r="A99" s="29"/>
      <c r="B99" s="30" t="s">
        <v>111</v>
      </c>
      <c r="C99" s="30"/>
      <c r="D99" s="124"/>
      <c r="E99" s="30"/>
      <c r="F99" s="30"/>
      <c r="G99" s="30"/>
      <c r="H99" s="31"/>
      <c r="I99" s="32">
        <v>-2.5098304499999999</v>
      </c>
      <c r="J99" s="33" t="s">
        <v>123</v>
      </c>
      <c r="K99" s="33" t="s">
        <v>15</v>
      </c>
      <c r="L99" s="42"/>
      <c r="M99" s="50"/>
      <c r="N99" s="50"/>
      <c r="O99" s="42"/>
      <c r="P99" s="48">
        <v>2042.94031</v>
      </c>
      <c r="Q99" s="43"/>
      <c r="R99" s="80"/>
      <c r="S99" s="80"/>
      <c r="T99" s="80"/>
      <c r="U99" s="80"/>
      <c r="V99" s="80"/>
      <c r="W99" s="80"/>
      <c r="X99" s="80"/>
      <c r="Y99" s="80"/>
      <c r="Z99" s="80"/>
      <c r="AA99" s="30"/>
      <c r="AB99" s="35">
        <v>-1375.69</v>
      </c>
      <c r="AC99" s="35">
        <v>15026.874</v>
      </c>
      <c r="AD99" s="35">
        <v>44181.153939999997</v>
      </c>
      <c r="AE99" s="35">
        <v>38010.10742</v>
      </c>
      <c r="AF99" s="35">
        <v>-83355.291089999984</v>
      </c>
    </row>
    <row r="100" spans="1:32" ht="13.5" hidden="1">
      <c r="A100" s="29"/>
      <c r="B100" s="30" t="s">
        <v>62</v>
      </c>
      <c r="C100" s="30"/>
      <c r="D100" s="124"/>
      <c r="E100" s="30"/>
      <c r="F100" s="30"/>
      <c r="G100" s="30"/>
      <c r="H100" s="31"/>
      <c r="I100" s="39">
        <v>0</v>
      </c>
      <c r="J100" s="33" t="s">
        <v>124</v>
      </c>
      <c r="K100" s="51"/>
      <c r="L100" s="42"/>
      <c r="M100" s="50"/>
      <c r="N100" s="50"/>
      <c r="O100" s="42"/>
      <c r="P100" s="52"/>
      <c r="Q100" s="43"/>
      <c r="R100" s="80"/>
      <c r="S100" s="80"/>
      <c r="T100" s="80"/>
      <c r="U100" s="80"/>
      <c r="V100" s="80"/>
      <c r="W100" s="80"/>
      <c r="X100" s="80"/>
      <c r="Y100" s="80"/>
      <c r="Z100" s="80"/>
      <c r="AA100" s="30"/>
      <c r="AB100" s="35">
        <v>0</v>
      </c>
      <c r="AC100" s="35">
        <v>0</v>
      </c>
      <c r="AD100" s="35">
        <v>33.902999999999999</v>
      </c>
      <c r="AE100" s="35">
        <v>1070.7909999999999</v>
      </c>
      <c r="AF100" s="35">
        <v>-179.703</v>
      </c>
    </row>
    <row r="101" spans="1:32" ht="13.5" hidden="1">
      <c r="A101" s="29"/>
      <c r="B101" s="30" t="s">
        <v>63</v>
      </c>
      <c r="C101" s="30"/>
      <c r="D101" s="124"/>
      <c r="E101" s="30"/>
      <c r="F101" s="30"/>
      <c r="G101" s="30"/>
      <c r="H101" s="31"/>
      <c r="I101" s="41"/>
      <c r="J101" s="42"/>
      <c r="K101" s="42"/>
      <c r="L101" s="30"/>
      <c r="M101" s="42"/>
      <c r="N101" s="42"/>
      <c r="O101" s="42"/>
      <c r="P101" s="43"/>
      <c r="Q101" s="43"/>
      <c r="R101" s="80"/>
      <c r="S101" s="80"/>
      <c r="T101" s="80"/>
      <c r="U101" s="80"/>
      <c r="V101" s="80"/>
      <c r="W101" s="80"/>
      <c r="X101" s="80"/>
      <c r="Y101" s="80"/>
      <c r="Z101" s="80"/>
      <c r="AA101" s="30"/>
      <c r="AB101" s="35">
        <v>0</v>
      </c>
      <c r="AC101" s="35">
        <v>364.33</v>
      </c>
      <c r="AD101" s="35">
        <v>1616.635</v>
      </c>
      <c r="AE101" s="35">
        <v>3975.8530000000001</v>
      </c>
      <c r="AF101" s="35">
        <v>-372841.99529000005</v>
      </c>
    </row>
    <row r="102" spans="1:32" ht="13.5" hidden="1">
      <c r="A102" s="29"/>
      <c r="B102" s="30" t="s">
        <v>112</v>
      </c>
      <c r="C102" s="30"/>
      <c r="D102" s="124"/>
      <c r="E102" s="30"/>
      <c r="F102" s="30"/>
      <c r="G102" s="30"/>
      <c r="H102" s="31"/>
      <c r="I102" s="41"/>
      <c r="J102" s="53"/>
      <c r="K102" s="53"/>
      <c r="L102" s="42"/>
      <c r="M102" s="42"/>
      <c r="N102" s="42"/>
      <c r="O102" s="42"/>
      <c r="P102" s="54"/>
      <c r="Q102" s="54"/>
      <c r="R102" s="80"/>
      <c r="S102" s="80"/>
      <c r="T102" s="80"/>
      <c r="U102" s="80"/>
      <c r="V102" s="80"/>
      <c r="W102" s="80"/>
      <c r="X102" s="80"/>
      <c r="Y102" s="80"/>
      <c r="Z102" s="80"/>
      <c r="AA102" s="30"/>
      <c r="AB102" s="35">
        <v>4590.0720000000001</v>
      </c>
      <c r="AC102" s="35">
        <v>4590.0720000000001</v>
      </c>
      <c r="AD102" s="35">
        <v>4590.0720000000001</v>
      </c>
      <c r="AE102" s="35">
        <v>10402.769</v>
      </c>
      <c r="AF102" s="35">
        <v>38328.459470000002</v>
      </c>
    </row>
    <row r="103" spans="1:32" ht="13.5" hidden="1">
      <c r="A103" s="29"/>
      <c r="B103" s="30" t="s">
        <v>127</v>
      </c>
      <c r="C103" s="30"/>
      <c r="D103" s="124"/>
      <c r="E103" s="30"/>
      <c r="F103" s="30"/>
      <c r="G103" s="30"/>
      <c r="H103" s="31"/>
      <c r="I103" s="41"/>
      <c r="J103" s="53"/>
      <c r="K103" s="53"/>
      <c r="L103" s="42"/>
      <c r="M103" s="42"/>
      <c r="N103" s="42"/>
      <c r="O103" s="42"/>
      <c r="P103" s="54"/>
      <c r="Q103" s="54"/>
      <c r="R103" s="80"/>
      <c r="S103" s="80"/>
      <c r="T103" s="80"/>
      <c r="U103" s="80"/>
      <c r="V103" s="80"/>
      <c r="W103" s="80"/>
      <c r="X103" s="80"/>
      <c r="Y103" s="80"/>
      <c r="Z103" s="80"/>
      <c r="AA103" s="30"/>
      <c r="AB103" s="35">
        <v>0</v>
      </c>
      <c r="AC103" s="35">
        <v>0</v>
      </c>
      <c r="AD103" s="35">
        <v>-1128.8389999999999</v>
      </c>
      <c r="AE103" s="35">
        <v>-37699.794000000002</v>
      </c>
      <c r="AF103" s="35">
        <v>-72592.404999999999</v>
      </c>
    </row>
    <row r="104" spans="1:32" ht="16.5" hidden="1" thickBot="1">
      <c r="A104" s="55"/>
      <c r="B104" s="10"/>
      <c r="C104" s="10"/>
      <c r="D104" s="183"/>
      <c r="E104" s="10"/>
      <c r="F104" s="10"/>
      <c r="G104" s="10"/>
      <c r="H104" s="56"/>
      <c r="I104" s="57"/>
      <c r="J104" s="58"/>
      <c r="K104" s="58"/>
      <c r="L104" s="10"/>
      <c r="M104" s="58"/>
      <c r="N104" s="58"/>
      <c r="O104" s="10"/>
      <c r="P104" s="64"/>
      <c r="Q104" s="64"/>
      <c r="R104" s="113"/>
      <c r="S104" s="113"/>
      <c r="T104" s="113"/>
      <c r="U104" s="113"/>
      <c r="V104" s="113"/>
      <c r="W104" s="113"/>
      <c r="X104" s="113"/>
      <c r="Y104" s="113"/>
      <c r="Z104" s="113"/>
      <c r="AA104" s="30"/>
      <c r="AB104" s="43"/>
      <c r="AC104" s="43"/>
      <c r="AD104" s="43"/>
      <c r="AE104" s="43"/>
      <c r="AF104" s="43"/>
    </row>
    <row r="105" spans="1:32" ht="14.25" hidden="1" thickBot="1">
      <c r="A105" s="9" t="s">
        <v>108</v>
      </c>
      <c r="B105" s="9"/>
      <c r="C105" s="9"/>
      <c r="D105" s="154"/>
      <c r="E105" s="9"/>
      <c r="F105" s="9"/>
      <c r="G105" s="9"/>
      <c r="H105" s="60"/>
      <c r="I105" s="26"/>
      <c r="J105" s="12"/>
      <c r="K105" s="12"/>
      <c r="L105" s="2"/>
      <c r="M105" s="12"/>
      <c r="N105" s="12"/>
      <c r="O105" s="9"/>
      <c r="P105" s="59"/>
      <c r="Q105" s="59"/>
      <c r="R105" s="111"/>
      <c r="S105" s="111"/>
      <c r="T105" s="111"/>
      <c r="U105" s="111"/>
      <c r="V105" s="111"/>
      <c r="W105" s="111"/>
      <c r="X105" s="111"/>
      <c r="Y105" s="111"/>
      <c r="Z105" s="111"/>
      <c r="AA105" s="29"/>
      <c r="AB105" s="108">
        <v>2360.8034900000002</v>
      </c>
      <c r="AC105" s="108">
        <v>8873.5480399999997</v>
      </c>
      <c r="AD105" s="108">
        <v>30661.776850000002</v>
      </c>
      <c r="AE105" s="108">
        <v>72096.441250000003</v>
      </c>
      <c r="AF105" s="108">
        <v>566098.39681000006</v>
      </c>
    </row>
    <row r="106" spans="1:32" ht="13.5" hidden="1">
      <c r="A106" s="29"/>
      <c r="B106" s="30" t="s">
        <v>119</v>
      </c>
      <c r="C106" s="30"/>
      <c r="D106" s="124"/>
      <c r="E106" s="30"/>
      <c r="F106" s="30"/>
      <c r="G106" s="30"/>
      <c r="H106" s="31"/>
      <c r="I106" s="41"/>
      <c r="J106" s="42"/>
      <c r="K106" s="42"/>
      <c r="L106" s="30"/>
      <c r="M106" s="42"/>
      <c r="N106" s="42"/>
      <c r="O106" s="30"/>
      <c r="P106" s="43"/>
      <c r="Q106" s="43"/>
      <c r="R106" s="80"/>
      <c r="S106" s="80"/>
      <c r="T106" s="80"/>
      <c r="U106" s="80"/>
      <c r="V106" s="80"/>
      <c r="W106" s="80"/>
      <c r="X106" s="80"/>
      <c r="Y106" s="80"/>
      <c r="Z106" s="80"/>
      <c r="AA106" s="30"/>
      <c r="AB106" s="35">
        <v>2500</v>
      </c>
      <c r="AC106" s="35">
        <v>8918.5439999999999</v>
      </c>
      <c r="AD106" s="35">
        <v>29412.119730000002</v>
      </c>
      <c r="AE106" s="35">
        <v>70450.948700000008</v>
      </c>
      <c r="AF106" s="35">
        <v>561319.92070000002</v>
      </c>
    </row>
    <row r="107" spans="1:32" ht="13.5" hidden="1">
      <c r="A107" s="29"/>
      <c r="B107" s="30" t="s">
        <v>120</v>
      </c>
      <c r="C107" s="30"/>
      <c r="D107" s="124"/>
      <c r="E107" s="30"/>
      <c r="F107" s="30"/>
      <c r="G107" s="30"/>
      <c r="H107" s="31"/>
      <c r="I107" s="32">
        <v>-1.3761518499999998</v>
      </c>
      <c r="J107" s="69" t="s">
        <v>15</v>
      </c>
      <c r="K107" s="42"/>
      <c r="L107" s="30"/>
      <c r="M107" s="42"/>
      <c r="N107" s="42"/>
      <c r="O107" s="30"/>
      <c r="P107" s="43"/>
      <c r="Q107" s="43"/>
      <c r="R107" s="80"/>
      <c r="S107" s="80"/>
      <c r="T107" s="80"/>
      <c r="U107" s="80"/>
      <c r="V107" s="80"/>
      <c r="W107" s="80"/>
      <c r="X107" s="80"/>
      <c r="Y107" s="80"/>
      <c r="Z107" s="80"/>
      <c r="AA107" s="30"/>
      <c r="AB107" s="35">
        <v>-19.877689999999998</v>
      </c>
      <c r="AC107" s="35">
        <v>127.73585</v>
      </c>
      <c r="AD107" s="35">
        <v>277.85321000000005</v>
      </c>
      <c r="AE107" s="35">
        <v>457.53821999999997</v>
      </c>
      <c r="AF107" s="35">
        <v>2879.1644500000002</v>
      </c>
    </row>
    <row r="108" spans="1:32" ht="13.5" hidden="1">
      <c r="A108" s="29"/>
      <c r="B108" s="30" t="s">
        <v>50</v>
      </c>
      <c r="C108" s="30"/>
      <c r="D108" s="124"/>
      <c r="E108" s="30"/>
      <c r="F108" s="30"/>
      <c r="G108" s="30"/>
      <c r="H108" s="31"/>
      <c r="I108" s="41"/>
      <c r="J108" s="42"/>
      <c r="K108" s="42"/>
      <c r="L108" s="30"/>
      <c r="M108" s="42"/>
      <c r="N108" s="42"/>
      <c r="O108" s="30"/>
      <c r="P108" s="43"/>
      <c r="Q108" s="43"/>
      <c r="R108" s="80"/>
      <c r="S108" s="80"/>
      <c r="T108" s="80"/>
      <c r="U108" s="80"/>
      <c r="V108" s="80"/>
      <c r="W108" s="80"/>
      <c r="X108" s="80"/>
      <c r="Y108" s="80"/>
      <c r="Z108" s="80"/>
      <c r="AA108" s="30"/>
      <c r="AB108" s="35">
        <v>-119.31882</v>
      </c>
      <c r="AC108" s="35">
        <v>-172.73181</v>
      </c>
      <c r="AD108" s="35">
        <v>971.80391000000009</v>
      </c>
      <c r="AE108" s="35">
        <v>1187.95433</v>
      </c>
      <c r="AF108" s="35">
        <v>1899.3116599999998</v>
      </c>
    </row>
    <row r="109" spans="1:32" ht="16.5" hidden="1" thickBot="1">
      <c r="A109" s="9"/>
      <c r="B109" s="10"/>
      <c r="C109" s="2"/>
      <c r="D109" s="121"/>
      <c r="E109" s="2"/>
      <c r="F109" s="2"/>
      <c r="G109" s="2"/>
      <c r="H109" s="11"/>
      <c r="I109" s="26"/>
      <c r="J109" s="12"/>
      <c r="K109" s="12"/>
      <c r="L109" s="2"/>
      <c r="M109" s="12"/>
      <c r="N109" s="12"/>
      <c r="O109" s="2"/>
      <c r="P109" s="59"/>
      <c r="Q109" s="59"/>
      <c r="R109" s="80"/>
      <c r="S109" s="80"/>
      <c r="T109" s="80"/>
      <c r="U109" s="80"/>
      <c r="V109" s="80"/>
      <c r="W109" s="80"/>
      <c r="X109" s="80"/>
      <c r="Y109" s="80"/>
      <c r="Z109" s="80"/>
      <c r="AA109" s="30"/>
      <c r="AB109" s="54"/>
      <c r="AC109" s="54"/>
      <c r="AD109" s="54"/>
      <c r="AE109" s="54"/>
      <c r="AF109" s="54"/>
    </row>
    <row r="110" spans="1:32" ht="14.25" hidden="1" thickBot="1">
      <c r="A110" s="9" t="s">
        <v>101</v>
      </c>
      <c r="B110" s="9"/>
      <c r="C110" s="9"/>
      <c r="D110" s="154"/>
      <c r="E110" s="9"/>
      <c r="F110" s="9"/>
      <c r="G110" s="9"/>
      <c r="H110" s="60"/>
      <c r="I110" s="26"/>
      <c r="J110" s="12"/>
      <c r="K110" s="12"/>
      <c r="L110" s="2"/>
      <c r="M110" s="12"/>
      <c r="N110" s="12"/>
      <c r="O110" s="9"/>
      <c r="P110" s="28">
        <v>0</v>
      </c>
      <c r="Q110" s="83">
        <v>4000</v>
      </c>
      <c r="R110" s="111"/>
      <c r="S110" s="111"/>
      <c r="T110" s="111"/>
      <c r="U110" s="111"/>
      <c r="V110" s="111"/>
      <c r="W110" s="111"/>
      <c r="X110" s="111"/>
      <c r="Y110" s="111"/>
      <c r="Z110" s="111"/>
      <c r="AA110" s="29"/>
      <c r="AB110" s="108">
        <v>-88.872</v>
      </c>
      <c r="AC110" s="108">
        <v>72.438000000000002</v>
      </c>
      <c r="AD110" s="108">
        <v>1036.8875399999999</v>
      </c>
      <c r="AE110" s="108">
        <v>185.19653999999991</v>
      </c>
      <c r="AF110" s="108">
        <v>-9035.0474599999998</v>
      </c>
    </row>
    <row r="111" spans="1:32" ht="13.5" hidden="1">
      <c r="A111" s="29"/>
      <c r="B111" s="30" t="s">
        <v>102</v>
      </c>
      <c r="C111" s="30"/>
      <c r="D111" s="124"/>
      <c r="E111" s="30"/>
      <c r="F111" s="30"/>
      <c r="G111" s="30"/>
      <c r="H111" s="31"/>
      <c r="I111" s="41"/>
      <c r="J111" s="42"/>
      <c r="K111" s="42"/>
      <c r="L111" s="30"/>
      <c r="M111" s="42"/>
      <c r="N111" s="42"/>
      <c r="O111" s="30"/>
      <c r="P111" s="35">
        <v>0</v>
      </c>
      <c r="Q111" s="85">
        <v>1500</v>
      </c>
      <c r="R111" s="80"/>
      <c r="S111" s="80"/>
      <c r="T111" s="80"/>
      <c r="U111" s="80"/>
      <c r="V111" s="80"/>
      <c r="W111" s="80"/>
      <c r="X111" s="80"/>
      <c r="Y111" s="80"/>
      <c r="Z111" s="80"/>
      <c r="AA111" s="30"/>
      <c r="AB111" s="35">
        <v>-107.77</v>
      </c>
      <c r="AC111" s="35">
        <v>22.01</v>
      </c>
      <c r="AD111" s="35">
        <v>99.222940000000008</v>
      </c>
      <c r="AE111" s="35">
        <v>-633.44306000000006</v>
      </c>
      <c r="AF111" s="35">
        <v>4288.5829400000002</v>
      </c>
    </row>
    <row r="112" spans="1:32" ht="13.5" hidden="1">
      <c r="A112" s="29"/>
      <c r="B112" s="30" t="s">
        <v>99</v>
      </c>
      <c r="C112" s="30"/>
      <c r="D112" s="124"/>
      <c r="E112" s="30"/>
      <c r="F112" s="30"/>
      <c r="G112" s="30"/>
      <c r="H112" s="31"/>
      <c r="I112" s="41"/>
      <c r="J112" s="42"/>
      <c r="K112" s="42"/>
      <c r="L112" s="30"/>
      <c r="M112" s="42"/>
      <c r="N112" s="42"/>
      <c r="O112" s="30"/>
      <c r="P112" s="35">
        <v>0</v>
      </c>
      <c r="Q112" s="84">
        <v>2500</v>
      </c>
      <c r="R112" s="80"/>
      <c r="S112" s="80"/>
      <c r="T112" s="80"/>
      <c r="U112" s="80"/>
      <c r="V112" s="80"/>
      <c r="W112" s="80"/>
      <c r="X112" s="80"/>
      <c r="Y112" s="80"/>
      <c r="Z112" s="80"/>
      <c r="AA112" s="30"/>
      <c r="AB112" s="35">
        <v>18.898</v>
      </c>
      <c r="AC112" s="35">
        <v>50.427999999999997</v>
      </c>
      <c r="AD112" s="35">
        <v>937.66459999999995</v>
      </c>
      <c r="AE112" s="35">
        <v>818.63959999999997</v>
      </c>
      <c r="AF112" s="35">
        <v>-13323.6304</v>
      </c>
    </row>
    <row r="113" spans="1:32" ht="16.5" hidden="1" thickBot="1">
      <c r="A113" s="9"/>
      <c r="B113" s="10"/>
      <c r="C113" s="2"/>
      <c r="D113" s="121"/>
      <c r="E113" s="2"/>
      <c r="F113" s="2"/>
      <c r="G113" s="2"/>
      <c r="H113" s="11"/>
      <c r="I113" s="26"/>
      <c r="J113" s="12"/>
      <c r="K113" s="12"/>
      <c r="L113" s="2"/>
      <c r="M113" s="12"/>
      <c r="N113" s="12"/>
      <c r="O113" s="2"/>
      <c r="P113" s="59"/>
      <c r="Q113" s="13"/>
      <c r="R113" s="80"/>
      <c r="S113" s="80"/>
      <c r="T113" s="80"/>
      <c r="U113" s="80"/>
      <c r="V113" s="80"/>
      <c r="W113" s="80"/>
      <c r="X113" s="80"/>
      <c r="Y113" s="80"/>
      <c r="Z113" s="80"/>
      <c r="AA113" s="30"/>
      <c r="AB113" s="54"/>
      <c r="AC113" s="54"/>
      <c r="AD113" s="54"/>
      <c r="AE113" s="54"/>
      <c r="AF113" s="54"/>
    </row>
    <row r="114" spans="1:32" ht="16.5" hidden="1" thickBot="1">
      <c r="A114" s="9" t="s">
        <v>42</v>
      </c>
      <c r="B114" s="10"/>
      <c r="C114" s="2"/>
      <c r="D114" s="121"/>
      <c r="E114" s="2"/>
      <c r="F114" s="2"/>
      <c r="G114" s="2"/>
      <c r="H114" s="11"/>
      <c r="I114" s="26"/>
      <c r="J114" s="12"/>
      <c r="K114" s="12"/>
      <c r="L114" s="2"/>
      <c r="M114" s="12"/>
      <c r="N114" s="12"/>
      <c r="O114" s="9"/>
      <c r="P114" s="28">
        <v>0</v>
      </c>
      <c r="Q114" s="83">
        <v>1000</v>
      </c>
      <c r="R114" s="111"/>
      <c r="S114" s="111"/>
      <c r="T114" s="111"/>
      <c r="U114" s="111"/>
      <c r="V114" s="111"/>
      <c r="W114" s="111"/>
      <c r="X114" s="111"/>
      <c r="Y114" s="111"/>
      <c r="Z114" s="111"/>
      <c r="AA114" s="29"/>
      <c r="AB114" s="108">
        <v>-13.823690000000001</v>
      </c>
      <c r="AC114" s="108">
        <v>-231.33687</v>
      </c>
      <c r="AD114" s="108">
        <v>554.09028999999998</v>
      </c>
      <c r="AE114" s="108">
        <v>1095.8683000000001</v>
      </c>
      <c r="AF114" s="108">
        <v>0</v>
      </c>
    </row>
    <row r="115" spans="1:32" ht="15.75" hidden="1">
      <c r="A115" s="9"/>
      <c r="B115" s="10"/>
      <c r="C115" s="2"/>
      <c r="D115" s="121"/>
      <c r="E115" s="2"/>
      <c r="F115" s="2"/>
      <c r="G115" s="2"/>
      <c r="H115" s="11"/>
      <c r="I115" s="26"/>
      <c r="J115" s="12"/>
      <c r="K115" s="12"/>
      <c r="L115" s="2"/>
      <c r="M115" s="12"/>
      <c r="N115" s="12"/>
      <c r="O115" s="2"/>
      <c r="P115" s="59"/>
      <c r="Q115" s="13"/>
      <c r="R115" s="80"/>
      <c r="S115" s="80"/>
      <c r="T115" s="80"/>
      <c r="U115" s="80"/>
      <c r="V115" s="80"/>
      <c r="W115" s="80"/>
      <c r="X115" s="80"/>
      <c r="Y115" s="80"/>
      <c r="Z115" s="80"/>
      <c r="AA115" s="30"/>
      <c r="AB115" s="54"/>
      <c r="AC115" s="54"/>
      <c r="AD115" s="54"/>
      <c r="AE115" s="54"/>
      <c r="AF115" s="54"/>
    </row>
    <row r="116" spans="1:32" ht="13.5" hidden="1">
      <c r="A116" s="29" t="s">
        <v>90</v>
      </c>
      <c r="B116" s="30"/>
      <c r="C116" s="30"/>
      <c r="D116" s="124"/>
      <c r="E116" s="30"/>
      <c r="F116" s="30"/>
      <c r="G116" s="30"/>
      <c r="H116" s="31"/>
      <c r="I116" s="41"/>
      <c r="J116" s="42"/>
      <c r="K116" s="42"/>
      <c r="L116" s="30"/>
      <c r="M116" s="42"/>
      <c r="N116" s="42"/>
      <c r="O116" s="30"/>
      <c r="P116" s="54"/>
      <c r="Q116" s="54"/>
      <c r="R116" s="80"/>
      <c r="S116" s="80"/>
      <c r="T116" s="80"/>
      <c r="U116" s="80"/>
      <c r="V116" s="80"/>
      <c r="W116" s="80"/>
      <c r="X116" s="80"/>
      <c r="Y116" s="80"/>
      <c r="Z116" s="80"/>
      <c r="AA116" s="30"/>
      <c r="AB116" s="35">
        <v>-19808</v>
      </c>
      <c r="AC116" s="35">
        <v>-15119</v>
      </c>
      <c r="AD116" s="35">
        <v>0</v>
      </c>
      <c r="AE116" s="35">
        <v>0</v>
      </c>
      <c r="AF116" s="35">
        <v>0</v>
      </c>
    </row>
    <row r="117" spans="1:32" ht="13.5" hidden="1">
      <c r="A117" s="29" t="s">
        <v>51</v>
      </c>
      <c r="B117" s="30"/>
      <c r="C117" s="30"/>
      <c r="D117" s="124"/>
      <c r="E117" s="30"/>
      <c r="F117" s="30"/>
      <c r="G117" s="30"/>
      <c r="H117" s="31"/>
      <c r="I117" s="41"/>
      <c r="J117" s="42"/>
      <c r="K117" s="42"/>
      <c r="L117" s="30"/>
      <c r="M117" s="42"/>
      <c r="N117" s="42"/>
      <c r="O117" s="30"/>
      <c r="P117" s="54"/>
      <c r="Q117" s="54"/>
      <c r="R117" s="80"/>
      <c r="S117" s="80"/>
      <c r="T117" s="80"/>
      <c r="U117" s="80"/>
      <c r="V117" s="80"/>
      <c r="W117" s="80"/>
      <c r="X117" s="80"/>
      <c r="Y117" s="80"/>
      <c r="Z117" s="80"/>
      <c r="AA117" s="30"/>
      <c r="AB117" s="35">
        <v>1.13174</v>
      </c>
      <c r="AC117" s="35">
        <v>2.8846699999999981</v>
      </c>
      <c r="AD117" s="35">
        <v>1730.1796200000001</v>
      </c>
      <c r="AE117" s="35">
        <v>1896.8513699999999</v>
      </c>
      <c r="AF117" s="35">
        <v>3583.3444199999985</v>
      </c>
    </row>
    <row r="118" spans="1:32" ht="16.5" hidden="1" thickBot="1">
      <c r="A118" s="9"/>
      <c r="B118" s="10"/>
      <c r="C118" s="2"/>
      <c r="D118" s="121"/>
      <c r="E118" s="2"/>
      <c r="F118" s="2"/>
      <c r="G118" s="2"/>
      <c r="H118" s="11"/>
      <c r="I118" s="26"/>
      <c r="J118" s="12"/>
      <c r="K118" s="12"/>
      <c r="L118" s="2"/>
      <c r="M118" s="12"/>
      <c r="N118" s="12"/>
      <c r="O118" s="2"/>
      <c r="P118" s="13"/>
      <c r="Q118" s="13"/>
      <c r="R118" s="80"/>
      <c r="S118" s="80"/>
      <c r="T118" s="80"/>
      <c r="U118" s="80"/>
      <c r="V118" s="80"/>
      <c r="W118" s="80"/>
      <c r="X118" s="80"/>
      <c r="Y118" s="80"/>
      <c r="Z118" s="80"/>
      <c r="AA118" s="30"/>
      <c r="AB118" s="54"/>
      <c r="AC118" s="54"/>
      <c r="AD118" s="54"/>
      <c r="AE118" s="54"/>
      <c r="AF118" s="54"/>
    </row>
    <row r="119" spans="1:32" ht="14.25" hidden="1" thickBot="1">
      <c r="A119" s="70" t="s">
        <v>48</v>
      </c>
      <c r="B119" s="70"/>
      <c r="C119" s="70"/>
      <c r="D119" s="184"/>
      <c r="E119" s="70"/>
      <c r="F119" s="70"/>
      <c r="G119" s="70"/>
      <c r="H119" s="71"/>
      <c r="I119" s="61"/>
      <c r="J119" s="62"/>
      <c r="K119" s="62"/>
      <c r="L119" s="9"/>
      <c r="M119" s="62"/>
      <c r="N119" s="72" t="s">
        <v>46</v>
      </c>
      <c r="O119" s="9"/>
      <c r="P119" s="27">
        <v>81519.096974756278</v>
      </c>
      <c r="Q119" s="83">
        <v>85000</v>
      </c>
      <c r="R119" s="111"/>
      <c r="S119" s="111"/>
      <c r="T119" s="111"/>
      <c r="U119" s="111"/>
      <c r="V119" s="111"/>
      <c r="W119" s="111"/>
      <c r="X119" s="111"/>
      <c r="Y119" s="111"/>
      <c r="Z119" s="111"/>
      <c r="AA119" s="29"/>
      <c r="AB119" s="114">
        <v>-99205.526590000009</v>
      </c>
      <c r="AC119" s="114">
        <v>65788.701869999903</v>
      </c>
      <c r="AD119" s="114">
        <v>272055.97852000006</v>
      </c>
      <c r="AE119" s="114">
        <v>210965.93910000005</v>
      </c>
      <c r="AF119" s="114">
        <v>4800541.8539699987</v>
      </c>
    </row>
    <row r="120" spans="1:32" ht="16.5" hidden="1" thickBot="1">
      <c r="A120" s="9"/>
      <c r="B120" s="10"/>
      <c r="C120" s="2"/>
      <c r="D120" s="121"/>
      <c r="E120" s="2"/>
      <c r="F120" s="2"/>
      <c r="G120" s="2"/>
      <c r="H120" s="11"/>
      <c r="I120" s="26"/>
      <c r="J120" s="12"/>
      <c r="K120" s="12"/>
      <c r="L120" s="2"/>
      <c r="M120" s="12"/>
      <c r="N120" s="12"/>
      <c r="O120" s="2"/>
      <c r="P120" s="59"/>
      <c r="Q120" s="59"/>
      <c r="R120" s="80"/>
      <c r="S120" s="80"/>
      <c r="T120" s="80"/>
      <c r="U120" s="80"/>
      <c r="V120" s="80"/>
      <c r="W120" s="80"/>
      <c r="X120" s="80"/>
      <c r="Y120" s="80"/>
      <c r="Z120" s="80"/>
      <c r="AA120" s="30"/>
      <c r="AB120" s="54"/>
      <c r="AC120" s="54"/>
      <c r="AD120" s="54"/>
      <c r="AE120" s="54"/>
      <c r="AF120" s="54"/>
    </row>
    <row r="121" spans="1:32" ht="14.25" hidden="1" thickBot="1">
      <c r="A121" s="9" t="s">
        <v>64</v>
      </c>
      <c r="B121" s="2"/>
      <c r="C121" s="2"/>
      <c r="D121" s="121"/>
      <c r="E121" s="2"/>
      <c r="F121" s="2"/>
      <c r="G121" s="2"/>
      <c r="H121" s="11"/>
      <c r="I121" s="26"/>
      <c r="J121" s="12"/>
      <c r="K121" s="12"/>
      <c r="L121" s="2"/>
      <c r="M121" s="12"/>
      <c r="N121" s="12"/>
      <c r="O121" s="2"/>
      <c r="P121" s="59"/>
      <c r="Q121" s="59"/>
      <c r="R121" s="111"/>
      <c r="S121" s="111"/>
      <c r="T121" s="111"/>
      <c r="U121" s="111"/>
      <c r="V121" s="111"/>
      <c r="W121" s="111"/>
      <c r="X121" s="111"/>
      <c r="Y121" s="111"/>
      <c r="Z121" s="111"/>
      <c r="AA121" s="30"/>
      <c r="AB121" s="115">
        <v>-298.94520999999997</v>
      </c>
      <c r="AC121" s="115">
        <v>-3755.1462300000003</v>
      </c>
      <c r="AD121" s="115">
        <v>-1799.7307600000022</v>
      </c>
      <c r="AE121" s="115">
        <v>-9046.5306200000014</v>
      </c>
      <c r="AF121" s="115">
        <v>-49102.644430000015</v>
      </c>
    </row>
    <row r="122" spans="1:32" ht="13.5" hidden="1">
      <c r="A122" s="29"/>
      <c r="B122" s="30" t="s">
        <v>91</v>
      </c>
      <c r="C122" s="30"/>
      <c r="D122" s="124"/>
      <c r="E122" s="30"/>
      <c r="F122" s="30"/>
      <c r="G122" s="30"/>
      <c r="H122" s="31"/>
      <c r="I122" s="32">
        <v>0</v>
      </c>
      <c r="J122" s="42"/>
      <c r="K122" s="42"/>
      <c r="L122" s="30"/>
      <c r="M122" s="42"/>
      <c r="N122" s="42"/>
      <c r="O122" s="30"/>
      <c r="P122" s="35">
        <v>0</v>
      </c>
      <c r="Q122" s="54"/>
      <c r="R122" s="80"/>
      <c r="S122" s="80"/>
      <c r="T122" s="80"/>
      <c r="U122" s="80"/>
      <c r="V122" s="80"/>
      <c r="W122" s="80"/>
      <c r="X122" s="80"/>
      <c r="Y122" s="80"/>
      <c r="Z122" s="80"/>
      <c r="AA122" s="30"/>
      <c r="AB122" s="35">
        <v>-256.51334999999995</v>
      </c>
      <c r="AC122" s="35">
        <v>-1958.1232</v>
      </c>
      <c r="AD122" s="35">
        <v>3762.3066899999985</v>
      </c>
      <c r="AE122" s="35">
        <v>1894.6766499999999</v>
      </c>
      <c r="AF122" s="35">
        <v>-13759.114920000004</v>
      </c>
    </row>
    <row r="123" spans="1:32" ht="13.5" hidden="1">
      <c r="A123" s="29"/>
      <c r="B123" s="30" t="s">
        <v>92</v>
      </c>
      <c r="C123" s="30"/>
      <c r="D123" s="124"/>
      <c r="E123" s="30"/>
      <c r="F123" s="30"/>
      <c r="G123" s="30"/>
      <c r="H123" s="31"/>
      <c r="I123" s="32">
        <v>0.104</v>
      </c>
      <c r="J123" s="33" t="s">
        <v>41</v>
      </c>
      <c r="K123" s="33">
        <v>300</v>
      </c>
      <c r="L123" s="30"/>
      <c r="M123" s="42"/>
      <c r="N123" s="42"/>
      <c r="O123" s="30"/>
      <c r="P123" s="35">
        <v>3.4911500000000002</v>
      </c>
      <c r="Q123" s="84">
        <v>10000</v>
      </c>
      <c r="R123" s="80"/>
      <c r="S123" s="80"/>
      <c r="T123" s="80"/>
      <c r="U123" s="80"/>
      <c r="V123" s="80"/>
      <c r="W123" s="80"/>
      <c r="X123" s="80"/>
      <c r="Y123" s="80"/>
      <c r="Z123" s="80"/>
      <c r="AA123" s="30"/>
      <c r="AB123" s="35">
        <v>-42.43186</v>
      </c>
      <c r="AC123" s="34">
        <v>-1797.0230300000001</v>
      </c>
      <c r="AD123" s="35">
        <v>-5562.0374500000007</v>
      </c>
      <c r="AE123" s="35">
        <v>-10941.207270000001</v>
      </c>
      <c r="AF123" s="35">
        <v>-35343.529510000008</v>
      </c>
    </row>
    <row r="124" spans="1:32" ht="16.5" hidden="1" thickBot="1">
      <c r="A124" s="9"/>
      <c r="B124" s="10"/>
      <c r="C124" s="2"/>
      <c r="D124" s="121"/>
      <c r="E124" s="2"/>
      <c r="F124" s="2"/>
      <c r="G124" s="2"/>
      <c r="H124" s="11"/>
      <c r="I124" s="26"/>
      <c r="J124" s="12"/>
      <c r="K124" s="12"/>
      <c r="L124" s="2"/>
      <c r="M124" s="12"/>
      <c r="N124" s="12"/>
      <c r="O124" s="2"/>
      <c r="P124" s="59"/>
      <c r="Q124" s="59"/>
      <c r="R124" s="54"/>
      <c r="S124" s="194"/>
      <c r="T124" s="54"/>
      <c r="U124" s="194"/>
      <c r="V124" s="54"/>
      <c r="W124" s="194"/>
      <c r="X124" s="54"/>
      <c r="Y124" s="194"/>
      <c r="Z124" s="54"/>
      <c r="AA124" s="30"/>
      <c r="AB124" s="54"/>
      <c r="AC124" s="54"/>
      <c r="AD124" s="54"/>
      <c r="AE124" s="54"/>
      <c r="AF124" s="54"/>
    </row>
    <row r="125" spans="1:32" ht="14.25" hidden="1" thickBot="1">
      <c r="A125" s="73" t="s">
        <v>44</v>
      </c>
      <c r="B125" s="73"/>
      <c r="C125" s="73"/>
      <c r="D125" s="185"/>
      <c r="E125" s="73"/>
      <c r="F125" s="73"/>
      <c r="G125" s="73"/>
      <c r="H125" s="86"/>
      <c r="I125" s="61"/>
      <c r="J125" s="62"/>
      <c r="K125" s="62"/>
      <c r="L125" s="9"/>
      <c r="M125" s="62"/>
      <c r="N125" s="62"/>
      <c r="O125" s="9"/>
      <c r="P125" s="74"/>
      <c r="Q125" s="74"/>
      <c r="R125" s="111"/>
      <c r="S125" s="111"/>
      <c r="T125" s="111"/>
      <c r="U125" s="111"/>
      <c r="V125" s="111"/>
      <c r="W125" s="111"/>
      <c r="X125" s="111"/>
      <c r="Y125" s="111"/>
      <c r="Z125" s="111"/>
      <c r="AA125" s="29"/>
      <c r="AB125" s="110">
        <v>-99504.471800000014</v>
      </c>
      <c r="AC125" s="110">
        <v>62033.555639999904</v>
      </c>
      <c r="AD125" s="110">
        <v>270256.24776000006</v>
      </c>
      <c r="AE125" s="110">
        <v>201919.40848000004</v>
      </c>
      <c r="AF125" s="110">
        <v>4751439.2095399983</v>
      </c>
    </row>
    <row r="126" spans="1:32" ht="13.5" hidden="1">
      <c r="A126" s="9"/>
      <c r="B126" s="75"/>
      <c r="C126" s="2"/>
      <c r="D126" s="121"/>
      <c r="E126" s="2"/>
      <c r="F126" s="2"/>
      <c r="G126" s="2"/>
      <c r="H126" s="76"/>
      <c r="I126" s="26"/>
      <c r="J126" s="12"/>
      <c r="K126" s="12"/>
      <c r="L126" s="2"/>
      <c r="M126" s="12"/>
      <c r="N126" s="12"/>
      <c r="O126" s="2"/>
      <c r="P126" s="13"/>
      <c r="Q126" s="13"/>
      <c r="R126" s="54"/>
      <c r="S126" s="194"/>
      <c r="T126" s="54"/>
      <c r="U126" s="194"/>
      <c r="V126" s="54"/>
      <c r="W126" s="194"/>
      <c r="X126" s="54"/>
      <c r="Y126" s="194"/>
      <c r="Z126" s="54"/>
      <c r="AA126" s="30"/>
      <c r="AB126" s="54"/>
      <c r="AC126" s="54"/>
      <c r="AD126" s="54"/>
      <c r="AE126" s="54"/>
      <c r="AF126" s="54"/>
    </row>
    <row r="127" spans="1:32" ht="13.5" hidden="1">
      <c r="A127" s="77" t="s">
        <v>122</v>
      </c>
      <c r="B127" s="75" t="s">
        <v>117</v>
      </c>
      <c r="C127" s="2"/>
      <c r="D127" s="121"/>
      <c r="E127" s="2"/>
      <c r="F127" s="2"/>
      <c r="G127" s="2"/>
      <c r="H127" s="76"/>
      <c r="I127" s="26"/>
      <c r="J127" s="12"/>
      <c r="K127" s="12"/>
      <c r="L127" s="2"/>
      <c r="M127" s="12"/>
      <c r="N127" s="12"/>
      <c r="O127" s="2"/>
      <c r="P127" s="13"/>
      <c r="Q127" s="13"/>
      <c r="R127" s="54"/>
      <c r="S127" s="194"/>
      <c r="T127" s="54"/>
      <c r="U127" s="194"/>
      <c r="V127" s="54"/>
      <c r="W127" s="194"/>
      <c r="X127" s="54"/>
      <c r="Y127" s="194"/>
      <c r="Z127" s="54"/>
      <c r="AA127" s="30"/>
      <c r="AB127" s="54"/>
      <c r="AC127" s="54"/>
      <c r="AD127" s="54"/>
      <c r="AE127" s="54"/>
      <c r="AF127" s="54"/>
    </row>
    <row r="128" spans="1:32" ht="13.5" hidden="1">
      <c r="A128" s="66"/>
      <c r="B128" s="75"/>
      <c r="C128" s="2"/>
      <c r="D128" s="121"/>
      <c r="E128" s="2"/>
      <c r="F128" s="2"/>
      <c r="G128" s="2"/>
      <c r="H128" s="76"/>
      <c r="I128" s="26"/>
      <c r="J128" s="12"/>
      <c r="K128" s="12"/>
      <c r="L128" s="2"/>
      <c r="M128" s="12"/>
      <c r="N128" s="12"/>
      <c r="O128" s="2"/>
      <c r="P128" s="13"/>
      <c r="Q128" s="13"/>
      <c r="R128" s="54"/>
      <c r="S128" s="194"/>
      <c r="T128" s="54"/>
      <c r="U128" s="194"/>
      <c r="V128" s="54"/>
      <c r="W128" s="194"/>
      <c r="X128" s="54"/>
      <c r="Y128" s="194"/>
      <c r="Z128" s="54"/>
      <c r="AA128" s="30"/>
      <c r="AB128" s="54"/>
      <c r="AC128" s="54"/>
      <c r="AD128" s="54"/>
      <c r="AE128" s="54"/>
      <c r="AF128" s="54"/>
    </row>
    <row r="129" spans="1:32" ht="13.5" hidden="1">
      <c r="A129" s="209">
        <v>37259.397599652781</v>
      </c>
      <c r="B129" s="209"/>
      <c r="C129" s="209"/>
      <c r="D129" s="186"/>
      <c r="E129" s="78"/>
      <c r="F129" s="78"/>
      <c r="G129" s="78"/>
      <c r="H129" s="76"/>
      <c r="I129" s="26"/>
      <c r="J129" s="12"/>
      <c r="K129" s="12"/>
      <c r="L129" s="2"/>
      <c r="M129" s="12"/>
      <c r="N129" s="12"/>
      <c r="O129" s="2"/>
      <c r="P129" s="13"/>
      <c r="Q129" s="13"/>
      <c r="R129" s="54"/>
      <c r="S129" s="194"/>
      <c r="T129" s="54"/>
      <c r="U129" s="194"/>
      <c r="V129" s="54"/>
      <c r="W129" s="194"/>
      <c r="X129" s="54"/>
      <c r="Y129" s="194"/>
      <c r="Z129" s="54"/>
      <c r="AA129" s="30"/>
      <c r="AB129" s="54"/>
      <c r="AC129" s="54"/>
      <c r="AD129" s="54"/>
      <c r="AE129" s="54"/>
      <c r="AF129" s="54"/>
    </row>
    <row r="130" spans="1:32" ht="15.75" hidden="1">
      <c r="A130" s="9"/>
      <c r="B130" s="10"/>
      <c r="C130" s="2"/>
      <c r="D130" s="121"/>
      <c r="E130" s="2"/>
      <c r="F130" s="2"/>
      <c r="G130" s="2"/>
      <c r="H130" s="76"/>
      <c r="I130" s="26"/>
      <c r="J130" s="12"/>
      <c r="K130" s="12"/>
      <c r="L130" s="2"/>
      <c r="M130" s="12"/>
      <c r="N130" s="12"/>
      <c r="O130" s="2"/>
      <c r="P130" s="13"/>
      <c r="Q130" s="13"/>
      <c r="R130" s="54"/>
      <c r="S130" s="194"/>
      <c r="T130" s="54"/>
      <c r="U130" s="194"/>
      <c r="V130" s="54"/>
      <c r="W130" s="194"/>
      <c r="X130" s="54"/>
      <c r="Y130" s="194"/>
      <c r="Z130" s="54"/>
      <c r="AA130" s="30"/>
      <c r="AB130" s="54"/>
      <c r="AC130" s="54"/>
      <c r="AD130" s="54"/>
      <c r="AE130" s="54"/>
      <c r="AF130" s="54"/>
    </row>
    <row r="131" spans="1:32" ht="13.5">
      <c r="H131" s="76"/>
      <c r="I131" s="26"/>
      <c r="J131" s="12"/>
      <c r="K131" s="12"/>
      <c r="L131" s="2"/>
      <c r="M131" s="12"/>
      <c r="N131" s="12"/>
      <c r="O131" s="2"/>
      <c r="P131" s="13"/>
      <c r="Q131" s="13"/>
      <c r="R131" s="54"/>
      <c r="S131" s="194"/>
      <c r="T131" s="54"/>
      <c r="U131" s="194"/>
      <c r="V131" s="54"/>
      <c r="W131" s="194"/>
      <c r="X131" s="54"/>
      <c r="Y131" s="194"/>
      <c r="Z131" s="54"/>
      <c r="AA131" s="30"/>
      <c r="AB131" s="54"/>
      <c r="AC131" s="54"/>
      <c r="AD131" s="54"/>
      <c r="AE131" s="54"/>
      <c r="AF131" s="54"/>
    </row>
    <row r="132" spans="1:32" ht="13.5">
      <c r="R132" s="30"/>
      <c r="S132" s="75"/>
      <c r="T132" s="30"/>
      <c r="U132" s="75"/>
      <c r="V132" s="30"/>
      <c r="W132" s="75"/>
      <c r="X132" s="30"/>
      <c r="Y132" s="75"/>
      <c r="Z132" s="30"/>
      <c r="AA132" s="30"/>
      <c r="AB132" s="30"/>
      <c r="AC132" s="30"/>
      <c r="AD132" s="30"/>
      <c r="AE132" s="30"/>
      <c r="AF132" s="30"/>
    </row>
    <row r="133" spans="1:32" ht="13.5">
      <c r="R133" s="30"/>
      <c r="S133" s="75"/>
      <c r="T133" s="30"/>
      <c r="U133" s="75"/>
      <c r="V133" s="30"/>
      <c r="W133" s="75"/>
      <c r="X133" s="30"/>
      <c r="Y133" s="75"/>
      <c r="Z133" s="30"/>
      <c r="AA133" s="30"/>
      <c r="AB133" s="30"/>
      <c r="AC133" s="30"/>
      <c r="AD133" s="30"/>
      <c r="AE133" s="30"/>
      <c r="AF133" s="30"/>
    </row>
    <row r="134" spans="1:32" ht="13.5">
      <c r="R134" s="30"/>
      <c r="S134" s="75"/>
      <c r="T134" s="30"/>
      <c r="U134" s="75"/>
      <c r="V134" s="30"/>
      <c r="W134" s="75"/>
      <c r="X134" s="30"/>
      <c r="Y134" s="75"/>
      <c r="Z134" s="30"/>
      <c r="AA134" s="30"/>
      <c r="AB134" s="30"/>
      <c r="AC134" s="30"/>
      <c r="AD134" s="30"/>
      <c r="AE134" s="30"/>
      <c r="AF134" s="30"/>
    </row>
    <row r="135" spans="1:32" ht="13.5">
      <c r="R135" s="30"/>
      <c r="S135" s="75"/>
      <c r="T135" s="30"/>
      <c r="U135" s="75"/>
      <c r="V135" s="30"/>
      <c r="W135" s="75"/>
      <c r="X135" s="30"/>
      <c r="Y135" s="75"/>
      <c r="Z135" s="30"/>
      <c r="AA135" s="30"/>
      <c r="AB135" s="30"/>
      <c r="AC135" s="30"/>
      <c r="AD135" s="30"/>
      <c r="AE135" s="30"/>
      <c r="AF135" s="30"/>
    </row>
    <row r="136" spans="1:32" ht="13.5">
      <c r="R136" s="30"/>
      <c r="S136" s="75"/>
      <c r="T136" s="30"/>
      <c r="U136" s="75"/>
      <c r="V136" s="30"/>
      <c r="W136" s="75"/>
      <c r="X136" s="30"/>
      <c r="Y136" s="75"/>
      <c r="Z136" s="30"/>
      <c r="AA136" s="30"/>
      <c r="AB136" s="30"/>
      <c r="AC136" s="30"/>
      <c r="AD136" s="30"/>
      <c r="AE136" s="30"/>
      <c r="AF136" s="30"/>
    </row>
    <row r="137" spans="1:32" ht="13.5">
      <c r="R137" s="30"/>
      <c r="S137" s="75"/>
      <c r="T137" s="30"/>
      <c r="U137" s="75"/>
      <c r="V137" s="30"/>
      <c r="W137" s="75"/>
      <c r="X137" s="30"/>
      <c r="Y137" s="75"/>
      <c r="Z137" s="30"/>
      <c r="AA137" s="30"/>
      <c r="AB137" s="30"/>
      <c r="AC137" s="30"/>
      <c r="AD137" s="30"/>
      <c r="AE137" s="30"/>
      <c r="AF137" s="30"/>
    </row>
    <row r="138" spans="1:32" ht="13.5">
      <c r="R138" s="30"/>
      <c r="S138" s="75"/>
      <c r="T138" s="30"/>
      <c r="U138" s="75"/>
      <c r="V138" s="30"/>
      <c r="W138" s="75"/>
      <c r="X138" s="30"/>
      <c r="Y138" s="75"/>
      <c r="Z138" s="30"/>
      <c r="AA138" s="30"/>
      <c r="AB138" s="30"/>
      <c r="AC138" s="30"/>
      <c r="AD138" s="30"/>
      <c r="AE138" s="30"/>
      <c r="AF138" s="30"/>
    </row>
    <row r="139" spans="1:32" ht="13.5">
      <c r="R139" s="30"/>
      <c r="S139" s="75"/>
      <c r="T139" s="30"/>
      <c r="U139" s="75"/>
      <c r="V139" s="30"/>
      <c r="W139" s="75"/>
      <c r="X139" s="30"/>
      <c r="Y139" s="75"/>
      <c r="Z139" s="30"/>
      <c r="AA139" s="30"/>
      <c r="AB139" s="30"/>
      <c r="AC139" s="30"/>
      <c r="AD139" s="30"/>
      <c r="AE139" s="30"/>
      <c r="AF139" s="30"/>
    </row>
    <row r="140" spans="1:32" ht="13.5">
      <c r="R140" s="30"/>
      <c r="S140" s="75"/>
      <c r="T140" s="30"/>
      <c r="U140" s="75"/>
      <c r="V140" s="30"/>
      <c r="W140" s="75"/>
      <c r="X140" s="30"/>
      <c r="Y140" s="75"/>
      <c r="Z140" s="30"/>
      <c r="AA140" s="30"/>
      <c r="AB140" s="30"/>
      <c r="AC140" s="30"/>
      <c r="AD140" s="30"/>
      <c r="AE140" s="30"/>
      <c r="AF140" s="30"/>
    </row>
    <row r="141" spans="1:32" ht="13.5">
      <c r="R141" s="30"/>
      <c r="S141" s="75"/>
      <c r="T141" s="30"/>
      <c r="U141" s="75"/>
      <c r="V141" s="30"/>
      <c r="W141" s="75"/>
      <c r="X141" s="30"/>
      <c r="Y141" s="75"/>
      <c r="Z141" s="30"/>
      <c r="AA141" s="30"/>
      <c r="AB141" s="30"/>
      <c r="AC141" s="30"/>
      <c r="AD141" s="30"/>
      <c r="AE141" s="30"/>
      <c r="AF141" s="30"/>
    </row>
    <row r="142" spans="1:32" ht="13.5">
      <c r="R142" s="30"/>
      <c r="S142" s="75"/>
      <c r="T142" s="30"/>
      <c r="U142" s="75"/>
      <c r="V142" s="30"/>
      <c r="W142" s="75"/>
      <c r="X142" s="30"/>
      <c r="Y142" s="75"/>
      <c r="Z142" s="30"/>
      <c r="AA142" s="30"/>
      <c r="AB142" s="30"/>
      <c r="AC142" s="30"/>
      <c r="AD142" s="30"/>
      <c r="AE142" s="30"/>
      <c r="AF142" s="30"/>
    </row>
    <row r="143" spans="1:32" ht="13.5">
      <c r="R143" s="30"/>
      <c r="S143" s="75"/>
      <c r="T143" s="30"/>
      <c r="U143" s="75"/>
      <c r="V143" s="30"/>
      <c r="W143" s="75"/>
      <c r="X143" s="30"/>
      <c r="Y143" s="75"/>
      <c r="Z143" s="30"/>
      <c r="AA143" s="30"/>
      <c r="AB143" s="30"/>
      <c r="AC143" s="30"/>
      <c r="AD143" s="30"/>
      <c r="AE143" s="30"/>
      <c r="AF143" s="30"/>
    </row>
    <row r="144" spans="1:32" ht="13.5">
      <c r="R144" s="30"/>
      <c r="S144" s="75"/>
      <c r="T144" s="30"/>
      <c r="U144" s="75"/>
      <c r="V144" s="30"/>
      <c r="W144" s="75"/>
      <c r="X144" s="30"/>
      <c r="Y144" s="75"/>
      <c r="Z144" s="30"/>
      <c r="AA144" s="30"/>
      <c r="AB144" s="30"/>
      <c r="AC144" s="30"/>
      <c r="AD144" s="30"/>
      <c r="AE144" s="30"/>
      <c r="AF144" s="30"/>
    </row>
    <row r="145" spans="18:32" ht="13.5">
      <c r="R145" s="30"/>
      <c r="S145" s="75"/>
      <c r="T145" s="30"/>
      <c r="U145" s="75"/>
      <c r="V145" s="30"/>
      <c r="W145" s="75"/>
      <c r="X145" s="30"/>
      <c r="Y145" s="75"/>
      <c r="Z145" s="30"/>
      <c r="AA145" s="30"/>
      <c r="AB145" s="30"/>
      <c r="AC145" s="30"/>
      <c r="AD145" s="30"/>
      <c r="AE145" s="30"/>
      <c r="AF145" s="30"/>
    </row>
    <row r="146" spans="18:32" ht="13.5">
      <c r="R146" s="30"/>
      <c r="S146" s="75"/>
      <c r="T146" s="30"/>
      <c r="U146" s="75"/>
      <c r="V146" s="30"/>
      <c r="W146" s="75"/>
      <c r="X146" s="30"/>
      <c r="Y146" s="75"/>
      <c r="Z146" s="30"/>
      <c r="AA146" s="30"/>
      <c r="AB146" s="30"/>
      <c r="AC146" s="30"/>
      <c r="AD146" s="30"/>
      <c r="AE146" s="30"/>
      <c r="AF146" s="30"/>
    </row>
    <row r="147" spans="18:32" ht="13.5">
      <c r="R147" s="30"/>
      <c r="S147" s="75"/>
      <c r="T147" s="30"/>
      <c r="U147" s="75"/>
      <c r="V147" s="30"/>
      <c r="W147" s="75"/>
      <c r="X147" s="30"/>
      <c r="Y147" s="75"/>
      <c r="Z147" s="30"/>
      <c r="AA147" s="30"/>
      <c r="AB147" s="30"/>
      <c r="AC147" s="30"/>
      <c r="AD147" s="30"/>
      <c r="AE147" s="30"/>
      <c r="AF147" s="30"/>
    </row>
    <row r="148" spans="18:32" ht="13.5">
      <c r="R148" s="30"/>
      <c r="S148" s="75"/>
      <c r="T148" s="30"/>
      <c r="U148" s="75"/>
      <c r="V148" s="30"/>
      <c r="W148" s="75"/>
      <c r="X148" s="30"/>
      <c r="Y148" s="75"/>
      <c r="Z148" s="30"/>
      <c r="AA148" s="30"/>
      <c r="AB148" s="30"/>
      <c r="AC148" s="30"/>
      <c r="AD148" s="30"/>
      <c r="AE148" s="30"/>
      <c r="AF148" s="30"/>
    </row>
    <row r="149" spans="18:32" ht="13.5">
      <c r="R149" s="30"/>
      <c r="S149" s="75"/>
      <c r="T149" s="30"/>
      <c r="U149" s="75"/>
      <c r="V149" s="30"/>
      <c r="W149" s="75"/>
      <c r="X149" s="30"/>
      <c r="Y149" s="75"/>
      <c r="Z149" s="30"/>
      <c r="AA149" s="30"/>
      <c r="AB149" s="30"/>
      <c r="AC149" s="30"/>
      <c r="AD149" s="30"/>
      <c r="AE149" s="30"/>
      <c r="AF149" s="30"/>
    </row>
    <row r="150" spans="18:32" ht="13.5">
      <c r="R150" s="30"/>
      <c r="S150" s="75"/>
      <c r="T150" s="30"/>
      <c r="U150" s="75"/>
      <c r="V150" s="30"/>
      <c r="W150" s="75"/>
      <c r="X150" s="30"/>
      <c r="Y150" s="75"/>
      <c r="Z150" s="30"/>
      <c r="AA150" s="30"/>
      <c r="AB150" s="30"/>
      <c r="AC150" s="30"/>
      <c r="AD150" s="30"/>
      <c r="AE150" s="30"/>
      <c r="AF150" s="30"/>
    </row>
    <row r="151" spans="18:32" ht="13.5">
      <c r="R151" s="30"/>
      <c r="S151" s="75"/>
      <c r="T151" s="30"/>
      <c r="U151" s="75"/>
      <c r="V151" s="30"/>
      <c r="W151" s="75"/>
      <c r="X151" s="30"/>
      <c r="Y151" s="75"/>
      <c r="Z151" s="30"/>
      <c r="AA151" s="30"/>
      <c r="AB151" s="30"/>
      <c r="AC151" s="30"/>
      <c r="AD151" s="30"/>
      <c r="AE151" s="30"/>
      <c r="AF151" s="30"/>
    </row>
    <row r="152" spans="18:32" ht="13.5">
      <c r="R152" s="30"/>
      <c r="S152" s="75"/>
      <c r="T152" s="30"/>
      <c r="U152" s="75"/>
      <c r="V152" s="30"/>
      <c r="W152" s="75"/>
      <c r="X152" s="30"/>
      <c r="Y152" s="75"/>
      <c r="Z152" s="30"/>
      <c r="AA152" s="30"/>
      <c r="AB152" s="30"/>
      <c r="AC152" s="30"/>
      <c r="AD152" s="30"/>
      <c r="AE152" s="30"/>
      <c r="AF152" s="30"/>
    </row>
  </sheetData>
  <mergeCells count="7">
    <mergeCell ref="P4:Q4"/>
    <mergeCell ref="AB4:AF4"/>
    <mergeCell ref="AB3:AF3"/>
    <mergeCell ref="A129:C129"/>
    <mergeCell ref="I4:J4"/>
    <mergeCell ref="A2:H2"/>
    <mergeCell ref="M4:N4"/>
  </mergeCells>
  <phoneticPr fontId="0" type="noConversion"/>
  <pageMargins left="0.75" right="0.75" top="1" bottom="1" header="0.5" footer="0.5"/>
  <pageSetup scale="66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topLeftCell="B1" workbookViewId="0">
      <pane xSplit="2" ySplit="1" topLeftCell="D2" activePane="bottomRight" state="frozen"/>
      <selection activeCell="B1" sqref="B1"/>
      <selection pane="topRight" activeCell="D1" sqref="D1"/>
      <selection pane="bottomLeft" activeCell="B2" sqref="B2"/>
      <selection pane="bottomRight" activeCell="C33" sqref="C33"/>
    </sheetView>
  </sheetViews>
  <sheetFormatPr defaultRowHeight="12.75"/>
  <cols>
    <col min="2" max="2" width="2.7109375" customWidth="1"/>
    <col min="3" max="3" width="15.28515625" customWidth="1"/>
    <col min="4" max="4" width="3.42578125" customWidth="1"/>
    <col min="9" max="9" width="11.85546875" customWidth="1"/>
    <col min="10" max="10" width="1.85546875" customWidth="1"/>
    <col min="11" max="11" width="16.85546875" customWidth="1"/>
    <col min="12" max="12" width="1.7109375" customWidth="1"/>
    <col min="17" max="17" width="13.7109375" customWidth="1"/>
    <col min="19" max="21" width="9.28515625" bestFit="1" customWidth="1"/>
    <col min="22" max="22" width="13.42578125" customWidth="1"/>
    <col min="23" max="23" width="9.7109375" bestFit="1" customWidth="1"/>
  </cols>
  <sheetData>
    <row r="1" spans="1:24" ht="13.5" thickBot="1">
      <c r="B1" t="s">
        <v>3</v>
      </c>
      <c r="K1" t="s">
        <v>5</v>
      </c>
    </row>
    <row r="2" spans="1:24" ht="14.25" thickTop="1">
      <c r="E2" s="21" t="s">
        <v>78</v>
      </c>
      <c r="F2" s="21" t="s">
        <v>4</v>
      </c>
      <c r="G2" s="21" t="s">
        <v>57</v>
      </c>
      <c r="H2" s="21" t="s">
        <v>58</v>
      </c>
      <c r="I2" s="22" t="s">
        <v>59</v>
      </c>
      <c r="J2" s="95"/>
      <c r="K2" s="95"/>
      <c r="M2" s="21" t="s">
        <v>78</v>
      </c>
      <c r="N2" s="21" t="s">
        <v>4</v>
      </c>
      <c r="O2" s="21" t="s">
        <v>57</v>
      </c>
      <c r="P2" s="21" t="s">
        <v>58</v>
      </c>
      <c r="Q2" s="22" t="s">
        <v>59</v>
      </c>
      <c r="S2" s="21" t="s">
        <v>78</v>
      </c>
      <c r="T2" s="21" t="s">
        <v>4</v>
      </c>
      <c r="U2" s="21" t="s">
        <v>57</v>
      </c>
      <c r="V2" s="21" t="s">
        <v>58</v>
      </c>
      <c r="W2" s="22" t="s">
        <v>59</v>
      </c>
    </row>
    <row r="3" spans="1:24" ht="13.5">
      <c r="B3" s="30" t="s">
        <v>89</v>
      </c>
      <c r="C3" s="30"/>
      <c r="D3" s="31"/>
      <c r="E3" s="101">
        <f>SUM(E4:E5)</f>
        <v>-69161.488850000023</v>
      </c>
      <c r="F3" s="101">
        <f>SUM(F4:F5)</f>
        <v>44113.372339999973</v>
      </c>
      <c r="G3" s="101">
        <f>SUM(G4:G5)</f>
        <v>111568.18923000003</v>
      </c>
      <c r="H3" s="101">
        <f>SUM(H4:H5)</f>
        <v>86883.129580000023</v>
      </c>
      <c r="I3" s="101">
        <f>SUM(I4:I5)</f>
        <v>1328791.1635699999</v>
      </c>
      <c r="J3" s="80"/>
      <c r="K3" s="80"/>
      <c r="L3" s="2"/>
      <c r="M3" s="101">
        <f>SUM(M4:M5)</f>
        <v>-76404.545730000027</v>
      </c>
      <c r="N3" s="101">
        <f>SUM(N4:N5)</f>
        <v>66313.614639999956</v>
      </c>
      <c r="O3" s="101">
        <f>SUM(O4:O5)</f>
        <v>304589.49138999998</v>
      </c>
      <c r="P3" s="101">
        <f>SUM(P4:P5)</f>
        <v>99868.432750000007</v>
      </c>
      <c r="Q3" s="101">
        <f>SUM(Q4:Q5)</f>
        <v>1618972.7568899998</v>
      </c>
      <c r="S3" s="106">
        <f>SUM(S4:S5)</f>
        <v>-76404.545730000027</v>
      </c>
      <c r="T3" s="106">
        <f>SUM(T4:T5)</f>
        <v>66313.614639999956</v>
      </c>
      <c r="U3" s="106">
        <f>SUM(U4:U5)</f>
        <v>304589.49138999998</v>
      </c>
      <c r="V3" s="106">
        <f>SUM(V4:V5)</f>
        <v>99868.432750000007</v>
      </c>
      <c r="W3" s="106">
        <f>SUM(W4:W5)</f>
        <v>1618972.7568899998</v>
      </c>
      <c r="X3" s="105"/>
    </row>
    <row r="4" spans="1:24" ht="13.5">
      <c r="A4">
        <v>1</v>
      </c>
      <c r="B4" s="37"/>
      <c r="C4" s="37" t="s">
        <v>84</v>
      </c>
      <c r="D4" s="38"/>
      <c r="E4" s="40">
        <v>-70412.326210000028</v>
      </c>
      <c r="F4" s="40">
        <v>55616.117069999971</v>
      </c>
      <c r="G4" s="40">
        <v>123841.55640000003</v>
      </c>
      <c r="H4" s="40">
        <v>80576.464000000022</v>
      </c>
      <c r="I4" s="40">
        <v>1327038.0672099998</v>
      </c>
      <c r="J4" s="96"/>
      <c r="K4" s="96"/>
      <c r="L4" s="2"/>
      <c r="M4" s="40">
        <f>+E4+E12</f>
        <v>-74926.95199000003</v>
      </c>
      <c r="N4" s="40">
        <f>+F4+F12</f>
        <v>71930.910559999975</v>
      </c>
      <c r="O4" s="40">
        <f>+G4+G12</f>
        <v>214898.72119000001</v>
      </c>
      <c r="P4" s="40">
        <f>+H4+H12</f>
        <v>120289.29247000001</v>
      </c>
      <c r="Q4" s="40">
        <f>+I4+I12</f>
        <v>1407451.9123599997</v>
      </c>
      <c r="S4" s="107">
        <v>-74926.95199000003</v>
      </c>
      <c r="T4" s="107">
        <v>71930.910559999975</v>
      </c>
      <c r="U4" s="107">
        <v>214898.72119000001</v>
      </c>
      <c r="V4" s="107">
        <v>120289.29247000001</v>
      </c>
      <c r="W4" s="107">
        <v>1407451.9123599997</v>
      </c>
      <c r="X4" s="105"/>
    </row>
    <row r="5" spans="1:24" ht="13.5">
      <c r="A5">
        <v>2</v>
      </c>
      <c r="B5" s="37"/>
      <c r="C5" s="37" t="s">
        <v>82</v>
      </c>
      <c r="D5" s="38"/>
      <c r="E5" s="40">
        <v>1250.83736</v>
      </c>
      <c r="F5" s="40">
        <v>-11502.74473</v>
      </c>
      <c r="G5" s="40">
        <v>-12273.36717</v>
      </c>
      <c r="H5" s="40">
        <v>6306.665579999998</v>
      </c>
      <c r="I5" s="40">
        <v>1753.0963600000161</v>
      </c>
      <c r="J5" s="96"/>
      <c r="K5" s="96"/>
      <c r="L5" s="2"/>
      <c r="M5" s="40">
        <f>+E5+E10</f>
        <v>-1477.5937400000003</v>
      </c>
      <c r="N5" s="40">
        <f>+F5+F10</f>
        <v>-5617.2959200000205</v>
      </c>
      <c r="O5" s="40">
        <f>+G5+G10</f>
        <v>89690.770199999999</v>
      </c>
      <c r="P5" s="40">
        <f>+H5+H10</f>
        <v>-20420.859720000015</v>
      </c>
      <c r="Q5" s="40">
        <f>+I5+I10</f>
        <v>211520.84453000003</v>
      </c>
      <c r="S5" s="107">
        <v>-1477.5937400000003</v>
      </c>
      <c r="T5" s="107">
        <v>-5617.2959200000205</v>
      </c>
      <c r="U5" s="107">
        <v>89690.770199999999</v>
      </c>
      <c r="V5" s="107">
        <v>-20420.859720000015</v>
      </c>
      <c r="W5" s="107">
        <v>211520.84453000003</v>
      </c>
      <c r="X5" s="105"/>
    </row>
    <row r="6" spans="1:24" ht="13.5">
      <c r="B6" s="30" t="s">
        <v>98</v>
      </c>
      <c r="C6" s="30"/>
      <c r="D6" s="31"/>
      <c r="E6" s="101">
        <f>SUM(E7:E10)</f>
        <v>-14908.497139999998</v>
      </c>
      <c r="F6" s="101">
        <f>SUM(F7:F10)</f>
        <v>41255.085959999982</v>
      </c>
      <c r="G6" s="101">
        <f>SUM(G7:G10)</f>
        <v>122521.15815999999</v>
      </c>
      <c r="H6" s="101">
        <f>SUM(H7:H10)</f>
        <v>86499.336030000006</v>
      </c>
      <c r="I6" s="101">
        <f>SUM(I7:I10)</f>
        <v>1612912.6989799999</v>
      </c>
      <c r="J6" s="80"/>
      <c r="K6" s="80"/>
      <c r="L6" s="2"/>
      <c r="M6" s="101">
        <f>SUM(M7:M10)</f>
        <v>-12503.821039999999</v>
      </c>
      <c r="N6" s="101">
        <f>SUM(N7:N10)</f>
        <v>35323.891150000003</v>
      </c>
      <c r="O6" s="101">
        <f>SUM(O7:O10)</f>
        <v>19525.870789999986</v>
      </c>
      <c r="P6" s="101">
        <f>SUM(P7:P10)</f>
        <v>114552.38133</v>
      </c>
      <c r="Q6" s="101">
        <f>SUM(Q7:Q10)</f>
        <v>1422718.1328099999</v>
      </c>
      <c r="S6" s="106">
        <f>SUM(S7:S9)</f>
        <v>-12503.821039999999</v>
      </c>
      <c r="T6" s="106">
        <f>SUM(T7:T9)</f>
        <v>35323.891150000003</v>
      </c>
      <c r="U6" s="106">
        <f>SUM(U7:U9)</f>
        <v>19525.870789999986</v>
      </c>
      <c r="V6" s="106">
        <f>SUM(V7:V9)</f>
        <v>114552.38133</v>
      </c>
      <c r="W6" s="106">
        <f>SUM(W7:W9)</f>
        <v>1422718.1328099999</v>
      </c>
      <c r="X6" s="105"/>
    </row>
    <row r="7" spans="1:24" ht="13.5">
      <c r="A7">
        <v>3</v>
      </c>
      <c r="B7" s="37"/>
      <c r="C7" s="37" t="s">
        <v>80</v>
      </c>
      <c r="D7" s="38"/>
      <c r="E7" s="40">
        <v>-23585.28095</v>
      </c>
      <c r="F7" s="40">
        <v>12085.913960000003</v>
      </c>
      <c r="G7" s="40">
        <v>57487.636510000004</v>
      </c>
      <c r="H7" s="40">
        <v>15905.521420000003</v>
      </c>
      <c r="I7" s="40">
        <v>432261.20309999987</v>
      </c>
      <c r="J7" s="96"/>
      <c r="K7" s="96"/>
      <c r="L7" s="2"/>
      <c r="M7" s="40">
        <f t="shared" ref="M7:Q9" si="0">+E7+E13</f>
        <v>-23585.28095</v>
      </c>
      <c r="N7" s="40">
        <f t="shared" si="0"/>
        <v>11886.789960000004</v>
      </c>
      <c r="O7" s="40">
        <f t="shared" si="0"/>
        <v>57158.602510000004</v>
      </c>
      <c r="P7" s="40">
        <f t="shared" si="0"/>
        <v>15912.620420000003</v>
      </c>
      <c r="Q7" s="40">
        <f t="shared" si="0"/>
        <v>433114.50409999985</v>
      </c>
      <c r="S7" s="107">
        <v>-23585.28095</v>
      </c>
      <c r="T7" s="107">
        <v>11886.789960000004</v>
      </c>
      <c r="U7" s="107">
        <v>57158.602510000004</v>
      </c>
      <c r="V7" s="107">
        <v>15912.620420000003</v>
      </c>
      <c r="W7" s="107">
        <v>433114.50409999985</v>
      </c>
      <c r="X7" s="105"/>
    </row>
    <row r="8" spans="1:24" ht="13.5">
      <c r="A8">
        <v>4</v>
      </c>
      <c r="B8" s="37"/>
      <c r="C8" s="37" t="s">
        <v>81</v>
      </c>
      <c r="D8" s="38"/>
      <c r="E8" s="40">
        <v>9811.5929700000015</v>
      </c>
      <c r="F8" s="40">
        <v>28092.735020000004</v>
      </c>
      <c r="G8" s="40">
        <v>60096.311939999992</v>
      </c>
      <c r="H8" s="40">
        <v>60746.638859999992</v>
      </c>
      <c r="I8" s="40">
        <v>853917.93428999989</v>
      </c>
      <c r="J8" s="96"/>
      <c r="K8" s="96"/>
      <c r="L8" s="2"/>
      <c r="M8" s="40">
        <f t="shared" si="0"/>
        <v>9720.7999700000018</v>
      </c>
      <c r="N8" s="40">
        <f t="shared" si="0"/>
        <v>27878.094020000004</v>
      </c>
      <c r="O8" s="40">
        <f t="shared" si="0"/>
        <v>59508.783939999994</v>
      </c>
      <c r="P8" s="40">
        <f t="shared" si="0"/>
        <v>60661.392859999993</v>
      </c>
      <c r="Q8" s="40">
        <f t="shared" si="0"/>
        <v>878751.89028999989</v>
      </c>
      <c r="S8" s="107">
        <v>9720.7999700000018</v>
      </c>
      <c r="T8" s="107">
        <v>27878.094020000004</v>
      </c>
      <c r="U8" s="107">
        <v>59508.783939999994</v>
      </c>
      <c r="V8" s="107">
        <v>60661.392859999993</v>
      </c>
      <c r="W8" s="107">
        <v>878751.89028999989</v>
      </c>
      <c r="X8" s="105"/>
    </row>
    <row r="9" spans="1:24" ht="13.5">
      <c r="A9">
        <v>5</v>
      </c>
      <c r="B9" s="37"/>
      <c r="C9" s="37" t="s">
        <v>82</v>
      </c>
      <c r="D9" s="38"/>
      <c r="E9" s="40">
        <v>1593.62194</v>
      </c>
      <c r="F9" s="40">
        <v>-4809.0118300000058</v>
      </c>
      <c r="G9" s="40">
        <v>-97026.927660000001</v>
      </c>
      <c r="H9" s="40">
        <v>36574.701050000011</v>
      </c>
      <c r="I9" s="40">
        <v>116965.81341999999</v>
      </c>
      <c r="J9" s="96"/>
      <c r="K9" s="96"/>
      <c r="L9" s="2"/>
      <c r="M9" s="40">
        <f t="shared" si="0"/>
        <v>1360.65994</v>
      </c>
      <c r="N9" s="40">
        <f t="shared" si="0"/>
        <v>-4440.9928300000056</v>
      </c>
      <c r="O9" s="40">
        <f t="shared" si="0"/>
        <v>-97141.515660000005</v>
      </c>
      <c r="P9" s="40">
        <f t="shared" si="0"/>
        <v>37978.368050000012</v>
      </c>
      <c r="Q9" s="40">
        <f t="shared" si="0"/>
        <v>110851.73841999999</v>
      </c>
      <c r="S9" s="107">
        <v>1360.65994</v>
      </c>
      <c r="T9" s="107">
        <v>-4440.9928300000056</v>
      </c>
      <c r="U9" s="107">
        <v>-97141.515660000005</v>
      </c>
      <c r="V9" s="107">
        <v>37978.368050000012</v>
      </c>
      <c r="W9" s="107">
        <v>110851.73841999999</v>
      </c>
      <c r="X9" s="105"/>
    </row>
    <row r="10" spans="1:24" ht="13.5">
      <c r="A10">
        <v>6</v>
      </c>
      <c r="B10" s="37"/>
      <c r="C10" s="37" t="s">
        <v>116</v>
      </c>
      <c r="D10" s="38"/>
      <c r="E10" s="40">
        <v>-2728.4311000000002</v>
      </c>
      <c r="F10" s="40">
        <v>5885.4488099999799</v>
      </c>
      <c r="G10" s="40">
        <v>101964.13737</v>
      </c>
      <c r="H10" s="40">
        <v>-26727.525300000012</v>
      </c>
      <c r="I10" s="40">
        <v>209767.74817000001</v>
      </c>
      <c r="J10" s="96"/>
      <c r="K10" s="104">
        <v>2</v>
      </c>
      <c r="L10" s="2"/>
      <c r="M10" s="40"/>
      <c r="N10" s="40"/>
      <c r="O10" s="40"/>
      <c r="P10" s="40"/>
      <c r="Q10" s="40"/>
      <c r="S10" s="107"/>
      <c r="T10" s="107"/>
      <c r="U10" s="107"/>
      <c r="V10" s="107"/>
      <c r="W10" s="107"/>
      <c r="X10" s="105"/>
    </row>
    <row r="11" spans="1:24" ht="13.5">
      <c r="B11" s="37" t="s">
        <v>52</v>
      </c>
      <c r="C11" s="37"/>
      <c r="D11" s="38"/>
      <c r="E11" s="100">
        <f>SUM(E12:E19)</f>
        <v>-4822.6507799999999</v>
      </c>
      <c r="F11" s="100">
        <f>SUM(F12:F19)</f>
        <v>15341.780490000001</v>
      </c>
      <c r="G11" s="100">
        <f>SUM(G12:G19)</f>
        <v>91926.007399999973</v>
      </c>
      <c r="H11" s="100">
        <f>SUM(H12:H19)</f>
        <v>46039.530429999992</v>
      </c>
      <c r="I11" s="100">
        <f>SUM(I12:I19)</f>
        <v>105996.87815999999</v>
      </c>
      <c r="J11" s="96"/>
      <c r="K11" s="102"/>
      <c r="L11" s="37"/>
      <c r="M11" s="100">
        <f>SUM(M12:M19)</f>
        <v>15.73</v>
      </c>
      <c r="N11" s="100">
        <f>SUM(N12:N19)</f>
        <v>-927.26699999999994</v>
      </c>
      <c r="O11" s="100">
        <f>SUM(O12:O19)</f>
        <v>1899.99261</v>
      </c>
      <c r="P11" s="100">
        <f>SUM(P12:P19)</f>
        <v>5001.1819599999999</v>
      </c>
      <c r="Q11" s="100">
        <f>SUM(Q12:Q19)</f>
        <v>6009.8510100000003</v>
      </c>
      <c r="S11" s="106">
        <f>SUM(S12:S19)</f>
        <v>15.73</v>
      </c>
      <c r="T11" s="106">
        <f>SUM(T12:T19)</f>
        <v>-927.26699999999994</v>
      </c>
      <c r="U11" s="106">
        <f>SUM(U12:U19)</f>
        <v>1899.99261</v>
      </c>
      <c r="V11" s="106">
        <f>SUM(V12:V19)</f>
        <v>5001.1819599999999</v>
      </c>
      <c r="W11" s="106">
        <f>SUM(W12:W19)</f>
        <v>6009.8510100000003</v>
      </c>
      <c r="X11" s="105"/>
    </row>
    <row r="12" spans="1:24" ht="13.5">
      <c r="B12" s="37"/>
      <c r="C12" s="37" t="s">
        <v>128</v>
      </c>
      <c r="D12" s="37"/>
      <c r="E12" s="98">
        <v>-4514.6257800000003</v>
      </c>
      <c r="F12" s="89">
        <v>16314.79349</v>
      </c>
      <c r="G12" s="89">
        <v>91057.164789999995</v>
      </c>
      <c r="H12" s="89">
        <v>39712.828469999993</v>
      </c>
      <c r="I12" s="89">
        <v>80413.845149999979</v>
      </c>
      <c r="J12" s="99"/>
      <c r="K12" s="104">
        <v>1</v>
      </c>
      <c r="L12" s="37"/>
      <c r="M12" s="98"/>
      <c r="N12" s="89"/>
      <c r="O12" s="89"/>
      <c r="P12" s="89"/>
      <c r="Q12" s="89"/>
      <c r="S12" s="107"/>
      <c r="T12" s="107"/>
      <c r="U12" s="107"/>
      <c r="V12" s="107"/>
      <c r="W12" s="107"/>
      <c r="X12" s="105"/>
    </row>
    <row r="13" spans="1:24" ht="13.5">
      <c r="B13" s="37"/>
      <c r="C13" s="37" t="s">
        <v>2</v>
      </c>
      <c r="D13" s="37"/>
      <c r="E13" s="98">
        <v>0</v>
      </c>
      <c r="F13" s="89">
        <v>-199.124</v>
      </c>
      <c r="G13" s="89">
        <v>-329.03399999999999</v>
      </c>
      <c r="H13" s="89">
        <v>7.0990000000000002</v>
      </c>
      <c r="I13" s="89">
        <v>853.30100000000004</v>
      </c>
      <c r="J13" s="99"/>
      <c r="K13" s="104">
        <v>3</v>
      </c>
      <c r="L13" s="37"/>
      <c r="M13" s="98"/>
      <c r="N13" s="89"/>
      <c r="O13" s="89"/>
      <c r="P13" s="89"/>
      <c r="Q13" s="89"/>
      <c r="S13" s="107"/>
      <c r="T13" s="107"/>
      <c r="U13" s="107"/>
      <c r="V13" s="107"/>
      <c r="W13" s="107"/>
      <c r="X13" s="105"/>
    </row>
    <row r="14" spans="1:24" ht="13.5">
      <c r="B14" s="37"/>
      <c r="C14" s="37" t="s">
        <v>1</v>
      </c>
      <c r="D14" s="37"/>
      <c r="E14" s="98">
        <v>-90.793000000000006</v>
      </c>
      <c r="F14" s="89">
        <v>-214.64099999999999</v>
      </c>
      <c r="G14" s="89">
        <v>-587.52800000000002</v>
      </c>
      <c r="H14" s="89">
        <v>-85.245999999999995</v>
      </c>
      <c r="I14" s="89">
        <v>24833.955999999998</v>
      </c>
      <c r="J14" s="99"/>
      <c r="K14" s="104">
        <v>4</v>
      </c>
      <c r="L14" s="37"/>
      <c r="M14" s="98"/>
      <c r="N14" s="89"/>
      <c r="O14" s="89"/>
      <c r="P14" s="89"/>
      <c r="Q14" s="89"/>
      <c r="S14" s="107"/>
      <c r="T14" s="107"/>
      <c r="U14" s="107"/>
      <c r="V14" s="107"/>
      <c r="W14" s="107"/>
      <c r="X14" s="105"/>
    </row>
    <row r="15" spans="1:24" ht="13.5">
      <c r="B15" s="37"/>
      <c r="C15" s="37" t="s">
        <v>0</v>
      </c>
      <c r="D15" s="37"/>
      <c r="E15" s="98">
        <v>-232.96199999999999</v>
      </c>
      <c r="F15" s="89">
        <v>368.01900000000001</v>
      </c>
      <c r="G15" s="89">
        <v>-114.58799999999999</v>
      </c>
      <c r="H15" s="89">
        <v>1403.6669999999999</v>
      </c>
      <c r="I15" s="89">
        <v>-6114.0749999999998</v>
      </c>
      <c r="J15" s="99"/>
      <c r="K15" s="104">
        <v>5</v>
      </c>
      <c r="L15" s="37"/>
      <c r="M15" s="98"/>
      <c r="N15" s="89"/>
      <c r="O15" s="89"/>
      <c r="P15" s="89"/>
      <c r="Q15" s="89"/>
      <c r="S15" s="107"/>
      <c r="T15" s="107"/>
      <c r="U15" s="107"/>
      <c r="V15" s="107"/>
      <c r="W15" s="107"/>
      <c r="X15" s="105"/>
    </row>
    <row r="16" spans="1:24" ht="13.5">
      <c r="B16" s="37"/>
      <c r="C16" s="37" t="s">
        <v>100</v>
      </c>
      <c r="D16" s="37"/>
      <c r="E16" s="89">
        <v>0</v>
      </c>
      <c r="F16" s="89">
        <v>-1000.001</v>
      </c>
      <c r="G16" s="89">
        <v>500.13461000000001</v>
      </c>
      <c r="H16" s="89">
        <v>3728.2639599999998</v>
      </c>
      <c r="I16" s="89">
        <v>5115.7284200000004</v>
      </c>
      <c r="J16" s="99"/>
      <c r="K16" s="99"/>
      <c r="L16" s="37"/>
      <c r="M16" s="89">
        <v>0</v>
      </c>
      <c r="N16" s="89">
        <v>-1000.001</v>
      </c>
      <c r="O16" s="89">
        <v>500.13461000000001</v>
      </c>
      <c r="P16" s="89">
        <v>3728.2639599999998</v>
      </c>
      <c r="Q16" s="89">
        <v>5115.7284200000004</v>
      </c>
      <c r="S16" s="107">
        <v>0</v>
      </c>
      <c r="T16" s="107">
        <v>-1000.001</v>
      </c>
      <c r="U16" s="107">
        <v>500.13461000000001</v>
      </c>
      <c r="V16" s="107">
        <v>3728.2639599999998</v>
      </c>
      <c r="W16" s="107">
        <v>5115.7284200000004</v>
      </c>
      <c r="X16" s="105"/>
    </row>
    <row r="17" spans="2:24" ht="13.5">
      <c r="B17" s="37"/>
      <c r="C17" s="37" t="s">
        <v>69</v>
      </c>
      <c r="D17" s="37"/>
      <c r="E17" s="89">
        <v>0</v>
      </c>
      <c r="F17" s="89">
        <v>0</v>
      </c>
      <c r="G17" s="89">
        <v>0</v>
      </c>
      <c r="H17" s="89">
        <v>0</v>
      </c>
      <c r="I17" s="89">
        <v>161.21241000000001</v>
      </c>
      <c r="J17" s="99"/>
      <c r="K17" s="99"/>
      <c r="L17" s="37"/>
      <c r="M17" s="89">
        <v>0</v>
      </c>
      <c r="N17" s="89">
        <v>0</v>
      </c>
      <c r="O17" s="89">
        <v>0</v>
      </c>
      <c r="P17" s="89">
        <v>0</v>
      </c>
      <c r="Q17" s="89">
        <v>161.21241000000001</v>
      </c>
      <c r="S17" s="107">
        <v>0</v>
      </c>
      <c r="T17" s="107">
        <v>0</v>
      </c>
      <c r="U17" s="107">
        <v>0</v>
      </c>
      <c r="V17" s="107">
        <v>0</v>
      </c>
      <c r="W17" s="107">
        <v>161.21241000000001</v>
      </c>
      <c r="X17" s="105"/>
    </row>
    <row r="18" spans="2:24" ht="13.5">
      <c r="B18" s="37"/>
      <c r="C18" s="37" t="s">
        <v>49</v>
      </c>
      <c r="D18" s="37"/>
      <c r="E18" s="89">
        <v>0</v>
      </c>
      <c r="F18" s="89">
        <v>0</v>
      </c>
      <c r="G18" s="89">
        <v>0</v>
      </c>
      <c r="H18" s="89">
        <v>0</v>
      </c>
      <c r="I18" s="89">
        <v>9.7041800000000009</v>
      </c>
      <c r="J18" s="99"/>
      <c r="K18" s="99"/>
      <c r="L18" s="37"/>
      <c r="M18" s="89">
        <v>0</v>
      </c>
      <c r="N18" s="89">
        <v>0</v>
      </c>
      <c r="O18" s="89">
        <v>0</v>
      </c>
      <c r="P18" s="89">
        <v>0</v>
      </c>
      <c r="Q18" s="89">
        <v>9.7041800000000009</v>
      </c>
      <c r="S18" s="107">
        <v>0</v>
      </c>
      <c r="T18" s="107">
        <v>0</v>
      </c>
      <c r="U18" s="107">
        <v>0</v>
      </c>
      <c r="V18" s="107">
        <v>0</v>
      </c>
      <c r="W18" s="107">
        <v>9.7041800000000009</v>
      </c>
      <c r="X18" s="105"/>
    </row>
    <row r="19" spans="2:24" ht="13.5">
      <c r="B19" s="37"/>
      <c r="C19" s="37" t="s">
        <v>11</v>
      </c>
      <c r="D19" s="37"/>
      <c r="E19" s="89">
        <v>15.73</v>
      </c>
      <c r="F19" s="89">
        <v>72.733999999999995</v>
      </c>
      <c r="G19" s="89">
        <v>1399.8579999999999</v>
      </c>
      <c r="H19" s="89">
        <v>1272.9179999999999</v>
      </c>
      <c r="I19" s="89">
        <v>723.20600000000002</v>
      </c>
      <c r="J19" s="99"/>
      <c r="K19" s="99"/>
      <c r="L19" s="37"/>
      <c r="M19" s="89">
        <v>15.73</v>
      </c>
      <c r="N19" s="89">
        <v>72.733999999999995</v>
      </c>
      <c r="O19" s="89">
        <v>1399.8579999999999</v>
      </c>
      <c r="P19" s="89">
        <v>1272.9179999999999</v>
      </c>
      <c r="Q19" s="89">
        <v>723.20600000000002</v>
      </c>
      <c r="S19" s="107">
        <v>15.73</v>
      </c>
      <c r="T19" s="107">
        <v>72.733999999999995</v>
      </c>
      <c r="U19" s="107">
        <v>1399.8579999999999</v>
      </c>
      <c r="V19" s="107">
        <v>1272.9179999999999</v>
      </c>
      <c r="W19" s="107">
        <v>723.20600000000002</v>
      </c>
      <c r="X19" s="105"/>
    </row>
    <row r="20" spans="2:24">
      <c r="B20" s="91"/>
      <c r="J20" s="97"/>
      <c r="K20" s="97"/>
      <c r="N20" s="92"/>
      <c r="O20" s="93"/>
      <c r="P20" s="93" t="s">
        <v>60</v>
      </c>
      <c r="Q20" s="92"/>
    </row>
    <row r="21" spans="2:24" ht="13.5">
      <c r="B21" s="91"/>
      <c r="C21" s="37" t="s">
        <v>6</v>
      </c>
      <c r="E21" s="103">
        <f>+E11+E6+E3</f>
        <v>-88892.636770000012</v>
      </c>
      <c r="F21" s="103">
        <f>+F11+F6+F3</f>
        <v>100710.23878999996</v>
      </c>
      <c r="G21" s="103">
        <f>+G11+G6+G3</f>
        <v>326015.35479000001</v>
      </c>
      <c r="H21" s="103">
        <f>+H11+H6+H3</f>
        <v>219421.99604</v>
      </c>
      <c r="I21" s="103">
        <f>+I11+I6+I3</f>
        <v>3047700.7407099996</v>
      </c>
      <c r="J21" s="97"/>
      <c r="K21" s="97"/>
      <c r="M21" s="103">
        <f>+M11+M6+M3</f>
        <v>-88892.636770000026</v>
      </c>
      <c r="N21" s="103">
        <f>+N11+N6+N3</f>
        <v>100710.23878999996</v>
      </c>
      <c r="O21" s="103">
        <f>+O11+O6+O3</f>
        <v>326015.35478999995</v>
      </c>
      <c r="P21" s="103">
        <f>+P11+P6+P3</f>
        <v>219421.99604</v>
      </c>
      <c r="Q21" s="103">
        <f>+Q11+Q6+Q3</f>
        <v>3047700.7407099996</v>
      </c>
    </row>
    <row r="22" spans="2:24" ht="13.5">
      <c r="B22" s="91"/>
      <c r="C22" s="30" t="s">
        <v>55</v>
      </c>
      <c r="D22" s="30"/>
      <c r="E22" s="35">
        <v>9882</v>
      </c>
      <c r="F22" s="35">
        <v>9882</v>
      </c>
      <c r="G22" s="35">
        <v>9882</v>
      </c>
      <c r="H22" s="35">
        <v>33555</v>
      </c>
      <c r="I22" s="35">
        <v>806789</v>
      </c>
      <c r="J22" s="42"/>
      <c r="K22" s="42"/>
      <c r="L22" s="30"/>
      <c r="M22" s="35">
        <v>9882</v>
      </c>
      <c r="N22" s="35">
        <v>9882</v>
      </c>
      <c r="O22" s="35">
        <v>9882</v>
      </c>
      <c r="P22" s="35">
        <v>33555</v>
      </c>
      <c r="Q22" s="35">
        <v>806789</v>
      </c>
    </row>
    <row r="23" spans="2:24" ht="13.5">
      <c r="B23" s="91"/>
      <c r="C23" s="30" t="s">
        <v>83</v>
      </c>
      <c r="D23" s="30"/>
      <c r="E23" s="35">
        <v>7049.5370000000003</v>
      </c>
      <c r="F23" s="35">
        <v>7049.5370000000003</v>
      </c>
      <c r="G23" s="35">
        <v>7049.5370000000003</v>
      </c>
      <c r="H23" s="35">
        <v>17113.789000000001</v>
      </c>
      <c r="I23" s="35">
        <v>138489.6825</v>
      </c>
      <c r="J23" s="42"/>
      <c r="K23" s="42"/>
      <c r="L23" s="30"/>
      <c r="M23" s="35">
        <v>7049.5370000000003</v>
      </c>
      <c r="N23" s="35">
        <v>7049.5370000000003</v>
      </c>
      <c r="O23" s="35">
        <v>7049.5370000000003</v>
      </c>
      <c r="P23" s="35">
        <v>17113.789000000001</v>
      </c>
      <c r="Q23" s="35">
        <v>138489.6825</v>
      </c>
    </row>
    <row r="24" spans="2:24">
      <c r="B24" s="91"/>
      <c r="E24" s="88">
        <f>SUM(E21:E23)</f>
        <v>-71961.099770000015</v>
      </c>
      <c r="F24" s="88">
        <f>SUM(F21:F23)</f>
        <v>117641.77578999996</v>
      </c>
      <c r="G24" s="88">
        <f>SUM(G21:G23)</f>
        <v>342946.89179000002</v>
      </c>
      <c r="H24" s="88">
        <f>SUM(H21:H23)</f>
        <v>270090.78503999999</v>
      </c>
      <c r="I24" s="88">
        <f>SUM(I21:I23)</f>
        <v>3992979.4232099997</v>
      </c>
      <c r="M24" s="88">
        <f>SUM(M21:M23)</f>
        <v>-71961.09977000003</v>
      </c>
      <c r="N24" s="88">
        <f>SUM(N21:N23)</f>
        <v>117641.77578999996</v>
      </c>
      <c r="O24" s="88">
        <f>SUM(O21:O23)</f>
        <v>342946.89178999997</v>
      </c>
      <c r="P24" s="88">
        <f>SUM(P21:P23)</f>
        <v>270090.78503999999</v>
      </c>
      <c r="Q24" s="88">
        <f>SUM(Q21:Q23)</f>
        <v>3992979.4232099997</v>
      </c>
    </row>
    <row r="25" spans="2:24">
      <c r="B25" s="91"/>
      <c r="N25" s="92"/>
      <c r="O25" s="94"/>
      <c r="P25" s="93"/>
      <c r="Q25" s="9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I43"/>
  <sheetViews>
    <sheetView tabSelected="1" topLeftCell="A5" workbookViewId="0">
      <selection activeCell="A8" sqref="A8"/>
    </sheetView>
  </sheetViews>
  <sheetFormatPr defaultRowHeight="12.75"/>
  <cols>
    <col min="1" max="1" width="43.85546875" customWidth="1"/>
    <col min="2" max="2" width="2" customWidth="1"/>
    <col min="3" max="3" width="102.7109375" customWidth="1"/>
    <col min="5" max="5" width="20.28515625" customWidth="1"/>
    <col min="6" max="6" width="16.140625" customWidth="1"/>
    <col min="7" max="7" width="12.140625" customWidth="1"/>
  </cols>
  <sheetData>
    <row r="5" spans="1:9">
      <c r="A5" s="202" t="s">
        <v>185</v>
      </c>
    </row>
    <row r="6" spans="1:9">
      <c r="A6" s="202" t="s">
        <v>184</v>
      </c>
    </row>
    <row r="8" spans="1:9">
      <c r="C8" t="s">
        <v>183</v>
      </c>
    </row>
    <row r="9" spans="1:9">
      <c r="C9" t="s">
        <v>167</v>
      </c>
    </row>
    <row r="10" spans="1:9">
      <c r="A10" t="s">
        <v>141</v>
      </c>
      <c r="C10" t="s">
        <v>140</v>
      </c>
    </row>
    <row r="11" spans="1:9">
      <c r="A11" t="s">
        <v>142</v>
      </c>
      <c r="C11" t="s">
        <v>143</v>
      </c>
    </row>
    <row r="12" spans="1:9">
      <c r="A12" t="s">
        <v>147</v>
      </c>
      <c r="C12" t="s">
        <v>148</v>
      </c>
    </row>
    <row r="13" spans="1:9">
      <c r="A13" t="s">
        <v>149</v>
      </c>
      <c r="C13" s="90" t="s">
        <v>150</v>
      </c>
      <c r="D13" s="90"/>
      <c r="E13" s="90"/>
      <c r="F13" s="90"/>
      <c r="G13" s="90"/>
      <c r="H13" s="90"/>
      <c r="I13" s="90"/>
    </row>
    <row r="14" spans="1:9">
      <c r="A14" t="s">
        <v>151</v>
      </c>
      <c r="C14" s="178" t="s">
        <v>152</v>
      </c>
      <c r="D14" s="90"/>
      <c r="E14" s="90"/>
      <c r="F14" s="90"/>
      <c r="G14" s="90"/>
      <c r="H14" s="90"/>
      <c r="I14" s="90"/>
    </row>
    <row r="15" spans="1:9">
      <c r="A15" t="s">
        <v>153</v>
      </c>
      <c r="C15" s="175" t="s">
        <v>154</v>
      </c>
      <c r="D15" s="175"/>
      <c r="E15" s="175"/>
      <c r="F15" s="175"/>
      <c r="G15" s="175"/>
      <c r="H15" s="90"/>
      <c r="I15" s="90"/>
    </row>
    <row r="16" spans="1:9">
      <c r="A16" t="s">
        <v>155</v>
      </c>
      <c r="C16" s="175" t="s">
        <v>156</v>
      </c>
      <c r="D16" s="175"/>
      <c r="E16" s="175"/>
      <c r="F16" s="175"/>
      <c r="G16" s="175"/>
      <c r="H16" s="90"/>
      <c r="I16" s="90"/>
    </row>
    <row r="17" spans="1:9">
      <c r="A17" t="s">
        <v>168</v>
      </c>
      <c r="C17" s="175" t="s">
        <v>169</v>
      </c>
      <c r="D17" s="175"/>
      <c r="E17" s="175"/>
      <c r="F17" s="175"/>
      <c r="G17" s="175"/>
      <c r="H17" s="90"/>
      <c r="I17" s="90"/>
    </row>
    <row r="18" spans="1:9">
      <c r="A18" t="s">
        <v>175</v>
      </c>
      <c r="C18" s="175" t="s">
        <v>176</v>
      </c>
      <c r="D18" s="175"/>
      <c r="E18" s="175"/>
      <c r="F18" s="175"/>
      <c r="G18" s="175"/>
      <c r="H18" s="90"/>
      <c r="I18" s="90"/>
    </row>
    <row r="19" spans="1:9">
      <c r="A19" t="s">
        <v>178</v>
      </c>
      <c r="C19" s="175" t="s">
        <v>179</v>
      </c>
      <c r="D19" s="175"/>
      <c r="E19" s="175"/>
      <c r="F19" s="175"/>
      <c r="G19" s="175"/>
      <c r="H19" s="90"/>
      <c r="I19" s="90"/>
    </row>
    <row r="20" spans="1:9">
      <c r="C20" s="175"/>
      <c r="D20" s="175"/>
      <c r="E20" s="90"/>
      <c r="F20" s="175"/>
      <c r="G20" s="90"/>
      <c r="H20" s="90"/>
      <c r="I20" s="90"/>
    </row>
    <row r="21" spans="1:9">
      <c r="C21" s="175"/>
      <c r="D21" s="175"/>
      <c r="E21" s="175"/>
      <c r="F21" s="175"/>
      <c r="G21" s="175"/>
      <c r="H21" s="90"/>
      <c r="I21" s="90"/>
    </row>
    <row r="22" spans="1:9">
      <c r="C22" s="90"/>
      <c r="D22" s="90"/>
      <c r="E22" s="90"/>
      <c r="F22" s="90"/>
      <c r="G22" s="90"/>
      <c r="H22" s="90"/>
      <c r="I22" s="90"/>
    </row>
    <row r="23" spans="1:9">
      <c r="C23" s="90"/>
      <c r="D23" s="90"/>
      <c r="E23" s="90"/>
      <c r="F23" s="90"/>
      <c r="G23" s="90"/>
      <c r="H23" s="90"/>
      <c r="I23" s="90"/>
    </row>
    <row r="24" spans="1:9">
      <c r="C24" s="90"/>
      <c r="D24" s="90"/>
      <c r="E24" s="90"/>
      <c r="F24" s="90"/>
      <c r="G24" s="90"/>
      <c r="H24" s="90"/>
      <c r="I24" s="90"/>
    </row>
    <row r="25" spans="1:9">
      <c r="C25" s="90"/>
      <c r="D25" s="90"/>
      <c r="E25" s="90"/>
      <c r="F25" s="90"/>
      <c r="G25" s="90"/>
      <c r="H25" s="90"/>
      <c r="I25" s="90"/>
    </row>
    <row r="26" spans="1:9">
      <c r="C26" s="90"/>
      <c r="D26" s="90"/>
      <c r="E26" s="90"/>
      <c r="F26" s="90"/>
      <c r="G26" s="90"/>
      <c r="H26" s="90"/>
      <c r="I26" s="90"/>
    </row>
    <row r="27" spans="1:9">
      <c r="C27" s="90"/>
      <c r="D27" s="90"/>
      <c r="E27" s="90"/>
      <c r="F27" s="90"/>
      <c r="G27" s="90"/>
      <c r="H27" s="90"/>
      <c r="I27" s="90"/>
    </row>
    <row r="28" spans="1:9" ht="15.75">
      <c r="C28" s="90"/>
      <c r="D28" s="175"/>
      <c r="E28" s="176"/>
      <c r="F28" s="177"/>
      <c r="G28" s="90"/>
      <c r="H28" s="90"/>
      <c r="I28" s="90"/>
    </row>
    <row r="29" spans="1:9">
      <c r="C29" s="90"/>
      <c r="D29" s="175"/>
      <c r="E29" s="178"/>
      <c r="F29" s="173"/>
      <c r="G29" s="90"/>
      <c r="H29" s="90"/>
      <c r="I29" s="90"/>
    </row>
    <row r="30" spans="1:9">
      <c r="C30" s="90"/>
      <c r="D30" s="175"/>
      <c r="E30" s="179"/>
      <c r="F30" s="174"/>
      <c r="G30" s="90"/>
      <c r="H30" s="90"/>
      <c r="I30" s="90"/>
    </row>
    <row r="31" spans="1:9">
      <c r="C31" s="90"/>
      <c r="D31" s="175"/>
      <c r="E31" s="179"/>
      <c r="F31" s="174"/>
      <c r="G31" s="90"/>
      <c r="H31" s="90"/>
      <c r="I31" s="90"/>
    </row>
    <row r="32" spans="1:9">
      <c r="C32" s="90"/>
      <c r="D32" s="175"/>
      <c r="E32" s="179"/>
      <c r="F32" s="174"/>
      <c r="G32" s="90"/>
      <c r="H32" s="90"/>
      <c r="I32" s="90"/>
    </row>
    <row r="33" spans="3:9">
      <c r="C33" s="90"/>
      <c r="D33" s="175"/>
      <c r="E33" s="179"/>
      <c r="F33" s="174"/>
      <c r="G33" s="90"/>
      <c r="H33" s="90"/>
      <c r="I33" s="90"/>
    </row>
    <row r="34" spans="3:9">
      <c r="C34" s="90"/>
      <c r="D34" s="175"/>
      <c r="E34" s="179"/>
      <c r="F34" s="174"/>
      <c r="G34" s="90"/>
      <c r="H34" s="90"/>
      <c r="I34" s="90"/>
    </row>
    <row r="35" spans="3:9">
      <c r="C35" s="90"/>
      <c r="D35" s="175"/>
      <c r="E35" s="179"/>
      <c r="F35" s="174"/>
      <c r="G35" s="90"/>
      <c r="H35" s="90"/>
      <c r="I35" s="90"/>
    </row>
    <row r="36" spans="3:9">
      <c r="C36" s="90"/>
      <c r="D36" s="175"/>
      <c r="E36" s="179"/>
      <c r="F36" s="174"/>
      <c r="G36" s="90"/>
      <c r="H36" s="90"/>
      <c r="I36" s="90"/>
    </row>
    <row r="37" spans="3:9">
      <c r="C37" s="90"/>
      <c r="D37" s="175"/>
      <c r="E37" s="179"/>
      <c r="F37" s="174"/>
      <c r="G37" s="90"/>
      <c r="H37" s="90"/>
      <c r="I37" s="90"/>
    </row>
    <row r="38" spans="3:9">
      <c r="C38" s="90"/>
      <c r="D38" s="175"/>
      <c r="E38" s="179"/>
      <c r="F38" s="174"/>
      <c r="G38" s="90"/>
      <c r="H38" s="90"/>
      <c r="I38" s="90"/>
    </row>
    <row r="39" spans="3:9">
      <c r="C39" s="90"/>
      <c r="D39" s="175"/>
      <c r="E39" s="179"/>
      <c r="F39" s="174"/>
      <c r="G39" s="90"/>
      <c r="H39" s="90"/>
      <c r="I39" s="90"/>
    </row>
    <row r="40" spans="3:9">
      <c r="C40" s="90"/>
      <c r="D40" s="90"/>
      <c r="E40" s="90"/>
      <c r="F40" s="90"/>
      <c r="G40" s="90"/>
      <c r="H40" s="90"/>
      <c r="I40" s="90"/>
    </row>
    <row r="41" spans="3:9">
      <c r="C41" s="90"/>
      <c r="D41" s="90"/>
      <c r="E41" s="90"/>
      <c r="F41" s="90"/>
      <c r="G41" s="90"/>
      <c r="H41" s="90"/>
      <c r="I41" s="90"/>
    </row>
    <row r="42" spans="3:9">
      <c r="C42" s="90"/>
      <c r="D42" s="90"/>
      <c r="E42" s="90"/>
      <c r="F42" s="90"/>
      <c r="G42" s="90"/>
      <c r="H42" s="90"/>
      <c r="I42" s="90"/>
    </row>
    <row r="43" spans="3:9">
      <c r="C43" s="90"/>
      <c r="D43" s="90"/>
      <c r="E43" s="90"/>
      <c r="F43" s="90"/>
      <c r="G43" s="90"/>
      <c r="H43" s="90"/>
      <c r="I43" s="90"/>
    </row>
  </sheetData>
  <phoneticPr fontId="0" type="noConversion"/>
  <pageMargins left="0.75" right="0.75" top="1" bottom="1" header="0.5" footer="0.5"/>
  <pageSetup scale="7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overview</vt:lpstr>
      <vt:lpstr>support for reclass of ENA</vt:lpstr>
      <vt:lpstr>qualifications</vt:lpstr>
      <vt:lpstr>overview!Print_Area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Shona A. Wilson</dc:creator>
  <cp:lastModifiedBy>Jan Havlíček</cp:lastModifiedBy>
  <cp:lastPrinted>2002-01-10T18:41:39Z</cp:lastPrinted>
  <dcterms:created xsi:type="dcterms:W3CDTF">2002-01-03T15:36:26Z</dcterms:created>
  <dcterms:modified xsi:type="dcterms:W3CDTF">2023-09-19T00:54:21Z</dcterms:modified>
</cp:coreProperties>
</file>