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0AFCEC-0572-4CFF-BA10-D33514FC82B3}" xr6:coauthVersionLast="47" xr6:coauthVersionMax="47" xr10:uidLastSave="{00000000-0000-0000-0000-000000000000}"/>
  <bookViews>
    <workbookView xWindow="-120" yWindow="-120" windowWidth="38640" windowHeight="15720" tabRatio="806" activeTab="1"/>
  </bookViews>
  <sheets>
    <sheet name="Greensheet" sheetId="12" r:id="rId1"/>
    <sheet name="Summary" sheetId="1" r:id="rId2"/>
    <sheet name="Summary YTD" sheetId="6" state="hidden" r:id="rId3"/>
    <sheet name="Summary YTD-Qtr" sheetId="10" state="hidden" r:id="rId4"/>
    <sheet name="GrossMargin" sheetId="2" r:id="rId5"/>
    <sheet name="GM-WklyChnge" sheetId="9" r:id="rId6"/>
    <sheet name="Expenses" sheetId="3" r:id="rId7"/>
    <sheet name="CapChrg-AllocExp" sheetId="4" r:id="rId8"/>
    <sheet name="Upside Downside" sheetId="7" state="hidden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</externalReferences>
  <definedNames>
    <definedName name="_xlnm.Print_Area" localSheetId="7">'CapChrg-AllocExp'!$B$2:$P$55</definedName>
    <definedName name="_xlnm.Print_Area" localSheetId="6">Expenses!$B$2:$K$59</definedName>
    <definedName name="_xlnm.Print_Area" localSheetId="12">Fallon!$A$1:$W$11</definedName>
    <definedName name="_xlnm.Print_Area" localSheetId="5">'GM-WklyChnge'!$A$1:$K$65</definedName>
    <definedName name="_xlnm.Print_Area" localSheetId="0">Greensheet!$A$1:$M$142</definedName>
    <definedName name="_xlnm.Print_Area" localSheetId="4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1">Summary!$A$1:$W$63</definedName>
    <definedName name="_xlnm.Print_Area" localSheetId="2">'Summary YTD'!$C$3:$T$65</definedName>
    <definedName name="_xlnm.Print_Area" localSheetId="3">'Summary YTD-Qtr'!$C$3:$W$64</definedName>
    <definedName name="_xlnm.Print_Area" localSheetId="10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E27" i="4"/>
  <c r="F27" i="4"/>
  <c r="K27" i="4"/>
  <c r="L27" i="4"/>
  <c r="M27" i="4"/>
  <c r="E28" i="4"/>
  <c r="F28" i="4"/>
  <c r="K28" i="4"/>
  <c r="L28" i="4"/>
  <c r="M28" i="4"/>
  <c r="D29" i="4"/>
  <c r="E29" i="4"/>
  <c r="F29" i="4"/>
  <c r="K29" i="4"/>
  <c r="L29" i="4"/>
  <c r="M29" i="4"/>
  <c r="D30" i="4"/>
  <c r="E30" i="4"/>
  <c r="F30" i="4"/>
  <c r="K30" i="4"/>
  <c r="L30" i="4"/>
  <c r="M30" i="4"/>
  <c r="D31" i="4"/>
  <c r="E31" i="4"/>
  <c r="F31" i="4"/>
  <c r="K31" i="4"/>
  <c r="L31" i="4"/>
  <c r="M31" i="4"/>
  <c r="D33" i="4"/>
  <c r="E33" i="4"/>
  <c r="F33" i="4"/>
  <c r="K33" i="4"/>
  <c r="L33" i="4"/>
  <c r="M33" i="4"/>
  <c r="E34" i="4"/>
  <c r="F34" i="4"/>
  <c r="K34" i="4"/>
  <c r="L34" i="4"/>
  <c r="M34" i="4"/>
  <c r="E35" i="4"/>
  <c r="F35" i="4"/>
  <c r="K35" i="4"/>
  <c r="L35" i="4"/>
  <c r="M35" i="4"/>
  <c r="D36" i="4"/>
  <c r="E36" i="4"/>
  <c r="F36" i="4"/>
  <c r="K36" i="4"/>
  <c r="L36" i="4"/>
  <c r="M36" i="4"/>
  <c r="D37" i="4"/>
  <c r="E37" i="4"/>
  <c r="F37" i="4"/>
  <c r="K37" i="4"/>
  <c r="L37" i="4"/>
  <c r="M37" i="4"/>
  <c r="E39" i="4"/>
  <c r="F39" i="4"/>
  <c r="K39" i="4"/>
  <c r="L39" i="4"/>
  <c r="M39" i="4"/>
  <c r="E40" i="4"/>
  <c r="F40" i="4"/>
  <c r="K40" i="4"/>
  <c r="L40" i="4"/>
  <c r="M40" i="4"/>
  <c r="K41" i="4"/>
  <c r="M41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K46" i="4"/>
  <c r="L46" i="4"/>
  <c r="M46" i="4"/>
  <c r="D48" i="4"/>
  <c r="E48" i="4"/>
  <c r="F48" i="4"/>
  <c r="K48" i="4"/>
  <c r="D50" i="4"/>
  <c r="E50" i="4"/>
  <c r="F50" i="4"/>
  <c r="K50" i="4"/>
  <c r="L50" i="4"/>
  <c r="M50" i="4"/>
  <c r="D52" i="4"/>
  <c r="E52" i="4"/>
  <c r="F52" i="4"/>
  <c r="K52" i="4"/>
  <c r="L52" i="4"/>
  <c r="M52" i="4"/>
  <c r="D54" i="4"/>
  <c r="E54" i="4"/>
  <c r="F54" i="4"/>
  <c r="K54" i="4"/>
  <c r="L54" i="4"/>
  <c r="M54" i="4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E14" i="3"/>
  <c r="F14" i="3"/>
  <c r="E15" i="3"/>
  <c r="F15" i="3"/>
  <c r="E16" i="3"/>
  <c r="F16" i="3"/>
  <c r="D17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8" i="3"/>
  <c r="E38" i="3"/>
  <c r="F38" i="3"/>
  <c r="D39" i="3"/>
  <c r="E39" i="3"/>
  <c r="F39" i="3"/>
  <c r="D40" i="3"/>
  <c r="F40" i="3"/>
  <c r="D41" i="3"/>
  <c r="E41" i="3"/>
  <c r="F41" i="3"/>
  <c r="D43" i="3"/>
  <c r="E43" i="3"/>
  <c r="F43" i="3"/>
  <c r="D45" i="3"/>
  <c r="E45" i="3"/>
  <c r="F45" i="3"/>
  <c r="D47" i="3"/>
  <c r="E47" i="3"/>
  <c r="F47" i="3"/>
  <c r="D49" i="3"/>
  <c r="E49" i="3"/>
  <c r="F49" i="3"/>
  <c r="E51" i="3"/>
  <c r="F51" i="3"/>
  <c r="D53" i="3"/>
  <c r="E53" i="3"/>
  <c r="F53" i="3"/>
  <c r="D58" i="3"/>
  <c r="F58" i="3"/>
  <c r="F59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I26" i="9"/>
  <c r="J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29" i="9"/>
  <c r="D29" i="9"/>
  <c r="E29" i="9"/>
  <c r="F29" i="9"/>
  <c r="G29" i="9"/>
  <c r="H29" i="9"/>
  <c r="I29" i="9"/>
  <c r="J29" i="9"/>
  <c r="K29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C34" i="9"/>
  <c r="D34" i="9"/>
  <c r="E34" i="9"/>
  <c r="F34" i="9"/>
  <c r="G34" i="9"/>
  <c r="H34" i="9"/>
  <c r="I34" i="9"/>
  <c r="J34" i="9"/>
  <c r="K34" i="9"/>
  <c r="C35" i="9"/>
  <c r="D35" i="9"/>
  <c r="E35" i="9"/>
  <c r="F35" i="9"/>
  <c r="G35" i="9"/>
  <c r="H35" i="9"/>
  <c r="I35" i="9"/>
  <c r="J35" i="9"/>
  <c r="K35" i="9"/>
  <c r="C36" i="9"/>
  <c r="D36" i="9"/>
  <c r="E36" i="9"/>
  <c r="F36" i="9"/>
  <c r="G36" i="9"/>
  <c r="H36" i="9"/>
  <c r="I36" i="9"/>
  <c r="J36" i="9"/>
  <c r="K36" i="9"/>
  <c r="C37" i="9"/>
  <c r="D37" i="9"/>
  <c r="E37" i="9"/>
  <c r="F37" i="9"/>
  <c r="G37" i="9"/>
  <c r="H37" i="9"/>
  <c r="I37" i="9"/>
  <c r="J37" i="9"/>
  <c r="K37" i="9"/>
  <c r="C39" i="9"/>
  <c r="D39" i="9"/>
  <c r="E39" i="9"/>
  <c r="F39" i="9"/>
  <c r="G39" i="9"/>
  <c r="H39" i="9"/>
  <c r="I39" i="9"/>
  <c r="J39" i="9"/>
  <c r="K39" i="9"/>
  <c r="C41" i="9"/>
  <c r="D41" i="9"/>
  <c r="E41" i="9"/>
  <c r="F41" i="9"/>
  <c r="G41" i="9"/>
  <c r="H41" i="9"/>
  <c r="I41" i="9"/>
  <c r="J41" i="9"/>
  <c r="K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C55" i="9"/>
  <c r="D55" i="9"/>
  <c r="E55" i="9"/>
  <c r="F55" i="9"/>
  <c r="G55" i="9"/>
  <c r="H55" i="9"/>
  <c r="I55" i="9"/>
  <c r="J55" i="9"/>
  <c r="K55" i="9"/>
  <c r="I65" i="9"/>
  <c r="J65" i="9"/>
  <c r="C80" i="9"/>
  <c r="C81" i="9"/>
  <c r="C82" i="9"/>
  <c r="C83" i="9"/>
  <c r="C84" i="9"/>
  <c r="C85" i="9"/>
  <c r="C86" i="9"/>
  <c r="A3" i="12"/>
  <c r="E12" i="12"/>
  <c r="G12" i="12"/>
  <c r="I12" i="12"/>
  <c r="K12" i="12"/>
  <c r="M12" i="12"/>
  <c r="E20" i="12"/>
  <c r="G20" i="12"/>
  <c r="I20" i="12"/>
  <c r="K20" i="12"/>
  <c r="M20" i="12"/>
  <c r="E25" i="12"/>
  <c r="G25" i="12"/>
  <c r="I25" i="12"/>
  <c r="K25" i="12"/>
  <c r="M25" i="12"/>
  <c r="E34" i="12"/>
  <c r="G34" i="12"/>
  <c r="I34" i="12"/>
  <c r="K34" i="12"/>
  <c r="M34" i="12"/>
  <c r="E39" i="12"/>
  <c r="G39" i="12"/>
  <c r="I39" i="12"/>
  <c r="K39" i="12"/>
  <c r="M39" i="12"/>
  <c r="E44" i="12"/>
  <c r="G44" i="12"/>
  <c r="I44" i="12"/>
  <c r="K44" i="12"/>
  <c r="M44" i="12"/>
  <c r="E49" i="12"/>
  <c r="G49" i="12"/>
  <c r="I49" i="12"/>
  <c r="K49" i="12"/>
  <c r="M49" i="12"/>
  <c r="E55" i="12"/>
  <c r="G55" i="12"/>
  <c r="I55" i="12"/>
  <c r="K55" i="12"/>
  <c r="M55" i="12"/>
  <c r="E70" i="12"/>
  <c r="G70" i="12"/>
  <c r="I70" i="12"/>
  <c r="K70" i="12"/>
  <c r="M70" i="12"/>
  <c r="E74" i="12"/>
  <c r="G74" i="12"/>
  <c r="I74" i="12"/>
  <c r="K74" i="12"/>
  <c r="M74" i="12"/>
  <c r="E79" i="12"/>
  <c r="G79" i="12"/>
  <c r="I79" i="12"/>
  <c r="K79" i="12"/>
  <c r="M79" i="12"/>
  <c r="E82" i="12"/>
  <c r="G82" i="12"/>
  <c r="I82" i="12"/>
  <c r="K82" i="12"/>
  <c r="M82" i="12"/>
  <c r="T88" i="12"/>
  <c r="U88" i="12"/>
  <c r="V88" i="12"/>
  <c r="W88" i="12"/>
  <c r="X88" i="12"/>
  <c r="Y88" i="12"/>
  <c r="Z88" i="12"/>
  <c r="M90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T102" i="12"/>
  <c r="U102" i="12"/>
  <c r="V102" i="12"/>
  <c r="W102" i="12"/>
  <c r="X102" i="12"/>
  <c r="Y102" i="12"/>
  <c r="Z102" i="12"/>
  <c r="T103" i="12"/>
  <c r="U103" i="12"/>
  <c r="V103" i="12"/>
  <c r="W103" i="12"/>
  <c r="X103" i="12"/>
  <c r="Y103" i="12"/>
  <c r="Z103" i="12"/>
  <c r="T104" i="12"/>
  <c r="U104" i="12"/>
  <c r="V104" i="12"/>
  <c r="W104" i="12"/>
  <c r="X104" i="12"/>
  <c r="Y104" i="12"/>
  <c r="Z104" i="12"/>
  <c r="M106" i="12"/>
  <c r="T109" i="12"/>
  <c r="U109" i="12"/>
  <c r="V109" i="12"/>
  <c r="W109" i="12"/>
  <c r="X109" i="12"/>
  <c r="Y109" i="12"/>
  <c r="Z109" i="12"/>
  <c r="T110" i="12"/>
  <c r="U110" i="12"/>
  <c r="V110" i="12"/>
  <c r="W110" i="12"/>
  <c r="X110" i="12"/>
  <c r="Y110" i="12"/>
  <c r="Z110" i="12"/>
  <c r="T111" i="12"/>
  <c r="U111" i="12"/>
  <c r="V111" i="12"/>
  <c r="W111" i="12"/>
  <c r="X111" i="12"/>
  <c r="Y111" i="12"/>
  <c r="Z111" i="12"/>
  <c r="M113" i="12"/>
  <c r="T116" i="12"/>
  <c r="U116" i="12"/>
  <c r="V116" i="12"/>
  <c r="W116" i="12"/>
  <c r="X116" i="12"/>
  <c r="Y116" i="12"/>
  <c r="Z116" i="12"/>
  <c r="T117" i="12"/>
  <c r="U117" i="12"/>
  <c r="V117" i="12"/>
  <c r="W117" i="12"/>
  <c r="X117" i="12"/>
  <c r="Y117" i="12"/>
  <c r="Z117" i="12"/>
  <c r="T118" i="12"/>
  <c r="U118" i="12"/>
  <c r="V118" i="12"/>
  <c r="W118" i="12"/>
  <c r="X118" i="12"/>
  <c r="Y118" i="12"/>
  <c r="Z118" i="12"/>
  <c r="T119" i="12"/>
  <c r="U119" i="12"/>
  <c r="V119" i="12"/>
  <c r="W119" i="12"/>
  <c r="X119" i="12"/>
  <c r="Y119" i="12"/>
  <c r="Z119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M124" i="12"/>
  <c r="T127" i="12"/>
  <c r="U127" i="12"/>
  <c r="V127" i="12"/>
  <c r="W127" i="12"/>
  <c r="X127" i="12"/>
  <c r="Y127" i="12"/>
  <c r="Z127" i="12"/>
  <c r="M129" i="12"/>
  <c r="E134" i="12"/>
  <c r="G134" i="12"/>
  <c r="I134" i="12"/>
  <c r="K134" i="12"/>
  <c r="M134" i="12"/>
  <c r="T138" i="12"/>
  <c r="U138" i="12"/>
  <c r="V138" i="12"/>
  <c r="W138" i="12"/>
  <c r="X138" i="12"/>
  <c r="Y138" i="12"/>
  <c r="Z138" i="12"/>
  <c r="M140" i="12"/>
  <c r="M142" i="12"/>
  <c r="T334" i="12"/>
  <c r="U334" i="12"/>
  <c r="V334" i="12"/>
  <c r="W334" i="12"/>
  <c r="X334" i="12"/>
  <c r="Y334" i="12"/>
  <c r="Z334" i="12"/>
  <c r="B4" i="2"/>
  <c r="I10" i="2"/>
  <c r="K10" i="2"/>
  <c r="L10" i="2"/>
  <c r="M10" i="2"/>
  <c r="N10" i="2"/>
  <c r="Q10" i="2"/>
  <c r="R10" i="2"/>
  <c r="S10" i="2"/>
  <c r="I11" i="2"/>
  <c r="K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K13" i="2"/>
  <c r="L13" i="2"/>
  <c r="M13" i="2"/>
  <c r="N13" i="2"/>
  <c r="Q13" i="2"/>
  <c r="R13" i="2"/>
  <c r="S13" i="2"/>
  <c r="G14" i="2"/>
  <c r="I14" i="2"/>
  <c r="K14" i="2"/>
  <c r="L14" i="2"/>
  <c r="M14" i="2"/>
  <c r="N14" i="2"/>
  <c r="Q14" i="2"/>
  <c r="R14" i="2"/>
  <c r="S14" i="2"/>
  <c r="I15" i="2"/>
  <c r="K15" i="2"/>
  <c r="L15" i="2"/>
  <c r="M15" i="2"/>
  <c r="N15" i="2"/>
  <c r="Q15" i="2"/>
  <c r="R15" i="2"/>
  <c r="S15" i="2"/>
  <c r="I16" i="2"/>
  <c r="K16" i="2"/>
  <c r="L16" i="2"/>
  <c r="M16" i="2"/>
  <c r="N16" i="2"/>
  <c r="Q16" i="2"/>
  <c r="R16" i="2"/>
  <c r="S16" i="2"/>
  <c r="I17" i="2"/>
  <c r="K17" i="2"/>
  <c r="L17" i="2"/>
  <c r="M17" i="2"/>
  <c r="N17" i="2"/>
  <c r="Q17" i="2"/>
  <c r="R17" i="2"/>
  <c r="S17" i="2"/>
  <c r="I18" i="2"/>
  <c r="K18" i="2"/>
  <c r="L18" i="2"/>
  <c r="M18" i="2"/>
  <c r="N18" i="2"/>
  <c r="Q18" i="2"/>
  <c r="R18" i="2"/>
  <c r="S18" i="2"/>
  <c r="I19" i="2"/>
  <c r="K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I29" i="2"/>
  <c r="L29" i="2"/>
  <c r="M29" i="2"/>
  <c r="N29" i="2"/>
  <c r="Q29" i="2"/>
  <c r="R29" i="2"/>
  <c r="S29" i="2"/>
  <c r="I30" i="2"/>
  <c r="J30" i="2"/>
  <c r="L30" i="2"/>
  <c r="M30" i="2"/>
  <c r="N30" i="2"/>
  <c r="Q30" i="2"/>
  <c r="R30" i="2"/>
  <c r="S30" i="2"/>
  <c r="I31" i="2"/>
  <c r="L31" i="2"/>
  <c r="M31" i="2"/>
  <c r="N31" i="2"/>
  <c r="Q31" i="2"/>
  <c r="R31" i="2"/>
  <c r="S31" i="2"/>
  <c r="D33" i="2"/>
  <c r="E33" i="2"/>
  <c r="F33" i="2"/>
  <c r="G33" i="2"/>
  <c r="H33" i="2"/>
  <c r="I33" i="2"/>
  <c r="J33" i="2"/>
  <c r="K33" i="2"/>
  <c r="L33" i="2"/>
  <c r="M33" i="2"/>
  <c r="N33" i="2"/>
  <c r="I35" i="2"/>
  <c r="L35" i="2"/>
  <c r="M35" i="2"/>
  <c r="N35" i="2"/>
  <c r="Q35" i="2"/>
  <c r="R35" i="2"/>
  <c r="S35" i="2"/>
  <c r="I36" i="2"/>
  <c r="J36" i="2"/>
  <c r="K36" i="2"/>
  <c r="L36" i="2"/>
  <c r="M36" i="2"/>
  <c r="N36" i="2"/>
  <c r="Q36" i="2"/>
  <c r="R36" i="2"/>
  <c r="S36" i="2"/>
  <c r="G37" i="2"/>
  <c r="I37" i="2"/>
  <c r="J37" i="2"/>
  <c r="L37" i="2"/>
  <c r="M37" i="2"/>
  <c r="N37" i="2"/>
  <c r="Q37" i="2"/>
  <c r="R37" i="2"/>
  <c r="S37" i="2"/>
  <c r="D38" i="2"/>
  <c r="I38" i="2"/>
  <c r="K38" i="2"/>
  <c r="L38" i="2"/>
  <c r="M38" i="2"/>
  <c r="N38" i="2"/>
  <c r="Q38" i="2"/>
  <c r="R38" i="2"/>
  <c r="S38" i="2"/>
  <c r="D40" i="2"/>
  <c r="E40" i="2"/>
  <c r="F40" i="2"/>
  <c r="G40" i="2"/>
  <c r="H40" i="2"/>
  <c r="I40" i="2"/>
  <c r="J40" i="2"/>
  <c r="K40" i="2"/>
  <c r="L40" i="2"/>
  <c r="M40" i="2"/>
  <c r="N40" i="2"/>
  <c r="I42" i="2"/>
  <c r="J42" i="2"/>
  <c r="L42" i="2"/>
  <c r="M42" i="2"/>
  <c r="N42" i="2"/>
  <c r="Q42" i="2"/>
  <c r="R42" i="2"/>
  <c r="S42" i="2"/>
  <c r="I43" i="2"/>
  <c r="L43" i="2"/>
  <c r="M43" i="2"/>
  <c r="N43" i="2"/>
  <c r="Q43" i="2"/>
  <c r="R43" i="2"/>
  <c r="S43" i="2"/>
  <c r="I44" i="2"/>
  <c r="L44" i="2"/>
  <c r="M44" i="2"/>
  <c r="N44" i="2"/>
  <c r="S44" i="2"/>
  <c r="D46" i="2"/>
  <c r="E46" i="2"/>
  <c r="F46" i="2"/>
  <c r="G46" i="2"/>
  <c r="H46" i="2"/>
  <c r="I46" i="2"/>
  <c r="J46" i="2"/>
  <c r="K46" i="2"/>
  <c r="L46" i="2"/>
  <c r="M46" i="2"/>
  <c r="N46" i="2"/>
  <c r="I48" i="2"/>
  <c r="L48" i="2"/>
  <c r="M48" i="2"/>
  <c r="N48" i="2"/>
  <c r="Q48" i="2"/>
  <c r="R48" i="2"/>
  <c r="S48" i="2"/>
  <c r="I50" i="2"/>
  <c r="K50" i="2"/>
  <c r="L50" i="2"/>
  <c r="N50" i="2"/>
  <c r="Q50" i="2"/>
  <c r="R50" i="2"/>
  <c r="S50" i="2"/>
  <c r="I52" i="2"/>
  <c r="L52" i="2"/>
  <c r="M52" i="2"/>
  <c r="N52" i="2"/>
  <c r="I54" i="2"/>
  <c r="L54" i="2"/>
  <c r="N54" i="2"/>
  <c r="D56" i="2"/>
  <c r="E56" i="2"/>
  <c r="F56" i="2"/>
  <c r="G56" i="2"/>
  <c r="H56" i="2"/>
  <c r="I56" i="2"/>
  <c r="J56" i="2"/>
  <c r="K56" i="2"/>
  <c r="L56" i="2"/>
  <c r="M56" i="2"/>
  <c r="N56" i="2"/>
  <c r="D58" i="2"/>
  <c r="D59" i="2"/>
  <c r="D64" i="2"/>
  <c r="D65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L29" i="1"/>
  <c r="M29" i="1"/>
  <c r="N29" i="1"/>
  <c r="O29" i="1"/>
  <c r="Q29" i="1"/>
  <c r="S29" i="1"/>
  <c r="T29" i="1"/>
  <c r="U29" i="1"/>
  <c r="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L40" i="1"/>
  <c r="M40" i="1"/>
  <c r="N40" i="1"/>
  <c r="O40" i="1"/>
  <c r="Q40" i="1"/>
  <c r="S40" i="1"/>
  <c r="T40" i="1"/>
  <c r="U40" i="1"/>
  <c r="V40" i="1"/>
  <c r="C41" i="1"/>
  <c r="D41" i="1"/>
  <c r="E41" i="1"/>
  <c r="G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L45" i="1"/>
  <c r="M45" i="1"/>
  <c r="N45" i="1"/>
  <c r="O45" i="1"/>
  <c r="Q45" i="1"/>
  <c r="S45" i="1"/>
  <c r="T45" i="1"/>
  <c r="U45" i="1"/>
  <c r="V45" i="1"/>
  <c r="C47" i="1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C49" i="1"/>
  <c r="D49" i="1"/>
  <c r="E49" i="1"/>
  <c r="M49" i="1"/>
  <c r="N49" i="1"/>
  <c r="O49" i="1"/>
  <c r="T49" i="1"/>
  <c r="U49" i="1"/>
  <c r="V49" i="1"/>
  <c r="C51" i="1"/>
  <c r="D51" i="1"/>
  <c r="E51" i="1"/>
  <c r="G51" i="1"/>
  <c r="H51" i="1"/>
  <c r="I51" i="1"/>
  <c r="J51" i="1"/>
  <c r="M51" i="1"/>
  <c r="O51" i="1"/>
  <c r="Q51" i="1"/>
  <c r="T51" i="1"/>
  <c r="V51" i="1"/>
  <c r="C53" i="1"/>
  <c r="D53" i="1"/>
  <c r="E53" i="1"/>
  <c r="J53" i="1"/>
  <c r="L53" i="1"/>
  <c r="O53" i="1"/>
  <c r="S53" i="1"/>
  <c r="V53" i="1"/>
  <c r="V54" i="1"/>
  <c r="C55" i="1"/>
  <c r="D55" i="1"/>
  <c r="E55" i="1"/>
  <c r="G55" i="1"/>
  <c r="I55" i="1"/>
  <c r="J55" i="1"/>
  <c r="O55" i="1"/>
  <c r="Q55" i="1"/>
  <c r="V55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C59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E11" i="6"/>
  <c r="F11" i="6"/>
  <c r="G11" i="6"/>
  <c r="I11" i="6"/>
  <c r="J11" i="6"/>
  <c r="K11" i="6"/>
  <c r="L11" i="6"/>
  <c r="M11" i="6"/>
  <c r="N11" i="6"/>
  <c r="O11" i="6"/>
  <c r="Q11" i="6"/>
  <c r="R11" i="6"/>
  <c r="S11" i="6"/>
  <c r="T11" i="6"/>
  <c r="V11" i="6"/>
  <c r="W11" i="6"/>
  <c r="X11" i="6"/>
  <c r="Y11" i="6"/>
  <c r="Z11" i="6"/>
  <c r="AC11" i="6"/>
  <c r="E12" i="6"/>
  <c r="F12" i="6"/>
  <c r="G12" i="6"/>
  <c r="I12" i="6"/>
  <c r="J12" i="6"/>
  <c r="K12" i="6"/>
  <c r="L12" i="6"/>
  <c r="M12" i="6"/>
  <c r="N12" i="6"/>
  <c r="O12" i="6"/>
  <c r="Q12" i="6"/>
  <c r="R12" i="6"/>
  <c r="S12" i="6"/>
  <c r="T12" i="6"/>
  <c r="V12" i="6"/>
  <c r="W12" i="6"/>
  <c r="X12" i="6"/>
  <c r="Y12" i="6"/>
  <c r="Z12" i="6"/>
  <c r="AC12" i="6"/>
  <c r="E13" i="6"/>
  <c r="F13" i="6"/>
  <c r="G13" i="6"/>
  <c r="I13" i="6"/>
  <c r="J13" i="6"/>
  <c r="K13" i="6"/>
  <c r="L13" i="6"/>
  <c r="M13" i="6"/>
  <c r="N13" i="6"/>
  <c r="O13" i="6"/>
  <c r="Q13" i="6"/>
  <c r="R13" i="6"/>
  <c r="S13" i="6"/>
  <c r="T13" i="6"/>
  <c r="V13" i="6"/>
  <c r="W13" i="6"/>
  <c r="X13" i="6"/>
  <c r="Y13" i="6"/>
  <c r="Z13" i="6"/>
  <c r="AC13" i="6"/>
  <c r="E14" i="6"/>
  <c r="F14" i="6"/>
  <c r="G14" i="6"/>
  <c r="I14" i="6"/>
  <c r="J14" i="6"/>
  <c r="K14" i="6"/>
  <c r="L14" i="6"/>
  <c r="M14" i="6"/>
  <c r="N14" i="6"/>
  <c r="O14" i="6"/>
  <c r="Q14" i="6"/>
  <c r="R14" i="6"/>
  <c r="S14" i="6"/>
  <c r="T14" i="6"/>
  <c r="V14" i="6"/>
  <c r="W14" i="6"/>
  <c r="X14" i="6"/>
  <c r="Y14" i="6"/>
  <c r="Z14" i="6"/>
  <c r="AC14" i="6"/>
  <c r="E15" i="6"/>
  <c r="F15" i="6"/>
  <c r="G15" i="6"/>
  <c r="I15" i="6"/>
  <c r="J15" i="6"/>
  <c r="K15" i="6"/>
  <c r="L15" i="6"/>
  <c r="M15" i="6"/>
  <c r="N15" i="6"/>
  <c r="O15" i="6"/>
  <c r="Q15" i="6"/>
  <c r="R15" i="6"/>
  <c r="S15" i="6"/>
  <c r="T15" i="6"/>
  <c r="V15" i="6"/>
  <c r="W15" i="6"/>
  <c r="X15" i="6"/>
  <c r="Y15" i="6"/>
  <c r="Z15" i="6"/>
  <c r="AC15" i="6"/>
  <c r="E16" i="6"/>
  <c r="F16" i="6"/>
  <c r="G16" i="6"/>
  <c r="I16" i="6"/>
  <c r="J16" i="6"/>
  <c r="K16" i="6"/>
  <c r="L16" i="6"/>
  <c r="M16" i="6"/>
  <c r="N16" i="6"/>
  <c r="O16" i="6"/>
  <c r="Q16" i="6"/>
  <c r="R16" i="6"/>
  <c r="S16" i="6"/>
  <c r="T16" i="6"/>
  <c r="V16" i="6"/>
  <c r="W16" i="6"/>
  <c r="X16" i="6"/>
  <c r="Y16" i="6"/>
  <c r="Z16" i="6"/>
  <c r="AC16" i="6"/>
  <c r="E17" i="6"/>
  <c r="F17" i="6"/>
  <c r="G17" i="6"/>
  <c r="I17" i="6"/>
  <c r="J17" i="6"/>
  <c r="K17" i="6"/>
  <c r="L17" i="6"/>
  <c r="M17" i="6"/>
  <c r="N17" i="6"/>
  <c r="O17" i="6"/>
  <c r="Q17" i="6"/>
  <c r="R17" i="6"/>
  <c r="S17" i="6"/>
  <c r="T17" i="6"/>
  <c r="V17" i="6"/>
  <c r="W17" i="6"/>
  <c r="X17" i="6"/>
  <c r="Y17" i="6"/>
  <c r="Z17" i="6"/>
  <c r="AC17" i="6"/>
  <c r="E18" i="6"/>
  <c r="F18" i="6"/>
  <c r="G18" i="6"/>
  <c r="I18" i="6"/>
  <c r="J18" i="6"/>
  <c r="K18" i="6"/>
  <c r="L18" i="6"/>
  <c r="M18" i="6"/>
  <c r="N18" i="6"/>
  <c r="O18" i="6"/>
  <c r="Q18" i="6"/>
  <c r="R18" i="6"/>
  <c r="S18" i="6"/>
  <c r="T18" i="6"/>
  <c r="V18" i="6"/>
  <c r="W18" i="6"/>
  <c r="X18" i="6"/>
  <c r="Y18" i="6"/>
  <c r="Z18" i="6"/>
  <c r="AC18" i="6"/>
  <c r="E19" i="6"/>
  <c r="F19" i="6"/>
  <c r="G19" i="6"/>
  <c r="I19" i="6"/>
  <c r="J19" i="6"/>
  <c r="K19" i="6"/>
  <c r="L19" i="6"/>
  <c r="M19" i="6"/>
  <c r="N19" i="6"/>
  <c r="O19" i="6"/>
  <c r="Q19" i="6"/>
  <c r="R19" i="6"/>
  <c r="S19" i="6"/>
  <c r="T19" i="6"/>
  <c r="V19" i="6"/>
  <c r="W19" i="6"/>
  <c r="X19" i="6"/>
  <c r="Y19" i="6"/>
  <c r="Z19" i="6"/>
  <c r="AC19" i="6"/>
  <c r="E20" i="6"/>
  <c r="F20" i="6"/>
  <c r="G20" i="6"/>
  <c r="I20" i="6"/>
  <c r="J20" i="6"/>
  <c r="K20" i="6"/>
  <c r="L20" i="6"/>
  <c r="M20" i="6"/>
  <c r="N20" i="6"/>
  <c r="O20" i="6"/>
  <c r="Q20" i="6"/>
  <c r="R20" i="6"/>
  <c r="S20" i="6"/>
  <c r="T20" i="6"/>
  <c r="Z20" i="6"/>
  <c r="AC20" i="6"/>
  <c r="E21" i="6"/>
  <c r="F21" i="6"/>
  <c r="G21" i="6"/>
  <c r="I21" i="6"/>
  <c r="J21" i="6"/>
  <c r="K21" i="6"/>
  <c r="L21" i="6"/>
  <c r="M21" i="6"/>
  <c r="N21" i="6"/>
  <c r="O21" i="6"/>
  <c r="Q21" i="6"/>
  <c r="R21" i="6"/>
  <c r="S21" i="6"/>
  <c r="T21" i="6"/>
  <c r="V21" i="6"/>
  <c r="W21" i="6"/>
  <c r="X21" i="6"/>
  <c r="Y21" i="6"/>
  <c r="Z21" i="6"/>
  <c r="AC21" i="6"/>
  <c r="E22" i="6"/>
  <c r="F22" i="6"/>
  <c r="G22" i="6"/>
  <c r="I22" i="6"/>
  <c r="J22" i="6"/>
  <c r="K22" i="6"/>
  <c r="L22" i="6"/>
  <c r="M22" i="6"/>
  <c r="N22" i="6"/>
  <c r="O22" i="6"/>
  <c r="Q22" i="6"/>
  <c r="R22" i="6"/>
  <c r="S22" i="6"/>
  <c r="T22" i="6"/>
  <c r="V22" i="6"/>
  <c r="W22" i="6"/>
  <c r="X22" i="6"/>
  <c r="Y22" i="6"/>
  <c r="Z22" i="6"/>
  <c r="AC22" i="6"/>
  <c r="E24" i="6"/>
  <c r="F24" i="6"/>
  <c r="G24" i="6"/>
  <c r="I24" i="6"/>
  <c r="J24" i="6"/>
  <c r="K24" i="6"/>
  <c r="L24" i="6"/>
  <c r="M24" i="6"/>
  <c r="N24" i="6"/>
  <c r="O24" i="6"/>
  <c r="Q24" i="6"/>
  <c r="R24" i="6"/>
  <c r="S24" i="6"/>
  <c r="T24" i="6"/>
  <c r="V24" i="6"/>
  <c r="W24" i="6"/>
  <c r="X24" i="6"/>
  <c r="Y24" i="6"/>
  <c r="Z24" i="6"/>
  <c r="AC24" i="6"/>
  <c r="E25" i="6"/>
  <c r="F25" i="6"/>
  <c r="G25" i="6"/>
  <c r="I25" i="6"/>
  <c r="J25" i="6"/>
  <c r="K25" i="6"/>
  <c r="L25" i="6"/>
  <c r="M25" i="6"/>
  <c r="N25" i="6"/>
  <c r="O25" i="6"/>
  <c r="Q25" i="6"/>
  <c r="R25" i="6"/>
  <c r="S25" i="6"/>
  <c r="T25" i="6"/>
  <c r="V25" i="6"/>
  <c r="W25" i="6"/>
  <c r="X25" i="6"/>
  <c r="Y25" i="6"/>
  <c r="Z25" i="6"/>
  <c r="AC25" i="6"/>
  <c r="E26" i="6"/>
  <c r="F26" i="6"/>
  <c r="G26" i="6"/>
  <c r="I26" i="6"/>
  <c r="J26" i="6"/>
  <c r="K26" i="6"/>
  <c r="L26" i="6"/>
  <c r="M26" i="6"/>
  <c r="N26" i="6"/>
  <c r="O26" i="6"/>
  <c r="Q26" i="6"/>
  <c r="R26" i="6"/>
  <c r="S26" i="6"/>
  <c r="T26" i="6"/>
  <c r="V26" i="6"/>
  <c r="W26" i="6"/>
  <c r="X26" i="6"/>
  <c r="Y26" i="6"/>
  <c r="Z26" i="6"/>
  <c r="AC26" i="6"/>
  <c r="E27" i="6"/>
  <c r="F27" i="6"/>
  <c r="G27" i="6"/>
  <c r="I27" i="6"/>
  <c r="J27" i="6"/>
  <c r="K27" i="6"/>
  <c r="L27" i="6"/>
  <c r="M27" i="6"/>
  <c r="N27" i="6"/>
  <c r="O27" i="6"/>
  <c r="Q27" i="6"/>
  <c r="R27" i="6"/>
  <c r="S27" i="6"/>
  <c r="T27" i="6"/>
  <c r="V27" i="6"/>
  <c r="W27" i="6"/>
  <c r="X27" i="6"/>
  <c r="Y27" i="6"/>
  <c r="Z27" i="6"/>
  <c r="AC27" i="6"/>
  <c r="E28" i="6"/>
  <c r="F28" i="6"/>
  <c r="G28" i="6"/>
  <c r="I28" i="6"/>
  <c r="J28" i="6"/>
  <c r="K28" i="6"/>
  <c r="L28" i="6"/>
  <c r="M28" i="6"/>
  <c r="N28" i="6"/>
  <c r="O28" i="6"/>
  <c r="Q28" i="6"/>
  <c r="R28" i="6"/>
  <c r="S28" i="6"/>
  <c r="T28" i="6"/>
  <c r="V28" i="6"/>
  <c r="W28" i="6"/>
  <c r="X28" i="6"/>
  <c r="Y28" i="6"/>
  <c r="Z28" i="6"/>
  <c r="AC28" i="6"/>
  <c r="E29" i="6"/>
  <c r="F29" i="6"/>
  <c r="G29" i="6"/>
  <c r="I29" i="6"/>
  <c r="J29" i="6"/>
  <c r="K29" i="6"/>
  <c r="L29" i="6"/>
  <c r="M29" i="6"/>
  <c r="N29" i="6"/>
  <c r="O29" i="6"/>
  <c r="Q29" i="6"/>
  <c r="R29" i="6"/>
  <c r="S29" i="6"/>
  <c r="T29" i="6"/>
  <c r="V29" i="6"/>
  <c r="W29" i="6"/>
  <c r="X29" i="6"/>
  <c r="Y29" i="6"/>
  <c r="Z29" i="6"/>
  <c r="AC29" i="6"/>
  <c r="E30" i="6"/>
  <c r="F30" i="6"/>
  <c r="G30" i="6"/>
  <c r="I30" i="6"/>
  <c r="J30" i="6"/>
  <c r="K30" i="6"/>
  <c r="L30" i="6"/>
  <c r="M30" i="6"/>
  <c r="N30" i="6"/>
  <c r="O30" i="6"/>
  <c r="Q30" i="6"/>
  <c r="R30" i="6"/>
  <c r="S30" i="6"/>
  <c r="T30" i="6"/>
  <c r="V30" i="6"/>
  <c r="W30" i="6"/>
  <c r="X30" i="6"/>
  <c r="Y30" i="6"/>
  <c r="Z30" i="6"/>
  <c r="AC30" i="6"/>
  <c r="E31" i="6"/>
  <c r="F31" i="6"/>
  <c r="G31" i="6"/>
  <c r="I31" i="6"/>
  <c r="J31" i="6"/>
  <c r="K31" i="6"/>
  <c r="L31" i="6"/>
  <c r="M31" i="6"/>
  <c r="N31" i="6"/>
  <c r="O31" i="6"/>
  <c r="Q31" i="6"/>
  <c r="R31" i="6"/>
  <c r="S31" i="6"/>
  <c r="T31" i="6"/>
  <c r="V31" i="6"/>
  <c r="W31" i="6"/>
  <c r="X31" i="6"/>
  <c r="Y31" i="6"/>
  <c r="Z31" i="6"/>
  <c r="AC31" i="6"/>
  <c r="E33" i="6"/>
  <c r="F33" i="6"/>
  <c r="G33" i="6"/>
  <c r="I33" i="6"/>
  <c r="J33" i="6"/>
  <c r="K33" i="6"/>
  <c r="L33" i="6"/>
  <c r="M33" i="6"/>
  <c r="N33" i="6"/>
  <c r="O33" i="6"/>
  <c r="Q33" i="6"/>
  <c r="R33" i="6"/>
  <c r="S33" i="6"/>
  <c r="T33" i="6"/>
  <c r="V33" i="6"/>
  <c r="W33" i="6"/>
  <c r="X33" i="6"/>
  <c r="Y33" i="6"/>
  <c r="Z33" i="6"/>
  <c r="AC33" i="6"/>
  <c r="E34" i="6"/>
  <c r="F34" i="6"/>
  <c r="G34" i="6"/>
  <c r="I34" i="6"/>
  <c r="J34" i="6"/>
  <c r="K34" i="6"/>
  <c r="L34" i="6"/>
  <c r="M34" i="6"/>
  <c r="N34" i="6"/>
  <c r="O34" i="6"/>
  <c r="Q34" i="6"/>
  <c r="R34" i="6"/>
  <c r="S34" i="6"/>
  <c r="T34" i="6"/>
  <c r="V34" i="6"/>
  <c r="W34" i="6"/>
  <c r="X34" i="6"/>
  <c r="Y34" i="6"/>
  <c r="Z34" i="6"/>
  <c r="AC34" i="6"/>
  <c r="E35" i="6"/>
  <c r="F35" i="6"/>
  <c r="G35" i="6"/>
  <c r="I35" i="6"/>
  <c r="J35" i="6"/>
  <c r="K35" i="6"/>
  <c r="L35" i="6"/>
  <c r="M35" i="6"/>
  <c r="N35" i="6"/>
  <c r="O35" i="6"/>
  <c r="Q35" i="6"/>
  <c r="R35" i="6"/>
  <c r="S35" i="6"/>
  <c r="T35" i="6"/>
  <c r="V35" i="6"/>
  <c r="W35" i="6"/>
  <c r="X35" i="6"/>
  <c r="Y35" i="6"/>
  <c r="Z35" i="6"/>
  <c r="AC35" i="6"/>
  <c r="E36" i="6"/>
  <c r="F36" i="6"/>
  <c r="G36" i="6"/>
  <c r="I36" i="6"/>
  <c r="J36" i="6"/>
  <c r="K36" i="6"/>
  <c r="L36" i="6"/>
  <c r="M36" i="6"/>
  <c r="N36" i="6"/>
  <c r="O36" i="6"/>
  <c r="Q36" i="6"/>
  <c r="R36" i="6"/>
  <c r="S36" i="6"/>
  <c r="T36" i="6"/>
  <c r="V36" i="6"/>
  <c r="W36" i="6"/>
  <c r="X36" i="6"/>
  <c r="Y36" i="6"/>
  <c r="Z36" i="6"/>
  <c r="AC36" i="6"/>
  <c r="E37" i="6"/>
  <c r="F37" i="6"/>
  <c r="G37" i="6"/>
  <c r="I37" i="6"/>
  <c r="J37" i="6"/>
  <c r="K37" i="6"/>
  <c r="L37" i="6"/>
  <c r="M37" i="6"/>
  <c r="N37" i="6"/>
  <c r="O37" i="6"/>
  <c r="Q37" i="6"/>
  <c r="R37" i="6"/>
  <c r="S37" i="6"/>
  <c r="T37" i="6"/>
  <c r="V37" i="6"/>
  <c r="W37" i="6"/>
  <c r="X37" i="6"/>
  <c r="Y37" i="6"/>
  <c r="Z37" i="6"/>
  <c r="AC37" i="6"/>
  <c r="E39" i="6"/>
  <c r="F39" i="6"/>
  <c r="G39" i="6"/>
  <c r="I39" i="6"/>
  <c r="J39" i="6"/>
  <c r="K39" i="6"/>
  <c r="L39" i="6"/>
  <c r="M39" i="6"/>
  <c r="N39" i="6"/>
  <c r="O39" i="6"/>
  <c r="Q39" i="6"/>
  <c r="R39" i="6"/>
  <c r="S39" i="6"/>
  <c r="T39" i="6"/>
  <c r="V39" i="6"/>
  <c r="W39" i="6"/>
  <c r="X39" i="6"/>
  <c r="Y39" i="6"/>
  <c r="Z39" i="6"/>
  <c r="AC39" i="6"/>
  <c r="E40" i="6"/>
  <c r="F40" i="6"/>
  <c r="G40" i="6"/>
  <c r="I40" i="6"/>
  <c r="J40" i="6"/>
  <c r="K40" i="6"/>
  <c r="L40" i="6"/>
  <c r="M40" i="6"/>
  <c r="N40" i="6"/>
  <c r="O40" i="6"/>
  <c r="Q40" i="6"/>
  <c r="R40" i="6"/>
  <c r="S40" i="6"/>
  <c r="T40" i="6"/>
  <c r="V40" i="6"/>
  <c r="W40" i="6"/>
  <c r="X40" i="6"/>
  <c r="Y40" i="6"/>
  <c r="Z40" i="6"/>
  <c r="AC40" i="6"/>
  <c r="E41" i="6"/>
  <c r="F41" i="6"/>
  <c r="G41" i="6"/>
  <c r="I41" i="6"/>
  <c r="J41" i="6"/>
  <c r="K41" i="6"/>
  <c r="L41" i="6"/>
  <c r="M41" i="6"/>
  <c r="N41" i="6"/>
  <c r="O41" i="6"/>
  <c r="Q41" i="6"/>
  <c r="R41" i="6"/>
  <c r="S41" i="6"/>
  <c r="T41" i="6"/>
  <c r="V41" i="6"/>
  <c r="W41" i="6"/>
  <c r="X41" i="6"/>
  <c r="Y41" i="6"/>
  <c r="Z41" i="6"/>
  <c r="AC41" i="6"/>
  <c r="E42" i="6"/>
  <c r="F42" i="6"/>
  <c r="G42" i="6"/>
  <c r="I42" i="6"/>
  <c r="J42" i="6"/>
  <c r="K42" i="6"/>
  <c r="L42" i="6"/>
  <c r="M42" i="6"/>
  <c r="N42" i="6"/>
  <c r="O42" i="6"/>
  <c r="Q42" i="6"/>
  <c r="R42" i="6"/>
  <c r="S42" i="6"/>
  <c r="T42" i="6"/>
  <c r="V42" i="6"/>
  <c r="W42" i="6"/>
  <c r="X42" i="6"/>
  <c r="Y42" i="6"/>
  <c r="Z42" i="6"/>
  <c r="AC42" i="6"/>
  <c r="E44" i="6"/>
  <c r="F44" i="6"/>
  <c r="G44" i="6"/>
  <c r="I44" i="6"/>
  <c r="J44" i="6"/>
  <c r="K44" i="6"/>
  <c r="L44" i="6"/>
  <c r="M44" i="6"/>
  <c r="N44" i="6"/>
  <c r="O44" i="6"/>
  <c r="Q44" i="6"/>
  <c r="R44" i="6"/>
  <c r="S44" i="6"/>
  <c r="T44" i="6"/>
  <c r="V44" i="6"/>
  <c r="W44" i="6"/>
  <c r="Y44" i="6"/>
  <c r="Z44" i="6"/>
  <c r="AC44" i="6"/>
  <c r="E46" i="6"/>
  <c r="F46" i="6"/>
  <c r="G46" i="6"/>
  <c r="I46" i="6"/>
  <c r="J46" i="6"/>
  <c r="K46" i="6"/>
  <c r="L46" i="6"/>
  <c r="M46" i="6"/>
  <c r="N46" i="6"/>
  <c r="O46" i="6"/>
  <c r="Q46" i="6"/>
  <c r="R46" i="6"/>
  <c r="S46" i="6"/>
  <c r="T46" i="6"/>
  <c r="V46" i="6"/>
  <c r="W46" i="6"/>
  <c r="X46" i="6"/>
  <c r="Y46" i="6"/>
  <c r="Z46" i="6"/>
  <c r="AC46" i="6"/>
  <c r="E48" i="6"/>
  <c r="F48" i="6"/>
  <c r="G48" i="6"/>
  <c r="I48" i="6"/>
  <c r="J48" i="6"/>
  <c r="K48" i="6"/>
  <c r="L48" i="6"/>
  <c r="M48" i="6"/>
  <c r="N48" i="6"/>
  <c r="O48" i="6"/>
  <c r="Q48" i="6"/>
  <c r="R48" i="6"/>
  <c r="S48" i="6"/>
  <c r="T48" i="6"/>
  <c r="W48" i="6"/>
  <c r="X48" i="6"/>
  <c r="Y48" i="6"/>
  <c r="Z48" i="6"/>
  <c r="AC48" i="6"/>
  <c r="E50" i="6"/>
  <c r="F50" i="6"/>
  <c r="G50" i="6"/>
  <c r="I50" i="6"/>
  <c r="J50" i="6"/>
  <c r="K50" i="6"/>
  <c r="L50" i="6"/>
  <c r="M50" i="6"/>
  <c r="N50" i="6"/>
  <c r="O50" i="6"/>
  <c r="Q50" i="6"/>
  <c r="R50" i="6"/>
  <c r="S50" i="6"/>
  <c r="T50" i="6"/>
  <c r="V50" i="6"/>
  <c r="W50" i="6"/>
  <c r="X50" i="6"/>
  <c r="Y50" i="6"/>
  <c r="Z50" i="6"/>
  <c r="AC50" i="6"/>
  <c r="E52" i="6"/>
  <c r="F52" i="6"/>
  <c r="G52" i="6"/>
  <c r="M52" i="6"/>
  <c r="N52" i="6"/>
  <c r="O52" i="6"/>
  <c r="Q52" i="6"/>
  <c r="R52" i="6"/>
  <c r="S52" i="6"/>
  <c r="T52" i="6"/>
  <c r="V52" i="6"/>
  <c r="W52" i="6"/>
  <c r="X52" i="6"/>
  <c r="Y52" i="6"/>
  <c r="Z52" i="6"/>
  <c r="AC52" i="6"/>
  <c r="E54" i="6"/>
  <c r="F54" i="6"/>
  <c r="G54" i="6"/>
  <c r="M54" i="6"/>
  <c r="O54" i="6"/>
  <c r="Q54" i="6"/>
  <c r="R54" i="6"/>
  <c r="S54" i="6"/>
  <c r="T54" i="6"/>
  <c r="V54" i="6"/>
  <c r="W54" i="6"/>
  <c r="X54" i="6"/>
  <c r="Y54" i="6"/>
  <c r="Z54" i="6"/>
  <c r="AC54" i="6"/>
  <c r="E56" i="6"/>
  <c r="F56" i="6"/>
  <c r="G56" i="6"/>
  <c r="I56" i="6"/>
  <c r="K56" i="6"/>
  <c r="L56" i="6"/>
  <c r="O56" i="6"/>
  <c r="Q56" i="6"/>
  <c r="R56" i="6"/>
  <c r="S56" i="6"/>
  <c r="T56" i="6"/>
  <c r="X56" i="6"/>
  <c r="Z56" i="6"/>
  <c r="AC56" i="6"/>
  <c r="T57" i="6"/>
  <c r="F58" i="6"/>
  <c r="G58" i="6"/>
  <c r="O58" i="6"/>
  <c r="Q58" i="6"/>
  <c r="R58" i="6"/>
  <c r="S58" i="6"/>
  <c r="T58" i="6"/>
  <c r="Z58" i="6"/>
  <c r="AC58" i="6"/>
  <c r="E60" i="6"/>
  <c r="F60" i="6"/>
  <c r="G60" i="6"/>
  <c r="I60" i="6"/>
  <c r="J60" i="6"/>
  <c r="K60" i="6"/>
  <c r="L60" i="6"/>
  <c r="M60" i="6"/>
  <c r="N60" i="6"/>
  <c r="O60" i="6"/>
  <c r="Q60" i="6"/>
  <c r="R60" i="6"/>
  <c r="S60" i="6"/>
  <c r="T60" i="6"/>
  <c r="V60" i="6"/>
  <c r="W60" i="6"/>
  <c r="X60" i="6"/>
  <c r="Y60" i="6"/>
  <c r="Z60" i="6"/>
  <c r="AC60" i="6"/>
  <c r="E62" i="6"/>
  <c r="F62" i="6"/>
  <c r="G62" i="6"/>
  <c r="M62" i="6"/>
  <c r="O62" i="6"/>
  <c r="Q62" i="6"/>
  <c r="R62" i="6"/>
  <c r="S62" i="6"/>
  <c r="T62" i="6"/>
  <c r="Z62" i="6"/>
  <c r="AC62" i="6"/>
  <c r="E64" i="6"/>
  <c r="F64" i="6"/>
  <c r="G64" i="6"/>
  <c r="I64" i="6"/>
  <c r="J64" i="6"/>
  <c r="K64" i="6"/>
  <c r="L64" i="6"/>
  <c r="M64" i="6"/>
  <c r="N64" i="6"/>
  <c r="O64" i="6"/>
  <c r="Q64" i="6"/>
  <c r="R64" i="6"/>
  <c r="S64" i="6"/>
  <c r="T64" i="6"/>
  <c r="V64" i="6"/>
  <c r="W64" i="6"/>
  <c r="X64" i="6"/>
  <c r="Y64" i="6"/>
  <c r="Z64" i="6"/>
  <c r="AC64" i="6"/>
  <c r="Q74" i="6"/>
  <c r="E11" i="10"/>
  <c r="F11" i="10"/>
  <c r="G11" i="10"/>
  <c r="I11" i="10"/>
  <c r="J11" i="10"/>
  <c r="K11" i="10"/>
  <c r="M11" i="10"/>
  <c r="N11" i="10"/>
  <c r="O11" i="10"/>
  <c r="Q11" i="10"/>
  <c r="R11" i="10"/>
  <c r="S11" i="10"/>
  <c r="U11" i="10"/>
  <c r="V11" i="10"/>
  <c r="W11" i="10"/>
  <c r="E12" i="10"/>
  <c r="F12" i="10"/>
  <c r="G12" i="10"/>
  <c r="I12" i="10"/>
  <c r="J12" i="10"/>
  <c r="K12" i="10"/>
  <c r="M12" i="10"/>
  <c r="N12" i="10"/>
  <c r="O12" i="10"/>
  <c r="Q12" i="10"/>
  <c r="R12" i="10"/>
  <c r="S12" i="10"/>
  <c r="U12" i="10"/>
  <c r="V12" i="10"/>
  <c r="W12" i="10"/>
  <c r="E13" i="10"/>
  <c r="F13" i="10"/>
  <c r="G13" i="10"/>
  <c r="I13" i="10"/>
  <c r="J13" i="10"/>
  <c r="K13" i="10"/>
  <c r="M13" i="10"/>
  <c r="N13" i="10"/>
  <c r="O13" i="10"/>
  <c r="Q13" i="10"/>
  <c r="R13" i="10"/>
  <c r="S13" i="10"/>
  <c r="U13" i="10"/>
  <c r="V13" i="10"/>
  <c r="W13" i="10"/>
  <c r="E14" i="10"/>
  <c r="F14" i="10"/>
  <c r="G14" i="10"/>
  <c r="I14" i="10"/>
  <c r="J14" i="10"/>
  <c r="K14" i="10"/>
  <c r="M14" i="10"/>
  <c r="N14" i="10"/>
  <c r="O14" i="10"/>
  <c r="Q14" i="10"/>
  <c r="R14" i="10"/>
  <c r="S14" i="10"/>
  <c r="U14" i="10"/>
  <c r="V14" i="10"/>
  <c r="W14" i="10"/>
  <c r="E15" i="10"/>
  <c r="F15" i="10"/>
  <c r="G15" i="10"/>
  <c r="I15" i="10"/>
  <c r="J15" i="10"/>
  <c r="K15" i="10"/>
  <c r="M15" i="10"/>
  <c r="N15" i="10"/>
  <c r="O15" i="10"/>
  <c r="Q15" i="10"/>
  <c r="R15" i="10"/>
  <c r="S15" i="10"/>
  <c r="U15" i="10"/>
  <c r="V15" i="10"/>
  <c r="W15" i="10"/>
  <c r="E16" i="10"/>
  <c r="F16" i="10"/>
  <c r="G16" i="10"/>
  <c r="I16" i="10"/>
  <c r="J16" i="10"/>
  <c r="K16" i="10"/>
  <c r="M16" i="10"/>
  <c r="N16" i="10"/>
  <c r="O16" i="10"/>
  <c r="Q16" i="10"/>
  <c r="R16" i="10"/>
  <c r="S16" i="10"/>
  <c r="U16" i="10"/>
  <c r="V16" i="10"/>
  <c r="W16" i="10"/>
  <c r="E17" i="10"/>
  <c r="F17" i="10"/>
  <c r="G17" i="10"/>
  <c r="I17" i="10"/>
  <c r="J17" i="10"/>
  <c r="K17" i="10"/>
  <c r="M17" i="10"/>
  <c r="N17" i="10"/>
  <c r="O17" i="10"/>
  <c r="Q17" i="10"/>
  <c r="R17" i="10"/>
  <c r="S17" i="10"/>
  <c r="U17" i="10"/>
  <c r="V17" i="10"/>
  <c r="W17" i="10"/>
  <c r="E18" i="10"/>
  <c r="F18" i="10"/>
  <c r="G18" i="10"/>
  <c r="I18" i="10"/>
  <c r="J18" i="10"/>
  <c r="K18" i="10"/>
  <c r="M18" i="10"/>
  <c r="N18" i="10"/>
  <c r="O18" i="10"/>
  <c r="Q18" i="10"/>
  <c r="R18" i="10"/>
  <c r="S18" i="10"/>
  <c r="U18" i="10"/>
  <c r="V18" i="10"/>
  <c r="W18" i="10"/>
  <c r="E19" i="10"/>
  <c r="F19" i="10"/>
  <c r="G19" i="10"/>
  <c r="I19" i="10"/>
  <c r="J19" i="10"/>
  <c r="K19" i="10"/>
  <c r="M19" i="10"/>
  <c r="N19" i="10"/>
  <c r="O19" i="10"/>
  <c r="Q19" i="10"/>
  <c r="R19" i="10"/>
  <c r="S19" i="10"/>
  <c r="U19" i="10"/>
  <c r="V19" i="10"/>
  <c r="W19" i="10"/>
  <c r="E20" i="10"/>
  <c r="F20" i="10"/>
  <c r="G20" i="10"/>
  <c r="I20" i="10"/>
  <c r="J20" i="10"/>
  <c r="K20" i="10"/>
  <c r="M20" i="10"/>
  <c r="N20" i="10"/>
  <c r="O20" i="10"/>
  <c r="Q20" i="10"/>
  <c r="R20" i="10"/>
  <c r="S20" i="10"/>
  <c r="U20" i="10"/>
  <c r="V20" i="10"/>
  <c r="W20" i="10"/>
  <c r="E21" i="10"/>
  <c r="F21" i="10"/>
  <c r="G21" i="10"/>
  <c r="I21" i="10"/>
  <c r="J21" i="10"/>
  <c r="K21" i="10"/>
  <c r="M21" i="10"/>
  <c r="N21" i="10"/>
  <c r="O21" i="10"/>
  <c r="Q21" i="10"/>
  <c r="R21" i="10"/>
  <c r="S21" i="10"/>
  <c r="U21" i="10"/>
  <c r="V21" i="10"/>
  <c r="W21" i="10"/>
  <c r="E23" i="10"/>
  <c r="F23" i="10"/>
  <c r="G23" i="10"/>
  <c r="I23" i="10"/>
  <c r="J23" i="10"/>
  <c r="K23" i="10"/>
  <c r="M23" i="10"/>
  <c r="N23" i="10"/>
  <c r="O23" i="10"/>
  <c r="Q23" i="10"/>
  <c r="R23" i="10"/>
  <c r="S23" i="10"/>
  <c r="U23" i="10"/>
  <c r="V23" i="10"/>
  <c r="W23" i="10"/>
  <c r="E24" i="10"/>
  <c r="F24" i="10"/>
  <c r="G24" i="10"/>
  <c r="I24" i="10"/>
  <c r="J24" i="10"/>
  <c r="K24" i="10"/>
  <c r="M24" i="10"/>
  <c r="N24" i="10"/>
  <c r="O24" i="10"/>
  <c r="Q24" i="10"/>
  <c r="R24" i="10"/>
  <c r="S24" i="10"/>
  <c r="U24" i="10"/>
  <c r="V24" i="10"/>
  <c r="W24" i="10"/>
  <c r="E25" i="10"/>
  <c r="F25" i="10"/>
  <c r="G25" i="10"/>
  <c r="I25" i="10"/>
  <c r="J25" i="10"/>
  <c r="K25" i="10"/>
  <c r="M25" i="10"/>
  <c r="N25" i="10"/>
  <c r="O25" i="10"/>
  <c r="Q25" i="10"/>
  <c r="R25" i="10"/>
  <c r="S25" i="10"/>
  <c r="U25" i="10"/>
  <c r="V25" i="10"/>
  <c r="W25" i="10"/>
  <c r="E26" i="10"/>
  <c r="F26" i="10"/>
  <c r="G26" i="10"/>
  <c r="I26" i="10"/>
  <c r="J26" i="10"/>
  <c r="K26" i="10"/>
  <c r="M26" i="10"/>
  <c r="N26" i="10"/>
  <c r="O26" i="10"/>
  <c r="Q26" i="10"/>
  <c r="R26" i="10"/>
  <c r="S26" i="10"/>
  <c r="U26" i="10"/>
  <c r="V26" i="10"/>
  <c r="W26" i="10"/>
  <c r="F27" i="10"/>
  <c r="G27" i="10"/>
  <c r="J27" i="10"/>
  <c r="K27" i="10"/>
  <c r="N27" i="10"/>
  <c r="O27" i="10"/>
  <c r="R27" i="10"/>
  <c r="S27" i="10"/>
  <c r="U27" i="10"/>
  <c r="V27" i="10"/>
  <c r="W27" i="10"/>
  <c r="E28" i="10"/>
  <c r="F28" i="10"/>
  <c r="G28" i="10"/>
  <c r="I28" i="10"/>
  <c r="J28" i="10"/>
  <c r="K28" i="10"/>
  <c r="M28" i="10"/>
  <c r="N28" i="10"/>
  <c r="O28" i="10"/>
  <c r="Q28" i="10"/>
  <c r="R28" i="10"/>
  <c r="S28" i="10"/>
  <c r="U28" i="10"/>
  <c r="V28" i="10"/>
  <c r="W28" i="10"/>
  <c r="E29" i="10"/>
  <c r="F29" i="10"/>
  <c r="G29" i="10"/>
  <c r="I29" i="10"/>
  <c r="J29" i="10"/>
  <c r="K29" i="10"/>
  <c r="M29" i="10"/>
  <c r="N29" i="10"/>
  <c r="O29" i="10"/>
  <c r="Q29" i="10"/>
  <c r="R29" i="10"/>
  <c r="S29" i="10"/>
  <c r="U29" i="10"/>
  <c r="V29" i="10"/>
  <c r="W29" i="10"/>
  <c r="E30" i="10"/>
  <c r="F30" i="10"/>
  <c r="G30" i="10"/>
  <c r="I30" i="10"/>
  <c r="J30" i="10"/>
  <c r="K30" i="10"/>
  <c r="M30" i="10"/>
  <c r="N30" i="10"/>
  <c r="O30" i="10"/>
  <c r="Q30" i="10"/>
  <c r="R30" i="10"/>
  <c r="S30" i="10"/>
  <c r="U30" i="10"/>
  <c r="V30" i="10"/>
  <c r="W30" i="10"/>
  <c r="F31" i="10"/>
  <c r="G31" i="10"/>
  <c r="J31" i="10"/>
  <c r="K31" i="10"/>
  <c r="N31" i="10"/>
  <c r="O31" i="10"/>
  <c r="R31" i="10"/>
  <c r="S31" i="10"/>
  <c r="U31" i="10"/>
  <c r="V31" i="10"/>
  <c r="W31" i="10"/>
  <c r="E32" i="10"/>
  <c r="F32" i="10"/>
  <c r="G32" i="10"/>
  <c r="I32" i="10"/>
  <c r="J32" i="10"/>
  <c r="K32" i="10"/>
  <c r="M32" i="10"/>
  <c r="N32" i="10"/>
  <c r="O32" i="10"/>
  <c r="Q32" i="10"/>
  <c r="R32" i="10"/>
  <c r="S32" i="10"/>
  <c r="U32" i="10"/>
  <c r="V32" i="10"/>
  <c r="W32" i="10"/>
  <c r="E34" i="10"/>
  <c r="F34" i="10"/>
  <c r="G34" i="10"/>
  <c r="I34" i="10"/>
  <c r="J34" i="10"/>
  <c r="K34" i="10"/>
  <c r="M34" i="10"/>
  <c r="N34" i="10"/>
  <c r="O34" i="10"/>
  <c r="Q34" i="10"/>
  <c r="R34" i="10"/>
  <c r="S34" i="10"/>
  <c r="U34" i="10"/>
  <c r="V34" i="10"/>
  <c r="W34" i="10"/>
  <c r="E35" i="10"/>
  <c r="F35" i="10"/>
  <c r="G35" i="10"/>
  <c r="I35" i="10"/>
  <c r="J35" i="10"/>
  <c r="K35" i="10"/>
  <c r="M35" i="10"/>
  <c r="N35" i="10"/>
  <c r="O35" i="10"/>
  <c r="Q35" i="10"/>
  <c r="R35" i="10"/>
  <c r="S35" i="10"/>
  <c r="U35" i="10"/>
  <c r="V35" i="10"/>
  <c r="W35" i="10"/>
  <c r="E36" i="10"/>
  <c r="F36" i="10"/>
  <c r="G36" i="10"/>
  <c r="I36" i="10"/>
  <c r="J36" i="10"/>
  <c r="K36" i="10"/>
  <c r="M36" i="10"/>
  <c r="N36" i="10"/>
  <c r="O36" i="10"/>
  <c r="Q36" i="10"/>
  <c r="R36" i="10"/>
  <c r="S36" i="10"/>
  <c r="U36" i="10"/>
  <c r="V36" i="10"/>
  <c r="W36" i="10"/>
  <c r="E37" i="10"/>
  <c r="F37" i="10"/>
  <c r="G37" i="10"/>
  <c r="I37" i="10"/>
  <c r="J37" i="10"/>
  <c r="K37" i="10"/>
  <c r="M37" i="10"/>
  <c r="N37" i="10"/>
  <c r="O37" i="10"/>
  <c r="Q37" i="10"/>
  <c r="R37" i="10"/>
  <c r="S37" i="10"/>
  <c r="U37" i="10"/>
  <c r="V37" i="10"/>
  <c r="W37" i="10"/>
  <c r="E38" i="10"/>
  <c r="F38" i="10"/>
  <c r="G38" i="10"/>
  <c r="I38" i="10"/>
  <c r="J38" i="10"/>
  <c r="K38" i="10"/>
  <c r="M38" i="10"/>
  <c r="N38" i="10"/>
  <c r="O38" i="10"/>
  <c r="Q38" i="10"/>
  <c r="R38" i="10"/>
  <c r="S38" i="10"/>
  <c r="U38" i="10"/>
  <c r="V38" i="10"/>
  <c r="W38" i="10"/>
  <c r="E40" i="10"/>
  <c r="F40" i="10"/>
  <c r="G40" i="10"/>
  <c r="I40" i="10"/>
  <c r="J40" i="10"/>
  <c r="K40" i="10"/>
  <c r="M40" i="10"/>
  <c r="N40" i="10"/>
  <c r="O40" i="10"/>
  <c r="Q40" i="10"/>
  <c r="R40" i="10"/>
  <c r="S40" i="10"/>
  <c r="U40" i="10"/>
  <c r="V40" i="10"/>
  <c r="W40" i="10"/>
  <c r="E41" i="10"/>
  <c r="F41" i="10"/>
  <c r="G41" i="10"/>
  <c r="I41" i="10"/>
  <c r="J41" i="10"/>
  <c r="K41" i="10"/>
  <c r="M41" i="10"/>
  <c r="N41" i="10"/>
  <c r="O41" i="10"/>
  <c r="Q41" i="10"/>
  <c r="R41" i="10"/>
  <c r="S41" i="10"/>
  <c r="U41" i="10"/>
  <c r="V41" i="10"/>
  <c r="W41" i="10"/>
  <c r="E42" i="10"/>
  <c r="F42" i="10"/>
  <c r="G42" i="10"/>
  <c r="I42" i="10"/>
  <c r="J42" i="10"/>
  <c r="K42" i="10"/>
  <c r="M42" i="10"/>
  <c r="N42" i="10"/>
  <c r="O42" i="10"/>
  <c r="Q42" i="10"/>
  <c r="R42" i="10"/>
  <c r="S42" i="10"/>
  <c r="U42" i="10"/>
  <c r="V42" i="10"/>
  <c r="W42" i="10"/>
  <c r="E43" i="10"/>
  <c r="F43" i="10"/>
  <c r="G43" i="10"/>
  <c r="I43" i="10"/>
  <c r="J43" i="10"/>
  <c r="K43" i="10"/>
  <c r="M43" i="10"/>
  <c r="N43" i="10"/>
  <c r="O43" i="10"/>
  <c r="Q43" i="10"/>
  <c r="R43" i="10"/>
  <c r="S43" i="10"/>
  <c r="U43" i="10"/>
  <c r="V43" i="10"/>
  <c r="W43" i="10"/>
  <c r="E45" i="10"/>
  <c r="F45" i="10"/>
  <c r="G45" i="10"/>
  <c r="I45" i="10"/>
  <c r="J45" i="10"/>
  <c r="K45" i="10"/>
  <c r="M45" i="10"/>
  <c r="N45" i="10"/>
  <c r="O45" i="10"/>
  <c r="Q45" i="10"/>
  <c r="R45" i="10"/>
  <c r="S45" i="10"/>
  <c r="U45" i="10"/>
  <c r="V45" i="10"/>
  <c r="W45" i="10"/>
  <c r="E47" i="10"/>
  <c r="F47" i="10"/>
  <c r="G47" i="10"/>
  <c r="I47" i="10"/>
  <c r="J47" i="10"/>
  <c r="K47" i="10"/>
  <c r="M47" i="10"/>
  <c r="N47" i="10"/>
  <c r="O47" i="10"/>
  <c r="Q47" i="10"/>
  <c r="R47" i="10"/>
  <c r="S47" i="10"/>
  <c r="U47" i="10"/>
  <c r="V47" i="10"/>
  <c r="W47" i="10"/>
  <c r="E49" i="10"/>
  <c r="F49" i="10"/>
  <c r="G49" i="10"/>
  <c r="I49" i="10"/>
  <c r="J49" i="10"/>
  <c r="K49" i="10"/>
  <c r="M49" i="10"/>
  <c r="N49" i="10"/>
  <c r="O49" i="10"/>
  <c r="Q49" i="10"/>
  <c r="R49" i="10"/>
  <c r="S49" i="10"/>
  <c r="U49" i="10"/>
  <c r="V49" i="10"/>
  <c r="W49" i="10"/>
  <c r="E51" i="10"/>
  <c r="F51" i="10"/>
  <c r="G51" i="10"/>
  <c r="I51" i="10"/>
  <c r="J51" i="10"/>
  <c r="K51" i="10"/>
  <c r="M51" i="10"/>
  <c r="N51" i="10"/>
  <c r="O51" i="10"/>
  <c r="Q51" i="10"/>
  <c r="R51" i="10"/>
  <c r="S51" i="10"/>
  <c r="U51" i="10"/>
  <c r="V51" i="10"/>
  <c r="W51" i="10"/>
  <c r="E53" i="10"/>
  <c r="F53" i="10"/>
  <c r="G53" i="10"/>
  <c r="I53" i="10"/>
  <c r="J53" i="10"/>
  <c r="K53" i="10"/>
  <c r="M53" i="10"/>
  <c r="N53" i="10"/>
  <c r="O53" i="10"/>
  <c r="Q53" i="10"/>
  <c r="R53" i="10"/>
  <c r="S53" i="10"/>
  <c r="U53" i="10"/>
  <c r="V53" i="10"/>
  <c r="W53" i="10"/>
  <c r="E55" i="10"/>
  <c r="F55" i="10"/>
  <c r="G55" i="10"/>
  <c r="I55" i="10"/>
  <c r="J55" i="10"/>
  <c r="K55" i="10"/>
  <c r="M55" i="10"/>
  <c r="N55" i="10"/>
  <c r="O55" i="10"/>
  <c r="Q55" i="10"/>
  <c r="R55" i="10"/>
  <c r="S55" i="10"/>
  <c r="U55" i="10"/>
  <c r="V55" i="10"/>
  <c r="W55" i="10"/>
  <c r="F57" i="10"/>
  <c r="G57" i="10"/>
  <c r="J57" i="10"/>
  <c r="K57" i="10"/>
  <c r="N57" i="10"/>
  <c r="O57" i="10"/>
  <c r="R57" i="10"/>
  <c r="S57" i="10"/>
  <c r="U57" i="10"/>
  <c r="V57" i="10"/>
  <c r="W57" i="10"/>
  <c r="E59" i="10"/>
  <c r="F59" i="10"/>
  <c r="G59" i="10"/>
  <c r="I59" i="10"/>
  <c r="J59" i="10"/>
  <c r="K59" i="10"/>
  <c r="M59" i="10"/>
  <c r="N59" i="10"/>
  <c r="O59" i="10"/>
  <c r="Q59" i="10"/>
  <c r="R59" i="10"/>
  <c r="S59" i="10"/>
  <c r="U59" i="10"/>
  <c r="V59" i="10"/>
  <c r="W59" i="10"/>
  <c r="G61" i="10"/>
  <c r="K61" i="10"/>
  <c r="O61" i="10"/>
  <c r="S61" i="10"/>
  <c r="U61" i="10"/>
  <c r="V61" i="10"/>
  <c r="W61" i="10"/>
  <c r="E63" i="10"/>
  <c r="F63" i="10"/>
  <c r="G63" i="10"/>
  <c r="I63" i="10"/>
  <c r="J63" i="10"/>
  <c r="K63" i="10"/>
  <c r="M63" i="10"/>
  <c r="N63" i="10"/>
  <c r="O63" i="10"/>
  <c r="Q63" i="10"/>
  <c r="R63" i="10"/>
  <c r="S63" i="10"/>
  <c r="U63" i="10"/>
  <c r="V63" i="10"/>
  <c r="W63" i="10"/>
  <c r="A2" i="7"/>
  <c r="D6" i="7"/>
  <c r="D7" i="7"/>
  <c r="D8" i="7"/>
  <c r="F8" i="7"/>
  <c r="H8" i="7"/>
  <c r="D11" i="7"/>
  <c r="D12" i="7"/>
  <c r="D13" i="7"/>
  <c r="D14" i="7"/>
  <c r="D15" i="7"/>
  <c r="D16" i="7"/>
  <c r="D17" i="7"/>
  <c r="D18" i="7"/>
  <c r="D21" i="7"/>
  <c r="F21" i="7"/>
  <c r="H21" i="7"/>
  <c r="D22" i="7"/>
  <c r="F22" i="7"/>
  <c r="H22" i="7"/>
  <c r="D23" i="7"/>
  <c r="F23" i="7"/>
  <c r="H23" i="7"/>
  <c r="D25" i="7"/>
  <c r="F25" i="7"/>
  <c r="H25" i="7"/>
  <c r="D28" i="7"/>
  <c r="D29" i="7"/>
  <c r="D30" i="7"/>
  <c r="D31" i="7"/>
  <c r="D32" i="7"/>
  <c r="D33" i="7"/>
  <c r="D34" i="7"/>
  <c r="D35" i="7"/>
  <c r="D39" i="7"/>
  <c r="D43" i="7"/>
  <c r="D45" i="7"/>
  <c r="F45" i="7"/>
  <c r="H45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8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29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3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Prudency Release</t>
        </r>
      </text>
    </comment>
    <comment ref="K36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Net Interest $986
ECP Accretion 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<sst xmlns="http://schemas.openxmlformats.org/spreadsheetml/2006/main" count="1095" uniqueCount="314">
  <si>
    <t>Environmental Energy</t>
  </si>
  <si>
    <t>Restructuring</t>
  </si>
  <si>
    <t>Mexico</t>
  </si>
  <si>
    <t>Total Origination</t>
  </si>
  <si>
    <t>Executive Trading</t>
  </si>
  <si>
    <t>Gas Trading</t>
  </si>
  <si>
    <t>East Power Trading</t>
  </si>
  <si>
    <t>West Power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</si>
  <si>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</si>
  <si>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</si>
  <si>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</si>
  <si>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</si>
  <si>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</si>
  <si>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</si>
  <si>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</si>
  <si>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</si>
  <si>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</si>
  <si>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</si>
  <si>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</si>
  <si>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</si>
  <si>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</si>
  <si>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</si>
  <si>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</si>
  <si>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</si>
  <si>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</si>
  <si>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</si>
  <si>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</si>
  <si>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</si>
  <si>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</si>
  <si>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Treasury</t>
  </si>
  <si>
    <t>Variance</t>
  </si>
  <si>
    <t>Gross</t>
  </si>
  <si>
    <t>Margin</t>
  </si>
  <si>
    <t>Direct</t>
  </si>
  <si>
    <t>Expense</t>
  </si>
  <si>
    <t>Capital</t>
  </si>
  <si>
    <t>Charge</t>
  </si>
  <si>
    <t>Allocated</t>
  </si>
  <si>
    <t>GAS_COMBINED</t>
  </si>
  <si>
    <t>E_PWR_TR</t>
  </si>
  <si>
    <t>W_PWR_TR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</si>
  <si>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</si>
  <si>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</si>
  <si>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</si>
  <si>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</si>
  <si>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</si>
  <si>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</si>
  <si>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</si>
  <si>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</si>
  <si>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</si>
  <si>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</si>
  <si>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</si>
  <si>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</si>
  <si>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</si>
  <si>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</si>
  <si>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</si>
  <si>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</si>
  <si>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</si>
  <si>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</si>
  <si>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</si>
  <si>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</si>
  <si>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CTG_OM</t>
  </si>
  <si>
    <t>OF_CHAIR</t>
  </si>
  <si>
    <t>GROUP</t>
  </si>
  <si>
    <t>TREASURY_INT</t>
  </si>
  <si>
    <t>TREAS</t>
  </si>
  <si>
    <t>PLAN99</t>
  </si>
  <si>
    <t>NET_INCOME</t>
  </si>
  <si>
    <t>M.QTD</t>
  </si>
  <si>
    <t>ECT</t>
  </si>
  <si>
    <t>CLEAN_ENG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</si>
  <si>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</si>
  <si>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</si>
  <si>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</si>
  <si>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</si>
  <si>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</si>
  <si>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</si>
  <si>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</si>
  <si>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</si>
  <si>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</si>
  <si>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</si>
  <si>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</si>
  <si>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Allocated Expense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</si>
  <si>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</si>
  <si>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</si>
  <si>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</si>
  <si>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</si>
  <si>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</si>
  <si>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</si>
  <si>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</si>
  <si>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ENGY_FIN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</si>
  <si>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</si>
  <si>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</si>
  <si>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</si>
  <si>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</si>
  <si>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</si>
  <si>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</si>
  <si>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</si>
  <si>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Trading Margin Required Meet Expectations</t>
  </si>
  <si>
    <t>Drift (IR &amp; F/X)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</si>
  <si>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</si>
  <si>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</si>
  <si>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</si>
  <si>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</si>
  <si>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</si>
  <si>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</si>
  <si>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Portfolio Valuation Issues:</t>
  </si>
  <si>
    <t>Earnings Before Tax</t>
  </si>
  <si>
    <t>Sycamore Forecast (Equity Trading)</t>
  </si>
  <si>
    <t>ComEd (Genco)</t>
  </si>
  <si>
    <t>Upstream Transactions</t>
  </si>
  <si>
    <t>ECOGAS Credits</t>
  </si>
  <si>
    <t>Credit Release (Treasury)</t>
  </si>
  <si>
    <t>Generation Investments Transactions</t>
  </si>
  <si>
    <t>East Midstream Transactions</t>
  </si>
  <si>
    <t>West Midstream Transactions</t>
  </si>
  <si>
    <t>Principal Investing (Byers Locate?)</t>
  </si>
  <si>
    <t>Assets (No support)</t>
  </si>
  <si>
    <t>Pulp &amp; Paper Forecast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</si>
  <si>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</si>
  <si>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</si>
  <si>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</si>
  <si>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</si>
  <si>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</si>
  <si>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</si>
  <si>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</si>
  <si>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treasury</t>
  </si>
  <si>
    <t>Fav/(Unfav)</t>
  </si>
  <si>
    <t>Canada - Trading &amp; Marketing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</si>
  <si>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</si>
  <si>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</si>
  <si>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</si>
  <si>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</si>
  <si>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</si>
  <si>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</si>
  <si>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</si>
  <si>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</si>
  <si>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</si>
  <si>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</si>
  <si>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</si>
  <si>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</si>
  <si>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</si>
  <si>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</si>
  <si>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</si>
  <si>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</si>
  <si>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</si>
  <si>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</si>
  <si>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</si>
  <si>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</si>
  <si>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</si>
  <si>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</si>
  <si>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</si>
  <si>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</si>
  <si>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</si>
  <si>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</si>
  <si>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</si>
  <si>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</si>
  <si>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</si>
  <si>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East Midstream Orgination</t>
  </si>
  <si>
    <t>Paper</t>
  </si>
  <si>
    <t>West Midstream Orgination</t>
  </si>
  <si>
    <t>Upstream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</si>
  <si>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</si>
  <si>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</si>
  <si>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</si>
  <si>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</si>
  <si>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</si>
  <si>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</si>
  <si>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</si>
  <si>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</si>
  <si>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</si>
  <si>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</si>
  <si>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</si>
  <si>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</si>
  <si>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</si>
  <si>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</si>
  <si>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</si>
  <si>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</si>
  <si>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</si>
  <si>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</si>
  <si>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Actuals - January Team Report</t>
  </si>
  <si>
    <t>Plan - January</t>
  </si>
  <si>
    <t>INT_SERV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</si>
  <si>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</si>
  <si>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</si>
  <si>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</si>
  <si>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</si>
  <si>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</si>
  <si>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</si>
  <si>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</si>
  <si>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Saxet Osprey #3</t>
  </si>
  <si>
    <t>Vastar Black Martin</t>
  </si>
  <si>
    <t>Rollovers</t>
  </si>
  <si>
    <t>Lonza</t>
  </si>
  <si>
    <t>Papayoti</t>
  </si>
  <si>
    <t>Chusei</t>
  </si>
  <si>
    <t>Lamphier</t>
  </si>
  <si>
    <t>Mustang-Gallup NM Station</t>
  </si>
  <si>
    <t>Courtney</t>
  </si>
  <si>
    <t>Bryan</t>
  </si>
  <si>
    <t>Martinez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</si>
  <si>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</si>
  <si>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</si>
  <si>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</si>
  <si>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</si>
  <si>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</si>
  <si>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</si>
  <si>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</si>
  <si>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</si>
  <si>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</si>
  <si>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</si>
  <si>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</si>
  <si>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</si>
  <si>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</si>
  <si>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</si>
  <si>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</si>
  <si>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</si>
  <si>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</si>
  <si>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</si>
  <si>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</si>
  <si>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</si>
  <si>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</si>
  <si>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</si>
  <si>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</si>
  <si>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</si>
  <si>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</si>
  <si>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</si>
  <si>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Paper Team</t>
  </si>
  <si>
    <t>Moulton</t>
  </si>
  <si>
    <t>Horning</t>
  </si>
  <si>
    <t>Bonner</t>
  </si>
  <si>
    <t>Holmes</t>
  </si>
  <si>
    <t>Cummings</t>
  </si>
  <si>
    <t>C</t>
  </si>
  <si>
    <t>Compensation increases related to promotions</t>
  </si>
  <si>
    <t>Drift reimbursement adjustment</t>
  </si>
  <si>
    <t>4Q99 FTA of $2,434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</si>
  <si>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</si>
  <si>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</si>
  <si>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</si>
  <si>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</si>
  <si>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</si>
  <si>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</si>
  <si>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</si>
  <si>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</si>
  <si>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</si>
  <si>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Electricities</t>
  </si>
  <si>
    <t>Kroll</t>
  </si>
  <si>
    <t>Great River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</si>
  <si>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</si>
  <si>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</si>
  <si>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</si>
  <si>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</si>
  <si>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</si>
  <si>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</si>
  <si>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</si>
  <si>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</si>
  <si>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</si>
  <si>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</si>
  <si>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</si>
  <si>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</si>
  <si>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Cico Lennox #1</t>
  </si>
  <si>
    <t>Zivley</t>
  </si>
  <si>
    <t>Costilla Freeman</t>
  </si>
  <si>
    <t>Velsicol - GL</t>
  </si>
  <si>
    <t>Waste Management</t>
  </si>
  <si>
    <t>Norampac, Inc.</t>
  </si>
  <si>
    <t>Perkins Tissue</t>
  </si>
  <si>
    <t>2 Deals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</si>
  <si>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</si>
  <si>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</si>
  <si>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</si>
  <si>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</si>
  <si>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</si>
  <si>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</si>
  <si>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East Orig</t>
  </si>
  <si>
    <t>South Hampton</t>
  </si>
  <si>
    <t>57 Deals</t>
  </si>
  <si>
    <t>Louis Dreyfus Services</t>
  </si>
  <si>
    <t>Riley</t>
  </si>
  <si>
    <t>Tri-Union Services</t>
  </si>
  <si>
    <t>22 Deals</t>
  </si>
  <si>
    <t>Drift</t>
  </si>
  <si>
    <t>* Excludes Cap. Charge &amp; Operating Costs</t>
  </si>
  <si>
    <t>London expenses deferred from 4Q99 &amp; currnet quarter FX loss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</si>
  <si>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</si>
  <si>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</si>
  <si>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</si>
  <si>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</si>
  <si>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</si>
  <si>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</si>
  <si>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</si>
  <si>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</si>
  <si>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Blair</t>
  </si>
  <si>
    <t>Clifford</t>
  </si>
  <si>
    <t>TFM</t>
  </si>
  <si>
    <t>Skeena</t>
  </si>
  <si>
    <t>Money Mailer</t>
  </si>
  <si>
    <t>Shields</t>
  </si>
  <si>
    <t>Merlin (American Coal, Dakota, Panther)</t>
  </si>
  <si>
    <t>Big Horn investment</t>
  </si>
  <si>
    <t>Merlin (City Forest, Oconto Falls) &amp; Repap sale 2 months early</t>
  </si>
  <si>
    <t>Lower 1999 investing activity</t>
  </si>
  <si>
    <t>Merlin (HV Marine, LSI, Ridgelake) &amp; Iguana (Mariner)</t>
  </si>
  <si>
    <t>Merlin (CanFibre, Heartland, Kafus Bridge) &amp; Condor (Heartland)</t>
  </si>
  <si>
    <t>Condor (Quanta)</t>
  </si>
  <si>
    <t>Carrizo sale</t>
  </si>
  <si>
    <t>Iguana (East Coast Power)</t>
  </si>
  <si>
    <t>Hurricane delay &amp; Nahanni credit</t>
  </si>
  <si>
    <t>Ducote</t>
  </si>
  <si>
    <t>CMS Energy (Lakewood)</t>
  </si>
  <si>
    <t>Motown</t>
  </si>
  <si>
    <t>Asset Management</t>
  </si>
  <si>
    <t>Results based on Activity through February 18,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</si>
</sst>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 Narrow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64" fontId="18" fillId="0" borderId="9" xfId="1" applyNumberFormat="1" applyFont="1" applyBorder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170" fontId="18" fillId="0" borderId="9" xfId="0" applyNumberFormat="1" applyFont="1" applyBorder="1"/>
    <xf numFmtId="170" fontId="24" fillId="0" borderId="0" xfId="0" applyNumberFormat="1" applyFont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164" fontId="1" fillId="0" borderId="0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29" fillId="0" borderId="13" xfId="0" applyFont="1" applyBorder="1" applyAlignment="1">
      <alignment horizontal="center"/>
    </xf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30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1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9" fillId="0" borderId="11" xfId="1" applyNumberFormat="1" applyFont="1" applyBorder="1"/>
    <xf numFmtId="0" fontId="9" fillId="0" borderId="11" xfId="0" applyNumberFormat="1" applyFont="1" applyBorder="1"/>
    <xf numFmtId="165" fontId="9" fillId="0" borderId="12" xfId="1" applyNumberFormat="1" applyFont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165" fontId="9" fillId="0" borderId="10" xfId="1" applyNumberFormat="1" applyFont="1" applyBorder="1"/>
    <xf numFmtId="165" fontId="13" fillId="0" borderId="12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165" fontId="13" fillId="0" borderId="14" xfId="1" applyNumberFormat="1" applyFont="1" applyBorder="1" applyAlignment="1">
      <alignment horizontal="right"/>
    </xf>
    <xf numFmtId="0" fontId="9" fillId="0" borderId="9" xfId="1" applyNumberFormat="1" applyFont="1" applyBorder="1"/>
    <xf numFmtId="0" fontId="9" fillId="0" borderId="0" xfId="0" applyNumberFormat="1" applyFont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DF737442-C945-A87F-D2F7-B6674247FF8F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A114FB34-D2AA-A867-4FE2-AEDF30058A8F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>
          <a:extLst>
            <a:ext uri="{FF2B5EF4-FFF2-40B4-BE49-F238E27FC236}">
              <a16:creationId xmlns:a16="http://schemas.microsoft.com/office/drawing/2014/main" id="{17EECF51-2209-47D3-20E4-E31D89D61F61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D625F0FF-0BB1-6DFA-2508-712120F10BC0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2</xdr:row>
      <xdr:rowOff>76200</xdr:rowOff>
    </xdr:from>
    <xdr:to>
      <xdr:col>19</xdr:col>
      <xdr:colOff>428625</xdr:colOff>
      <xdr:row>4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91C03004-A0A3-D9D9-4347-D85C829FDF73}"/>
            </a:ext>
          </a:extLst>
        </xdr:cNvPr>
        <xdr:cNvSpPr txBox="1">
          <a:spLocks noChangeArrowheads="1"/>
        </xdr:cNvSpPr>
      </xdr:nvSpPr>
      <xdr:spPr bwMode="auto">
        <a:xfrm>
          <a:off x="7477125" y="76200"/>
          <a:ext cx="1504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2</xdr:row>
      <xdr:rowOff>76200</xdr:rowOff>
    </xdr:from>
    <xdr:to>
      <xdr:col>22</xdr:col>
      <xdr:colOff>438150</xdr:colOff>
      <xdr:row>4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D5404DA8-7A19-9983-2573-D27908C41641}"/>
            </a:ext>
          </a:extLst>
        </xdr:cNvPr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D0AE711E-7458-CEAD-79CC-78FFD9D8E288}"/>
            </a:ext>
          </a:extLst>
        </xdr:cNvPr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927E69F4-AA2D-B99A-3FC4-F617EE57DAFD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8B336FDE-AE82-2F61-C9B4-29E1C5BC802A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AB7A1883-0118-FD9A-EAAD-47BD421C461C}"/>
            </a:ext>
          </a:extLst>
        </xdr:cNvPr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id="{CE8E2BEF-FD02-5BE4-7442-10ACE1FA2DC9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1-021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>
        <row r="10">
          <cell r="D10">
            <v>28098</v>
          </cell>
          <cell r="K10">
            <v>13514</v>
          </cell>
        </row>
        <row r="11">
          <cell r="D11">
            <v>24746</v>
          </cell>
          <cell r="K11">
            <v>6939</v>
          </cell>
        </row>
        <row r="12">
          <cell r="D12">
            <v>11021</v>
          </cell>
          <cell r="K12">
            <v>11387</v>
          </cell>
        </row>
        <row r="13">
          <cell r="D13">
            <v>8475</v>
          </cell>
          <cell r="K13">
            <v>3015</v>
          </cell>
        </row>
        <row r="14">
          <cell r="D14">
            <v>6405</v>
          </cell>
          <cell r="E14">
            <v>1576</v>
          </cell>
          <cell r="F14">
            <v>1512</v>
          </cell>
          <cell r="G14">
            <v>6030</v>
          </cell>
          <cell r="H14">
            <v>-2820</v>
          </cell>
          <cell r="J14">
            <v>0</v>
          </cell>
          <cell r="K14">
            <v>12674</v>
          </cell>
        </row>
        <row r="15">
          <cell r="D15">
            <v>1017</v>
          </cell>
          <cell r="E15">
            <v>-140</v>
          </cell>
          <cell r="F15">
            <v>38</v>
          </cell>
          <cell r="K15">
            <v>12096</v>
          </cell>
        </row>
        <row r="16">
          <cell r="D16">
            <v>-2438</v>
          </cell>
          <cell r="K16">
            <v>5852</v>
          </cell>
        </row>
        <row r="17">
          <cell r="D17">
            <v>1367</v>
          </cell>
          <cell r="K17">
            <v>0</v>
          </cell>
        </row>
        <row r="18">
          <cell r="K18">
            <v>7712</v>
          </cell>
        </row>
        <row r="19">
          <cell r="D19">
            <v>-1033</v>
          </cell>
          <cell r="K19">
            <v>6281</v>
          </cell>
        </row>
        <row r="23">
          <cell r="J23">
            <v>6000</v>
          </cell>
          <cell r="K23">
            <v>8243</v>
          </cell>
        </row>
        <row r="24">
          <cell r="E24">
            <v>2900</v>
          </cell>
          <cell r="F24">
            <v>823</v>
          </cell>
          <cell r="K24">
            <v>10115</v>
          </cell>
        </row>
        <row r="25">
          <cell r="D25">
            <v>2625</v>
          </cell>
          <cell r="E25">
            <v>12</v>
          </cell>
          <cell r="F25">
            <v>178</v>
          </cell>
          <cell r="J25">
            <v>10130</v>
          </cell>
          <cell r="K25">
            <v>276</v>
          </cell>
        </row>
        <row r="26">
          <cell r="F26">
            <v>1</v>
          </cell>
          <cell r="K26">
            <v>2304</v>
          </cell>
        </row>
        <row r="27">
          <cell r="K27">
            <v>6477</v>
          </cell>
        </row>
        <row r="28">
          <cell r="E28">
            <v>6176</v>
          </cell>
          <cell r="F28">
            <v>1829</v>
          </cell>
          <cell r="J28">
            <v>23</v>
          </cell>
          <cell r="K28">
            <v>5273</v>
          </cell>
        </row>
        <row r="29">
          <cell r="E29">
            <v>-17206</v>
          </cell>
          <cell r="F29">
            <v>467</v>
          </cell>
          <cell r="K29">
            <v>21338</v>
          </cell>
        </row>
        <row r="30">
          <cell r="K30">
            <v>4770</v>
          </cell>
        </row>
        <row r="31">
          <cell r="K31">
            <v>0</v>
          </cell>
        </row>
        <row r="35">
          <cell r="D35">
            <v>-1566</v>
          </cell>
          <cell r="K35">
            <v>-1670</v>
          </cell>
        </row>
        <row r="36">
          <cell r="K36">
            <v>9450</v>
          </cell>
        </row>
        <row r="37">
          <cell r="G37">
            <v>10875</v>
          </cell>
          <cell r="J37">
            <v>5576</v>
          </cell>
          <cell r="K37">
            <v>14758</v>
          </cell>
        </row>
        <row r="38">
          <cell r="D38">
            <v>7599</v>
          </cell>
          <cell r="K38">
            <v>0</v>
          </cell>
        </row>
        <row r="42">
          <cell r="E42">
            <v>8743</v>
          </cell>
          <cell r="F42">
            <v>575</v>
          </cell>
          <cell r="J42">
            <v>2300</v>
          </cell>
          <cell r="K42">
            <v>2958</v>
          </cell>
        </row>
        <row r="43">
          <cell r="E43">
            <v>691</v>
          </cell>
          <cell r="F43">
            <v>2227</v>
          </cell>
          <cell r="J43">
            <v>0</v>
          </cell>
          <cell r="K43">
            <v>725</v>
          </cell>
        </row>
        <row r="48">
          <cell r="K48">
            <v>2500</v>
          </cell>
        </row>
        <row r="50">
          <cell r="K50">
            <v>0</v>
          </cell>
        </row>
        <row r="52">
          <cell r="K52">
            <v>-12932</v>
          </cell>
        </row>
        <row r="54">
          <cell r="K54">
            <v>33680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35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5"/>
    <col min="15" max="15" width="9.140625" style="205"/>
    <col min="16" max="24" width="9.140625" style="185"/>
    <col min="25" max="16384" width="9.140625" style="96"/>
  </cols>
  <sheetData>
    <row r="1" spans="1:24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182"/>
      <c r="O1" s="202"/>
      <c r="P1" s="182"/>
      <c r="Q1" s="182"/>
      <c r="R1" s="182"/>
      <c r="S1" s="182"/>
      <c r="T1" s="182"/>
      <c r="U1" s="182"/>
      <c r="V1" s="182"/>
      <c r="W1" s="182"/>
      <c r="X1" s="182"/>
    </row>
    <row r="2" spans="1:24" ht="16.5" x14ac:dyDescent="0.3">
      <c r="A2" s="241" t="s">
        <v>165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183"/>
      <c r="O2" s="203"/>
      <c r="P2" s="183"/>
      <c r="Q2" s="183"/>
      <c r="R2" s="183"/>
      <c r="S2" s="183"/>
      <c r="T2" s="183"/>
      <c r="U2" s="183"/>
      <c r="V2" s="183"/>
      <c r="W2" s="183"/>
      <c r="X2" s="183"/>
    </row>
    <row r="3" spans="1:24" x14ac:dyDescent="0.2">
      <c r="A3" s="242" t="str">
        <f>Summary!A3</f>
        <v>Results based on Activity through February 18, 2000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184"/>
      <c r="O3" s="204"/>
      <c r="P3" s="184"/>
      <c r="Q3" s="184"/>
      <c r="R3" s="184"/>
      <c r="S3" s="184"/>
      <c r="T3" s="184"/>
      <c r="U3" s="184"/>
      <c r="V3" s="184"/>
      <c r="W3" s="184"/>
      <c r="X3" s="184"/>
    </row>
    <row r="4" spans="1:24" ht="3" customHeight="1" x14ac:dyDescent="0.2"/>
    <row r="5" spans="1:24" s="27" customFormat="1" x14ac:dyDescent="0.25">
      <c r="A5" s="186" t="s">
        <v>153</v>
      </c>
      <c r="B5" s="187"/>
      <c r="C5" s="187"/>
      <c r="D5" s="187"/>
      <c r="E5" s="180" t="s">
        <v>154</v>
      </c>
      <c r="F5" s="187"/>
      <c r="G5" s="180" t="s">
        <v>155</v>
      </c>
      <c r="H5" s="187"/>
      <c r="I5" s="180" t="s">
        <v>156</v>
      </c>
      <c r="J5" s="187"/>
      <c r="K5" s="180" t="s">
        <v>157</v>
      </c>
      <c r="L5" s="187"/>
      <c r="M5" s="181" t="s">
        <v>21</v>
      </c>
      <c r="N5" s="188"/>
      <c r="O5" s="206"/>
      <c r="P5" s="188"/>
      <c r="Q5" s="188"/>
      <c r="R5" s="188"/>
      <c r="S5" s="208" t="s">
        <v>206</v>
      </c>
      <c r="T5" s="188"/>
      <c r="U5" s="188"/>
      <c r="V5" s="188"/>
      <c r="W5" s="188"/>
      <c r="X5" s="188"/>
    </row>
    <row r="6" spans="1:24" s="27" customFormat="1" ht="3" customHeight="1" x14ac:dyDescent="0.25">
      <c r="N6" s="188"/>
      <c r="O6" s="207"/>
      <c r="P6" s="188"/>
      <c r="Q6" s="188"/>
      <c r="R6" s="188"/>
      <c r="S6" s="188"/>
      <c r="T6" s="188"/>
      <c r="U6" s="188"/>
      <c r="V6" s="188"/>
      <c r="W6" s="188"/>
      <c r="X6" s="188"/>
    </row>
    <row r="7" spans="1:24" s="27" customFormat="1" hidden="1" x14ac:dyDescent="0.25">
      <c r="A7" s="189" t="s">
        <v>11</v>
      </c>
      <c r="N7" s="188"/>
      <c r="O7" s="207"/>
      <c r="P7" s="188"/>
      <c r="Q7" s="188"/>
      <c r="R7" s="188"/>
      <c r="S7" s="188"/>
      <c r="T7" s="188"/>
      <c r="U7" s="188"/>
      <c r="V7" s="188"/>
      <c r="W7" s="188"/>
      <c r="X7" s="188"/>
    </row>
    <row r="8" spans="1:24" s="27" customFormat="1" hidden="1" x14ac:dyDescent="0.25">
      <c r="E8" s="44"/>
      <c r="F8" s="44"/>
      <c r="G8" s="44"/>
      <c r="H8" s="44"/>
      <c r="I8" s="44"/>
      <c r="J8" s="44"/>
      <c r="K8" s="44"/>
      <c r="L8" s="44"/>
      <c r="M8" s="190"/>
      <c r="N8" s="188"/>
      <c r="O8" s="207"/>
      <c r="P8" s="188"/>
      <c r="Q8" s="188"/>
      <c r="R8" s="188"/>
      <c r="S8" s="188"/>
      <c r="T8" s="188"/>
      <c r="U8" s="188"/>
      <c r="V8" s="188"/>
      <c r="W8" s="188"/>
      <c r="X8" s="188"/>
    </row>
    <row r="9" spans="1:24" s="27" customFormat="1" hidden="1" x14ac:dyDescent="0.25">
      <c r="E9" s="44"/>
      <c r="F9" s="44"/>
      <c r="G9" s="44"/>
      <c r="H9" s="44"/>
      <c r="I9" s="44"/>
      <c r="J9" s="44"/>
      <c r="K9" s="44"/>
      <c r="L9" s="44"/>
      <c r="M9" s="190"/>
      <c r="N9" s="188"/>
      <c r="O9" s="207"/>
      <c r="P9" s="188"/>
      <c r="Q9" s="188"/>
      <c r="R9" s="188"/>
      <c r="S9" s="188"/>
      <c r="T9" s="188"/>
      <c r="U9" s="188"/>
      <c r="V9" s="188"/>
      <c r="W9" s="188"/>
      <c r="X9" s="188"/>
    </row>
    <row r="10" spans="1:24" s="27" customFormat="1" hidden="1" x14ac:dyDescent="0.25">
      <c r="E10" s="44"/>
      <c r="F10" s="44"/>
      <c r="G10" s="44"/>
      <c r="H10" s="44"/>
      <c r="I10" s="44"/>
      <c r="J10" s="44"/>
      <c r="K10" s="44"/>
      <c r="L10" s="44"/>
      <c r="M10" s="44"/>
      <c r="N10" s="188"/>
      <c r="O10" s="207"/>
      <c r="P10" s="188"/>
      <c r="Q10" s="188"/>
      <c r="R10" s="188"/>
      <c r="S10" s="188"/>
      <c r="T10" s="188"/>
      <c r="U10" s="188"/>
      <c r="V10" s="188"/>
      <c r="W10" s="188"/>
      <c r="X10" s="188"/>
    </row>
    <row r="11" spans="1:24" s="27" customFormat="1" ht="3" hidden="1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8"/>
      <c r="O11" s="207"/>
      <c r="P11" s="188"/>
      <c r="Q11" s="188"/>
      <c r="R11" s="188"/>
      <c r="S11" s="188"/>
      <c r="T11" s="188"/>
      <c r="U11" s="188"/>
      <c r="V11" s="188"/>
      <c r="W11" s="188"/>
      <c r="X11" s="188"/>
    </row>
    <row r="12" spans="1:24" s="27" customFormat="1" hidden="1" x14ac:dyDescent="0.25">
      <c r="A12" s="191"/>
      <c r="B12" s="191"/>
      <c r="C12" s="191"/>
      <c r="D12" s="191"/>
      <c r="E12" s="192">
        <f>SUM(E8:E10)</f>
        <v>0</v>
      </c>
      <c r="F12" s="193"/>
      <c r="G12" s="192">
        <f>SUM(G8:G10)</f>
        <v>0</v>
      </c>
      <c r="H12" s="193"/>
      <c r="I12" s="192">
        <f>SUM(I8:I10)</f>
        <v>0</v>
      </c>
      <c r="J12" s="193"/>
      <c r="K12" s="192">
        <f>SUM(K8:K10)</f>
        <v>0</v>
      </c>
      <c r="L12" s="193"/>
      <c r="M12" s="192">
        <f>SUM(E12:K12)</f>
        <v>0</v>
      </c>
      <c r="N12" s="188"/>
      <c r="O12" s="207"/>
      <c r="P12" s="188"/>
      <c r="Q12" s="188"/>
      <c r="R12" s="188"/>
      <c r="S12" s="188"/>
      <c r="T12" s="188"/>
      <c r="U12" s="188"/>
      <c r="V12" s="188"/>
      <c r="W12" s="188"/>
      <c r="X12" s="188"/>
    </row>
    <row r="13" spans="1:24" s="27" customFormat="1" ht="3" hidden="1" customHeight="1" x14ac:dyDescent="0.25">
      <c r="E13" s="44"/>
      <c r="F13" s="44"/>
      <c r="G13" s="44"/>
      <c r="H13" s="44"/>
      <c r="I13" s="44"/>
      <c r="J13" s="44"/>
      <c r="K13" s="44"/>
      <c r="L13" s="44"/>
      <c r="M13" s="44"/>
      <c r="N13" s="188"/>
      <c r="O13" s="207"/>
      <c r="P13" s="188"/>
      <c r="Q13" s="188"/>
      <c r="R13" s="188"/>
      <c r="S13" s="188"/>
      <c r="T13" s="188"/>
      <c r="U13" s="188"/>
      <c r="V13" s="188"/>
      <c r="W13" s="188"/>
      <c r="X13" s="188"/>
    </row>
    <row r="14" spans="1:24" s="27" customFormat="1" x14ac:dyDescent="0.25">
      <c r="A14" s="189" t="s">
        <v>158</v>
      </c>
      <c r="N14" s="188"/>
      <c r="O14" s="207"/>
      <c r="P14" s="188"/>
      <c r="Q14" s="188"/>
      <c r="R14" s="188"/>
      <c r="S14" s="188"/>
      <c r="T14" s="188"/>
      <c r="U14" s="188"/>
      <c r="V14" s="188"/>
      <c r="W14" s="188"/>
      <c r="X14" s="188"/>
    </row>
    <row r="15" spans="1:24" s="27" customFormat="1" x14ac:dyDescent="0.25">
      <c r="B15" s="27" t="s">
        <v>246</v>
      </c>
      <c r="C15" s="27" t="s">
        <v>247</v>
      </c>
      <c r="E15" s="44"/>
      <c r="F15" s="44"/>
      <c r="G15" s="44"/>
      <c r="H15" s="44"/>
      <c r="I15" s="44">
        <v>4000</v>
      </c>
      <c r="J15" s="44"/>
      <c r="K15" s="44"/>
      <c r="L15" s="44"/>
      <c r="M15" s="190"/>
      <c r="N15" s="188"/>
      <c r="O15" s="207"/>
      <c r="P15" s="188"/>
      <c r="Q15" s="188"/>
      <c r="R15" s="188"/>
      <c r="S15" s="188" t="s">
        <v>214</v>
      </c>
      <c r="T15" s="188"/>
      <c r="U15" s="188"/>
      <c r="V15" s="188"/>
      <c r="W15" s="188"/>
      <c r="X15" s="188"/>
    </row>
    <row r="16" spans="1:24" s="27" customFormat="1" x14ac:dyDescent="0.25">
      <c r="B16" s="27" t="s">
        <v>289</v>
      </c>
      <c r="C16" s="27" t="s">
        <v>290</v>
      </c>
      <c r="E16" s="44"/>
      <c r="F16" s="44"/>
      <c r="G16" s="44"/>
      <c r="H16" s="44"/>
      <c r="I16" s="44">
        <v>2000</v>
      </c>
      <c r="J16" s="44"/>
      <c r="K16" s="44"/>
      <c r="L16" s="44"/>
      <c r="M16" s="190"/>
      <c r="N16" s="188"/>
      <c r="O16" s="207"/>
      <c r="P16" s="188"/>
      <c r="Q16" s="188"/>
      <c r="R16" s="188"/>
      <c r="S16" s="188" t="s">
        <v>214</v>
      </c>
      <c r="T16" s="188"/>
      <c r="U16" s="188"/>
      <c r="V16" s="188"/>
      <c r="W16" s="188"/>
      <c r="X16" s="188"/>
    </row>
    <row r="17" spans="1:24" s="27" customFormat="1" x14ac:dyDescent="0.25">
      <c r="B17" s="27" t="s">
        <v>183</v>
      </c>
      <c r="C17" s="27" t="s">
        <v>184</v>
      </c>
      <c r="E17" s="44">
        <v>1200</v>
      </c>
      <c r="F17" s="44"/>
      <c r="G17" s="44"/>
      <c r="H17" s="44"/>
      <c r="I17" s="44"/>
      <c r="J17" s="44"/>
      <c r="K17" s="44"/>
      <c r="L17" s="44"/>
      <c r="M17" s="190"/>
      <c r="N17" s="188"/>
      <c r="O17" s="207"/>
      <c r="P17" s="188"/>
      <c r="Q17" s="188"/>
      <c r="R17" s="188"/>
      <c r="S17" s="188" t="s">
        <v>214</v>
      </c>
      <c r="T17" s="188"/>
      <c r="U17" s="188"/>
      <c r="V17" s="188"/>
      <c r="W17" s="188"/>
      <c r="X17" s="188"/>
    </row>
    <row r="18" spans="1:24" s="27" customFormat="1" x14ac:dyDescent="0.25">
      <c r="B18" s="27" t="s">
        <v>291</v>
      </c>
      <c r="C18" s="27" t="s">
        <v>309</v>
      </c>
      <c r="E18" s="44"/>
      <c r="F18" s="44"/>
      <c r="G18" s="44"/>
      <c r="H18" s="44"/>
      <c r="I18" s="44">
        <v>500</v>
      </c>
      <c r="J18" s="44"/>
      <c r="K18" s="44"/>
      <c r="L18" s="44"/>
      <c r="M18" s="190"/>
      <c r="N18" s="188"/>
      <c r="O18" s="207"/>
      <c r="P18" s="188"/>
      <c r="Q18" s="188"/>
      <c r="R18" s="188"/>
      <c r="S18" s="188" t="s">
        <v>214</v>
      </c>
      <c r="T18" s="188"/>
      <c r="U18" s="188"/>
      <c r="V18" s="188"/>
      <c r="W18" s="188"/>
      <c r="X18" s="188"/>
    </row>
    <row r="19" spans="1:24" s="27" customFormat="1" ht="3" customHeight="1" x14ac:dyDescent="0.25">
      <c r="E19" s="44"/>
      <c r="F19" s="44"/>
      <c r="G19" s="44"/>
      <c r="H19" s="44"/>
      <c r="I19" s="44"/>
      <c r="J19" s="44"/>
      <c r="K19" s="44"/>
      <c r="L19" s="44"/>
      <c r="M19" s="44"/>
      <c r="N19" s="188"/>
      <c r="O19" s="207"/>
      <c r="P19" s="188"/>
      <c r="Q19" s="188"/>
      <c r="R19" s="188"/>
      <c r="S19" s="188"/>
      <c r="T19" s="188"/>
      <c r="U19" s="188"/>
      <c r="V19" s="188"/>
      <c r="W19" s="188"/>
      <c r="X19" s="188"/>
    </row>
    <row r="20" spans="1:24" s="27" customFormat="1" x14ac:dyDescent="0.25">
      <c r="A20" s="191"/>
      <c r="B20" s="191"/>
      <c r="C20" s="191"/>
      <c r="D20" s="191"/>
      <c r="E20" s="192">
        <f>SUM(E15:E18)</f>
        <v>1200</v>
      </c>
      <c r="F20" s="193"/>
      <c r="G20" s="192">
        <f>SUM(G15:G18)</f>
        <v>0</v>
      </c>
      <c r="H20" s="193"/>
      <c r="I20" s="192">
        <f>SUM(I15:I18)</f>
        <v>6500</v>
      </c>
      <c r="J20" s="193"/>
      <c r="K20" s="192">
        <f>SUM(K15:K18)</f>
        <v>0</v>
      </c>
      <c r="L20" s="193"/>
      <c r="M20" s="192">
        <f>SUM(E20:K20)</f>
        <v>7700</v>
      </c>
      <c r="N20" s="188"/>
      <c r="O20" s="207"/>
      <c r="P20" s="188"/>
      <c r="Q20" s="188"/>
      <c r="R20" s="188"/>
      <c r="S20" s="188"/>
      <c r="T20" s="188"/>
      <c r="U20" s="188"/>
      <c r="V20" s="188"/>
      <c r="W20" s="188"/>
      <c r="X20" s="188"/>
    </row>
    <row r="21" spans="1:24" s="27" customFormat="1" ht="3" customHeight="1" x14ac:dyDescent="0.25">
      <c r="E21" s="44"/>
      <c r="F21" s="44"/>
      <c r="G21" s="44"/>
      <c r="H21" s="44"/>
      <c r="I21" s="44"/>
      <c r="J21" s="44"/>
      <c r="K21" s="44"/>
      <c r="L21" s="44"/>
      <c r="M21" s="44"/>
      <c r="N21" s="188"/>
      <c r="O21" s="207"/>
      <c r="P21" s="188"/>
      <c r="Q21" s="188"/>
      <c r="R21" s="188"/>
      <c r="S21" s="188"/>
      <c r="T21" s="188"/>
      <c r="U21" s="188"/>
      <c r="V21" s="188"/>
      <c r="W21" s="188"/>
      <c r="X21" s="188"/>
    </row>
    <row r="22" spans="1:24" s="27" customFormat="1" ht="12.75" customHeight="1" x14ac:dyDescent="0.25">
      <c r="A22" s="189" t="s">
        <v>2</v>
      </c>
      <c r="E22" s="44"/>
      <c r="F22" s="44"/>
      <c r="G22" s="44"/>
      <c r="H22" s="44"/>
      <c r="I22" s="44"/>
      <c r="J22" s="44"/>
      <c r="K22" s="44"/>
      <c r="L22" s="44"/>
      <c r="M22" s="44"/>
      <c r="N22" s="188"/>
      <c r="O22" s="207"/>
      <c r="P22" s="188"/>
      <c r="Q22" s="188"/>
      <c r="R22" s="188"/>
      <c r="S22" s="188"/>
      <c r="T22" s="188"/>
      <c r="U22" s="188"/>
      <c r="V22" s="188"/>
      <c r="W22" s="188"/>
      <c r="X22" s="188"/>
    </row>
    <row r="23" spans="1:24" s="27" customFormat="1" ht="12.75" customHeight="1" x14ac:dyDescent="0.25">
      <c r="B23" s="27" t="s">
        <v>295</v>
      </c>
      <c r="E23" s="44"/>
      <c r="F23" s="44"/>
      <c r="G23" s="44"/>
      <c r="H23" s="44"/>
      <c r="I23" s="44">
        <v>1000</v>
      </c>
      <c r="J23" s="44"/>
      <c r="K23" s="44"/>
      <c r="L23" s="44"/>
      <c r="M23" s="44"/>
      <c r="N23" s="188"/>
      <c r="O23" s="207"/>
      <c r="P23" s="188"/>
      <c r="Q23" s="188"/>
      <c r="R23" s="188"/>
      <c r="S23" s="188"/>
      <c r="T23" s="188"/>
      <c r="U23" s="188"/>
      <c r="V23" s="188"/>
      <c r="W23" s="188"/>
      <c r="X23" s="188"/>
    </row>
    <row r="24" spans="1:24" s="27" customFormat="1" ht="3" customHeight="1" x14ac:dyDescent="0.25">
      <c r="E24" s="44"/>
      <c r="F24" s="44"/>
      <c r="G24" s="44"/>
      <c r="H24" s="44"/>
      <c r="I24" s="44"/>
      <c r="J24" s="44"/>
      <c r="K24" s="44"/>
      <c r="L24" s="44"/>
      <c r="M24" s="44"/>
      <c r="N24" s="188"/>
      <c r="O24" s="207"/>
      <c r="P24" s="188"/>
      <c r="Q24" s="188"/>
      <c r="R24" s="188"/>
      <c r="S24" s="188"/>
      <c r="T24" s="188"/>
      <c r="U24" s="188"/>
      <c r="V24" s="188"/>
      <c r="W24" s="188"/>
      <c r="X24" s="188"/>
    </row>
    <row r="25" spans="1:24" s="27" customFormat="1" ht="12.75" customHeight="1" x14ac:dyDescent="0.25">
      <c r="A25" s="191"/>
      <c r="B25" s="191"/>
      <c r="C25" s="191"/>
      <c r="D25" s="191"/>
      <c r="E25" s="192">
        <f>SUM(E23:E23)</f>
        <v>0</v>
      </c>
      <c r="F25" s="193"/>
      <c r="G25" s="192">
        <f>SUM(G23:G23)</f>
        <v>0</v>
      </c>
      <c r="H25" s="193"/>
      <c r="I25" s="192">
        <f>SUM(I23:I23)</f>
        <v>1000</v>
      </c>
      <c r="J25" s="193"/>
      <c r="K25" s="192">
        <f>SUM(K23:K23)</f>
        <v>0</v>
      </c>
      <c r="L25" s="193"/>
      <c r="M25" s="192">
        <f>SUM(E25:K25)</f>
        <v>1000</v>
      </c>
      <c r="N25" s="188"/>
      <c r="O25" s="207"/>
      <c r="P25" s="188"/>
      <c r="Q25" s="188"/>
      <c r="R25" s="188"/>
      <c r="S25" s="188"/>
      <c r="T25" s="188"/>
      <c r="U25" s="188"/>
      <c r="V25" s="188"/>
      <c r="W25" s="188"/>
      <c r="X25" s="188"/>
    </row>
    <row r="26" spans="1:24" s="27" customFormat="1" ht="3" customHeigh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88"/>
      <c r="O26" s="207"/>
      <c r="P26" s="188"/>
      <c r="Q26" s="188"/>
      <c r="R26" s="188"/>
      <c r="S26" s="188"/>
      <c r="T26" s="188"/>
      <c r="U26" s="188"/>
      <c r="V26" s="188"/>
      <c r="W26" s="188"/>
      <c r="X26" s="188"/>
    </row>
    <row r="27" spans="1:24" s="27" customFormat="1" x14ac:dyDescent="0.25">
      <c r="A27" s="189" t="s">
        <v>147</v>
      </c>
      <c r="E27" s="44"/>
      <c r="F27" s="44"/>
      <c r="G27" s="44"/>
      <c r="H27" s="44"/>
      <c r="I27" s="44"/>
      <c r="J27" s="44"/>
      <c r="K27" s="44"/>
      <c r="L27" s="44"/>
      <c r="M27" s="44"/>
      <c r="N27" s="188"/>
      <c r="O27" s="207"/>
      <c r="P27" s="188"/>
      <c r="Q27" s="188"/>
      <c r="R27" s="188"/>
      <c r="S27" s="188"/>
      <c r="T27" s="188"/>
      <c r="U27" s="188"/>
      <c r="V27" s="188"/>
      <c r="W27" s="188"/>
      <c r="X27" s="188"/>
    </row>
    <row r="28" spans="1:24" s="27" customFormat="1" x14ac:dyDescent="0.25">
      <c r="B28" s="27" t="s">
        <v>296</v>
      </c>
      <c r="C28" s="27" t="s">
        <v>227</v>
      </c>
      <c r="E28" s="44"/>
      <c r="F28" s="44"/>
      <c r="G28" s="44"/>
      <c r="H28" s="44"/>
      <c r="I28" s="44">
        <v>40000</v>
      </c>
      <c r="J28" s="44"/>
      <c r="K28" s="44"/>
      <c r="L28" s="44"/>
      <c r="M28" s="44"/>
      <c r="N28" s="188"/>
      <c r="O28" s="207"/>
      <c r="P28" s="188"/>
      <c r="Q28" s="188"/>
      <c r="R28" s="188"/>
      <c r="S28" s="188" t="s">
        <v>233</v>
      </c>
      <c r="T28" s="188"/>
      <c r="U28" s="188"/>
      <c r="V28" s="188"/>
      <c r="W28" s="188"/>
      <c r="X28" s="188"/>
    </row>
    <row r="29" spans="1:24" s="27" customFormat="1" x14ac:dyDescent="0.25">
      <c r="B29" s="27" t="s">
        <v>223</v>
      </c>
      <c r="C29" s="27" t="s">
        <v>227</v>
      </c>
      <c r="E29" s="44"/>
      <c r="F29" s="44"/>
      <c r="G29" s="44"/>
      <c r="H29" s="44"/>
      <c r="I29" s="44">
        <v>9500</v>
      </c>
      <c r="J29" s="44"/>
      <c r="K29" s="44"/>
      <c r="L29" s="44"/>
      <c r="M29" s="44"/>
      <c r="N29" s="188"/>
      <c r="O29" s="207"/>
      <c r="P29" s="188"/>
      <c r="Q29" s="188"/>
      <c r="R29" s="188"/>
      <c r="S29" s="188" t="s">
        <v>233</v>
      </c>
      <c r="T29" s="188"/>
      <c r="U29" s="188"/>
      <c r="V29" s="188"/>
      <c r="W29" s="188"/>
      <c r="X29" s="188"/>
    </row>
    <row r="30" spans="1:24" s="27" customFormat="1" x14ac:dyDescent="0.25">
      <c r="B30" s="27" t="s">
        <v>266</v>
      </c>
      <c r="C30" s="27" t="s">
        <v>228</v>
      </c>
      <c r="E30" s="44"/>
      <c r="F30" s="44"/>
      <c r="G30" s="44"/>
      <c r="H30" s="44"/>
      <c r="I30" s="44">
        <v>360</v>
      </c>
      <c r="J30" s="44"/>
      <c r="K30" s="44"/>
      <c r="L30" s="44"/>
      <c r="M30" s="44"/>
      <c r="N30" s="188"/>
      <c r="O30" s="207"/>
      <c r="P30" s="188"/>
      <c r="Q30" s="188"/>
      <c r="R30" s="188"/>
      <c r="S30" s="188" t="s">
        <v>233</v>
      </c>
      <c r="T30" s="188"/>
      <c r="U30" s="188"/>
      <c r="V30" s="188"/>
      <c r="W30" s="188"/>
      <c r="X30" s="188"/>
    </row>
    <row r="31" spans="1:24" s="27" customFormat="1" x14ac:dyDescent="0.25">
      <c r="B31" s="27" t="s">
        <v>267</v>
      </c>
      <c r="C31" s="27" t="s">
        <v>228</v>
      </c>
      <c r="E31" s="44"/>
      <c r="F31" s="44"/>
      <c r="G31" s="44"/>
      <c r="H31" s="44"/>
      <c r="I31" s="44">
        <v>150</v>
      </c>
      <c r="J31" s="44"/>
      <c r="K31" s="44"/>
      <c r="L31" s="44"/>
      <c r="M31" s="44"/>
      <c r="N31" s="188"/>
      <c r="O31" s="207"/>
      <c r="P31" s="188"/>
      <c r="Q31" s="188"/>
      <c r="R31" s="188"/>
      <c r="S31" s="188" t="s">
        <v>233</v>
      </c>
      <c r="T31" s="188"/>
      <c r="U31" s="188"/>
      <c r="V31" s="188"/>
      <c r="W31" s="188"/>
      <c r="X31" s="188"/>
    </row>
    <row r="32" spans="1:24" s="27" customFormat="1" x14ac:dyDescent="0.25">
      <c r="B32" s="27" t="s">
        <v>297</v>
      </c>
      <c r="C32" s="27" t="s">
        <v>298</v>
      </c>
      <c r="E32" s="44"/>
      <c r="F32" s="44"/>
      <c r="G32" s="44"/>
      <c r="H32" s="44"/>
      <c r="I32" s="44"/>
      <c r="J32" s="44"/>
      <c r="K32" s="44">
        <v>50</v>
      </c>
      <c r="L32" s="44"/>
      <c r="M32" s="44"/>
      <c r="N32" s="188"/>
      <c r="O32" s="207"/>
      <c r="P32" s="188"/>
      <c r="Q32" s="188"/>
      <c r="R32" s="188"/>
      <c r="S32" s="188" t="s">
        <v>233</v>
      </c>
      <c r="T32" s="188"/>
      <c r="U32" s="188"/>
      <c r="V32" s="188"/>
      <c r="W32" s="188"/>
      <c r="X32" s="188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8"/>
      <c r="O33" s="207"/>
      <c r="P33" s="188"/>
      <c r="Q33" s="188"/>
      <c r="R33" s="188"/>
      <c r="S33" s="188"/>
      <c r="T33" s="188"/>
      <c r="U33" s="188"/>
      <c r="V33" s="188"/>
      <c r="W33" s="188"/>
      <c r="X33" s="188"/>
    </row>
    <row r="34" spans="1:24" s="27" customFormat="1" x14ac:dyDescent="0.25">
      <c r="A34" s="191"/>
      <c r="B34" s="191"/>
      <c r="C34" s="191"/>
      <c r="D34" s="191"/>
      <c r="E34" s="192">
        <f>SUM(E28:E32)</f>
        <v>0</v>
      </c>
      <c r="F34" s="193"/>
      <c r="G34" s="192">
        <f>SUM(G28:G32)</f>
        <v>0</v>
      </c>
      <c r="H34" s="193"/>
      <c r="I34" s="192">
        <f>SUM(I28:I32)</f>
        <v>50010</v>
      </c>
      <c r="J34" s="193"/>
      <c r="K34" s="192">
        <f>SUM(K28:K32)</f>
        <v>50</v>
      </c>
      <c r="L34" s="193"/>
      <c r="M34" s="192">
        <f>SUM(E34:K34)</f>
        <v>50060</v>
      </c>
      <c r="N34" s="188"/>
      <c r="O34" s="207"/>
      <c r="P34" s="188"/>
      <c r="Q34" s="188"/>
      <c r="R34" s="188"/>
      <c r="S34" s="188"/>
      <c r="T34" s="188"/>
      <c r="U34" s="188"/>
      <c r="V34" s="188"/>
      <c r="W34" s="188"/>
      <c r="X34" s="188"/>
    </row>
    <row r="35" spans="1:24" s="27" customFormat="1" ht="3" customHeight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8"/>
      <c r="O35" s="207"/>
      <c r="P35" s="188"/>
      <c r="Q35" s="188"/>
      <c r="R35" s="188"/>
      <c r="S35" s="188"/>
      <c r="T35" s="188"/>
      <c r="U35" s="188"/>
      <c r="V35" s="188"/>
      <c r="W35" s="188"/>
      <c r="X35" s="188"/>
    </row>
    <row r="36" spans="1:24" s="27" customFormat="1" x14ac:dyDescent="0.25">
      <c r="A36" s="189" t="s">
        <v>148</v>
      </c>
      <c r="E36" s="44"/>
      <c r="F36" s="44"/>
      <c r="G36" s="44"/>
      <c r="H36" s="44"/>
      <c r="I36" s="44"/>
      <c r="J36" s="44"/>
      <c r="K36" s="44"/>
      <c r="L36" s="44"/>
      <c r="M36" s="44"/>
      <c r="N36" s="188"/>
      <c r="O36" s="207"/>
      <c r="P36" s="188"/>
      <c r="Q36" s="188"/>
      <c r="R36" s="188"/>
      <c r="S36" s="188"/>
      <c r="T36" s="188"/>
      <c r="U36" s="188"/>
      <c r="V36" s="188"/>
      <c r="W36" s="188"/>
      <c r="X36" s="188"/>
    </row>
    <row r="37" spans="1:24" s="27" customFormat="1" x14ac:dyDescent="0.25">
      <c r="B37" s="27" t="s">
        <v>292</v>
      </c>
      <c r="E37" s="44"/>
      <c r="F37" s="44"/>
      <c r="G37" s="44"/>
      <c r="H37" s="44"/>
      <c r="I37" s="44">
        <v>5000</v>
      </c>
      <c r="J37" s="44"/>
      <c r="K37" s="44"/>
      <c r="L37" s="44"/>
      <c r="M37" s="44"/>
      <c r="N37" s="188"/>
      <c r="O37" s="207"/>
      <c r="P37" s="188"/>
      <c r="Q37" s="188"/>
      <c r="R37" s="188"/>
      <c r="S37" s="188"/>
      <c r="T37" s="188"/>
      <c r="U37" s="188"/>
      <c r="V37" s="188"/>
      <c r="W37" s="188"/>
      <c r="X37" s="188"/>
    </row>
    <row r="38" spans="1:24" s="27" customFormat="1" ht="3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8"/>
      <c r="O38" s="207"/>
      <c r="P38" s="188"/>
      <c r="Q38" s="188"/>
      <c r="R38" s="188"/>
      <c r="S38" s="188"/>
      <c r="T38" s="188"/>
      <c r="U38" s="188"/>
      <c r="V38" s="188"/>
      <c r="W38" s="188"/>
      <c r="X38" s="188"/>
    </row>
    <row r="39" spans="1:24" s="27" customFormat="1" x14ac:dyDescent="0.25">
      <c r="A39" s="191"/>
      <c r="B39" s="191"/>
      <c r="C39" s="191"/>
      <c r="D39" s="191"/>
      <c r="E39" s="192">
        <f>SUM(E37:E37)</f>
        <v>0</v>
      </c>
      <c r="F39" s="193"/>
      <c r="G39" s="192">
        <f>SUM(G37:G37)</f>
        <v>0</v>
      </c>
      <c r="H39" s="193"/>
      <c r="I39" s="192">
        <f>SUM(I37:I37)</f>
        <v>5000</v>
      </c>
      <c r="J39" s="193"/>
      <c r="K39" s="192">
        <f>SUM(K37:K37)</f>
        <v>0</v>
      </c>
      <c r="L39" s="193"/>
      <c r="M39" s="192">
        <f>SUM(E39:K39)</f>
        <v>5000</v>
      </c>
      <c r="N39" s="188"/>
      <c r="O39" s="207"/>
      <c r="P39" s="188"/>
      <c r="Q39" s="188"/>
      <c r="R39" s="188"/>
      <c r="S39" s="188"/>
      <c r="T39" s="188"/>
      <c r="U39" s="188"/>
      <c r="V39" s="188"/>
      <c r="W39" s="188"/>
      <c r="X39" s="188"/>
    </row>
    <row r="40" spans="1:24" s="27" customFormat="1" ht="3" customHeight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8"/>
      <c r="O40" s="207"/>
      <c r="P40" s="188"/>
      <c r="Q40" s="188"/>
      <c r="R40" s="188"/>
      <c r="S40" s="188"/>
      <c r="T40" s="188"/>
      <c r="U40" s="188"/>
      <c r="V40" s="188"/>
      <c r="W40" s="188"/>
      <c r="X40" s="188"/>
    </row>
    <row r="41" spans="1:24" s="27" customFormat="1" hidden="1" x14ac:dyDescent="0.25">
      <c r="A41" s="189" t="s">
        <v>160</v>
      </c>
      <c r="E41" s="44"/>
      <c r="F41" s="44"/>
      <c r="G41" s="44"/>
      <c r="H41" s="44"/>
      <c r="I41" s="44"/>
      <c r="J41" s="44"/>
      <c r="K41" s="44"/>
      <c r="L41" s="44"/>
      <c r="M41" s="44"/>
      <c r="N41" s="188"/>
      <c r="O41" s="207"/>
      <c r="P41" s="188"/>
      <c r="Q41" s="188"/>
      <c r="R41" s="188"/>
      <c r="S41" s="188"/>
      <c r="T41" s="188"/>
      <c r="U41" s="188"/>
      <c r="V41" s="188"/>
      <c r="W41" s="188"/>
      <c r="X41" s="188"/>
    </row>
    <row r="42" spans="1:24" s="27" customFormat="1" hidden="1" x14ac:dyDescent="0.25">
      <c r="E42" s="44"/>
      <c r="F42" s="44"/>
      <c r="G42" s="44"/>
      <c r="H42" s="44"/>
      <c r="I42" s="44"/>
      <c r="J42" s="44"/>
      <c r="K42" s="44"/>
      <c r="L42" s="44"/>
      <c r="M42" s="44"/>
      <c r="N42" s="188"/>
      <c r="O42" s="207"/>
      <c r="P42" s="188"/>
      <c r="Q42" s="188"/>
      <c r="R42" s="188"/>
      <c r="S42" s="188"/>
      <c r="T42" s="188"/>
      <c r="U42" s="188"/>
      <c r="V42" s="188"/>
      <c r="W42" s="188"/>
      <c r="X42" s="188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8"/>
      <c r="O43" s="207"/>
      <c r="P43" s="188"/>
      <c r="Q43" s="188"/>
      <c r="R43" s="188"/>
      <c r="S43" s="188"/>
      <c r="T43" s="188"/>
      <c r="U43" s="188"/>
      <c r="V43" s="188"/>
      <c r="W43" s="188"/>
      <c r="X43" s="188"/>
    </row>
    <row r="44" spans="1:24" s="27" customFormat="1" hidden="1" x14ac:dyDescent="0.25">
      <c r="A44" s="191"/>
      <c r="B44" s="191"/>
      <c r="C44" s="191"/>
      <c r="D44" s="191"/>
      <c r="E44" s="192">
        <f>SUM(E42:E42)</f>
        <v>0</v>
      </c>
      <c r="F44" s="193"/>
      <c r="G44" s="192">
        <f>SUM(G42:G42)</f>
        <v>0</v>
      </c>
      <c r="H44" s="193"/>
      <c r="I44" s="192">
        <f>SUM(I42:I42)</f>
        <v>0</v>
      </c>
      <c r="J44" s="193"/>
      <c r="K44" s="192">
        <f>SUM(K42:K42)</f>
        <v>0</v>
      </c>
      <c r="L44" s="193"/>
      <c r="M44" s="192">
        <f>SUM(E44:K44)</f>
        <v>0</v>
      </c>
      <c r="N44" s="188"/>
      <c r="O44" s="207"/>
      <c r="P44" s="188"/>
      <c r="Q44" s="188"/>
      <c r="R44" s="188"/>
      <c r="S44" s="188"/>
      <c r="T44" s="188"/>
      <c r="U44" s="188"/>
      <c r="V44" s="188"/>
      <c r="W44" s="188"/>
      <c r="X44" s="188"/>
    </row>
    <row r="45" spans="1:24" s="27" customFormat="1" ht="3" hidden="1" customHeight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8"/>
      <c r="O45" s="207"/>
      <c r="P45" s="188"/>
      <c r="Q45" s="188"/>
      <c r="R45" s="188"/>
      <c r="S45" s="188"/>
      <c r="T45" s="188"/>
      <c r="U45" s="188"/>
      <c r="V45" s="188"/>
      <c r="W45" s="188"/>
      <c r="X45" s="188"/>
    </row>
    <row r="46" spans="1:24" s="27" customFormat="1" x14ac:dyDescent="0.25">
      <c r="A46" s="189" t="s">
        <v>161</v>
      </c>
      <c r="E46" s="44"/>
      <c r="F46" s="44"/>
      <c r="G46" s="44"/>
      <c r="H46" s="44"/>
      <c r="I46" s="44"/>
      <c r="J46" s="44"/>
      <c r="K46" s="44"/>
      <c r="L46" s="44"/>
      <c r="M46" s="44"/>
      <c r="N46" s="188"/>
      <c r="O46" s="207"/>
      <c r="P46" s="188"/>
      <c r="Q46" s="188"/>
      <c r="R46" s="188"/>
      <c r="S46" s="188"/>
      <c r="T46" s="188"/>
      <c r="U46" s="188"/>
      <c r="V46" s="188"/>
      <c r="W46" s="188"/>
      <c r="X46" s="188"/>
    </row>
    <row r="47" spans="1:24" s="27" customFormat="1" x14ac:dyDescent="0.25">
      <c r="B47" s="27" t="s">
        <v>201</v>
      </c>
      <c r="E47" s="44"/>
      <c r="F47" s="44"/>
      <c r="G47" s="44"/>
      <c r="H47" s="44"/>
      <c r="I47" s="44"/>
      <c r="J47" s="44"/>
      <c r="K47" s="44">
        <v>23</v>
      </c>
      <c r="L47" s="44"/>
      <c r="M47" s="44"/>
      <c r="N47" s="188"/>
      <c r="O47" s="207"/>
      <c r="P47" s="188"/>
      <c r="Q47" s="188"/>
      <c r="R47" s="188"/>
      <c r="S47" s="188" t="s">
        <v>208</v>
      </c>
      <c r="T47" s="188"/>
      <c r="U47" s="188"/>
      <c r="V47" s="188"/>
      <c r="W47" s="188"/>
      <c r="X47" s="188"/>
    </row>
    <row r="48" spans="1:24" s="27" customFormat="1" ht="3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8"/>
      <c r="O48" s="207"/>
      <c r="P48" s="188"/>
      <c r="Q48" s="188"/>
      <c r="R48" s="188"/>
      <c r="S48" s="188"/>
      <c r="T48" s="188"/>
      <c r="U48" s="188"/>
      <c r="V48" s="188"/>
      <c r="W48" s="188"/>
      <c r="X48" s="188"/>
    </row>
    <row r="49" spans="1:24" s="27" customFormat="1" x14ac:dyDescent="0.25">
      <c r="A49" s="191"/>
      <c r="B49" s="191"/>
      <c r="C49" s="191"/>
      <c r="D49" s="191"/>
      <c r="E49" s="192">
        <f>SUM(E47:E47)</f>
        <v>0</v>
      </c>
      <c r="F49" s="193"/>
      <c r="G49" s="192">
        <f>SUM(G47:G47)</f>
        <v>0</v>
      </c>
      <c r="H49" s="193"/>
      <c r="I49" s="192">
        <f>SUM(I47:I47)</f>
        <v>0</v>
      </c>
      <c r="J49" s="193"/>
      <c r="K49" s="192">
        <f>SUM(K47:K47)</f>
        <v>23</v>
      </c>
      <c r="L49" s="193"/>
      <c r="M49" s="192">
        <f>SUM(E49:K49)</f>
        <v>23</v>
      </c>
      <c r="N49" s="188"/>
      <c r="O49" s="207"/>
      <c r="P49" s="188"/>
      <c r="Q49" s="188"/>
      <c r="R49" s="188"/>
      <c r="S49" s="188"/>
      <c r="T49" s="188"/>
      <c r="U49" s="188"/>
      <c r="V49" s="188"/>
      <c r="W49" s="188"/>
      <c r="X49" s="188"/>
    </row>
    <row r="50" spans="1:24" s="27" customFormat="1" ht="3" customHeight="1" x14ac:dyDescent="0.25">
      <c r="E50" s="44"/>
      <c r="F50" s="44"/>
      <c r="G50" s="44"/>
      <c r="H50" s="44"/>
      <c r="I50" s="44"/>
      <c r="J50" s="44"/>
      <c r="K50" s="44"/>
      <c r="L50" s="44"/>
      <c r="M50" s="44"/>
      <c r="N50" s="188"/>
      <c r="O50" s="207"/>
      <c r="P50" s="188"/>
      <c r="Q50" s="188"/>
      <c r="R50" s="188"/>
      <c r="S50" s="188"/>
      <c r="T50" s="188"/>
      <c r="U50" s="188"/>
      <c r="V50" s="188"/>
      <c r="W50" s="188"/>
      <c r="X50" s="188"/>
    </row>
    <row r="51" spans="1:24" s="27" customFormat="1" x14ac:dyDescent="0.25">
      <c r="A51" s="189" t="s">
        <v>119</v>
      </c>
      <c r="E51" s="44"/>
      <c r="F51" s="44"/>
      <c r="G51" s="44"/>
      <c r="H51" s="44"/>
      <c r="I51" s="44"/>
      <c r="J51" s="44"/>
      <c r="K51" s="44"/>
      <c r="L51" s="44"/>
      <c r="M51" s="44"/>
      <c r="N51" s="188"/>
      <c r="O51" s="207"/>
      <c r="P51" s="188"/>
      <c r="Q51" s="188"/>
      <c r="R51" s="188"/>
      <c r="S51" s="188"/>
      <c r="T51" s="188"/>
      <c r="U51" s="188"/>
      <c r="V51" s="188"/>
      <c r="W51" s="188"/>
      <c r="X51" s="188"/>
    </row>
    <row r="52" spans="1:24" s="27" customFormat="1" x14ac:dyDescent="0.25">
      <c r="A52" s="189"/>
      <c r="B52" s="27" t="s">
        <v>310</v>
      </c>
      <c r="C52" s="27" t="s">
        <v>293</v>
      </c>
      <c r="E52" s="44"/>
      <c r="F52" s="44"/>
      <c r="G52" s="44"/>
      <c r="H52" s="44"/>
      <c r="I52" s="44">
        <v>5000</v>
      </c>
      <c r="J52" s="44"/>
      <c r="K52" s="44"/>
      <c r="L52" s="44"/>
      <c r="M52" s="44"/>
      <c r="N52" s="188"/>
      <c r="O52" s="207"/>
      <c r="P52" s="188"/>
      <c r="Q52" s="188"/>
      <c r="R52" s="188"/>
      <c r="S52" s="188" t="s">
        <v>208</v>
      </c>
      <c r="T52" s="188"/>
      <c r="U52" s="188"/>
      <c r="V52" s="188"/>
      <c r="W52" s="188"/>
      <c r="X52" s="188"/>
    </row>
    <row r="53" spans="1:24" s="27" customFormat="1" x14ac:dyDescent="0.25">
      <c r="A53" s="189"/>
      <c r="B53" s="27" t="s">
        <v>311</v>
      </c>
      <c r="C53" s="27" t="s">
        <v>294</v>
      </c>
      <c r="E53" s="44"/>
      <c r="F53" s="44"/>
      <c r="G53" s="44"/>
      <c r="H53" s="44"/>
      <c r="I53" s="44">
        <v>5000</v>
      </c>
      <c r="J53" s="44"/>
      <c r="K53" s="44"/>
      <c r="L53" s="44"/>
      <c r="M53" s="44"/>
      <c r="N53" s="188"/>
      <c r="O53" s="207"/>
      <c r="P53" s="188"/>
      <c r="Q53" s="188"/>
      <c r="R53" s="188"/>
      <c r="S53" s="188" t="s">
        <v>208</v>
      </c>
      <c r="T53" s="188"/>
      <c r="U53" s="188"/>
      <c r="V53" s="188"/>
      <c r="W53" s="188"/>
      <c r="X53" s="188"/>
    </row>
    <row r="54" spans="1:24" s="27" customFormat="1" ht="3" customHeight="1" x14ac:dyDescent="0.25">
      <c r="E54" s="44"/>
      <c r="F54" s="44"/>
      <c r="G54" s="44"/>
      <c r="H54" s="44"/>
      <c r="I54" s="44"/>
      <c r="J54" s="44"/>
      <c r="K54" s="44"/>
      <c r="L54" s="44"/>
      <c r="M54" s="44"/>
      <c r="N54" s="188"/>
      <c r="O54" s="207"/>
      <c r="P54" s="188"/>
      <c r="Q54" s="188"/>
      <c r="R54" s="188"/>
      <c r="S54" s="188"/>
      <c r="T54" s="188"/>
      <c r="U54" s="188"/>
      <c r="V54" s="188"/>
      <c r="W54" s="188"/>
      <c r="X54" s="188"/>
    </row>
    <row r="55" spans="1:24" s="27" customFormat="1" x14ac:dyDescent="0.25">
      <c r="A55" s="191"/>
      <c r="B55" s="191"/>
      <c r="C55" s="191"/>
      <c r="D55" s="191"/>
      <c r="E55" s="192">
        <f>SUM(E52:E53)</f>
        <v>0</v>
      </c>
      <c r="F55" s="193"/>
      <c r="G55" s="192">
        <f>SUM(G52:G53)</f>
        <v>0</v>
      </c>
      <c r="H55" s="193"/>
      <c r="I55" s="192">
        <f>SUM(I52:I53)</f>
        <v>10000</v>
      </c>
      <c r="J55" s="193"/>
      <c r="K55" s="192">
        <f>SUM(K52:K53)</f>
        <v>0</v>
      </c>
      <c r="L55" s="193"/>
      <c r="M55" s="192">
        <f>SUM(E55:K55)</f>
        <v>10000</v>
      </c>
      <c r="N55" s="188"/>
      <c r="O55" s="207"/>
      <c r="P55" s="188"/>
      <c r="Q55" s="188"/>
      <c r="R55" s="188"/>
      <c r="S55" s="188"/>
      <c r="T55" s="188"/>
      <c r="U55" s="188"/>
      <c r="V55" s="188"/>
      <c r="W55" s="188"/>
      <c r="X55" s="188"/>
    </row>
    <row r="56" spans="1:24" s="27" customFormat="1" ht="3" customHeight="1" x14ac:dyDescent="0.25">
      <c r="E56" s="44"/>
      <c r="F56" s="44"/>
      <c r="G56" s="44"/>
      <c r="H56" s="44"/>
      <c r="I56" s="44"/>
      <c r="J56" s="44"/>
      <c r="K56" s="44"/>
      <c r="L56" s="44"/>
      <c r="M56" s="44"/>
      <c r="N56" s="188"/>
      <c r="O56" s="207"/>
      <c r="P56" s="188"/>
      <c r="Q56" s="188"/>
      <c r="R56" s="188"/>
      <c r="S56" s="188"/>
      <c r="T56" s="188"/>
      <c r="U56" s="188"/>
      <c r="V56" s="188"/>
      <c r="W56" s="188"/>
      <c r="X56" s="188"/>
    </row>
    <row r="57" spans="1:24" s="27" customFormat="1" x14ac:dyDescent="0.25">
      <c r="A57" s="189" t="s">
        <v>162</v>
      </c>
      <c r="E57" s="44"/>
      <c r="F57" s="44"/>
      <c r="G57" s="44"/>
      <c r="H57" s="44"/>
      <c r="I57" s="44"/>
      <c r="J57" s="44"/>
      <c r="K57" s="44"/>
      <c r="L57" s="44"/>
      <c r="M57" s="44"/>
      <c r="N57" s="188"/>
      <c r="O57" s="207"/>
      <c r="P57" s="188"/>
      <c r="Q57" s="188"/>
      <c r="R57" s="188"/>
      <c r="S57" s="188"/>
      <c r="T57" s="188"/>
      <c r="U57" s="188"/>
      <c r="V57" s="188"/>
      <c r="W57" s="188"/>
      <c r="X57" s="188"/>
    </row>
    <row r="58" spans="1:24" s="27" customFormat="1" x14ac:dyDescent="0.25">
      <c r="B58" s="27" t="s">
        <v>197</v>
      </c>
      <c r="C58" s="27" t="s">
        <v>198</v>
      </c>
      <c r="E58" s="44">
        <v>1500</v>
      </c>
      <c r="F58" s="44"/>
      <c r="G58" s="44"/>
      <c r="H58" s="44"/>
      <c r="I58" s="44"/>
      <c r="J58" s="44"/>
      <c r="K58" s="44"/>
      <c r="L58" s="44"/>
      <c r="M58" s="44"/>
      <c r="N58" s="188"/>
      <c r="O58" s="207"/>
      <c r="P58" s="188"/>
      <c r="Q58" s="188"/>
      <c r="R58" s="188"/>
      <c r="S58" s="188" t="s">
        <v>209</v>
      </c>
      <c r="T58" s="188"/>
      <c r="U58" s="188"/>
      <c r="V58" s="188"/>
      <c r="W58" s="188"/>
      <c r="X58" s="188"/>
    </row>
    <row r="59" spans="1:24" s="27" customFormat="1" x14ac:dyDescent="0.25">
      <c r="B59" s="27" t="s">
        <v>250</v>
      </c>
      <c r="C59" s="27" t="s">
        <v>251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88"/>
      <c r="O59" s="207"/>
      <c r="P59" s="188"/>
      <c r="Q59" s="188"/>
      <c r="R59" s="188"/>
      <c r="S59" s="188" t="s">
        <v>209</v>
      </c>
      <c r="T59" s="188"/>
      <c r="U59" s="188"/>
      <c r="V59" s="188"/>
      <c r="W59" s="188"/>
      <c r="X59" s="188"/>
    </row>
    <row r="60" spans="1:24" s="27" customFormat="1" x14ac:dyDescent="0.25">
      <c r="B60" s="27" t="s">
        <v>192</v>
      </c>
      <c r="C60" s="27" t="s">
        <v>200</v>
      </c>
      <c r="E60" s="44"/>
      <c r="F60" s="44"/>
      <c r="G60" s="44"/>
      <c r="H60" s="44"/>
      <c r="I60" s="44">
        <v>600</v>
      </c>
      <c r="J60" s="44"/>
      <c r="K60" s="44"/>
      <c r="L60" s="44"/>
      <c r="M60" s="44"/>
      <c r="N60" s="188"/>
      <c r="O60" s="207"/>
      <c r="P60" s="188"/>
      <c r="Q60" s="188"/>
      <c r="R60" s="188"/>
      <c r="S60" s="188" t="s">
        <v>209</v>
      </c>
      <c r="T60" s="188"/>
      <c r="U60" s="188"/>
      <c r="V60" s="188"/>
      <c r="W60" s="188"/>
      <c r="X60" s="188"/>
    </row>
    <row r="61" spans="1:24" s="27" customFormat="1" x14ac:dyDescent="0.25">
      <c r="B61" s="27" t="s">
        <v>190</v>
      </c>
      <c r="C61" s="27" t="s">
        <v>199</v>
      </c>
      <c r="E61" s="44">
        <v>500</v>
      </c>
      <c r="F61" s="44"/>
      <c r="G61" s="44"/>
      <c r="H61" s="44"/>
      <c r="I61" s="44"/>
      <c r="J61" s="44"/>
      <c r="K61" s="44"/>
      <c r="L61" s="44"/>
      <c r="M61" s="44"/>
      <c r="N61" s="188"/>
      <c r="O61" s="207"/>
      <c r="P61" s="188"/>
      <c r="Q61" s="188"/>
      <c r="R61" s="188"/>
      <c r="S61" s="188" t="s">
        <v>209</v>
      </c>
      <c r="T61" s="188"/>
      <c r="U61" s="188"/>
      <c r="V61" s="188"/>
      <c r="W61" s="188"/>
      <c r="X61" s="188"/>
    </row>
    <row r="62" spans="1:24" s="27" customFormat="1" x14ac:dyDescent="0.25">
      <c r="B62" s="27" t="s">
        <v>263</v>
      </c>
      <c r="C62" s="27" t="s">
        <v>262</v>
      </c>
      <c r="E62" s="44">
        <v>300</v>
      </c>
      <c r="F62" s="44"/>
      <c r="G62" s="44"/>
      <c r="H62" s="44"/>
      <c r="I62" s="44"/>
      <c r="J62" s="44"/>
      <c r="K62" s="44"/>
      <c r="L62" s="44"/>
      <c r="M62" s="44"/>
      <c r="N62" s="188"/>
      <c r="O62" s="207"/>
      <c r="P62" s="188"/>
      <c r="Q62" s="188"/>
      <c r="R62" s="188"/>
      <c r="S62" s="188" t="s">
        <v>209</v>
      </c>
      <c r="T62" s="188"/>
      <c r="U62" s="188"/>
      <c r="V62" s="188"/>
      <c r="W62" s="188"/>
      <c r="X62" s="188"/>
    </row>
    <row r="63" spans="1:24" s="27" customFormat="1" x14ac:dyDescent="0.25">
      <c r="B63" s="27" t="s">
        <v>195</v>
      </c>
      <c r="C63" s="27" t="s">
        <v>196</v>
      </c>
      <c r="E63" s="44">
        <v>200</v>
      </c>
      <c r="F63" s="44"/>
      <c r="G63" s="44"/>
      <c r="H63" s="44"/>
      <c r="I63" s="44"/>
      <c r="J63" s="44"/>
      <c r="K63" s="44"/>
      <c r="L63" s="44"/>
      <c r="M63" s="44"/>
      <c r="N63" s="188"/>
      <c r="O63" s="207"/>
      <c r="P63" s="188"/>
      <c r="Q63" s="188"/>
      <c r="R63" s="188"/>
      <c r="S63" s="188" t="s">
        <v>209</v>
      </c>
      <c r="T63" s="188"/>
      <c r="U63" s="188"/>
      <c r="V63" s="188"/>
      <c r="W63" s="188"/>
      <c r="X63" s="188"/>
    </row>
    <row r="64" spans="1:24" s="27" customFormat="1" x14ac:dyDescent="0.25">
      <c r="B64" s="27" t="s">
        <v>191</v>
      </c>
      <c r="C64" s="27" t="s">
        <v>199</v>
      </c>
      <c r="E64" s="44"/>
      <c r="F64" s="44"/>
      <c r="G64" s="44"/>
      <c r="H64" s="44"/>
      <c r="I64" s="44">
        <v>150</v>
      </c>
      <c r="J64" s="44"/>
      <c r="K64" s="44"/>
      <c r="L64" s="44"/>
      <c r="M64" s="44"/>
      <c r="N64" s="188"/>
      <c r="O64" s="207"/>
      <c r="P64" s="188"/>
      <c r="Q64" s="188"/>
      <c r="R64" s="188"/>
      <c r="S64" s="188" t="s">
        <v>209</v>
      </c>
      <c r="T64" s="188"/>
      <c r="U64" s="188"/>
      <c r="V64" s="188"/>
      <c r="W64" s="188"/>
      <c r="X64" s="188"/>
    </row>
    <row r="65" spans="1:24" s="27" customFormat="1" x14ac:dyDescent="0.25">
      <c r="B65" s="27" t="s">
        <v>278</v>
      </c>
      <c r="C65" s="27" t="s">
        <v>279</v>
      </c>
      <c r="E65" s="44">
        <v>132</v>
      </c>
      <c r="F65" s="44"/>
      <c r="G65" s="44"/>
      <c r="H65" s="44"/>
      <c r="I65" s="44"/>
      <c r="J65" s="44"/>
      <c r="K65" s="44"/>
      <c r="L65" s="44"/>
      <c r="M65" s="44"/>
      <c r="N65" s="188"/>
      <c r="O65" s="207"/>
      <c r="P65" s="188"/>
      <c r="Q65" s="188"/>
      <c r="R65" s="188"/>
      <c r="S65" s="188" t="s">
        <v>209</v>
      </c>
      <c r="T65" s="188"/>
      <c r="U65" s="188"/>
      <c r="V65" s="188"/>
      <c r="W65" s="188"/>
      <c r="X65" s="188"/>
    </row>
    <row r="66" spans="1:24" s="27" customFormat="1" x14ac:dyDescent="0.25">
      <c r="B66" s="27" t="s">
        <v>280</v>
      </c>
      <c r="C66" s="27" t="s">
        <v>279</v>
      </c>
      <c r="E66" s="44">
        <v>100</v>
      </c>
      <c r="F66" s="44"/>
      <c r="G66" s="44"/>
      <c r="H66" s="44"/>
      <c r="I66" s="44"/>
      <c r="J66" s="44"/>
      <c r="K66" s="44"/>
      <c r="L66" s="44"/>
      <c r="M66" s="44"/>
      <c r="N66" s="188"/>
      <c r="O66" s="207"/>
      <c r="P66" s="188"/>
      <c r="Q66" s="188"/>
      <c r="R66" s="188"/>
      <c r="S66" s="188" t="s">
        <v>209</v>
      </c>
      <c r="T66" s="188"/>
      <c r="U66" s="188"/>
      <c r="V66" s="188"/>
      <c r="W66" s="188"/>
      <c r="X66" s="188"/>
    </row>
    <row r="67" spans="1:24" s="27" customFormat="1" x14ac:dyDescent="0.25">
      <c r="B67" s="27" t="s">
        <v>261</v>
      </c>
      <c r="C67" s="27" t="s">
        <v>262</v>
      </c>
      <c r="E67" s="44"/>
      <c r="F67" s="44"/>
      <c r="G67" s="44">
        <v>100</v>
      </c>
      <c r="H67" s="44"/>
      <c r="I67" s="44"/>
      <c r="J67" s="44"/>
      <c r="K67" s="44"/>
      <c r="L67" s="44"/>
      <c r="M67" s="44"/>
      <c r="N67" s="188"/>
      <c r="O67" s="207"/>
      <c r="P67" s="188"/>
      <c r="Q67" s="188"/>
      <c r="R67" s="188"/>
      <c r="S67" s="188" t="s">
        <v>209</v>
      </c>
      <c r="T67" s="188"/>
      <c r="U67" s="188"/>
      <c r="V67" s="188"/>
      <c r="W67" s="188"/>
      <c r="X67" s="188"/>
    </row>
    <row r="68" spans="1:24" s="27" customFormat="1" x14ac:dyDescent="0.25">
      <c r="B68" s="27" t="s">
        <v>281</v>
      </c>
      <c r="C68" s="27" t="s">
        <v>217</v>
      </c>
      <c r="E68" s="44"/>
      <c r="F68" s="44"/>
      <c r="G68" s="44"/>
      <c r="H68" s="44"/>
      <c r="I68" s="44"/>
      <c r="J68" s="44"/>
      <c r="K68" s="44">
        <v>511</v>
      </c>
      <c r="L68" s="44"/>
      <c r="M68" s="44"/>
      <c r="N68" s="188"/>
      <c r="O68" s="207"/>
      <c r="P68" s="188"/>
      <c r="Q68" s="188"/>
      <c r="R68" s="188"/>
      <c r="S68" s="188" t="s">
        <v>209</v>
      </c>
      <c r="T68" s="188"/>
      <c r="U68" s="188"/>
      <c r="V68" s="188"/>
      <c r="W68" s="188"/>
      <c r="X68" s="188"/>
    </row>
    <row r="69" spans="1:24" s="27" customFormat="1" ht="3" customHeight="1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188"/>
      <c r="O69" s="207"/>
      <c r="P69" s="188"/>
      <c r="Q69" s="188"/>
      <c r="R69" s="188"/>
      <c r="S69" s="188"/>
      <c r="T69" s="188"/>
      <c r="U69" s="188"/>
      <c r="V69" s="188"/>
      <c r="W69" s="188"/>
      <c r="X69" s="188"/>
    </row>
    <row r="70" spans="1:24" s="27" customFormat="1" x14ac:dyDescent="0.25">
      <c r="A70" s="191"/>
      <c r="B70" s="191"/>
      <c r="C70" s="191"/>
      <c r="D70" s="191"/>
      <c r="E70" s="192">
        <f>SUM(E58:E68)</f>
        <v>4232</v>
      </c>
      <c r="F70" s="193"/>
      <c r="G70" s="192">
        <f>SUM(G58:G68)</f>
        <v>100</v>
      </c>
      <c r="H70" s="193"/>
      <c r="I70" s="192">
        <f>SUM(I58:I68)</f>
        <v>750</v>
      </c>
      <c r="J70" s="193"/>
      <c r="K70" s="192">
        <f>SUM(K58:K68)</f>
        <v>511</v>
      </c>
      <c r="L70" s="193"/>
      <c r="M70" s="192">
        <f>SUM(E70:K70)</f>
        <v>5593</v>
      </c>
      <c r="N70" s="188"/>
      <c r="O70" s="207"/>
      <c r="P70" s="188"/>
      <c r="Q70" s="188"/>
      <c r="R70" s="188"/>
      <c r="S70" s="188"/>
      <c r="T70" s="188"/>
      <c r="U70" s="188"/>
      <c r="V70" s="188"/>
      <c r="W70" s="188"/>
      <c r="X70" s="188"/>
    </row>
    <row r="71" spans="1:24" s="27" customFormat="1" hidden="1" x14ac:dyDescent="0.25">
      <c r="A71" s="189" t="s">
        <v>15</v>
      </c>
      <c r="E71" s="44"/>
      <c r="F71" s="44"/>
      <c r="G71" s="44"/>
      <c r="H71" s="44"/>
      <c r="I71" s="44"/>
      <c r="J71" s="44"/>
      <c r="K71" s="44"/>
      <c r="L71" s="44"/>
      <c r="M71" s="44"/>
      <c r="N71" s="188"/>
      <c r="O71" s="207"/>
      <c r="P71" s="188"/>
      <c r="Q71" s="188"/>
      <c r="R71" s="188"/>
      <c r="S71" s="188"/>
      <c r="T71" s="188"/>
      <c r="U71" s="188"/>
      <c r="V71" s="188"/>
      <c r="W71" s="188"/>
      <c r="X71" s="188"/>
    </row>
    <row r="72" spans="1:24" s="27" customFormat="1" hidden="1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188"/>
      <c r="O72" s="207"/>
      <c r="P72" s="188"/>
      <c r="Q72" s="188"/>
      <c r="R72" s="188"/>
      <c r="S72" s="188"/>
      <c r="T72" s="188"/>
      <c r="U72" s="188"/>
      <c r="V72" s="188"/>
      <c r="W72" s="188"/>
      <c r="X72" s="188"/>
    </row>
    <row r="73" spans="1:24" s="27" customFormat="1" ht="3" hidden="1" customHeight="1" x14ac:dyDescent="0.25">
      <c r="E73" s="44"/>
      <c r="F73" s="44"/>
      <c r="G73" s="44"/>
      <c r="H73" s="44"/>
      <c r="I73" s="44"/>
      <c r="J73" s="44"/>
      <c r="K73" s="44"/>
      <c r="L73" s="44"/>
      <c r="M73" s="44"/>
      <c r="N73" s="188"/>
      <c r="O73" s="207"/>
      <c r="P73" s="188"/>
      <c r="Q73" s="188"/>
      <c r="R73" s="188"/>
      <c r="S73" s="188"/>
      <c r="T73" s="188"/>
      <c r="U73" s="188"/>
      <c r="V73" s="188"/>
      <c r="W73" s="188"/>
      <c r="X73" s="188"/>
    </row>
    <row r="74" spans="1:24" s="27" customFormat="1" hidden="1" x14ac:dyDescent="0.25">
      <c r="A74" s="191"/>
      <c r="B74" s="191"/>
      <c r="C74" s="191"/>
      <c r="D74" s="191"/>
      <c r="E74" s="192">
        <f>SUM(E72:E72)</f>
        <v>0</v>
      </c>
      <c r="F74" s="193"/>
      <c r="G74" s="192">
        <f>SUM(G72:G72)</f>
        <v>0</v>
      </c>
      <c r="H74" s="193"/>
      <c r="I74" s="192">
        <f>SUM(I72:I72)</f>
        <v>0</v>
      </c>
      <c r="J74" s="193"/>
      <c r="K74" s="192">
        <f>SUM(K72:K72)</f>
        <v>0</v>
      </c>
      <c r="L74" s="193"/>
      <c r="M74" s="192">
        <f>SUM(E74:K74)</f>
        <v>0</v>
      </c>
      <c r="N74" s="188"/>
      <c r="O74" s="207"/>
      <c r="P74" s="188"/>
      <c r="Q74" s="188"/>
      <c r="R74" s="188"/>
      <c r="S74" s="188"/>
      <c r="T74" s="188"/>
      <c r="U74" s="188"/>
      <c r="V74" s="188"/>
      <c r="W74" s="188"/>
      <c r="X74" s="188"/>
    </row>
    <row r="75" spans="1:24" s="27" customFormat="1" ht="3" hidden="1" customHeight="1" x14ac:dyDescent="0.25">
      <c r="E75" s="44"/>
      <c r="F75" s="44"/>
      <c r="G75" s="44"/>
      <c r="H75" s="44"/>
      <c r="I75" s="44"/>
      <c r="J75" s="44"/>
      <c r="K75" s="44"/>
      <c r="L75" s="44"/>
      <c r="M75" s="44"/>
      <c r="N75" s="188"/>
      <c r="O75" s="207"/>
      <c r="P75" s="188"/>
      <c r="Q75" s="188"/>
      <c r="R75" s="188"/>
      <c r="S75" s="188"/>
      <c r="T75" s="188"/>
      <c r="U75" s="188"/>
      <c r="V75" s="188"/>
      <c r="W75" s="188"/>
      <c r="X75" s="188"/>
    </row>
    <row r="76" spans="1:24" s="27" customFormat="1" hidden="1" x14ac:dyDescent="0.25">
      <c r="A76" s="189" t="s">
        <v>1</v>
      </c>
      <c r="E76" s="44"/>
      <c r="F76" s="44"/>
      <c r="G76" s="44"/>
      <c r="H76" s="44"/>
      <c r="I76" s="44"/>
      <c r="J76" s="44"/>
      <c r="K76" s="44"/>
      <c r="L76" s="44"/>
      <c r="M76" s="44"/>
      <c r="N76" s="188"/>
      <c r="O76" s="207"/>
      <c r="P76" s="188"/>
      <c r="Q76" s="188"/>
      <c r="R76" s="188"/>
      <c r="S76" s="188"/>
      <c r="T76" s="188"/>
      <c r="U76" s="188"/>
      <c r="V76" s="188"/>
      <c r="W76" s="188"/>
      <c r="X76" s="188"/>
    </row>
    <row r="77" spans="1:24" s="27" customFormat="1" hidden="1" x14ac:dyDescent="0.25">
      <c r="E77" s="44"/>
      <c r="F77" s="44"/>
      <c r="G77" s="44"/>
      <c r="H77" s="44"/>
      <c r="I77" s="44"/>
      <c r="J77" s="44"/>
      <c r="K77" s="44"/>
      <c r="L77" s="44"/>
      <c r="M77" s="44"/>
      <c r="N77" s="188"/>
      <c r="O77" s="207"/>
      <c r="P77" s="188"/>
      <c r="Q77" s="188"/>
      <c r="R77" s="188"/>
      <c r="S77" s="188"/>
      <c r="T77" s="188"/>
      <c r="U77" s="188"/>
      <c r="V77" s="188"/>
      <c r="W77" s="188"/>
      <c r="X77" s="188"/>
    </row>
    <row r="78" spans="1:24" s="27" customFormat="1" ht="3" hidden="1" customHeight="1" x14ac:dyDescent="0.25">
      <c r="E78" s="44"/>
      <c r="F78" s="44"/>
      <c r="G78" s="44"/>
      <c r="H78" s="44"/>
      <c r="I78" s="44"/>
      <c r="J78" s="44"/>
      <c r="K78" s="44"/>
      <c r="L78" s="44"/>
      <c r="M78" s="44"/>
      <c r="N78" s="188"/>
      <c r="O78" s="207"/>
      <c r="P78" s="188"/>
      <c r="Q78" s="188"/>
      <c r="R78" s="188"/>
      <c r="S78" s="188"/>
      <c r="T78" s="188"/>
      <c r="U78" s="188"/>
      <c r="V78" s="188"/>
      <c r="W78" s="188"/>
      <c r="X78" s="188"/>
    </row>
    <row r="79" spans="1:24" s="27" customFormat="1" hidden="1" x14ac:dyDescent="0.25">
      <c r="A79" s="191"/>
      <c r="B79" s="191"/>
      <c r="C79" s="191"/>
      <c r="D79" s="191"/>
      <c r="E79" s="192">
        <f>SUM(E77:E77)</f>
        <v>0</v>
      </c>
      <c r="F79" s="193"/>
      <c r="G79" s="192">
        <f>SUM(G77:G77)</f>
        <v>0</v>
      </c>
      <c r="H79" s="193"/>
      <c r="I79" s="192">
        <f>SUM(I77:I77)</f>
        <v>0</v>
      </c>
      <c r="J79" s="193"/>
      <c r="K79" s="192">
        <f>SUM(K77:K77)</f>
        <v>0</v>
      </c>
      <c r="L79" s="193"/>
      <c r="M79" s="192">
        <f>SUM(E79:K79)</f>
        <v>0</v>
      </c>
      <c r="N79" s="188"/>
      <c r="O79" s="207"/>
      <c r="P79" s="188"/>
      <c r="Q79" s="188"/>
      <c r="R79" s="188"/>
      <c r="S79" s="188"/>
      <c r="T79" s="188"/>
      <c r="U79" s="188"/>
      <c r="V79" s="188"/>
      <c r="W79" s="188"/>
      <c r="X79" s="188"/>
    </row>
    <row r="80" spans="1:24" s="27" customFormat="1" ht="3" hidden="1" customHeight="1" x14ac:dyDescent="0.25">
      <c r="E80" s="44"/>
      <c r="F80" s="44"/>
      <c r="G80" s="44"/>
      <c r="H80" s="44"/>
      <c r="I80" s="44"/>
      <c r="J80" s="44"/>
      <c r="K80" s="44"/>
      <c r="L80" s="44"/>
      <c r="M80" s="44"/>
      <c r="N80" s="188"/>
      <c r="O80" s="207"/>
      <c r="P80" s="188"/>
      <c r="Q80" s="188"/>
      <c r="R80" s="188"/>
      <c r="S80" s="188"/>
      <c r="T80" s="188"/>
      <c r="U80" s="188"/>
      <c r="V80" s="188"/>
      <c r="W80" s="188"/>
      <c r="X80" s="188"/>
    </row>
    <row r="81" spans="1:26" s="27" customFormat="1" ht="3" customHeight="1" x14ac:dyDescent="0.25">
      <c r="E81" s="44"/>
      <c r="F81" s="44"/>
      <c r="G81" s="44"/>
      <c r="H81" s="44"/>
      <c r="I81" s="44"/>
      <c r="J81" s="44"/>
      <c r="K81" s="44"/>
      <c r="L81" s="44"/>
      <c r="M81" s="44"/>
      <c r="N81" s="188"/>
      <c r="O81" s="207"/>
      <c r="P81" s="188"/>
      <c r="Q81" s="188"/>
      <c r="R81" s="188"/>
      <c r="S81" s="188"/>
      <c r="T81" s="188"/>
      <c r="U81" s="188"/>
      <c r="V81" s="188"/>
      <c r="W81" s="188"/>
      <c r="X81" s="188"/>
    </row>
    <row r="82" spans="1:26" s="27" customFormat="1" ht="13.5" thickBot="1" x14ac:dyDescent="0.3">
      <c r="A82" s="194" t="s">
        <v>163</v>
      </c>
      <c r="B82" s="195"/>
      <c r="C82" s="195"/>
      <c r="D82" s="195"/>
      <c r="E82" s="196">
        <f>E12+E20+E25+E34+E39+E44+E49+E55+E70+E74</f>
        <v>5432</v>
      </c>
      <c r="F82" s="197"/>
      <c r="G82" s="196">
        <f>G12+G20+G25+G34+G39+G44+G49+G55+G70+G74</f>
        <v>100</v>
      </c>
      <c r="H82" s="197"/>
      <c r="I82" s="196">
        <f>I12+I20+I25+I34+I39+I44+I49+I55+I70+I74</f>
        <v>73260</v>
      </c>
      <c r="J82" s="197"/>
      <c r="K82" s="196">
        <f>K12+K20+K25+K34+K39+K44+K49+K55+K70+K74</f>
        <v>584</v>
      </c>
      <c r="L82" s="197"/>
      <c r="M82" s="196">
        <f>SUM(E82:K82)</f>
        <v>79376</v>
      </c>
      <c r="N82" s="188"/>
      <c r="O82" s="207"/>
      <c r="P82" s="188"/>
      <c r="Q82" s="188"/>
      <c r="R82" s="188"/>
      <c r="S82" s="188"/>
      <c r="T82" s="188"/>
      <c r="U82" s="188"/>
      <c r="V82" s="188"/>
      <c r="W82" s="188"/>
      <c r="X82" s="188"/>
    </row>
    <row r="83" spans="1:26" ht="3" customHeight="1" thickTop="1" x14ac:dyDescent="0.2"/>
    <row r="84" spans="1:26" ht="12" customHeight="1" x14ac:dyDescent="0.2"/>
    <row r="85" spans="1:26" s="27" customFormat="1" x14ac:dyDescent="0.25">
      <c r="A85" s="186" t="s">
        <v>249</v>
      </c>
      <c r="B85" s="187"/>
      <c r="C85" s="187"/>
      <c r="D85" s="187"/>
      <c r="E85" s="180"/>
      <c r="F85" s="187"/>
      <c r="G85" s="180"/>
      <c r="H85" s="187"/>
      <c r="I85" s="180"/>
      <c r="J85" s="187"/>
      <c r="K85" s="180"/>
      <c r="L85" s="187"/>
      <c r="M85" s="181" t="s">
        <v>21</v>
      </c>
      <c r="N85" s="188"/>
      <c r="O85" s="207"/>
      <c r="P85" s="188"/>
      <c r="Q85" s="188"/>
      <c r="R85" s="188"/>
      <c r="S85" s="208" t="s">
        <v>206</v>
      </c>
      <c r="T85" s="201" t="s">
        <v>210</v>
      </c>
      <c r="U85" s="201" t="s">
        <v>211</v>
      </c>
      <c r="V85" s="201" t="s">
        <v>220</v>
      </c>
      <c r="W85" s="201" t="s">
        <v>162</v>
      </c>
      <c r="X85" s="201" t="s">
        <v>212</v>
      </c>
      <c r="Y85" s="208" t="s">
        <v>213</v>
      </c>
      <c r="Z85" s="208" t="s">
        <v>21</v>
      </c>
    </row>
    <row r="86" spans="1:26" s="27" customFormat="1" ht="3" customHeight="1" x14ac:dyDescent="0.25">
      <c r="N86" s="188"/>
      <c r="O86" s="207"/>
      <c r="P86" s="188"/>
      <c r="Q86" s="188"/>
      <c r="R86" s="188"/>
      <c r="S86" s="188"/>
      <c r="T86" s="188"/>
      <c r="U86" s="188"/>
      <c r="V86" s="188"/>
      <c r="W86" s="188"/>
      <c r="X86" s="188"/>
    </row>
    <row r="87" spans="1:26" s="27" customFormat="1" x14ac:dyDescent="0.25">
      <c r="A87" s="189" t="s">
        <v>160</v>
      </c>
      <c r="N87" s="188"/>
      <c r="O87" s="207"/>
      <c r="P87" s="188"/>
      <c r="Q87" s="188"/>
      <c r="R87" s="188"/>
      <c r="S87" s="188"/>
      <c r="T87" s="188"/>
      <c r="U87" s="188"/>
      <c r="V87" s="188"/>
      <c r="W87" s="188"/>
      <c r="X87" s="188"/>
    </row>
    <row r="88" spans="1:26" s="27" customFormat="1" x14ac:dyDescent="0.25">
      <c r="B88" s="27" t="s">
        <v>185</v>
      </c>
      <c r="C88" s="27" t="s">
        <v>186</v>
      </c>
      <c r="E88" s="44"/>
      <c r="F88" s="44"/>
      <c r="G88" s="44"/>
      <c r="H88" s="44"/>
      <c r="I88" s="44"/>
      <c r="J88" s="44"/>
      <c r="K88" s="44"/>
      <c r="L88" s="44"/>
      <c r="M88" s="44">
        <v>2900</v>
      </c>
      <c r="N88" s="188"/>
      <c r="O88" s="207"/>
      <c r="P88" s="188"/>
      <c r="Q88" s="188"/>
      <c r="R88" s="188"/>
      <c r="S88" s="188" t="s">
        <v>208</v>
      </c>
      <c r="T88" s="209">
        <f>IF($S88="G",$M88,)</f>
        <v>0</v>
      </c>
      <c r="U88" s="209">
        <f>IF($S88="P",$M88,)</f>
        <v>0</v>
      </c>
      <c r="V88" s="209">
        <f>IF($S88="C",$M88,)</f>
        <v>0</v>
      </c>
      <c r="W88" s="209">
        <f>IF($S88="A",$M88,)</f>
        <v>0</v>
      </c>
      <c r="X88" s="209">
        <f>IF($S88="F",$M88,)</f>
        <v>2900</v>
      </c>
      <c r="Y88" s="209">
        <f>IF($S88="V",$M88,)</f>
        <v>0</v>
      </c>
      <c r="Z88" s="210">
        <f>SUM(T88:Y88)</f>
        <v>2900</v>
      </c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88"/>
      <c r="O89" s="207"/>
      <c r="P89" s="188"/>
      <c r="Q89" s="188"/>
      <c r="R89" s="188"/>
      <c r="S89" s="188"/>
      <c r="T89" s="188"/>
      <c r="U89" s="188"/>
      <c r="V89" s="188"/>
      <c r="W89" s="188"/>
      <c r="X89" s="188"/>
    </row>
    <row r="90" spans="1:26" s="27" customFormat="1" x14ac:dyDescent="0.25">
      <c r="A90" s="191"/>
      <c r="B90" s="191"/>
      <c r="C90" s="191"/>
      <c r="D90" s="191"/>
      <c r="E90" s="192"/>
      <c r="F90" s="193"/>
      <c r="G90" s="192"/>
      <c r="H90" s="193"/>
      <c r="I90" s="192"/>
      <c r="J90" s="193"/>
      <c r="K90" s="192"/>
      <c r="L90" s="193"/>
      <c r="M90" s="192">
        <f>SUM(M88:M88)</f>
        <v>2900</v>
      </c>
      <c r="N90" s="188"/>
      <c r="O90" s="207"/>
      <c r="P90" s="188"/>
      <c r="Q90" s="188"/>
      <c r="R90" s="188"/>
      <c r="S90" s="188"/>
      <c r="T90" s="188"/>
      <c r="U90" s="188"/>
      <c r="V90" s="188"/>
      <c r="W90" s="188"/>
      <c r="X90" s="188"/>
    </row>
    <row r="91" spans="1:26" s="27" customFormat="1" ht="3" customHeight="1" x14ac:dyDescent="0.25">
      <c r="E91" s="44"/>
      <c r="F91" s="44"/>
      <c r="G91" s="44"/>
      <c r="H91" s="44"/>
      <c r="I91" s="44"/>
      <c r="J91" s="44"/>
      <c r="K91" s="44"/>
      <c r="L91" s="44"/>
      <c r="M91" s="44"/>
      <c r="N91" s="188"/>
      <c r="O91" s="207"/>
      <c r="P91" s="188"/>
      <c r="Q91" s="188"/>
      <c r="R91" s="188"/>
      <c r="S91" s="188"/>
      <c r="T91" s="188"/>
      <c r="U91" s="188"/>
      <c r="V91" s="188"/>
      <c r="W91" s="188"/>
      <c r="X91" s="188"/>
    </row>
    <row r="92" spans="1:26" s="27" customFormat="1" x14ac:dyDescent="0.25">
      <c r="A92" s="189" t="s">
        <v>159</v>
      </c>
      <c r="N92" s="188"/>
      <c r="O92" s="207"/>
      <c r="P92" s="188"/>
      <c r="Q92" s="188"/>
      <c r="R92" s="188"/>
      <c r="S92" s="188"/>
      <c r="T92" s="188"/>
      <c r="U92" s="188"/>
      <c r="V92" s="188"/>
      <c r="W92" s="188"/>
      <c r="X92" s="188"/>
    </row>
    <row r="93" spans="1:26" s="27" customFormat="1" x14ac:dyDescent="0.25">
      <c r="A93" s="189"/>
      <c r="B93" s="27" t="s">
        <v>238</v>
      </c>
      <c r="C93" s="27" t="s">
        <v>228</v>
      </c>
      <c r="M93" s="44">
        <v>1280</v>
      </c>
      <c r="N93" s="188"/>
      <c r="O93" s="207"/>
      <c r="P93" s="188"/>
      <c r="Q93" s="188"/>
      <c r="R93" s="188"/>
      <c r="S93" s="188" t="s">
        <v>233</v>
      </c>
      <c r="T93" s="209">
        <f t="shared" ref="T93:T104" si="0">IF($S93="G",$M93,)</f>
        <v>0</v>
      </c>
      <c r="U93" s="209">
        <f t="shared" ref="U93:U104" si="1">IF($S93="P",$M93,)</f>
        <v>0</v>
      </c>
      <c r="V93" s="209">
        <f t="shared" ref="V93:V104" si="2">IF($S93="C",$M93,)</f>
        <v>1280</v>
      </c>
      <c r="W93" s="209">
        <f t="shared" ref="W93:W104" si="3">IF($S93="A",$M93,)</f>
        <v>0</v>
      </c>
      <c r="X93" s="209">
        <f t="shared" ref="X93:X104" si="4">IF($S93="F",$M93,)</f>
        <v>0</v>
      </c>
      <c r="Y93" s="209">
        <f t="shared" ref="Y93:Y104" si="5">IF($S93="V",$M93,)</f>
        <v>0</v>
      </c>
      <c r="Z93" s="210">
        <f t="shared" ref="Z93:Z104" si="6">SUM(T93:Y93)</f>
        <v>1280</v>
      </c>
    </row>
    <row r="94" spans="1:26" s="27" customFormat="1" x14ac:dyDescent="0.25">
      <c r="B94" s="27" t="s">
        <v>226</v>
      </c>
      <c r="C94" s="27" t="s">
        <v>231</v>
      </c>
      <c r="E94" s="44"/>
      <c r="F94" s="44"/>
      <c r="G94" s="44"/>
      <c r="H94" s="44"/>
      <c r="I94" s="44"/>
      <c r="J94" s="44"/>
      <c r="K94" s="44"/>
      <c r="L94" s="44"/>
      <c r="M94" s="44">
        <v>700</v>
      </c>
      <c r="N94" s="188"/>
      <c r="O94" s="207"/>
      <c r="P94" s="188"/>
      <c r="Q94" s="188"/>
      <c r="R94" s="188"/>
      <c r="S94" s="188" t="s">
        <v>233</v>
      </c>
      <c r="T94" s="209">
        <f t="shared" si="0"/>
        <v>0</v>
      </c>
      <c r="U94" s="209">
        <f t="shared" si="1"/>
        <v>0</v>
      </c>
      <c r="V94" s="209">
        <f t="shared" si="2"/>
        <v>700</v>
      </c>
      <c r="W94" s="209">
        <f t="shared" si="3"/>
        <v>0</v>
      </c>
      <c r="X94" s="209">
        <f t="shared" si="4"/>
        <v>0</v>
      </c>
      <c r="Y94" s="209">
        <f t="shared" si="5"/>
        <v>0</v>
      </c>
      <c r="Z94" s="210">
        <f>SUM(T94:Y94)</f>
        <v>700</v>
      </c>
    </row>
    <row r="95" spans="1:26" s="27" customFormat="1" x14ac:dyDescent="0.25">
      <c r="A95" s="189"/>
      <c r="B95" s="27" t="s">
        <v>224</v>
      </c>
      <c r="C95" s="27" t="s">
        <v>229</v>
      </c>
      <c r="M95" s="44">
        <v>378</v>
      </c>
      <c r="N95" s="188"/>
      <c r="O95" s="207"/>
      <c r="P95" s="188"/>
      <c r="Q95" s="188"/>
      <c r="R95" s="188"/>
      <c r="S95" s="188" t="s">
        <v>233</v>
      </c>
      <c r="T95" s="209">
        <f t="shared" si="0"/>
        <v>0</v>
      </c>
      <c r="U95" s="209">
        <f t="shared" si="1"/>
        <v>0</v>
      </c>
      <c r="V95" s="209">
        <f t="shared" si="2"/>
        <v>378</v>
      </c>
      <c r="W95" s="209">
        <f t="shared" si="3"/>
        <v>0</v>
      </c>
      <c r="X95" s="209">
        <f t="shared" si="4"/>
        <v>0</v>
      </c>
      <c r="Y95" s="209">
        <f t="shared" si="5"/>
        <v>0</v>
      </c>
      <c r="Z95" s="210">
        <f t="shared" si="6"/>
        <v>378</v>
      </c>
    </row>
    <row r="96" spans="1:26" s="27" customFormat="1" x14ac:dyDescent="0.25">
      <c r="A96" s="189"/>
      <c r="B96" s="27" t="s">
        <v>239</v>
      </c>
      <c r="C96" s="27" t="s">
        <v>232</v>
      </c>
      <c r="M96" s="44">
        <v>239</v>
      </c>
      <c r="N96" s="188"/>
      <c r="O96" s="207"/>
      <c r="P96" s="188"/>
      <c r="Q96" s="188"/>
      <c r="R96" s="188"/>
      <c r="S96" s="188" t="s">
        <v>233</v>
      </c>
      <c r="T96" s="209">
        <f t="shared" si="0"/>
        <v>0</v>
      </c>
      <c r="U96" s="209">
        <f t="shared" si="1"/>
        <v>0</v>
      </c>
      <c r="V96" s="209">
        <f t="shared" si="2"/>
        <v>239</v>
      </c>
      <c r="W96" s="209">
        <f t="shared" si="3"/>
        <v>0</v>
      </c>
      <c r="X96" s="209">
        <f t="shared" si="4"/>
        <v>0</v>
      </c>
      <c r="Y96" s="209">
        <f t="shared" si="5"/>
        <v>0</v>
      </c>
      <c r="Z96" s="210">
        <f t="shared" si="6"/>
        <v>239</v>
      </c>
    </row>
    <row r="97" spans="1:26" s="27" customFormat="1" x14ac:dyDescent="0.25">
      <c r="A97" s="189"/>
      <c r="B97" s="27" t="s">
        <v>225</v>
      </c>
      <c r="C97" s="27" t="s">
        <v>230</v>
      </c>
      <c r="E97" s="44"/>
      <c r="F97" s="44"/>
      <c r="G97" s="44"/>
      <c r="H97" s="44"/>
      <c r="I97" s="44"/>
      <c r="J97" s="44"/>
      <c r="K97" s="44"/>
      <c r="L97" s="44"/>
      <c r="M97" s="44">
        <v>210</v>
      </c>
      <c r="N97" s="188"/>
      <c r="O97" s="207"/>
      <c r="P97" s="188"/>
      <c r="Q97" s="188"/>
      <c r="R97" s="188"/>
      <c r="S97" s="188" t="s">
        <v>233</v>
      </c>
      <c r="T97" s="209">
        <f t="shared" si="0"/>
        <v>0</v>
      </c>
      <c r="U97" s="209">
        <f t="shared" si="1"/>
        <v>0</v>
      </c>
      <c r="V97" s="209">
        <f t="shared" si="2"/>
        <v>210</v>
      </c>
      <c r="W97" s="209">
        <f t="shared" si="3"/>
        <v>0</v>
      </c>
      <c r="X97" s="209">
        <f t="shared" si="4"/>
        <v>0</v>
      </c>
      <c r="Y97" s="209">
        <f t="shared" si="5"/>
        <v>0</v>
      </c>
      <c r="Z97" s="210">
        <f t="shared" si="6"/>
        <v>210</v>
      </c>
    </row>
    <row r="98" spans="1:26" s="27" customFormat="1" x14ac:dyDescent="0.25">
      <c r="A98" s="189"/>
      <c r="B98" s="27" t="s">
        <v>265</v>
      </c>
      <c r="C98" s="27" t="s">
        <v>228</v>
      </c>
      <c r="M98" s="44">
        <v>186</v>
      </c>
      <c r="N98" s="212"/>
      <c r="O98" s="207"/>
      <c r="P98" s="188"/>
      <c r="Q98" s="188"/>
      <c r="R98" s="188"/>
      <c r="S98" s="188" t="s">
        <v>233</v>
      </c>
      <c r="T98" s="209">
        <f t="shared" si="0"/>
        <v>0</v>
      </c>
      <c r="U98" s="209">
        <f t="shared" si="1"/>
        <v>0</v>
      </c>
      <c r="V98" s="209">
        <f t="shared" si="2"/>
        <v>186</v>
      </c>
      <c r="W98" s="209">
        <f t="shared" si="3"/>
        <v>0</v>
      </c>
      <c r="X98" s="209">
        <f t="shared" si="4"/>
        <v>0</v>
      </c>
      <c r="Y98" s="209">
        <f t="shared" si="5"/>
        <v>0</v>
      </c>
      <c r="Z98" s="210">
        <f>SUM(T98:Y98)</f>
        <v>186</v>
      </c>
    </row>
    <row r="99" spans="1:26" s="27" customFormat="1" x14ac:dyDescent="0.25">
      <c r="A99" s="189"/>
      <c r="B99" s="27" t="s">
        <v>237</v>
      </c>
      <c r="C99" s="27" t="s">
        <v>228</v>
      </c>
      <c r="M99" s="44">
        <v>183</v>
      </c>
      <c r="N99" s="188"/>
      <c r="O99" s="207"/>
      <c r="P99" s="188"/>
      <c r="Q99" s="188"/>
      <c r="R99" s="188"/>
      <c r="S99" s="188" t="s">
        <v>233</v>
      </c>
      <c r="T99" s="209">
        <f t="shared" si="0"/>
        <v>0</v>
      </c>
      <c r="U99" s="209">
        <f t="shared" si="1"/>
        <v>0</v>
      </c>
      <c r="V99" s="209">
        <f t="shared" si="2"/>
        <v>183</v>
      </c>
      <c r="W99" s="209">
        <f t="shared" si="3"/>
        <v>0</v>
      </c>
      <c r="X99" s="209">
        <f t="shared" si="4"/>
        <v>0</v>
      </c>
      <c r="Y99" s="209">
        <f t="shared" si="5"/>
        <v>0</v>
      </c>
      <c r="Z99" s="210">
        <f t="shared" si="6"/>
        <v>183</v>
      </c>
    </row>
    <row r="100" spans="1:26" s="27" customFormat="1" x14ac:dyDescent="0.25">
      <c r="A100" s="189"/>
      <c r="B100" s="27" t="s">
        <v>265</v>
      </c>
      <c r="C100" s="27" t="s">
        <v>228</v>
      </c>
      <c r="M100" s="44">
        <v>130</v>
      </c>
      <c r="N100" s="212"/>
      <c r="O100" s="207"/>
      <c r="P100" s="188"/>
      <c r="Q100" s="188"/>
      <c r="R100" s="188"/>
      <c r="S100" s="188" t="s">
        <v>233</v>
      </c>
      <c r="T100" s="209">
        <f t="shared" si="0"/>
        <v>0</v>
      </c>
      <c r="U100" s="209">
        <f t="shared" si="1"/>
        <v>0</v>
      </c>
      <c r="V100" s="209">
        <f t="shared" si="2"/>
        <v>130</v>
      </c>
      <c r="W100" s="209">
        <f t="shared" si="3"/>
        <v>0</v>
      </c>
      <c r="X100" s="209">
        <f t="shared" si="4"/>
        <v>0</v>
      </c>
      <c r="Y100" s="209">
        <f t="shared" si="5"/>
        <v>0</v>
      </c>
      <c r="Z100" s="210">
        <f>SUM(T100:Y100)</f>
        <v>130</v>
      </c>
    </row>
    <row r="101" spans="1:26" s="27" customFormat="1" x14ac:dyDescent="0.25">
      <c r="A101" s="189"/>
      <c r="B101" s="27" t="s">
        <v>239</v>
      </c>
      <c r="C101" s="27" t="s">
        <v>232</v>
      </c>
      <c r="M101" s="44">
        <v>123</v>
      </c>
      <c r="N101" s="188"/>
      <c r="O101" s="207"/>
      <c r="P101" s="188"/>
      <c r="Q101" s="188"/>
      <c r="R101" s="188"/>
      <c r="S101" s="188" t="s">
        <v>233</v>
      </c>
      <c r="T101" s="209">
        <f t="shared" si="0"/>
        <v>0</v>
      </c>
      <c r="U101" s="209">
        <f t="shared" si="1"/>
        <v>0</v>
      </c>
      <c r="V101" s="209">
        <f t="shared" si="2"/>
        <v>123</v>
      </c>
      <c r="W101" s="209">
        <f t="shared" si="3"/>
        <v>0</v>
      </c>
      <c r="X101" s="209">
        <f t="shared" si="4"/>
        <v>0</v>
      </c>
      <c r="Y101" s="209">
        <f t="shared" si="5"/>
        <v>0</v>
      </c>
      <c r="Z101" s="210">
        <f>SUM(T101:Y101)</f>
        <v>123</v>
      </c>
    </row>
    <row r="102" spans="1:26" s="27" customFormat="1" x14ac:dyDescent="0.25">
      <c r="A102" s="189"/>
      <c r="B102" s="27" t="s">
        <v>286</v>
      </c>
      <c r="C102" s="27" t="s">
        <v>228</v>
      </c>
      <c r="M102" s="44">
        <v>123</v>
      </c>
      <c r="N102" s="212"/>
      <c r="O102" s="207"/>
      <c r="P102" s="188"/>
      <c r="Q102" s="188"/>
      <c r="R102" s="188"/>
      <c r="S102" s="188" t="s">
        <v>233</v>
      </c>
      <c r="T102" s="209">
        <f t="shared" si="0"/>
        <v>0</v>
      </c>
      <c r="U102" s="209">
        <f t="shared" si="1"/>
        <v>0</v>
      </c>
      <c r="V102" s="209">
        <f t="shared" si="2"/>
        <v>123</v>
      </c>
      <c r="W102" s="209">
        <f t="shared" si="3"/>
        <v>0</v>
      </c>
      <c r="X102" s="209">
        <f t="shared" si="4"/>
        <v>0</v>
      </c>
      <c r="Y102" s="209">
        <f t="shared" si="5"/>
        <v>0</v>
      </c>
      <c r="Z102" s="210">
        <f>SUM(T102:Y102)</f>
        <v>123</v>
      </c>
    </row>
    <row r="103" spans="1:26" s="27" customFormat="1" x14ac:dyDescent="0.25">
      <c r="A103" s="189"/>
      <c r="B103" s="27" t="s">
        <v>287</v>
      </c>
      <c r="C103" s="27" t="s">
        <v>288</v>
      </c>
      <c r="M103" s="44">
        <v>123</v>
      </c>
      <c r="N103" s="212"/>
      <c r="O103" s="207"/>
      <c r="P103" s="188"/>
      <c r="Q103" s="188"/>
      <c r="R103" s="188"/>
      <c r="S103" s="188" t="s">
        <v>233</v>
      </c>
      <c r="T103" s="209">
        <f t="shared" si="0"/>
        <v>0</v>
      </c>
      <c r="U103" s="209">
        <f t="shared" si="1"/>
        <v>0</v>
      </c>
      <c r="V103" s="209">
        <f t="shared" si="2"/>
        <v>123</v>
      </c>
      <c r="W103" s="209">
        <f t="shared" si="3"/>
        <v>0</v>
      </c>
      <c r="X103" s="209">
        <f t="shared" si="4"/>
        <v>0</v>
      </c>
      <c r="Y103" s="209">
        <f t="shared" si="5"/>
        <v>0</v>
      </c>
      <c r="Z103" s="210">
        <f>SUM(T103:Y103)</f>
        <v>123</v>
      </c>
    </row>
    <row r="104" spans="1:26" s="27" customFormat="1" x14ac:dyDescent="0.25">
      <c r="A104" s="189"/>
      <c r="B104" s="27" t="s">
        <v>241</v>
      </c>
      <c r="C104" s="27" t="s">
        <v>240</v>
      </c>
      <c r="M104" s="44">
        <v>148</v>
      </c>
      <c r="N104" s="212"/>
      <c r="O104" s="207"/>
      <c r="P104" s="188"/>
      <c r="Q104" s="188"/>
      <c r="R104" s="188"/>
      <c r="S104" s="188" t="s">
        <v>233</v>
      </c>
      <c r="T104" s="209">
        <f t="shared" si="0"/>
        <v>0</v>
      </c>
      <c r="U104" s="209">
        <f t="shared" si="1"/>
        <v>0</v>
      </c>
      <c r="V104" s="209">
        <f t="shared" si="2"/>
        <v>148</v>
      </c>
      <c r="W104" s="209">
        <f t="shared" si="3"/>
        <v>0</v>
      </c>
      <c r="X104" s="209">
        <f t="shared" si="4"/>
        <v>0</v>
      </c>
      <c r="Y104" s="209">
        <f t="shared" si="5"/>
        <v>0</v>
      </c>
      <c r="Z104" s="210">
        <f t="shared" si="6"/>
        <v>148</v>
      </c>
    </row>
    <row r="105" spans="1:26" s="27" customFormat="1" ht="3" customHeight="1" x14ac:dyDescent="0.25">
      <c r="E105" s="44"/>
      <c r="F105" s="44"/>
      <c r="G105" s="44"/>
      <c r="H105" s="44"/>
      <c r="I105" s="44"/>
      <c r="J105" s="44"/>
      <c r="K105" s="44"/>
      <c r="L105" s="44"/>
      <c r="M105" s="44"/>
      <c r="N105" s="188"/>
      <c r="O105" s="207"/>
      <c r="P105" s="188"/>
      <c r="Q105" s="188"/>
      <c r="R105" s="188"/>
      <c r="S105" s="188"/>
      <c r="T105" s="188"/>
      <c r="U105" s="188"/>
      <c r="V105" s="188"/>
      <c r="W105" s="188"/>
      <c r="X105" s="188"/>
    </row>
    <row r="106" spans="1:26" s="27" customFormat="1" x14ac:dyDescent="0.25">
      <c r="A106" s="191"/>
      <c r="B106" s="191"/>
      <c r="C106" s="191"/>
      <c r="D106" s="191"/>
      <c r="E106" s="192"/>
      <c r="F106" s="193"/>
      <c r="G106" s="192"/>
      <c r="H106" s="193"/>
      <c r="I106" s="192"/>
      <c r="J106" s="193"/>
      <c r="K106" s="192"/>
      <c r="L106" s="193"/>
      <c r="M106" s="192">
        <f>SUM(M93:M104)</f>
        <v>3823</v>
      </c>
      <c r="N106" s="188"/>
      <c r="O106" s="207"/>
      <c r="P106" s="188"/>
      <c r="Q106" s="188"/>
      <c r="R106" s="188"/>
      <c r="S106" s="188"/>
      <c r="T106" s="188"/>
      <c r="U106" s="188"/>
      <c r="V106" s="188"/>
      <c r="W106" s="188"/>
      <c r="X106" s="188"/>
    </row>
    <row r="107" spans="1:26" s="27" customFormat="1" ht="3" customHeight="1" x14ac:dyDescent="0.25">
      <c r="E107" s="44"/>
      <c r="F107" s="44"/>
      <c r="G107" s="44"/>
      <c r="H107" s="44"/>
      <c r="I107" s="44"/>
      <c r="J107" s="44"/>
      <c r="K107" s="44"/>
      <c r="L107" s="44"/>
      <c r="M107" s="44"/>
      <c r="N107" s="188"/>
      <c r="O107" s="207"/>
      <c r="P107" s="188"/>
      <c r="Q107" s="188"/>
      <c r="R107" s="188"/>
      <c r="S107" s="188"/>
      <c r="T107" s="188"/>
      <c r="U107" s="188"/>
      <c r="V107" s="188"/>
      <c r="W107" s="188"/>
      <c r="X107" s="188"/>
    </row>
    <row r="108" spans="1:26" s="27" customFormat="1" x14ac:dyDescent="0.25">
      <c r="A108" s="189" t="s">
        <v>202</v>
      </c>
      <c r="N108" s="188"/>
      <c r="O108" s="207"/>
      <c r="P108" s="188"/>
      <c r="Q108" s="188"/>
      <c r="R108" s="188"/>
      <c r="S108" s="188"/>
      <c r="T108" s="188"/>
      <c r="U108" s="188"/>
      <c r="V108" s="188"/>
      <c r="W108" s="188"/>
      <c r="X108" s="188"/>
    </row>
    <row r="109" spans="1:26" s="27" customFormat="1" x14ac:dyDescent="0.25">
      <c r="A109" s="189"/>
      <c r="B109" s="27" t="s">
        <v>203</v>
      </c>
      <c r="C109" s="27" t="s">
        <v>204</v>
      </c>
      <c r="M109" s="44">
        <v>2400</v>
      </c>
      <c r="N109" s="188"/>
      <c r="O109" s="207"/>
      <c r="P109" s="188"/>
      <c r="Q109" s="188"/>
      <c r="R109" s="188"/>
      <c r="S109" s="188" t="s">
        <v>207</v>
      </c>
      <c r="T109" s="209">
        <f>IF($S109="G",$M109,)</f>
        <v>2400</v>
      </c>
      <c r="U109" s="209">
        <f>IF($S109="P",$M109,)</f>
        <v>0</v>
      </c>
      <c r="V109" s="209">
        <f>IF($S109="C",$M109,)</f>
        <v>0</v>
      </c>
      <c r="W109" s="209">
        <f>IF($S109="A",$M109,)</f>
        <v>0</v>
      </c>
      <c r="X109" s="209">
        <f>IF($S109="F",$M109,)</f>
        <v>0</v>
      </c>
      <c r="Y109" s="209">
        <f>IF($S109="V",$M109,)</f>
        <v>0</v>
      </c>
      <c r="Z109" s="210">
        <f>SUM(T109:Y109)</f>
        <v>2400</v>
      </c>
    </row>
    <row r="110" spans="1:26" s="27" customFormat="1" x14ac:dyDescent="0.25">
      <c r="A110" s="189"/>
      <c r="B110" s="27" t="s">
        <v>218</v>
      </c>
      <c r="C110" s="27" t="s">
        <v>205</v>
      </c>
      <c r="M110" s="44">
        <v>3015</v>
      </c>
      <c r="N110" s="188"/>
      <c r="O110" s="207"/>
      <c r="P110" s="188"/>
      <c r="Q110" s="188"/>
      <c r="R110" s="188"/>
      <c r="S110" s="188" t="s">
        <v>207</v>
      </c>
      <c r="T110" s="209">
        <f>IF($S110="G",$M110,)</f>
        <v>3015</v>
      </c>
      <c r="U110" s="209">
        <f>IF($S110="P",$M110,)</f>
        <v>0</v>
      </c>
      <c r="V110" s="209">
        <f>IF($S110="C",$M110,)</f>
        <v>0</v>
      </c>
      <c r="W110" s="209">
        <f>IF($S110="A",$M110,)</f>
        <v>0</v>
      </c>
      <c r="X110" s="209">
        <f>IF($S110="F",$M110,)</f>
        <v>0</v>
      </c>
      <c r="Y110" s="209">
        <f>IF($S110="V",$M110,)</f>
        <v>0</v>
      </c>
      <c r="Z110" s="210">
        <f>SUM(T110:Y110)</f>
        <v>3015</v>
      </c>
    </row>
    <row r="111" spans="1:26" s="27" customFormat="1" x14ac:dyDescent="0.25">
      <c r="B111" s="27" t="s">
        <v>219</v>
      </c>
      <c r="C111" s="27" t="s">
        <v>205</v>
      </c>
      <c r="E111" s="44"/>
      <c r="F111" s="44"/>
      <c r="G111" s="44"/>
      <c r="H111" s="44"/>
      <c r="I111" s="44"/>
      <c r="J111" s="44"/>
      <c r="K111" s="44"/>
      <c r="L111" s="44"/>
      <c r="M111" s="44">
        <v>3015</v>
      </c>
      <c r="N111" s="188"/>
      <c r="O111" s="207"/>
      <c r="P111" s="188"/>
      <c r="Q111" s="188"/>
      <c r="R111" s="188"/>
      <c r="S111" s="188" t="s">
        <v>208</v>
      </c>
      <c r="T111" s="209">
        <f>IF($S111="G",$M111,)</f>
        <v>0</v>
      </c>
      <c r="U111" s="209">
        <f>IF($S111="P",$M111,)</f>
        <v>0</v>
      </c>
      <c r="V111" s="209">
        <f>IF($S111="C",$M111,)</f>
        <v>0</v>
      </c>
      <c r="W111" s="209">
        <f>IF($S111="A",$M111,)</f>
        <v>0</v>
      </c>
      <c r="X111" s="209">
        <f>IF($S111="F",$M111,)</f>
        <v>3015</v>
      </c>
      <c r="Y111" s="209">
        <f>IF($S111="V",$M111,)</f>
        <v>0</v>
      </c>
      <c r="Z111" s="210">
        <f>SUM(T111:Y111)</f>
        <v>3015</v>
      </c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88"/>
      <c r="O112" s="207"/>
      <c r="P112" s="188"/>
      <c r="Q112" s="188"/>
      <c r="R112" s="188"/>
      <c r="S112" s="188"/>
      <c r="T112" s="188"/>
      <c r="U112" s="188"/>
      <c r="V112" s="188"/>
      <c r="W112" s="188"/>
      <c r="X112" s="188"/>
    </row>
    <row r="113" spans="1:26" s="27" customFormat="1" x14ac:dyDescent="0.25">
      <c r="A113" s="191"/>
      <c r="B113" s="191"/>
      <c r="C113" s="191"/>
      <c r="D113" s="191"/>
      <c r="E113" s="192"/>
      <c r="F113" s="193"/>
      <c r="G113" s="192"/>
      <c r="H113" s="193"/>
      <c r="I113" s="192"/>
      <c r="J113" s="193"/>
      <c r="K113" s="192"/>
      <c r="L113" s="193"/>
      <c r="M113" s="192">
        <f>SUM(M109:M111)</f>
        <v>8430</v>
      </c>
      <c r="N113" s="188"/>
      <c r="O113" s="207"/>
      <c r="P113" s="188"/>
      <c r="Q113" s="188"/>
      <c r="R113" s="188"/>
      <c r="S113" s="188"/>
      <c r="T113" s="188"/>
      <c r="U113" s="188"/>
      <c r="V113" s="188"/>
      <c r="W113" s="188"/>
      <c r="X113" s="188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88"/>
      <c r="O114" s="207"/>
      <c r="P114" s="188"/>
      <c r="Q114" s="188"/>
      <c r="R114" s="188"/>
      <c r="S114" s="188"/>
      <c r="T114" s="188"/>
      <c r="U114" s="188"/>
      <c r="V114" s="188"/>
      <c r="W114" s="188"/>
      <c r="X114" s="188"/>
    </row>
    <row r="115" spans="1:26" s="27" customFormat="1" x14ac:dyDescent="0.25">
      <c r="A115" s="189" t="s">
        <v>162</v>
      </c>
      <c r="E115" s="44"/>
      <c r="F115" s="44"/>
      <c r="G115" s="44"/>
      <c r="H115" s="44"/>
      <c r="I115" s="44"/>
      <c r="J115" s="44"/>
      <c r="K115" s="44"/>
      <c r="L115" s="44"/>
      <c r="M115" s="44"/>
      <c r="N115" s="188"/>
      <c r="O115" s="207"/>
      <c r="P115" s="188"/>
      <c r="Q115" s="188"/>
      <c r="R115" s="188"/>
      <c r="S115" s="188"/>
      <c r="T115" s="188"/>
      <c r="U115" s="188"/>
      <c r="V115" s="188"/>
      <c r="W115" s="188"/>
      <c r="X115" s="188"/>
    </row>
    <row r="116" spans="1:26" s="27" customFormat="1" x14ac:dyDescent="0.25">
      <c r="A116" s="189"/>
      <c r="B116" s="27" t="s">
        <v>244</v>
      </c>
      <c r="C116" s="27" t="s">
        <v>199</v>
      </c>
      <c r="E116" s="44"/>
      <c r="F116" s="44"/>
      <c r="G116" s="44"/>
      <c r="H116" s="44"/>
      <c r="I116" s="44"/>
      <c r="J116" s="44"/>
      <c r="K116" s="44"/>
      <c r="L116" s="44"/>
      <c r="M116" s="44">
        <v>660</v>
      </c>
      <c r="N116" s="188"/>
      <c r="O116" s="207"/>
      <c r="P116" s="188"/>
      <c r="Q116" s="188"/>
      <c r="R116" s="188"/>
      <c r="S116" s="188" t="s">
        <v>209</v>
      </c>
      <c r="T116" s="209">
        <f t="shared" ref="T116:T122" si="7">IF($S116="G",$M116,)</f>
        <v>0</v>
      </c>
      <c r="U116" s="209">
        <f t="shared" ref="U116:U122" si="8">IF($S116="P",$M116,)</f>
        <v>0</v>
      </c>
      <c r="V116" s="209">
        <f t="shared" ref="V116:V122" si="9">IF($S116="C",$M116,)</f>
        <v>0</v>
      </c>
      <c r="W116" s="209">
        <f t="shared" ref="W116:W122" si="10">IF($S116="A",$M116,)</f>
        <v>660</v>
      </c>
      <c r="X116" s="209">
        <f t="shared" ref="X116:X122" si="11">IF($S116="F",$M116,)</f>
        <v>0</v>
      </c>
      <c r="Y116" s="209">
        <f t="shared" ref="Y116:Y122" si="12">IF($S116="V",$M116,)</f>
        <v>0</v>
      </c>
      <c r="Z116" s="210">
        <f t="shared" ref="Z116:Z122" si="13">SUM(T116:Y116)</f>
        <v>660</v>
      </c>
    </row>
    <row r="117" spans="1:26" s="27" customFormat="1" x14ac:dyDescent="0.25">
      <c r="A117" s="189"/>
      <c r="B117" s="27" t="s">
        <v>264</v>
      </c>
      <c r="C117" s="27" t="s">
        <v>196</v>
      </c>
      <c r="E117" s="44"/>
      <c r="F117" s="44"/>
      <c r="G117" s="44"/>
      <c r="H117" s="44"/>
      <c r="I117" s="44"/>
      <c r="J117" s="44"/>
      <c r="K117" s="44"/>
      <c r="L117" s="44"/>
      <c r="M117" s="44">
        <v>356</v>
      </c>
      <c r="N117" s="188"/>
      <c r="O117" s="207"/>
      <c r="P117" s="188"/>
      <c r="Q117" s="188"/>
      <c r="R117" s="188"/>
      <c r="S117" s="188" t="s">
        <v>209</v>
      </c>
      <c r="T117" s="209">
        <f t="shared" si="7"/>
        <v>0</v>
      </c>
      <c r="U117" s="209">
        <f t="shared" si="8"/>
        <v>0</v>
      </c>
      <c r="V117" s="209">
        <f t="shared" si="9"/>
        <v>0</v>
      </c>
      <c r="W117" s="209">
        <f t="shared" si="10"/>
        <v>356</v>
      </c>
      <c r="X117" s="209">
        <f t="shared" si="11"/>
        <v>0</v>
      </c>
      <c r="Y117" s="209">
        <f t="shared" si="12"/>
        <v>0</v>
      </c>
      <c r="Z117" s="210">
        <f t="shared" si="13"/>
        <v>356</v>
      </c>
    </row>
    <row r="118" spans="1:26" s="27" customFormat="1" x14ac:dyDescent="0.25">
      <c r="A118" s="189"/>
      <c r="B118" s="27" t="s">
        <v>215</v>
      </c>
      <c r="C118" s="27" t="s">
        <v>216</v>
      </c>
      <c r="E118" s="44"/>
      <c r="F118" s="44"/>
      <c r="G118" s="44"/>
      <c r="H118" s="44"/>
      <c r="I118" s="44"/>
      <c r="J118" s="44"/>
      <c r="K118" s="44"/>
      <c r="L118" s="44"/>
      <c r="M118" s="44">
        <v>309</v>
      </c>
      <c r="N118" s="188"/>
      <c r="O118" s="207"/>
      <c r="P118" s="188"/>
      <c r="Q118" s="188"/>
      <c r="R118" s="188"/>
      <c r="S118" s="188" t="s">
        <v>209</v>
      </c>
      <c r="T118" s="209">
        <f t="shared" si="7"/>
        <v>0</v>
      </c>
      <c r="U118" s="209">
        <f t="shared" si="8"/>
        <v>0</v>
      </c>
      <c r="V118" s="209">
        <f t="shared" si="9"/>
        <v>0</v>
      </c>
      <c r="W118" s="209">
        <f t="shared" si="10"/>
        <v>309</v>
      </c>
      <c r="X118" s="209">
        <f t="shared" si="11"/>
        <v>0</v>
      </c>
      <c r="Y118" s="209">
        <f t="shared" si="12"/>
        <v>0</v>
      </c>
      <c r="Z118" s="210">
        <f t="shared" si="13"/>
        <v>309</v>
      </c>
    </row>
    <row r="119" spans="1:26" s="27" customFormat="1" x14ac:dyDescent="0.25">
      <c r="A119" s="189"/>
      <c r="B119" s="27" t="s">
        <v>193</v>
      </c>
      <c r="C119" s="27" t="s">
        <v>194</v>
      </c>
      <c r="E119" s="44"/>
      <c r="F119" s="44"/>
      <c r="G119" s="44"/>
      <c r="H119" s="44"/>
      <c r="I119" s="44"/>
      <c r="J119" s="44"/>
      <c r="K119" s="44"/>
      <c r="L119" s="44"/>
      <c r="M119" s="44">
        <v>279</v>
      </c>
      <c r="N119" s="188"/>
      <c r="O119" s="207"/>
      <c r="P119" s="188"/>
      <c r="Q119" s="188"/>
      <c r="R119" s="188"/>
      <c r="S119" s="188" t="s">
        <v>209</v>
      </c>
      <c r="T119" s="209">
        <f t="shared" si="7"/>
        <v>0</v>
      </c>
      <c r="U119" s="209">
        <f t="shared" si="8"/>
        <v>0</v>
      </c>
      <c r="V119" s="209">
        <f t="shared" si="9"/>
        <v>0</v>
      </c>
      <c r="W119" s="209">
        <f t="shared" si="10"/>
        <v>279</v>
      </c>
      <c r="X119" s="209">
        <f t="shared" si="11"/>
        <v>0</v>
      </c>
      <c r="Y119" s="209">
        <f t="shared" si="12"/>
        <v>0</v>
      </c>
      <c r="Z119" s="210">
        <f t="shared" si="13"/>
        <v>279</v>
      </c>
    </row>
    <row r="120" spans="1:26" s="27" customFormat="1" x14ac:dyDescent="0.25">
      <c r="A120" s="189"/>
      <c r="B120" s="27" t="s">
        <v>215</v>
      </c>
      <c r="C120" s="27" t="s">
        <v>216</v>
      </c>
      <c r="E120" s="44"/>
      <c r="F120" s="44"/>
      <c r="G120" s="44"/>
      <c r="H120" s="44"/>
      <c r="I120" s="44"/>
      <c r="J120" s="44"/>
      <c r="K120" s="44"/>
      <c r="L120" s="44"/>
      <c r="M120" s="44">
        <v>139</v>
      </c>
      <c r="N120" s="188"/>
      <c r="O120" s="207"/>
      <c r="P120" s="188"/>
      <c r="Q120" s="188"/>
      <c r="R120" s="188"/>
      <c r="S120" s="188" t="s">
        <v>209</v>
      </c>
      <c r="T120" s="209">
        <f t="shared" si="7"/>
        <v>0</v>
      </c>
      <c r="U120" s="209">
        <f t="shared" si="8"/>
        <v>0</v>
      </c>
      <c r="V120" s="209">
        <f t="shared" si="9"/>
        <v>0</v>
      </c>
      <c r="W120" s="209">
        <f t="shared" si="10"/>
        <v>139</v>
      </c>
      <c r="X120" s="209">
        <f t="shared" si="11"/>
        <v>0</v>
      </c>
      <c r="Y120" s="209">
        <f t="shared" si="12"/>
        <v>0</v>
      </c>
      <c r="Z120" s="210">
        <f t="shared" si="13"/>
        <v>139</v>
      </c>
    </row>
    <row r="121" spans="1:26" s="27" customFormat="1" x14ac:dyDescent="0.25">
      <c r="A121" s="189"/>
      <c r="B121" s="27" t="s">
        <v>276</v>
      </c>
      <c r="C121" s="27" t="s">
        <v>196</v>
      </c>
      <c r="E121" s="44"/>
      <c r="F121" s="44"/>
      <c r="G121" s="44"/>
      <c r="H121" s="44"/>
      <c r="I121" s="44"/>
      <c r="J121" s="44"/>
      <c r="K121" s="44"/>
      <c r="L121" s="44"/>
      <c r="M121" s="44">
        <v>104</v>
      </c>
      <c r="N121" s="188"/>
      <c r="O121" s="207"/>
      <c r="P121" s="188"/>
      <c r="Q121" s="188"/>
      <c r="R121" s="188"/>
      <c r="S121" s="188" t="s">
        <v>209</v>
      </c>
      <c r="T121" s="209">
        <f t="shared" si="7"/>
        <v>0</v>
      </c>
      <c r="U121" s="209">
        <f t="shared" si="8"/>
        <v>0</v>
      </c>
      <c r="V121" s="209">
        <f t="shared" si="9"/>
        <v>0</v>
      </c>
      <c r="W121" s="209">
        <f t="shared" si="10"/>
        <v>104</v>
      </c>
      <c r="X121" s="209">
        <f t="shared" si="11"/>
        <v>0</v>
      </c>
      <c r="Y121" s="209">
        <f t="shared" si="12"/>
        <v>0</v>
      </c>
      <c r="Z121" s="210">
        <f t="shared" si="13"/>
        <v>104</v>
      </c>
    </row>
    <row r="122" spans="1:26" s="27" customFormat="1" x14ac:dyDescent="0.25">
      <c r="A122" s="189"/>
      <c r="B122" s="27" t="s">
        <v>277</v>
      </c>
      <c r="C122" s="27" t="s">
        <v>217</v>
      </c>
      <c r="E122" s="44"/>
      <c r="F122" s="44"/>
      <c r="G122" s="44"/>
      <c r="H122" s="44"/>
      <c r="I122" s="44"/>
      <c r="J122" s="44"/>
      <c r="K122" s="44"/>
      <c r="L122" s="44"/>
      <c r="M122" s="44">
        <v>584</v>
      </c>
      <c r="N122" s="188"/>
      <c r="O122" s="207"/>
      <c r="P122" s="188"/>
      <c r="Q122" s="188"/>
      <c r="R122" s="188"/>
      <c r="S122" s="188" t="s">
        <v>209</v>
      </c>
      <c r="T122" s="209">
        <f t="shared" si="7"/>
        <v>0</v>
      </c>
      <c r="U122" s="209">
        <f t="shared" si="8"/>
        <v>0</v>
      </c>
      <c r="V122" s="209">
        <f t="shared" si="9"/>
        <v>0</v>
      </c>
      <c r="W122" s="209">
        <f t="shared" si="10"/>
        <v>584</v>
      </c>
      <c r="X122" s="209">
        <f t="shared" si="11"/>
        <v>0</v>
      </c>
      <c r="Y122" s="209">
        <f t="shared" si="12"/>
        <v>0</v>
      </c>
      <c r="Z122" s="210">
        <f t="shared" si="13"/>
        <v>584</v>
      </c>
    </row>
    <row r="123" spans="1:26" s="27" customFormat="1" ht="3" customHeight="1" x14ac:dyDescent="0.25">
      <c r="E123" s="44"/>
      <c r="F123" s="44"/>
      <c r="G123" s="44"/>
      <c r="H123" s="44"/>
      <c r="I123" s="44"/>
      <c r="J123" s="44"/>
      <c r="K123" s="44"/>
      <c r="L123" s="44"/>
      <c r="M123" s="44"/>
      <c r="N123" s="188"/>
      <c r="O123" s="207"/>
      <c r="P123" s="188"/>
      <c r="Q123" s="188"/>
      <c r="R123" s="188"/>
      <c r="S123" s="188"/>
      <c r="T123" s="188"/>
      <c r="U123" s="188"/>
      <c r="V123" s="188"/>
      <c r="W123" s="188"/>
      <c r="X123" s="188"/>
    </row>
    <row r="124" spans="1:26" s="27" customFormat="1" x14ac:dyDescent="0.25">
      <c r="A124" s="191"/>
      <c r="B124" s="191"/>
      <c r="C124" s="191"/>
      <c r="D124" s="191"/>
      <c r="E124" s="192"/>
      <c r="F124" s="193"/>
      <c r="G124" s="192"/>
      <c r="H124" s="193"/>
      <c r="I124" s="192"/>
      <c r="J124" s="193"/>
      <c r="K124" s="192"/>
      <c r="L124" s="193"/>
      <c r="M124" s="192">
        <f>SUM(M116:M122)</f>
        <v>2431</v>
      </c>
      <c r="N124" s="188"/>
      <c r="O124" s="207"/>
      <c r="P124" s="188"/>
      <c r="Q124" s="188"/>
      <c r="R124" s="188"/>
      <c r="S124" s="188"/>
      <c r="T124" s="188"/>
      <c r="U124" s="188"/>
      <c r="V124" s="188"/>
      <c r="W124" s="188"/>
      <c r="X124" s="188"/>
    </row>
    <row r="125" spans="1:26" s="188" customFormat="1" ht="3" customHeight="1" x14ac:dyDescent="0.25">
      <c r="A125" s="207"/>
      <c r="B125" s="207"/>
      <c r="C125" s="207"/>
      <c r="D125" s="207"/>
      <c r="E125" s="239"/>
      <c r="F125" s="81"/>
      <c r="G125" s="239"/>
      <c r="H125" s="81"/>
      <c r="I125" s="239"/>
      <c r="J125" s="81"/>
      <c r="K125" s="239"/>
      <c r="L125" s="81"/>
      <c r="M125" s="239"/>
      <c r="O125" s="207"/>
    </row>
    <row r="126" spans="1:26" s="27" customFormat="1" x14ac:dyDescent="0.25">
      <c r="A126" s="189" t="s">
        <v>15</v>
      </c>
      <c r="E126" s="44"/>
      <c r="F126" s="44"/>
      <c r="G126" s="44"/>
      <c r="H126" s="44"/>
      <c r="I126" s="44"/>
      <c r="J126" s="44"/>
      <c r="K126" s="44"/>
      <c r="L126" s="44"/>
      <c r="M126" s="44"/>
      <c r="N126" s="188"/>
      <c r="O126" s="207"/>
      <c r="P126" s="188"/>
      <c r="Q126" s="188"/>
      <c r="R126" s="188"/>
      <c r="S126" s="188"/>
      <c r="T126" s="188"/>
      <c r="U126" s="188"/>
      <c r="V126" s="188"/>
      <c r="W126" s="188"/>
      <c r="X126" s="188"/>
    </row>
    <row r="127" spans="1:26" s="27" customFormat="1" x14ac:dyDescent="0.25">
      <c r="B127" s="27" t="s">
        <v>221</v>
      </c>
      <c r="C127" s="27" t="s">
        <v>222</v>
      </c>
      <c r="E127" s="44"/>
      <c r="F127" s="44"/>
      <c r="G127" s="44"/>
      <c r="H127" s="44"/>
      <c r="I127" s="44"/>
      <c r="J127" s="44"/>
      <c r="K127" s="44"/>
      <c r="L127" s="44"/>
      <c r="M127" s="44">
        <v>2300</v>
      </c>
      <c r="N127" s="188"/>
      <c r="O127" s="207"/>
      <c r="P127" s="188"/>
      <c r="Q127" s="188"/>
      <c r="R127" s="188"/>
      <c r="S127" s="188" t="s">
        <v>208</v>
      </c>
      <c r="T127" s="209">
        <f>IF($S127="G",$M127,)</f>
        <v>0</v>
      </c>
      <c r="U127" s="209">
        <f>IF($S127="P",$M127,)</f>
        <v>0</v>
      </c>
      <c r="V127" s="209">
        <f>IF($S127="C",$M127,)</f>
        <v>0</v>
      </c>
      <c r="W127" s="209">
        <f>IF($S127="A",$M127,)</f>
        <v>0</v>
      </c>
      <c r="X127" s="209">
        <f>IF($S127="F",$M127,)</f>
        <v>2300</v>
      </c>
      <c r="Y127" s="209">
        <f>IF($S127="V",$M127,)</f>
        <v>0</v>
      </c>
      <c r="Z127" s="210">
        <f>SUM(T127:Y127)</f>
        <v>2300</v>
      </c>
    </row>
    <row r="128" spans="1:26" s="27" customFormat="1" ht="3" customHeight="1" x14ac:dyDescent="0.25">
      <c r="E128" s="44"/>
      <c r="F128" s="44"/>
      <c r="G128" s="44"/>
      <c r="H128" s="44"/>
      <c r="I128" s="44"/>
      <c r="J128" s="44"/>
      <c r="K128" s="44"/>
      <c r="L128" s="44"/>
      <c r="M128" s="44"/>
      <c r="N128" s="188"/>
      <c r="O128" s="207"/>
      <c r="P128" s="188"/>
      <c r="Q128" s="188"/>
      <c r="R128" s="188"/>
      <c r="S128" s="188"/>
      <c r="T128" s="188"/>
      <c r="U128" s="188"/>
      <c r="V128" s="188"/>
      <c r="W128" s="188"/>
      <c r="X128" s="188"/>
    </row>
    <row r="129" spans="1:26" s="27" customFormat="1" x14ac:dyDescent="0.25">
      <c r="A129" s="191"/>
      <c r="B129" s="191"/>
      <c r="C129" s="191"/>
      <c r="D129" s="191"/>
      <c r="E129" s="192"/>
      <c r="F129" s="193"/>
      <c r="G129" s="192"/>
      <c r="H129" s="193"/>
      <c r="I129" s="192"/>
      <c r="J129" s="193"/>
      <c r="K129" s="192"/>
      <c r="L129" s="193"/>
      <c r="M129" s="192">
        <f>SUM(M127:M128)</f>
        <v>2300</v>
      </c>
      <c r="N129" s="188"/>
      <c r="O129" s="207"/>
      <c r="P129" s="188"/>
      <c r="Q129" s="188"/>
      <c r="R129" s="188"/>
      <c r="S129" s="188"/>
      <c r="T129" s="188"/>
      <c r="U129" s="188"/>
      <c r="V129" s="188"/>
      <c r="W129" s="188"/>
      <c r="X129" s="188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88"/>
      <c r="O130" s="207"/>
      <c r="P130" s="188"/>
      <c r="Q130" s="188"/>
      <c r="R130" s="188"/>
      <c r="S130" s="188"/>
      <c r="T130" s="188"/>
      <c r="U130" s="188"/>
      <c r="V130" s="188"/>
      <c r="W130" s="188"/>
      <c r="X130" s="188"/>
    </row>
    <row r="131" spans="1:26" s="27" customFormat="1" hidden="1" x14ac:dyDescent="0.25">
      <c r="A131" s="189" t="s">
        <v>1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188"/>
      <c r="O131" s="207"/>
      <c r="P131" s="188"/>
      <c r="Q131" s="188"/>
      <c r="R131" s="188"/>
      <c r="S131" s="188"/>
      <c r="T131" s="188"/>
      <c r="U131" s="188"/>
      <c r="V131" s="188"/>
      <c r="W131" s="188"/>
      <c r="X131" s="188"/>
    </row>
    <row r="132" spans="1:26" s="27" customFormat="1" hidden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88"/>
      <c r="O132" s="207"/>
      <c r="P132" s="188"/>
      <c r="Q132" s="188"/>
      <c r="R132" s="188"/>
      <c r="S132" s="188"/>
      <c r="T132" s="188"/>
      <c r="U132" s="188"/>
      <c r="V132" s="188"/>
      <c r="W132" s="188"/>
      <c r="X132" s="188"/>
    </row>
    <row r="133" spans="1:26" s="27" customFormat="1" ht="3" hidden="1" customHeight="1" x14ac:dyDescent="0.25">
      <c r="E133" s="44"/>
      <c r="F133" s="44"/>
      <c r="G133" s="44"/>
      <c r="H133" s="44"/>
      <c r="I133" s="44"/>
      <c r="J133" s="44"/>
      <c r="K133" s="44"/>
      <c r="L133" s="44"/>
      <c r="M133" s="44"/>
      <c r="N133" s="188"/>
      <c r="O133" s="207"/>
      <c r="P133" s="188"/>
      <c r="Q133" s="188"/>
      <c r="R133" s="188"/>
      <c r="S133" s="188"/>
      <c r="T133" s="188"/>
      <c r="U133" s="188"/>
      <c r="V133" s="188"/>
      <c r="W133" s="188"/>
      <c r="X133" s="188"/>
    </row>
    <row r="134" spans="1:26" s="27" customFormat="1" hidden="1" x14ac:dyDescent="0.25">
      <c r="A134" s="191"/>
      <c r="B134" s="191"/>
      <c r="C134" s="191"/>
      <c r="D134" s="191"/>
      <c r="E134" s="192">
        <f>SUM(E132:E132)</f>
        <v>0</v>
      </c>
      <c r="F134" s="193"/>
      <c r="G134" s="192">
        <f>SUM(G132:G132)</f>
        <v>0</v>
      </c>
      <c r="H134" s="193"/>
      <c r="I134" s="192">
        <f>SUM(I132:I132)</f>
        <v>0</v>
      </c>
      <c r="J134" s="193"/>
      <c r="K134" s="192">
        <f>SUM(K132:K132)</f>
        <v>0</v>
      </c>
      <c r="L134" s="193"/>
      <c r="M134" s="192">
        <f>SUM(E134:K134)</f>
        <v>0</v>
      </c>
      <c r="N134" s="188"/>
      <c r="O134" s="207"/>
      <c r="P134" s="188"/>
      <c r="Q134" s="188"/>
      <c r="R134" s="188"/>
      <c r="S134" s="188"/>
      <c r="T134" s="188"/>
      <c r="U134" s="188"/>
      <c r="V134" s="188"/>
      <c r="W134" s="188"/>
      <c r="X134" s="188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88"/>
      <c r="O135" s="207"/>
      <c r="P135" s="188"/>
      <c r="Q135" s="188"/>
      <c r="R135" s="188"/>
      <c r="S135" s="188"/>
      <c r="T135" s="188"/>
      <c r="U135" s="188"/>
      <c r="V135" s="188"/>
      <c r="W135" s="188"/>
      <c r="X135" s="188"/>
    </row>
    <row r="136" spans="1:26" s="27" customFormat="1" ht="3" customHeight="1" x14ac:dyDescent="0.25">
      <c r="E136" s="44"/>
      <c r="F136" s="44"/>
      <c r="G136" s="44"/>
      <c r="H136" s="44"/>
      <c r="I136" s="44"/>
      <c r="J136" s="44"/>
      <c r="K136" s="44"/>
      <c r="L136" s="44"/>
      <c r="M136" s="44"/>
      <c r="N136" s="188"/>
      <c r="O136" s="207"/>
      <c r="P136" s="188"/>
      <c r="Q136" s="188"/>
      <c r="R136" s="188"/>
      <c r="S136" s="188"/>
      <c r="T136" s="188"/>
      <c r="U136" s="188"/>
      <c r="V136" s="188"/>
      <c r="W136" s="188"/>
      <c r="X136" s="188"/>
    </row>
    <row r="137" spans="1:26" s="27" customFormat="1" x14ac:dyDescent="0.25">
      <c r="A137" s="189" t="s">
        <v>1</v>
      </c>
      <c r="N137" s="188"/>
      <c r="O137" s="207"/>
      <c r="P137" s="188"/>
      <c r="Q137" s="188"/>
      <c r="R137" s="188"/>
      <c r="S137" s="188"/>
      <c r="T137" s="188"/>
      <c r="U137" s="188"/>
      <c r="V137" s="188"/>
      <c r="W137" s="188"/>
      <c r="X137" s="188"/>
    </row>
    <row r="138" spans="1:26" s="27" customFormat="1" x14ac:dyDescent="0.25">
      <c r="B138" s="27" t="s">
        <v>242</v>
      </c>
      <c r="C138" s="27" t="s">
        <v>243</v>
      </c>
      <c r="E138" s="44"/>
      <c r="F138" s="44"/>
      <c r="G138" s="44"/>
      <c r="H138" s="44"/>
      <c r="I138" s="44"/>
      <c r="J138" s="44"/>
      <c r="K138" s="44"/>
      <c r="L138" s="44"/>
      <c r="M138" s="44">
        <v>1388</v>
      </c>
      <c r="N138" s="188"/>
      <c r="O138" s="207"/>
      <c r="P138" s="188"/>
      <c r="Q138" s="188"/>
      <c r="R138" s="188"/>
      <c r="S138" s="188" t="s">
        <v>208</v>
      </c>
      <c r="T138" s="209">
        <f>IF($S138="G",$M138,)</f>
        <v>0</v>
      </c>
      <c r="U138" s="209">
        <f>IF($S138="P",$M138,)</f>
        <v>0</v>
      </c>
      <c r="V138" s="209">
        <f>IF($S138="C",$M138,)</f>
        <v>0</v>
      </c>
      <c r="W138" s="209">
        <f>IF($S138="A",$M138,)</f>
        <v>0</v>
      </c>
      <c r="X138" s="209">
        <f>IF($S138="F",$M138,)</f>
        <v>1388</v>
      </c>
      <c r="Y138" s="209">
        <f>IF($S138="V",$M138,)</f>
        <v>0</v>
      </c>
      <c r="Z138" s="210">
        <f>SUM(T138:Y138)</f>
        <v>1388</v>
      </c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8"/>
      <c r="O139" s="207"/>
      <c r="P139" s="188"/>
      <c r="Q139" s="188"/>
      <c r="R139" s="188"/>
      <c r="S139" s="188"/>
      <c r="T139" s="188"/>
      <c r="U139" s="188"/>
      <c r="V139" s="188"/>
      <c r="W139" s="188"/>
      <c r="X139" s="188"/>
    </row>
    <row r="140" spans="1:26" s="27" customFormat="1" x14ac:dyDescent="0.25">
      <c r="A140" s="191"/>
      <c r="B140" s="191"/>
      <c r="C140" s="191"/>
      <c r="D140" s="191"/>
      <c r="E140" s="192"/>
      <c r="F140" s="193"/>
      <c r="G140" s="192"/>
      <c r="H140" s="193"/>
      <c r="I140" s="192"/>
      <c r="J140" s="193"/>
      <c r="K140" s="192"/>
      <c r="L140" s="193"/>
      <c r="M140" s="192">
        <f>SUM(M138:M138)</f>
        <v>1388</v>
      </c>
      <c r="N140" s="188"/>
      <c r="O140" s="207"/>
      <c r="P140" s="188"/>
      <c r="Q140" s="188"/>
      <c r="R140" s="188"/>
      <c r="S140" s="188"/>
      <c r="T140" s="188"/>
      <c r="U140" s="188"/>
      <c r="V140" s="188"/>
      <c r="W140" s="188"/>
      <c r="X140" s="188"/>
    </row>
    <row r="141" spans="1:26" s="27" customFormat="1" ht="3" customHeight="1" x14ac:dyDescent="0.25">
      <c r="E141" s="44"/>
      <c r="F141" s="44"/>
      <c r="G141" s="44"/>
      <c r="H141" s="44"/>
      <c r="I141" s="44"/>
      <c r="J141" s="44"/>
      <c r="K141" s="44"/>
      <c r="L141" s="44"/>
      <c r="M141" s="44"/>
      <c r="N141" s="188"/>
      <c r="O141" s="207"/>
      <c r="P141" s="188"/>
      <c r="Q141" s="188"/>
      <c r="R141" s="188"/>
      <c r="S141" s="188"/>
      <c r="T141" s="188"/>
      <c r="U141" s="188"/>
      <c r="V141" s="188"/>
      <c r="W141" s="188"/>
      <c r="X141" s="188"/>
    </row>
    <row r="142" spans="1:26" s="27" customFormat="1" ht="13.5" thickBot="1" x14ac:dyDescent="0.3">
      <c r="A142" s="194" t="s">
        <v>164</v>
      </c>
      <c r="B142" s="195"/>
      <c r="C142" s="195"/>
      <c r="D142" s="195"/>
      <c r="E142" s="196"/>
      <c r="F142" s="197"/>
      <c r="G142" s="196"/>
      <c r="H142" s="197"/>
      <c r="I142" s="196"/>
      <c r="J142" s="197"/>
      <c r="K142" s="196"/>
      <c r="L142" s="197"/>
      <c r="M142" s="196">
        <f>M90+M106+M113+M124+M140+M129</f>
        <v>21272</v>
      </c>
      <c r="N142" s="188"/>
      <c r="O142" s="207"/>
      <c r="P142" s="188"/>
      <c r="Q142" s="188"/>
      <c r="R142" s="188"/>
      <c r="S142" s="188"/>
      <c r="T142" s="188"/>
      <c r="U142" s="188"/>
      <c r="V142" s="188"/>
      <c r="W142" s="188"/>
      <c r="X142" s="188"/>
    </row>
    <row r="143" spans="1:26" s="27" customFormat="1" ht="13.5" thickTop="1" x14ac:dyDescent="0.25">
      <c r="E143" s="44"/>
      <c r="F143" s="44"/>
      <c r="G143" s="44"/>
      <c r="H143" s="44"/>
      <c r="I143" s="44"/>
      <c r="J143" s="44"/>
      <c r="K143" s="44"/>
      <c r="L143" s="44"/>
      <c r="M143" s="44"/>
      <c r="N143" s="188"/>
      <c r="O143" s="207"/>
      <c r="P143" s="188"/>
      <c r="Q143" s="188"/>
      <c r="R143" s="188"/>
      <c r="S143" s="188"/>
      <c r="T143" s="188"/>
      <c r="U143" s="188"/>
      <c r="V143" s="188"/>
      <c r="W143" s="188"/>
      <c r="X143" s="188"/>
    </row>
    <row r="144" spans="1:26" s="27" customForma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8"/>
      <c r="O144" s="207"/>
      <c r="P144" s="188"/>
      <c r="Q144" s="188"/>
      <c r="R144" s="188"/>
      <c r="S144" s="188"/>
      <c r="T144" s="188"/>
      <c r="U144" s="188"/>
      <c r="V144" s="188"/>
      <c r="W144" s="188"/>
      <c r="X144" s="188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88"/>
      <c r="O145" s="207"/>
      <c r="P145" s="188"/>
      <c r="Q145" s="188"/>
      <c r="R145" s="188"/>
      <c r="S145" s="188"/>
      <c r="T145" s="188"/>
      <c r="U145" s="188"/>
      <c r="V145" s="188"/>
      <c r="W145" s="188"/>
      <c r="X145" s="188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88"/>
      <c r="O146" s="207"/>
      <c r="P146" s="188"/>
      <c r="Q146" s="188"/>
      <c r="R146" s="188"/>
      <c r="S146" s="188"/>
      <c r="T146" s="188"/>
      <c r="U146" s="188"/>
      <c r="V146" s="188"/>
      <c r="W146" s="188"/>
      <c r="X146" s="188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8"/>
      <c r="O147" s="207"/>
      <c r="P147" s="188"/>
      <c r="Q147" s="188"/>
      <c r="R147" s="188"/>
      <c r="S147" s="188"/>
      <c r="T147" s="188"/>
      <c r="U147" s="188"/>
      <c r="V147" s="188"/>
      <c r="W147" s="188"/>
      <c r="X147" s="188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88"/>
      <c r="O148" s="207"/>
      <c r="P148" s="188"/>
      <c r="Q148" s="188"/>
      <c r="R148" s="188"/>
      <c r="S148" s="188"/>
      <c r="T148" s="188"/>
      <c r="U148" s="188"/>
      <c r="V148" s="188"/>
      <c r="W148" s="188"/>
      <c r="X148" s="188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8"/>
      <c r="O149" s="207"/>
      <c r="P149" s="188"/>
      <c r="Q149" s="188"/>
      <c r="R149" s="188"/>
      <c r="S149" s="188"/>
      <c r="T149" s="188"/>
      <c r="U149" s="188"/>
      <c r="V149" s="188"/>
      <c r="W149" s="188"/>
      <c r="X149" s="188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88"/>
      <c r="O150" s="207"/>
      <c r="P150" s="188"/>
      <c r="Q150" s="188"/>
      <c r="R150" s="188"/>
      <c r="S150" s="188"/>
      <c r="T150" s="188"/>
      <c r="U150" s="188"/>
      <c r="V150" s="188"/>
      <c r="W150" s="188"/>
      <c r="X150" s="188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8"/>
      <c r="O151" s="207"/>
      <c r="P151" s="188"/>
      <c r="Q151" s="188"/>
      <c r="R151" s="188"/>
      <c r="S151" s="188"/>
      <c r="T151" s="188"/>
      <c r="U151" s="188"/>
      <c r="V151" s="188"/>
      <c r="W151" s="188"/>
      <c r="X151" s="188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8"/>
      <c r="O152" s="207"/>
      <c r="P152" s="188"/>
      <c r="Q152" s="188"/>
      <c r="R152" s="188"/>
      <c r="S152" s="188"/>
      <c r="T152" s="188"/>
      <c r="U152" s="188"/>
      <c r="V152" s="188"/>
      <c r="W152" s="188"/>
      <c r="X152" s="188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8"/>
      <c r="O153" s="207"/>
      <c r="P153" s="188"/>
      <c r="Q153" s="188"/>
      <c r="R153" s="188"/>
      <c r="S153" s="188"/>
      <c r="T153" s="188"/>
      <c r="U153" s="188"/>
      <c r="V153" s="188"/>
      <c r="W153" s="188"/>
      <c r="X153" s="188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8"/>
      <c r="O154" s="207"/>
      <c r="P154" s="188"/>
      <c r="Q154" s="188"/>
      <c r="R154" s="188"/>
      <c r="S154" s="188"/>
      <c r="T154" s="188"/>
      <c r="U154" s="188"/>
      <c r="V154" s="188"/>
      <c r="W154" s="188"/>
      <c r="X154" s="188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8"/>
      <c r="O155" s="207"/>
      <c r="P155" s="188"/>
      <c r="Q155" s="188"/>
      <c r="R155" s="188"/>
      <c r="S155" s="188"/>
      <c r="T155" s="188"/>
      <c r="U155" s="188"/>
      <c r="V155" s="188"/>
      <c r="W155" s="188"/>
      <c r="X155" s="188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8"/>
      <c r="O156" s="207"/>
      <c r="P156" s="188"/>
      <c r="Q156" s="188"/>
      <c r="R156" s="188"/>
      <c r="S156" s="188"/>
      <c r="T156" s="188"/>
      <c r="U156" s="188"/>
      <c r="V156" s="188"/>
      <c r="W156" s="188"/>
      <c r="X156" s="188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8"/>
      <c r="O157" s="207"/>
      <c r="P157" s="188"/>
      <c r="Q157" s="188"/>
      <c r="R157" s="188"/>
      <c r="S157" s="188"/>
      <c r="T157" s="188"/>
      <c r="U157" s="188"/>
      <c r="V157" s="188"/>
      <c r="W157" s="188"/>
      <c r="X157" s="188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8"/>
      <c r="O158" s="207"/>
      <c r="P158" s="188"/>
      <c r="Q158" s="188"/>
      <c r="R158" s="188"/>
      <c r="S158" s="188"/>
      <c r="T158" s="188"/>
      <c r="U158" s="188"/>
      <c r="V158" s="188"/>
      <c r="W158" s="188"/>
      <c r="X158" s="188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8"/>
      <c r="O159" s="207"/>
      <c r="P159" s="188"/>
      <c r="Q159" s="188"/>
      <c r="R159" s="188"/>
      <c r="S159" s="188"/>
      <c r="T159" s="188"/>
      <c r="U159" s="188"/>
      <c r="V159" s="188"/>
      <c r="W159" s="188"/>
      <c r="X159" s="188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8"/>
      <c r="O160" s="207"/>
      <c r="P160" s="188"/>
      <c r="Q160" s="188"/>
      <c r="R160" s="188"/>
      <c r="S160" s="188"/>
      <c r="T160" s="188"/>
      <c r="U160" s="188"/>
      <c r="V160" s="188"/>
      <c r="W160" s="188"/>
      <c r="X160" s="188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8"/>
      <c r="O161" s="207"/>
      <c r="P161" s="188"/>
      <c r="Q161" s="188"/>
      <c r="R161" s="188"/>
      <c r="S161" s="188"/>
      <c r="T161" s="188"/>
      <c r="U161" s="188"/>
      <c r="V161" s="188"/>
      <c r="W161" s="188"/>
      <c r="X161" s="188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8"/>
      <c r="O162" s="207"/>
      <c r="P162" s="188"/>
      <c r="Q162" s="188"/>
      <c r="R162" s="188"/>
      <c r="S162" s="188"/>
      <c r="T162" s="188"/>
      <c r="U162" s="188"/>
      <c r="V162" s="188"/>
      <c r="W162" s="188"/>
      <c r="X162" s="188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8"/>
      <c r="O163" s="207"/>
      <c r="P163" s="188"/>
      <c r="Q163" s="188"/>
      <c r="R163" s="188"/>
      <c r="S163" s="188"/>
      <c r="T163" s="188"/>
      <c r="U163" s="188"/>
      <c r="V163" s="188"/>
      <c r="W163" s="188"/>
      <c r="X163" s="188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8"/>
      <c r="O164" s="207"/>
      <c r="P164" s="188"/>
      <c r="Q164" s="188"/>
      <c r="R164" s="188"/>
      <c r="S164" s="188"/>
      <c r="T164" s="188"/>
      <c r="U164" s="188"/>
      <c r="V164" s="188"/>
      <c r="W164" s="188"/>
      <c r="X164" s="188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8"/>
      <c r="O165" s="207"/>
      <c r="P165" s="188"/>
      <c r="Q165" s="188"/>
      <c r="R165" s="188"/>
      <c r="S165" s="188"/>
      <c r="T165" s="188"/>
      <c r="U165" s="188"/>
      <c r="V165" s="188"/>
      <c r="W165" s="188"/>
      <c r="X165" s="188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8"/>
      <c r="O166" s="207"/>
      <c r="P166" s="188"/>
      <c r="Q166" s="188"/>
      <c r="R166" s="188"/>
      <c r="S166" s="188"/>
      <c r="T166" s="188"/>
      <c r="U166" s="188"/>
      <c r="V166" s="188"/>
      <c r="W166" s="188"/>
      <c r="X166" s="188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8"/>
      <c r="O167" s="207"/>
      <c r="P167" s="188"/>
      <c r="Q167" s="188"/>
      <c r="R167" s="188"/>
      <c r="S167" s="188"/>
      <c r="T167" s="188"/>
      <c r="U167" s="188"/>
      <c r="V167" s="188"/>
      <c r="W167" s="188"/>
      <c r="X167" s="188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8"/>
      <c r="O168" s="207"/>
      <c r="P168" s="188"/>
      <c r="Q168" s="188"/>
      <c r="R168" s="188"/>
      <c r="S168" s="188"/>
      <c r="T168" s="188"/>
      <c r="U168" s="188"/>
      <c r="V168" s="188"/>
      <c r="W168" s="188"/>
      <c r="X168" s="188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8"/>
      <c r="O169" s="207"/>
      <c r="P169" s="188"/>
      <c r="Q169" s="188"/>
      <c r="R169" s="188"/>
      <c r="S169" s="188"/>
      <c r="T169" s="188"/>
      <c r="U169" s="188"/>
      <c r="V169" s="188"/>
      <c r="W169" s="188"/>
      <c r="X169" s="188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8"/>
      <c r="O170" s="207"/>
      <c r="P170" s="188"/>
      <c r="Q170" s="188"/>
      <c r="R170" s="188"/>
      <c r="S170" s="188"/>
      <c r="T170" s="188"/>
      <c r="U170" s="188"/>
      <c r="V170" s="188"/>
      <c r="W170" s="188"/>
      <c r="X170" s="188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8"/>
      <c r="O171" s="207"/>
      <c r="P171" s="188"/>
      <c r="Q171" s="188"/>
      <c r="R171" s="188"/>
      <c r="S171" s="188"/>
      <c r="T171" s="188"/>
      <c r="U171" s="188"/>
      <c r="V171" s="188"/>
      <c r="W171" s="188"/>
      <c r="X171" s="188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8"/>
      <c r="O172" s="207"/>
      <c r="P172" s="188"/>
      <c r="Q172" s="188"/>
      <c r="R172" s="188"/>
      <c r="S172" s="188"/>
      <c r="T172" s="188"/>
      <c r="U172" s="188"/>
      <c r="V172" s="188"/>
      <c r="W172" s="188"/>
      <c r="X172" s="188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8"/>
      <c r="O173" s="207"/>
      <c r="P173" s="188"/>
      <c r="Q173" s="188"/>
      <c r="R173" s="188"/>
      <c r="S173" s="188"/>
      <c r="T173" s="188"/>
      <c r="U173" s="188"/>
      <c r="V173" s="188"/>
      <c r="W173" s="188"/>
      <c r="X173" s="188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8"/>
      <c r="O174" s="207"/>
      <c r="P174" s="188"/>
      <c r="Q174" s="188"/>
      <c r="R174" s="188"/>
      <c r="S174" s="188"/>
      <c r="T174" s="188"/>
      <c r="U174" s="188"/>
      <c r="V174" s="188"/>
      <c r="W174" s="188"/>
      <c r="X174" s="188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8"/>
      <c r="O175" s="207"/>
      <c r="P175" s="188"/>
      <c r="Q175" s="188"/>
      <c r="R175" s="188"/>
      <c r="S175" s="188"/>
      <c r="T175" s="188"/>
      <c r="U175" s="188"/>
      <c r="V175" s="188"/>
      <c r="W175" s="188"/>
      <c r="X175" s="188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8"/>
      <c r="O176" s="207"/>
      <c r="P176" s="188"/>
      <c r="Q176" s="188"/>
      <c r="R176" s="188"/>
      <c r="S176" s="188"/>
      <c r="T176" s="188"/>
      <c r="U176" s="188"/>
      <c r="V176" s="188"/>
      <c r="W176" s="188"/>
      <c r="X176" s="188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8"/>
      <c r="O177" s="207"/>
      <c r="P177" s="188"/>
      <c r="Q177" s="188"/>
      <c r="R177" s="188"/>
      <c r="S177" s="188"/>
      <c r="T177" s="188"/>
      <c r="U177" s="188"/>
      <c r="V177" s="188"/>
      <c r="W177" s="188"/>
      <c r="X177" s="188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8"/>
      <c r="O178" s="207"/>
      <c r="P178" s="188"/>
      <c r="Q178" s="188"/>
      <c r="R178" s="188"/>
      <c r="S178" s="188"/>
      <c r="T178" s="188"/>
      <c r="U178" s="188"/>
      <c r="V178" s="188"/>
      <c r="W178" s="188"/>
      <c r="X178" s="188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8"/>
      <c r="O179" s="207"/>
      <c r="P179" s="188"/>
      <c r="Q179" s="188"/>
      <c r="R179" s="188"/>
      <c r="S179" s="188"/>
      <c r="T179" s="188"/>
      <c r="U179" s="188"/>
      <c r="V179" s="188"/>
      <c r="W179" s="188"/>
      <c r="X179" s="188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8"/>
      <c r="O180" s="207"/>
      <c r="P180" s="188"/>
      <c r="Q180" s="188"/>
      <c r="R180" s="188"/>
      <c r="S180" s="188"/>
      <c r="T180" s="188"/>
      <c r="U180" s="188"/>
      <c r="V180" s="188"/>
      <c r="W180" s="188"/>
      <c r="X180" s="188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8"/>
      <c r="O181" s="207"/>
      <c r="P181" s="188"/>
      <c r="Q181" s="188"/>
      <c r="R181" s="188"/>
      <c r="S181" s="188"/>
      <c r="T181" s="188"/>
      <c r="U181" s="188"/>
      <c r="V181" s="188"/>
      <c r="W181" s="188"/>
      <c r="X181" s="188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8"/>
      <c r="O182" s="207"/>
      <c r="P182" s="188"/>
      <c r="Q182" s="188"/>
      <c r="R182" s="188"/>
      <c r="S182" s="188"/>
      <c r="T182" s="188"/>
      <c r="U182" s="188"/>
      <c r="V182" s="188"/>
      <c r="W182" s="188"/>
      <c r="X182" s="188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8"/>
      <c r="O183" s="207"/>
      <c r="P183" s="188"/>
      <c r="Q183" s="188"/>
      <c r="R183" s="188"/>
      <c r="S183" s="188"/>
      <c r="T183" s="188"/>
      <c r="U183" s="188"/>
      <c r="V183" s="188"/>
      <c r="W183" s="188"/>
      <c r="X183" s="188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8"/>
      <c r="O184" s="207"/>
      <c r="P184" s="188"/>
      <c r="Q184" s="188"/>
      <c r="R184" s="188"/>
      <c r="S184" s="188"/>
      <c r="T184" s="188"/>
      <c r="U184" s="188"/>
      <c r="V184" s="188"/>
      <c r="W184" s="188"/>
      <c r="X184" s="188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8"/>
      <c r="O185" s="207"/>
      <c r="P185" s="188"/>
      <c r="Q185" s="188"/>
      <c r="R185" s="188"/>
      <c r="S185" s="188"/>
      <c r="T185" s="188"/>
      <c r="U185" s="188"/>
      <c r="V185" s="188"/>
      <c r="W185" s="188"/>
      <c r="X185" s="188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8"/>
      <c r="O186" s="207"/>
      <c r="P186" s="188"/>
      <c r="Q186" s="188"/>
      <c r="R186" s="188"/>
      <c r="S186" s="188"/>
      <c r="T186" s="188"/>
      <c r="U186" s="188"/>
      <c r="V186" s="188"/>
      <c r="W186" s="188"/>
      <c r="X186" s="188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8"/>
      <c r="O187" s="207"/>
      <c r="P187" s="188"/>
      <c r="Q187" s="188"/>
      <c r="R187" s="188"/>
      <c r="S187" s="188"/>
      <c r="T187" s="188"/>
      <c r="U187" s="188"/>
      <c r="V187" s="188"/>
      <c r="W187" s="188"/>
      <c r="X187" s="188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8"/>
      <c r="O188" s="207"/>
      <c r="P188" s="188"/>
      <c r="Q188" s="188"/>
      <c r="R188" s="188"/>
      <c r="S188" s="188"/>
      <c r="T188" s="188"/>
      <c r="U188" s="188"/>
      <c r="V188" s="188"/>
      <c r="W188" s="188"/>
      <c r="X188" s="188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8"/>
      <c r="O189" s="207"/>
      <c r="P189" s="188"/>
      <c r="Q189" s="188"/>
      <c r="R189" s="188"/>
      <c r="S189" s="188"/>
      <c r="T189" s="188"/>
      <c r="U189" s="188"/>
      <c r="V189" s="188"/>
      <c r="W189" s="188"/>
      <c r="X189" s="188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8"/>
      <c r="O190" s="207"/>
      <c r="P190" s="188"/>
      <c r="Q190" s="188"/>
      <c r="R190" s="188"/>
      <c r="S190" s="188"/>
      <c r="T190" s="188"/>
      <c r="U190" s="188"/>
      <c r="V190" s="188"/>
      <c r="W190" s="188"/>
      <c r="X190" s="188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8"/>
      <c r="O191" s="207"/>
      <c r="P191" s="188"/>
      <c r="Q191" s="188"/>
      <c r="R191" s="188"/>
      <c r="S191" s="188"/>
      <c r="T191" s="188"/>
      <c r="U191" s="188"/>
      <c r="V191" s="188"/>
      <c r="W191" s="188"/>
      <c r="X191" s="188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8"/>
      <c r="O192" s="207"/>
      <c r="P192" s="188"/>
      <c r="Q192" s="188"/>
      <c r="R192" s="188"/>
      <c r="S192" s="188"/>
      <c r="T192" s="188"/>
      <c r="U192" s="188"/>
      <c r="V192" s="188"/>
      <c r="W192" s="188"/>
      <c r="X192" s="188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8"/>
      <c r="O193" s="207"/>
      <c r="P193" s="188"/>
      <c r="Q193" s="188"/>
      <c r="R193" s="188"/>
      <c r="S193" s="188"/>
      <c r="T193" s="188"/>
      <c r="U193" s="188"/>
      <c r="V193" s="188"/>
      <c r="W193" s="188"/>
      <c r="X193" s="188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8"/>
      <c r="O194" s="207"/>
      <c r="P194" s="188"/>
      <c r="Q194" s="188"/>
      <c r="R194" s="188"/>
      <c r="S194" s="188"/>
      <c r="T194" s="188"/>
      <c r="U194" s="188"/>
      <c r="V194" s="188"/>
      <c r="W194" s="188"/>
      <c r="X194" s="188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8"/>
      <c r="O195" s="207"/>
      <c r="P195" s="188"/>
      <c r="Q195" s="188"/>
      <c r="R195" s="188"/>
      <c r="S195" s="188"/>
      <c r="T195" s="188"/>
      <c r="U195" s="188"/>
      <c r="V195" s="188"/>
      <c r="W195" s="188"/>
      <c r="X195" s="188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8"/>
      <c r="O196" s="207"/>
      <c r="P196" s="188"/>
      <c r="Q196" s="188"/>
      <c r="R196" s="188"/>
      <c r="S196" s="188"/>
      <c r="T196" s="188"/>
      <c r="U196" s="188"/>
      <c r="V196" s="188"/>
      <c r="W196" s="188"/>
      <c r="X196" s="188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8"/>
      <c r="O197" s="207"/>
      <c r="P197" s="188"/>
      <c r="Q197" s="188"/>
      <c r="R197" s="188"/>
      <c r="S197" s="188"/>
      <c r="T197" s="188"/>
      <c r="U197" s="188"/>
      <c r="V197" s="188"/>
      <c r="W197" s="188"/>
      <c r="X197" s="188"/>
    </row>
    <row r="198" spans="5:24" s="27" customFormat="1" x14ac:dyDescent="0.25">
      <c r="N198" s="188"/>
      <c r="O198" s="207"/>
      <c r="P198" s="188"/>
      <c r="Q198" s="188"/>
      <c r="R198" s="188"/>
      <c r="S198" s="188"/>
      <c r="T198" s="188"/>
      <c r="U198" s="188"/>
      <c r="V198" s="188"/>
      <c r="W198" s="188"/>
      <c r="X198" s="188"/>
    </row>
    <row r="199" spans="5:24" s="27" customFormat="1" x14ac:dyDescent="0.25">
      <c r="N199" s="188"/>
      <c r="O199" s="207"/>
      <c r="P199" s="188"/>
      <c r="Q199" s="188"/>
      <c r="R199" s="188"/>
      <c r="S199" s="188"/>
      <c r="T199" s="188"/>
      <c r="U199" s="188"/>
      <c r="V199" s="188"/>
      <c r="W199" s="188"/>
      <c r="X199" s="188"/>
    </row>
    <row r="200" spans="5:24" s="27" customFormat="1" x14ac:dyDescent="0.25">
      <c r="N200" s="188"/>
      <c r="O200" s="207"/>
      <c r="P200" s="188"/>
      <c r="Q200" s="188"/>
      <c r="R200" s="188"/>
      <c r="S200" s="188"/>
      <c r="T200" s="188"/>
      <c r="U200" s="188"/>
      <c r="V200" s="188"/>
      <c r="W200" s="188"/>
      <c r="X200" s="188"/>
    </row>
    <row r="201" spans="5:24" s="27" customFormat="1" x14ac:dyDescent="0.25">
      <c r="N201" s="188"/>
      <c r="O201" s="207"/>
      <c r="P201" s="188"/>
      <c r="Q201" s="188"/>
      <c r="R201" s="188"/>
      <c r="S201" s="188"/>
      <c r="T201" s="188"/>
      <c r="U201" s="188"/>
      <c r="V201" s="188"/>
      <c r="W201" s="188"/>
      <c r="X201" s="188"/>
    </row>
    <row r="202" spans="5:24" s="27" customFormat="1" x14ac:dyDescent="0.25">
      <c r="N202" s="188"/>
      <c r="O202" s="207"/>
      <c r="P202" s="188"/>
      <c r="Q202" s="188"/>
      <c r="R202" s="188"/>
      <c r="S202" s="188"/>
      <c r="T202" s="188"/>
      <c r="U202" s="188"/>
      <c r="V202" s="188"/>
      <c r="W202" s="188"/>
      <c r="X202" s="188"/>
    </row>
    <row r="203" spans="5:24" s="27" customFormat="1" x14ac:dyDescent="0.25">
      <c r="N203" s="188"/>
      <c r="O203" s="207"/>
      <c r="P203" s="188"/>
      <c r="Q203" s="188"/>
      <c r="R203" s="188"/>
      <c r="S203" s="188"/>
      <c r="T203" s="188"/>
      <c r="U203" s="188"/>
      <c r="V203" s="188"/>
      <c r="W203" s="188"/>
      <c r="X203" s="188"/>
    </row>
    <row r="204" spans="5:24" s="27" customFormat="1" x14ac:dyDescent="0.25">
      <c r="N204" s="188"/>
      <c r="O204" s="207"/>
      <c r="P204" s="188"/>
      <c r="Q204" s="188"/>
      <c r="R204" s="188"/>
      <c r="S204" s="188"/>
      <c r="T204" s="188"/>
      <c r="U204" s="188"/>
      <c r="V204" s="188"/>
      <c r="W204" s="188"/>
      <c r="X204" s="188"/>
    </row>
    <row r="205" spans="5:24" s="27" customFormat="1" x14ac:dyDescent="0.25">
      <c r="N205" s="188"/>
      <c r="O205" s="207"/>
      <c r="P205" s="188"/>
      <c r="Q205" s="188"/>
      <c r="R205" s="188"/>
      <c r="S205" s="188"/>
      <c r="T205" s="188"/>
      <c r="U205" s="188"/>
      <c r="V205" s="188"/>
      <c r="W205" s="188"/>
      <c r="X205" s="188"/>
    </row>
    <row r="206" spans="5:24" s="27" customFormat="1" x14ac:dyDescent="0.25">
      <c r="N206" s="188"/>
      <c r="O206" s="207"/>
      <c r="P206" s="188"/>
      <c r="Q206" s="188"/>
      <c r="R206" s="188"/>
      <c r="S206" s="188"/>
      <c r="T206" s="188"/>
      <c r="U206" s="188"/>
      <c r="V206" s="188"/>
      <c r="W206" s="188"/>
      <c r="X206" s="188"/>
    </row>
    <row r="207" spans="5:24" s="27" customFormat="1" x14ac:dyDescent="0.25">
      <c r="N207" s="188"/>
      <c r="O207" s="207"/>
      <c r="P207" s="188"/>
      <c r="Q207" s="188"/>
      <c r="R207" s="188"/>
      <c r="S207" s="188"/>
      <c r="T207" s="188"/>
      <c r="U207" s="188"/>
      <c r="V207" s="188"/>
      <c r="W207" s="188"/>
      <c r="X207" s="188"/>
    </row>
    <row r="208" spans="5:24" s="27" customFormat="1" x14ac:dyDescent="0.25">
      <c r="N208" s="188"/>
      <c r="O208" s="207"/>
      <c r="P208" s="188"/>
      <c r="Q208" s="188"/>
      <c r="R208" s="188"/>
      <c r="S208" s="188"/>
      <c r="T208" s="188"/>
      <c r="U208" s="188"/>
      <c r="V208" s="188"/>
      <c r="W208" s="188"/>
      <c r="X208" s="188"/>
    </row>
    <row r="209" spans="14:24" s="27" customFormat="1" x14ac:dyDescent="0.25">
      <c r="N209" s="188"/>
      <c r="O209" s="207"/>
      <c r="P209" s="188"/>
      <c r="Q209" s="188"/>
      <c r="R209" s="188"/>
      <c r="S209" s="188"/>
      <c r="T209" s="188"/>
      <c r="U209" s="188"/>
      <c r="V209" s="188"/>
      <c r="W209" s="188"/>
      <c r="X209" s="188"/>
    </row>
    <row r="210" spans="14:24" s="27" customFormat="1" x14ac:dyDescent="0.25">
      <c r="N210" s="188"/>
      <c r="O210" s="207"/>
      <c r="P210" s="188"/>
      <c r="Q210" s="188"/>
      <c r="R210" s="188"/>
      <c r="S210" s="188"/>
      <c r="T210" s="188"/>
      <c r="U210" s="188"/>
      <c r="V210" s="188"/>
      <c r="W210" s="188"/>
      <c r="X210" s="188"/>
    </row>
    <row r="211" spans="14:24" s="27" customFormat="1" x14ac:dyDescent="0.25">
      <c r="N211" s="188"/>
      <c r="O211" s="207"/>
      <c r="P211" s="188"/>
      <c r="Q211" s="188"/>
      <c r="R211" s="188"/>
      <c r="S211" s="188"/>
      <c r="T211" s="188"/>
      <c r="U211" s="188"/>
      <c r="V211" s="188"/>
      <c r="W211" s="188"/>
      <c r="X211" s="188"/>
    </row>
    <row r="212" spans="14:24" s="27" customFormat="1" x14ac:dyDescent="0.25">
      <c r="N212" s="188"/>
      <c r="O212" s="207"/>
      <c r="P212" s="188"/>
      <c r="Q212" s="188"/>
      <c r="R212" s="188"/>
      <c r="S212" s="188"/>
      <c r="T212" s="188"/>
      <c r="U212" s="188"/>
      <c r="V212" s="188"/>
      <c r="W212" s="188"/>
      <c r="X212" s="188"/>
    </row>
    <row r="213" spans="14:24" s="27" customFormat="1" x14ac:dyDescent="0.25">
      <c r="N213" s="188"/>
      <c r="O213" s="207"/>
      <c r="P213" s="188"/>
      <c r="Q213" s="188"/>
      <c r="R213" s="188"/>
      <c r="S213" s="188"/>
      <c r="T213" s="188"/>
      <c r="U213" s="188"/>
      <c r="V213" s="188"/>
      <c r="W213" s="188"/>
      <c r="X213" s="188"/>
    </row>
    <row r="214" spans="14:24" s="27" customFormat="1" x14ac:dyDescent="0.25">
      <c r="N214" s="188"/>
      <c r="O214" s="207"/>
      <c r="P214" s="188"/>
      <c r="Q214" s="188"/>
      <c r="R214" s="188"/>
      <c r="S214" s="188"/>
      <c r="T214" s="188"/>
      <c r="U214" s="188"/>
      <c r="V214" s="188"/>
      <c r="W214" s="188"/>
      <c r="X214" s="188"/>
    </row>
    <row r="215" spans="14:24" s="27" customFormat="1" x14ac:dyDescent="0.25">
      <c r="N215" s="188"/>
      <c r="O215" s="207"/>
      <c r="P215" s="188"/>
      <c r="Q215" s="188"/>
      <c r="R215" s="188"/>
      <c r="S215" s="188"/>
      <c r="T215" s="188"/>
      <c r="U215" s="188"/>
      <c r="V215" s="188"/>
      <c r="W215" s="188"/>
      <c r="X215" s="188"/>
    </row>
    <row r="216" spans="14:24" s="27" customFormat="1" x14ac:dyDescent="0.25">
      <c r="N216" s="188"/>
      <c r="O216" s="207"/>
      <c r="P216" s="188"/>
      <c r="Q216" s="188"/>
      <c r="R216" s="188"/>
      <c r="S216" s="188"/>
      <c r="T216" s="188"/>
      <c r="U216" s="188"/>
      <c r="V216" s="188"/>
      <c r="W216" s="188"/>
      <c r="X216" s="188"/>
    </row>
    <row r="217" spans="14:24" s="27" customFormat="1" x14ac:dyDescent="0.25">
      <c r="N217" s="188"/>
      <c r="O217" s="207"/>
      <c r="P217" s="188"/>
      <c r="Q217" s="188"/>
      <c r="R217" s="188"/>
      <c r="S217" s="188"/>
      <c r="T217" s="188"/>
      <c r="U217" s="188"/>
      <c r="V217" s="188"/>
      <c r="W217" s="188"/>
      <c r="X217" s="188"/>
    </row>
    <row r="218" spans="14:24" s="27" customFormat="1" x14ac:dyDescent="0.25">
      <c r="N218" s="188"/>
      <c r="O218" s="207"/>
      <c r="P218" s="188"/>
      <c r="Q218" s="188"/>
      <c r="R218" s="188"/>
      <c r="S218" s="188"/>
      <c r="T218" s="188"/>
      <c r="U218" s="188"/>
      <c r="V218" s="188"/>
      <c r="W218" s="188"/>
      <c r="X218" s="188"/>
    </row>
    <row r="219" spans="14:24" s="27" customFormat="1" x14ac:dyDescent="0.25">
      <c r="N219" s="188"/>
      <c r="O219" s="207"/>
      <c r="P219" s="188"/>
      <c r="Q219" s="188"/>
      <c r="R219" s="188"/>
      <c r="S219" s="188"/>
      <c r="T219" s="188"/>
      <c r="U219" s="188"/>
      <c r="V219" s="188"/>
      <c r="W219" s="188"/>
      <c r="X219" s="188"/>
    </row>
    <row r="220" spans="14:24" s="27" customFormat="1" x14ac:dyDescent="0.25">
      <c r="N220" s="188"/>
      <c r="O220" s="207"/>
      <c r="P220" s="188"/>
      <c r="Q220" s="188"/>
      <c r="R220" s="188"/>
      <c r="S220" s="188"/>
      <c r="T220" s="188"/>
      <c r="U220" s="188"/>
      <c r="V220" s="188"/>
      <c r="W220" s="188"/>
      <c r="X220" s="188"/>
    </row>
    <row r="221" spans="14:24" s="27" customFormat="1" x14ac:dyDescent="0.25">
      <c r="N221" s="188"/>
      <c r="O221" s="207"/>
      <c r="P221" s="188"/>
      <c r="Q221" s="188"/>
      <c r="R221" s="188"/>
      <c r="S221" s="188"/>
      <c r="T221" s="188"/>
      <c r="U221" s="188"/>
      <c r="V221" s="188"/>
      <c r="W221" s="188"/>
      <c r="X221" s="188"/>
    </row>
    <row r="222" spans="14:24" s="27" customFormat="1" x14ac:dyDescent="0.25">
      <c r="N222" s="188"/>
      <c r="O222" s="207"/>
      <c r="P222" s="188"/>
      <c r="Q222" s="188"/>
      <c r="R222" s="188"/>
      <c r="S222" s="188"/>
      <c r="T222" s="188"/>
      <c r="U222" s="188"/>
      <c r="V222" s="188"/>
      <c r="W222" s="188"/>
      <c r="X222" s="188"/>
    </row>
    <row r="223" spans="14:24" s="27" customFormat="1" x14ac:dyDescent="0.25">
      <c r="N223" s="188"/>
      <c r="O223" s="207"/>
      <c r="P223" s="188"/>
      <c r="Q223" s="188"/>
      <c r="R223" s="188"/>
      <c r="S223" s="188"/>
      <c r="T223" s="188"/>
      <c r="U223" s="188"/>
      <c r="V223" s="188"/>
      <c r="W223" s="188"/>
      <c r="X223" s="188"/>
    </row>
    <row r="224" spans="14:24" s="27" customFormat="1" x14ac:dyDescent="0.25">
      <c r="N224" s="188"/>
      <c r="O224" s="207"/>
      <c r="P224" s="188"/>
      <c r="Q224" s="188"/>
      <c r="R224" s="188"/>
      <c r="S224" s="188"/>
      <c r="T224" s="188"/>
      <c r="U224" s="188"/>
      <c r="V224" s="188"/>
      <c r="W224" s="188"/>
      <c r="X224" s="188"/>
    </row>
    <row r="225" spans="14:24" s="27" customFormat="1" x14ac:dyDescent="0.25">
      <c r="N225" s="188"/>
      <c r="O225" s="207"/>
      <c r="P225" s="188"/>
      <c r="Q225" s="188"/>
      <c r="R225" s="188"/>
      <c r="S225" s="188"/>
      <c r="T225" s="188"/>
      <c r="U225" s="188"/>
      <c r="V225" s="188"/>
      <c r="W225" s="188"/>
      <c r="X225" s="188"/>
    </row>
    <row r="226" spans="14:24" s="27" customFormat="1" x14ac:dyDescent="0.25">
      <c r="N226" s="188"/>
      <c r="O226" s="207"/>
      <c r="P226" s="188"/>
      <c r="Q226" s="188"/>
      <c r="R226" s="188"/>
      <c r="S226" s="188"/>
      <c r="T226" s="188"/>
      <c r="U226" s="188"/>
      <c r="V226" s="188"/>
      <c r="W226" s="188"/>
      <c r="X226" s="188"/>
    </row>
    <row r="227" spans="14:24" s="27" customFormat="1" x14ac:dyDescent="0.25">
      <c r="N227" s="188"/>
      <c r="O227" s="207"/>
      <c r="P227" s="188"/>
      <c r="Q227" s="188"/>
      <c r="R227" s="188"/>
      <c r="S227" s="188"/>
      <c r="T227" s="188"/>
      <c r="U227" s="188"/>
      <c r="V227" s="188"/>
      <c r="W227" s="188"/>
      <c r="X227" s="188"/>
    </row>
    <row r="228" spans="14:24" s="27" customFormat="1" x14ac:dyDescent="0.25">
      <c r="N228" s="188"/>
      <c r="O228" s="207"/>
      <c r="P228" s="188"/>
      <c r="Q228" s="188"/>
      <c r="R228" s="188"/>
      <c r="S228" s="188"/>
      <c r="T228" s="188"/>
      <c r="U228" s="188"/>
      <c r="V228" s="188"/>
      <c r="W228" s="188"/>
      <c r="X228" s="188"/>
    </row>
    <row r="229" spans="14:24" s="27" customFormat="1" x14ac:dyDescent="0.25">
      <c r="N229" s="188"/>
      <c r="O229" s="207"/>
      <c r="P229" s="188"/>
      <c r="Q229" s="188"/>
      <c r="R229" s="188"/>
      <c r="S229" s="188"/>
      <c r="T229" s="188"/>
      <c r="U229" s="188"/>
      <c r="V229" s="188"/>
      <c r="W229" s="188"/>
      <c r="X229" s="188"/>
    </row>
    <row r="230" spans="14:24" s="27" customFormat="1" x14ac:dyDescent="0.25">
      <c r="N230" s="188"/>
      <c r="O230" s="207"/>
      <c r="P230" s="188"/>
      <c r="Q230" s="188"/>
      <c r="R230" s="188"/>
      <c r="S230" s="188"/>
      <c r="T230" s="188"/>
      <c r="U230" s="188"/>
      <c r="V230" s="188"/>
      <c r="W230" s="188"/>
      <c r="X230" s="188"/>
    </row>
    <row r="231" spans="14:24" s="27" customFormat="1" x14ac:dyDescent="0.25">
      <c r="N231" s="188"/>
      <c r="O231" s="207"/>
      <c r="P231" s="188"/>
      <c r="Q231" s="188"/>
      <c r="R231" s="188"/>
      <c r="S231" s="188"/>
      <c r="T231" s="188"/>
      <c r="U231" s="188"/>
      <c r="V231" s="188"/>
      <c r="W231" s="188"/>
      <c r="X231" s="188"/>
    </row>
    <row r="232" spans="14:24" s="27" customFormat="1" x14ac:dyDescent="0.25">
      <c r="N232" s="188"/>
      <c r="O232" s="207"/>
      <c r="P232" s="188"/>
      <c r="Q232" s="188"/>
      <c r="R232" s="188"/>
      <c r="S232" s="188"/>
      <c r="T232" s="188"/>
      <c r="U232" s="188"/>
      <c r="V232" s="188"/>
      <c r="W232" s="188"/>
      <c r="X232" s="188"/>
    </row>
    <row r="233" spans="14:24" s="27" customFormat="1" x14ac:dyDescent="0.25">
      <c r="N233" s="188"/>
      <c r="O233" s="207"/>
      <c r="P233" s="188"/>
      <c r="Q233" s="188"/>
      <c r="R233" s="188"/>
      <c r="S233" s="188"/>
      <c r="T233" s="188"/>
      <c r="U233" s="188"/>
      <c r="V233" s="188"/>
      <c r="W233" s="188"/>
      <c r="X233" s="188"/>
    </row>
    <row r="234" spans="14:24" s="27" customFormat="1" x14ac:dyDescent="0.25">
      <c r="N234" s="188"/>
      <c r="O234" s="207"/>
      <c r="P234" s="188"/>
      <c r="Q234" s="188"/>
      <c r="R234" s="188"/>
      <c r="S234" s="188"/>
      <c r="T234" s="188"/>
      <c r="U234" s="188"/>
      <c r="V234" s="188"/>
      <c r="W234" s="188"/>
      <c r="X234" s="188"/>
    </row>
    <row r="235" spans="14:24" s="27" customFormat="1" x14ac:dyDescent="0.25">
      <c r="N235" s="188"/>
      <c r="O235" s="207"/>
      <c r="P235" s="188"/>
      <c r="Q235" s="188"/>
      <c r="R235" s="188"/>
      <c r="S235" s="188"/>
      <c r="T235" s="188"/>
      <c r="U235" s="188"/>
      <c r="V235" s="188"/>
      <c r="W235" s="188"/>
      <c r="X235" s="188"/>
    </row>
    <row r="236" spans="14:24" s="27" customFormat="1" x14ac:dyDescent="0.25">
      <c r="N236" s="188"/>
      <c r="O236" s="207"/>
      <c r="P236" s="188"/>
      <c r="Q236" s="188"/>
      <c r="R236" s="188"/>
      <c r="S236" s="188"/>
      <c r="T236" s="188"/>
      <c r="U236" s="188"/>
      <c r="V236" s="188"/>
      <c r="W236" s="188"/>
      <c r="X236" s="188"/>
    </row>
    <row r="237" spans="14:24" s="27" customFormat="1" x14ac:dyDescent="0.25">
      <c r="N237" s="188"/>
      <c r="O237" s="207"/>
      <c r="P237" s="188"/>
      <c r="Q237" s="188"/>
      <c r="R237" s="188"/>
      <c r="S237" s="188"/>
      <c r="T237" s="188"/>
      <c r="U237" s="188"/>
      <c r="V237" s="188"/>
      <c r="W237" s="188"/>
      <c r="X237" s="188"/>
    </row>
    <row r="238" spans="14:24" s="27" customFormat="1" x14ac:dyDescent="0.25">
      <c r="N238" s="188"/>
      <c r="O238" s="207"/>
      <c r="P238" s="188"/>
      <c r="Q238" s="188"/>
      <c r="R238" s="188"/>
      <c r="S238" s="188"/>
      <c r="T238" s="188"/>
      <c r="U238" s="188"/>
      <c r="V238" s="188"/>
      <c r="W238" s="188"/>
      <c r="X238" s="188"/>
    </row>
    <row r="239" spans="14:24" s="27" customFormat="1" x14ac:dyDescent="0.25">
      <c r="N239" s="188"/>
      <c r="O239" s="207"/>
      <c r="P239" s="188"/>
      <c r="Q239" s="188"/>
      <c r="R239" s="188"/>
      <c r="S239" s="188"/>
      <c r="T239" s="188"/>
      <c r="U239" s="188"/>
      <c r="V239" s="188"/>
      <c r="W239" s="188"/>
      <c r="X239" s="188"/>
    </row>
    <row r="240" spans="14:24" s="27" customFormat="1" x14ac:dyDescent="0.25">
      <c r="N240" s="188"/>
      <c r="O240" s="207"/>
      <c r="P240" s="188"/>
      <c r="Q240" s="188"/>
      <c r="R240" s="188"/>
      <c r="S240" s="188"/>
      <c r="T240" s="188"/>
      <c r="U240" s="188"/>
      <c r="V240" s="188"/>
      <c r="W240" s="188"/>
      <c r="X240" s="188"/>
    </row>
    <row r="241" spans="14:24" s="27" customFormat="1" x14ac:dyDescent="0.25">
      <c r="N241" s="188"/>
      <c r="O241" s="207"/>
      <c r="P241" s="188"/>
      <c r="Q241" s="188"/>
      <c r="R241" s="188"/>
      <c r="S241" s="188"/>
      <c r="T241" s="188"/>
      <c r="U241" s="188"/>
      <c r="V241" s="188"/>
      <c r="W241" s="188"/>
      <c r="X241" s="188"/>
    </row>
    <row r="242" spans="14:24" s="27" customFormat="1" x14ac:dyDescent="0.25">
      <c r="N242" s="188"/>
      <c r="O242" s="207"/>
      <c r="P242" s="188"/>
      <c r="Q242" s="188"/>
      <c r="R242" s="188"/>
      <c r="S242" s="188"/>
      <c r="T242" s="188"/>
      <c r="U242" s="188"/>
      <c r="V242" s="188"/>
      <c r="W242" s="188"/>
      <c r="X242" s="188"/>
    </row>
    <row r="243" spans="14:24" s="27" customFormat="1" x14ac:dyDescent="0.25">
      <c r="N243" s="188"/>
      <c r="O243" s="207"/>
      <c r="P243" s="188"/>
      <c r="Q243" s="188"/>
      <c r="R243" s="188"/>
      <c r="S243" s="188"/>
      <c r="T243" s="188"/>
      <c r="U243" s="188"/>
      <c r="V243" s="188"/>
      <c r="W243" s="188"/>
      <c r="X243" s="188"/>
    </row>
    <row r="244" spans="14:24" s="27" customFormat="1" x14ac:dyDescent="0.25">
      <c r="N244" s="188"/>
      <c r="O244" s="207"/>
      <c r="P244" s="188"/>
      <c r="Q244" s="188"/>
      <c r="R244" s="188"/>
      <c r="S244" s="188"/>
      <c r="T244" s="188"/>
      <c r="U244" s="188"/>
      <c r="V244" s="188"/>
      <c r="W244" s="188"/>
      <c r="X244" s="188"/>
    </row>
    <row r="245" spans="14:24" s="27" customFormat="1" x14ac:dyDescent="0.25">
      <c r="N245" s="188"/>
      <c r="O245" s="207"/>
      <c r="P245" s="188"/>
      <c r="Q245" s="188"/>
      <c r="R245" s="188"/>
      <c r="S245" s="188"/>
      <c r="T245" s="188"/>
      <c r="U245" s="188"/>
      <c r="V245" s="188"/>
      <c r="W245" s="188"/>
      <c r="X245" s="188"/>
    </row>
    <row r="246" spans="14:24" s="27" customFormat="1" x14ac:dyDescent="0.25">
      <c r="N246" s="188"/>
      <c r="O246" s="207"/>
      <c r="P246" s="188"/>
      <c r="Q246" s="188"/>
      <c r="R246" s="188"/>
      <c r="S246" s="188"/>
      <c r="T246" s="188"/>
      <c r="U246" s="188"/>
      <c r="V246" s="188"/>
      <c r="W246" s="188"/>
      <c r="X246" s="188"/>
    </row>
    <row r="247" spans="14:24" s="27" customFormat="1" x14ac:dyDescent="0.25">
      <c r="N247" s="188"/>
      <c r="O247" s="207"/>
      <c r="P247" s="188"/>
      <c r="Q247" s="188"/>
      <c r="R247" s="188"/>
      <c r="S247" s="188"/>
      <c r="T247" s="188"/>
      <c r="U247" s="188"/>
      <c r="V247" s="188"/>
      <c r="W247" s="188"/>
      <c r="X247" s="188"/>
    </row>
    <row r="248" spans="14:24" s="27" customFormat="1" x14ac:dyDescent="0.25">
      <c r="N248" s="188"/>
      <c r="O248" s="207"/>
      <c r="P248" s="188"/>
      <c r="Q248" s="188"/>
      <c r="R248" s="188"/>
      <c r="S248" s="188"/>
      <c r="T248" s="188"/>
      <c r="U248" s="188"/>
      <c r="V248" s="188"/>
      <c r="W248" s="188"/>
      <c r="X248" s="188"/>
    </row>
    <row r="249" spans="14:24" s="27" customFormat="1" x14ac:dyDescent="0.25">
      <c r="N249" s="188"/>
      <c r="O249" s="207"/>
      <c r="P249" s="188"/>
      <c r="Q249" s="188"/>
      <c r="R249" s="188"/>
      <c r="S249" s="188"/>
      <c r="T249" s="188"/>
      <c r="U249" s="188"/>
      <c r="V249" s="188"/>
      <c r="W249" s="188"/>
      <c r="X249" s="188"/>
    </row>
    <row r="250" spans="14:24" s="27" customFormat="1" x14ac:dyDescent="0.25">
      <c r="N250" s="188"/>
      <c r="O250" s="207"/>
      <c r="P250" s="188"/>
      <c r="Q250" s="188"/>
      <c r="R250" s="188"/>
      <c r="S250" s="188"/>
      <c r="T250" s="188"/>
      <c r="U250" s="188"/>
      <c r="V250" s="188"/>
      <c r="W250" s="188"/>
      <c r="X250" s="188"/>
    </row>
    <row r="251" spans="14:24" s="27" customFormat="1" x14ac:dyDescent="0.25">
      <c r="N251" s="188"/>
      <c r="O251" s="207"/>
      <c r="P251" s="188"/>
      <c r="Q251" s="188"/>
      <c r="R251" s="188"/>
      <c r="S251" s="188"/>
      <c r="T251" s="188"/>
      <c r="U251" s="188"/>
      <c r="V251" s="188"/>
      <c r="W251" s="188"/>
      <c r="X251" s="188"/>
    </row>
    <row r="252" spans="14:24" s="27" customFormat="1" x14ac:dyDescent="0.25">
      <c r="N252" s="188"/>
      <c r="O252" s="207"/>
      <c r="P252" s="188"/>
      <c r="Q252" s="188"/>
      <c r="R252" s="188"/>
      <c r="S252" s="188"/>
      <c r="T252" s="188"/>
      <c r="U252" s="188"/>
      <c r="V252" s="188"/>
      <c r="W252" s="188"/>
      <c r="X252" s="188"/>
    </row>
    <row r="253" spans="14:24" s="27" customFormat="1" x14ac:dyDescent="0.25">
      <c r="N253" s="188"/>
      <c r="O253" s="207"/>
      <c r="P253" s="188"/>
      <c r="Q253" s="188"/>
      <c r="R253" s="188"/>
      <c r="S253" s="188"/>
      <c r="T253" s="188"/>
      <c r="U253" s="188"/>
      <c r="V253" s="188"/>
      <c r="W253" s="188"/>
      <c r="X253" s="188"/>
    </row>
    <row r="254" spans="14:24" s="27" customFormat="1" x14ac:dyDescent="0.25">
      <c r="N254" s="188"/>
      <c r="O254" s="207"/>
      <c r="P254" s="188"/>
      <c r="Q254" s="188"/>
      <c r="R254" s="188"/>
      <c r="S254" s="188"/>
      <c r="T254" s="188"/>
      <c r="U254" s="188"/>
      <c r="V254" s="188"/>
      <c r="W254" s="188"/>
      <c r="X254" s="188"/>
    </row>
    <row r="255" spans="14:24" s="27" customFormat="1" x14ac:dyDescent="0.25">
      <c r="N255" s="188"/>
      <c r="O255" s="207"/>
      <c r="P255" s="188"/>
      <c r="Q255" s="188"/>
      <c r="R255" s="188"/>
      <c r="S255" s="188"/>
      <c r="T255" s="188"/>
      <c r="U255" s="188"/>
      <c r="V255" s="188"/>
      <c r="W255" s="188"/>
      <c r="X255" s="188"/>
    </row>
    <row r="256" spans="14:24" s="27" customFormat="1" x14ac:dyDescent="0.25">
      <c r="N256" s="188"/>
      <c r="O256" s="207"/>
      <c r="P256" s="188"/>
      <c r="Q256" s="188"/>
      <c r="R256" s="188"/>
      <c r="S256" s="188"/>
      <c r="T256" s="188"/>
      <c r="U256" s="188"/>
      <c r="V256" s="188"/>
      <c r="W256" s="188"/>
      <c r="X256" s="188"/>
    </row>
    <row r="257" spans="14:24" s="27" customFormat="1" x14ac:dyDescent="0.25">
      <c r="N257" s="188"/>
      <c r="O257" s="207"/>
      <c r="P257" s="188"/>
      <c r="Q257" s="188"/>
      <c r="R257" s="188"/>
      <c r="S257" s="188"/>
      <c r="T257" s="188"/>
      <c r="U257" s="188"/>
      <c r="V257" s="188"/>
      <c r="W257" s="188"/>
      <c r="X257" s="188"/>
    </row>
    <row r="258" spans="14:24" s="27" customFormat="1" x14ac:dyDescent="0.25">
      <c r="N258" s="188"/>
      <c r="O258" s="207"/>
      <c r="P258" s="188"/>
      <c r="Q258" s="188"/>
      <c r="R258" s="188"/>
      <c r="S258" s="188"/>
      <c r="T258" s="188"/>
      <c r="U258" s="188"/>
      <c r="V258" s="188"/>
      <c r="W258" s="188"/>
      <c r="X258" s="188"/>
    </row>
    <row r="259" spans="14:24" s="27" customFormat="1" x14ac:dyDescent="0.25">
      <c r="N259" s="188"/>
      <c r="O259" s="207"/>
      <c r="P259" s="188"/>
      <c r="Q259" s="188"/>
      <c r="R259" s="188"/>
      <c r="S259" s="188"/>
      <c r="T259" s="188"/>
      <c r="U259" s="188"/>
      <c r="V259" s="188"/>
      <c r="W259" s="188"/>
      <c r="X259" s="188"/>
    </row>
    <row r="260" spans="14:24" s="27" customFormat="1" x14ac:dyDescent="0.25">
      <c r="N260" s="188"/>
      <c r="O260" s="207"/>
      <c r="P260" s="188"/>
      <c r="Q260" s="188"/>
      <c r="R260" s="188"/>
      <c r="S260" s="188"/>
      <c r="T260" s="188"/>
      <c r="U260" s="188"/>
      <c r="V260" s="188"/>
      <c r="W260" s="188"/>
      <c r="X260" s="188"/>
    </row>
    <row r="261" spans="14:24" s="27" customFormat="1" x14ac:dyDescent="0.25">
      <c r="N261" s="188"/>
      <c r="O261" s="207"/>
      <c r="P261" s="188"/>
      <c r="Q261" s="188"/>
      <c r="R261" s="188"/>
      <c r="S261" s="188"/>
      <c r="T261" s="188"/>
      <c r="U261" s="188"/>
      <c r="V261" s="188"/>
      <c r="W261" s="188"/>
      <c r="X261" s="188"/>
    </row>
    <row r="262" spans="14:24" s="27" customFormat="1" x14ac:dyDescent="0.25">
      <c r="N262" s="188"/>
      <c r="O262" s="207"/>
      <c r="P262" s="188"/>
      <c r="Q262" s="188"/>
      <c r="R262" s="188"/>
      <c r="S262" s="188"/>
      <c r="T262" s="188"/>
      <c r="U262" s="188"/>
      <c r="V262" s="188"/>
      <c r="W262" s="188"/>
      <c r="X262" s="188"/>
    </row>
    <row r="263" spans="14:24" s="27" customFormat="1" x14ac:dyDescent="0.25">
      <c r="N263" s="188"/>
      <c r="O263" s="207"/>
      <c r="P263" s="188"/>
      <c r="Q263" s="188"/>
      <c r="R263" s="188"/>
      <c r="S263" s="188"/>
      <c r="T263" s="188"/>
      <c r="U263" s="188"/>
      <c r="V263" s="188"/>
      <c r="W263" s="188"/>
      <c r="X263" s="188"/>
    </row>
    <row r="264" spans="14:24" s="27" customFormat="1" x14ac:dyDescent="0.25">
      <c r="N264" s="188"/>
      <c r="O264" s="207"/>
      <c r="P264" s="188"/>
      <c r="Q264" s="188"/>
      <c r="R264" s="188"/>
      <c r="S264" s="188"/>
      <c r="T264" s="188"/>
      <c r="U264" s="188"/>
      <c r="V264" s="188"/>
      <c r="W264" s="188"/>
      <c r="X264" s="188"/>
    </row>
    <row r="265" spans="14:24" s="27" customFormat="1" x14ac:dyDescent="0.25">
      <c r="N265" s="188"/>
      <c r="O265" s="207"/>
      <c r="P265" s="188"/>
      <c r="Q265" s="188"/>
      <c r="R265" s="188"/>
      <c r="S265" s="188"/>
      <c r="T265" s="188"/>
      <c r="U265" s="188"/>
      <c r="V265" s="188"/>
      <c r="W265" s="188"/>
      <c r="X265" s="188"/>
    </row>
    <row r="266" spans="14:24" s="27" customFormat="1" x14ac:dyDescent="0.25">
      <c r="N266" s="188"/>
      <c r="O266" s="207"/>
      <c r="P266" s="188"/>
      <c r="Q266" s="188"/>
      <c r="R266" s="188"/>
      <c r="S266" s="188"/>
      <c r="T266" s="188"/>
      <c r="U266" s="188"/>
      <c r="V266" s="188"/>
      <c r="W266" s="188"/>
      <c r="X266" s="188"/>
    </row>
    <row r="267" spans="14:24" s="27" customFormat="1" x14ac:dyDescent="0.25">
      <c r="N267" s="188"/>
      <c r="O267" s="207"/>
      <c r="P267" s="188"/>
      <c r="Q267" s="188"/>
      <c r="R267" s="188"/>
      <c r="S267" s="188"/>
      <c r="T267" s="188"/>
      <c r="U267" s="188"/>
      <c r="V267" s="188"/>
      <c r="W267" s="188"/>
      <c r="X267" s="188"/>
    </row>
    <row r="268" spans="14:24" s="27" customFormat="1" x14ac:dyDescent="0.25">
      <c r="N268" s="188"/>
      <c r="O268" s="207"/>
      <c r="P268" s="188"/>
      <c r="Q268" s="188"/>
      <c r="R268" s="188"/>
      <c r="S268" s="188"/>
      <c r="T268" s="188"/>
      <c r="U268" s="188"/>
      <c r="V268" s="188"/>
      <c r="W268" s="188"/>
      <c r="X268" s="188"/>
    </row>
    <row r="269" spans="14:24" s="27" customFormat="1" x14ac:dyDescent="0.25">
      <c r="N269" s="188"/>
      <c r="O269" s="207"/>
      <c r="P269" s="188"/>
      <c r="Q269" s="188"/>
      <c r="R269" s="188"/>
      <c r="S269" s="188"/>
      <c r="T269" s="188"/>
      <c r="U269" s="188"/>
      <c r="V269" s="188"/>
      <c r="W269" s="188"/>
      <c r="X269" s="188"/>
    </row>
    <row r="270" spans="14:24" s="27" customFormat="1" x14ac:dyDescent="0.25">
      <c r="N270" s="188"/>
      <c r="O270" s="207"/>
      <c r="P270" s="188"/>
      <c r="Q270" s="188"/>
      <c r="R270" s="188"/>
      <c r="S270" s="188"/>
      <c r="T270" s="188"/>
      <c r="U270" s="188"/>
      <c r="V270" s="188"/>
      <c r="W270" s="188"/>
      <c r="X270" s="188"/>
    </row>
    <row r="271" spans="14:24" s="27" customFormat="1" x14ac:dyDescent="0.25">
      <c r="N271" s="188"/>
      <c r="O271" s="207"/>
      <c r="P271" s="188"/>
      <c r="Q271" s="188"/>
      <c r="R271" s="188"/>
      <c r="S271" s="188"/>
      <c r="T271" s="188"/>
      <c r="U271" s="188"/>
      <c r="V271" s="188"/>
      <c r="W271" s="188"/>
      <c r="X271" s="188"/>
    </row>
    <row r="272" spans="14:24" s="27" customFormat="1" x14ac:dyDescent="0.25">
      <c r="N272" s="188"/>
      <c r="O272" s="207"/>
      <c r="P272" s="188"/>
      <c r="Q272" s="188"/>
      <c r="R272" s="188"/>
      <c r="S272" s="188"/>
      <c r="T272" s="188"/>
      <c r="U272" s="188"/>
      <c r="V272" s="188"/>
      <c r="W272" s="188"/>
      <c r="X272" s="188"/>
    </row>
    <row r="273" spans="14:24" s="27" customFormat="1" x14ac:dyDescent="0.25">
      <c r="N273" s="188"/>
      <c r="O273" s="207"/>
      <c r="P273" s="188"/>
      <c r="Q273" s="188"/>
      <c r="R273" s="188"/>
      <c r="S273" s="188"/>
      <c r="T273" s="188"/>
      <c r="U273" s="188"/>
      <c r="V273" s="188"/>
      <c r="W273" s="188"/>
      <c r="X273" s="188"/>
    </row>
    <row r="274" spans="14:24" s="27" customFormat="1" x14ac:dyDescent="0.25">
      <c r="N274" s="188"/>
      <c r="O274" s="207"/>
      <c r="P274" s="188"/>
      <c r="Q274" s="188"/>
      <c r="R274" s="188"/>
      <c r="S274" s="188"/>
      <c r="T274" s="188"/>
      <c r="U274" s="188"/>
      <c r="V274" s="188"/>
      <c r="W274" s="188"/>
      <c r="X274" s="188"/>
    </row>
    <row r="275" spans="14:24" s="27" customFormat="1" x14ac:dyDescent="0.25">
      <c r="N275" s="188"/>
      <c r="O275" s="207"/>
      <c r="P275" s="188"/>
      <c r="Q275" s="188"/>
      <c r="R275" s="188"/>
      <c r="S275" s="188"/>
      <c r="T275" s="188"/>
      <c r="U275" s="188"/>
      <c r="V275" s="188"/>
      <c r="W275" s="188"/>
      <c r="X275" s="188"/>
    </row>
    <row r="334" spans="20:26" ht="13.5" thickBot="1" x14ac:dyDescent="0.25">
      <c r="T334" s="211">
        <f t="shared" ref="T334:Y334" si="14">SUM(T88:T333)</f>
        <v>5415</v>
      </c>
      <c r="U334" s="211">
        <f t="shared" si="14"/>
        <v>0</v>
      </c>
      <c r="V334" s="211">
        <f t="shared" si="14"/>
        <v>3823</v>
      </c>
      <c r="W334" s="211">
        <f t="shared" si="14"/>
        <v>2431</v>
      </c>
      <c r="X334" s="211">
        <f t="shared" si="14"/>
        <v>9603</v>
      </c>
      <c r="Y334" s="211">
        <f t="shared" si="14"/>
        <v>0</v>
      </c>
      <c r="Z334" s="211">
        <f>SUM(T334:Y334)</f>
        <v>21272</v>
      </c>
    </row>
    <row r="335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120" orientation="portrait" verticalDpi="300" r:id="rId1"/>
  <headerFooter alignWithMargins="0">
    <oddFooter>&amp;L&amp;8&amp;A
&amp;D &amp;T&amp;R&amp;8&amp;F</oddFooter>
  </headerFooter>
  <rowBreaks count="1" manualBreakCount="1">
    <brk id="84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170</v>
      </c>
      <c r="B1" s="252" t="s">
        <v>24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40" ht="15" x14ac:dyDescent="0.25">
      <c r="A2" s="23" t="s">
        <v>178</v>
      </c>
      <c r="B2" s="253" t="s">
        <v>169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</row>
    <row r="3" spans="1:40" x14ac:dyDescent="0.2">
      <c r="A3" s="23" t="s">
        <v>179</v>
      </c>
      <c r="B3" s="254" t="str">
        <f>Summary!A3</f>
        <v>Results based on Activity through February 18, 2000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40" ht="3" customHeight="1" x14ac:dyDescent="0.2">
      <c r="A4" s="24">
        <v>36586</v>
      </c>
    </row>
    <row r="5" spans="1:40" x14ac:dyDescent="0.2">
      <c r="A5" s="24">
        <v>36526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68</v>
      </c>
      <c r="B6" s="7"/>
      <c r="D6" s="246" t="s">
        <v>180</v>
      </c>
      <c r="E6" s="247"/>
      <c r="F6" s="248"/>
      <c r="G6" s="1"/>
      <c r="H6" s="246" t="s">
        <v>181</v>
      </c>
      <c r="I6" s="247"/>
      <c r="J6" s="248"/>
      <c r="K6" s="1"/>
      <c r="L6" s="246" t="s">
        <v>120</v>
      </c>
      <c r="M6" s="247"/>
      <c r="N6" s="24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245</v>
      </c>
      <c r="B7" s="8" t="s">
        <v>23</v>
      </c>
      <c r="D7" s="159" t="s">
        <v>75</v>
      </c>
      <c r="E7" s="159" t="s">
        <v>76</v>
      </c>
      <c r="F7" s="159" t="s">
        <v>21</v>
      </c>
      <c r="G7" s="1"/>
      <c r="H7" s="159" t="s">
        <v>75</v>
      </c>
      <c r="I7" s="159" t="s">
        <v>76</v>
      </c>
      <c r="J7" s="159" t="s">
        <v>21</v>
      </c>
      <c r="K7" s="1"/>
      <c r="L7" s="159" t="s">
        <v>75</v>
      </c>
      <c r="M7" s="159" t="s">
        <v>76</v>
      </c>
      <c r="N7" s="159" t="s">
        <v>21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38</v>
      </c>
      <c r="B9" s="7" t="s">
        <v>5</v>
      </c>
      <c r="D9" s="117">
        <f>_xll.HPVAL($A9,$A$51,$A$2,$A$5,$A$6,$A$7)</f>
        <v>56.5</v>
      </c>
      <c r="E9" s="118">
        <f>_xll.HPVAL($A9,$A$51,$A$3,$A$5,$A$6,$A$7)</f>
        <v>24</v>
      </c>
      <c r="F9" s="119">
        <f>+D9+E9</f>
        <v>80.5</v>
      </c>
      <c r="G9" s="5"/>
      <c r="H9" s="117">
        <f>_xll.HPVAL($A9,$A$1,$A$2,$A$5,$A$6,$A$7)</f>
        <v>52</v>
      </c>
      <c r="I9" s="118">
        <f>_xll.HPVAL($A9,$A$1,$A$3,$A$5,$A$6,$A$7)</f>
        <v>11</v>
      </c>
      <c r="J9" s="119">
        <f>+H9+I9</f>
        <v>63</v>
      </c>
      <c r="K9" s="1"/>
      <c r="L9" s="117">
        <f>+D9-H9</f>
        <v>4.5</v>
      </c>
      <c r="M9" s="118">
        <f>+E9-I9</f>
        <v>13</v>
      </c>
      <c r="N9" s="119">
        <f>+L9+M9</f>
        <v>17.5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175</v>
      </c>
      <c r="B10" s="7" t="s">
        <v>176</v>
      </c>
      <c r="D10" s="117">
        <f>_xll.HPVAL($A10,$A$51,$A$2,$A$5,$A$6,$A$7)</f>
        <v>34</v>
      </c>
      <c r="E10" s="118">
        <f>_xll.HPVAL($A10,$A$51,$A$3,$A$5,$A$6,$A$7)</f>
        <v>71.8</v>
      </c>
      <c r="F10" s="119">
        <f t="shared" ref="F10:F18" si="0">+D10+E10</f>
        <v>105.8</v>
      </c>
      <c r="G10" s="5"/>
      <c r="H10" s="117">
        <f>_xll.HPVAL($A10,$A$1,$A$2,$A$5,$A$6,$A$7)</f>
        <v>43</v>
      </c>
      <c r="I10" s="118">
        <f>_xll.HPVAL($A10,$A$1,$A$3,$A$5,$A$6,$A$7)</f>
        <v>68</v>
      </c>
      <c r="J10" s="119">
        <f t="shared" ref="J10:J18" si="1">+H10+I10</f>
        <v>111</v>
      </c>
      <c r="K10" s="1"/>
      <c r="L10" s="117">
        <f t="shared" ref="L10:L18" si="2">+D10-H10</f>
        <v>-9</v>
      </c>
      <c r="M10" s="118">
        <f t="shared" ref="M10:M18" si="3">+E10-I10</f>
        <v>3.7999999999999972</v>
      </c>
      <c r="N10" s="119">
        <f t="shared" ref="N10:N18" si="4">+L10+M10</f>
        <v>-5.2000000000000028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41</v>
      </c>
      <c r="B11" s="7" t="s">
        <v>258</v>
      </c>
      <c r="D11" s="117">
        <f>_xll.HPVAL($A11,$A$51,$A$2,$A$5,$A$6,$A$7)</f>
        <v>7</v>
      </c>
      <c r="E11" s="118">
        <f>_xll.HPVAL($A11,$A$51,$A$3,$A$5,$A$6,$A$7)</f>
        <v>1</v>
      </c>
      <c r="F11" s="119">
        <f t="shared" si="0"/>
        <v>8</v>
      </c>
      <c r="G11" s="5"/>
      <c r="H11" s="117">
        <f>_xll.HPVAL($A11,$A$1,$A$2,$A$5,$A$6,$A$7)</f>
        <v>10</v>
      </c>
      <c r="I11" s="118">
        <f>_xll.HPVAL($A11,$A$1,$A$3,$A$5,$A$6,$A$7)</f>
        <v>3</v>
      </c>
      <c r="J11" s="119">
        <f t="shared" si="1"/>
        <v>13</v>
      </c>
      <c r="K11" s="1"/>
      <c r="L11" s="117">
        <f t="shared" si="2"/>
        <v>-3</v>
      </c>
      <c r="M11" s="118">
        <f t="shared" si="3"/>
        <v>-2</v>
      </c>
      <c r="N11" s="119">
        <f t="shared" si="4"/>
        <v>-5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43</v>
      </c>
      <c r="B12" s="7" t="s">
        <v>259</v>
      </c>
      <c r="D12" s="117">
        <f>_xll.HPVAL($A12,$A$51,$A$2,$A$5,$A$6,$A$7)</f>
        <v>7</v>
      </c>
      <c r="E12" s="118">
        <f>_xll.HPVAL($A12,$A$51,$A$3,$A$5,$A$6,$A$7)</f>
        <v>9</v>
      </c>
      <c r="F12" s="119">
        <f>+D12+E12</f>
        <v>16</v>
      </c>
      <c r="G12" s="5"/>
      <c r="H12" s="117">
        <f>_xll.HPVAL($A12,$A$1,$A$2,$A$5,$A$6,$A$7)</f>
        <v>10</v>
      </c>
      <c r="I12" s="118">
        <f>_xll.HPVAL($A12,$A$1,$A$3,$A$5,$A$6,$A$7)</f>
        <v>8</v>
      </c>
      <c r="J12" s="119">
        <f>+H12+I12</f>
        <v>18</v>
      </c>
      <c r="K12" s="1"/>
      <c r="L12" s="117">
        <f>+D12-H12</f>
        <v>-3</v>
      </c>
      <c r="M12" s="118">
        <f>+E12-I12</f>
        <v>1</v>
      </c>
      <c r="N12" s="119">
        <f>+L12+M12</f>
        <v>-2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60</v>
      </c>
      <c r="B13" s="7" t="s">
        <v>202</v>
      </c>
      <c r="C13" s="72"/>
      <c r="D13" s="117">
        <f>_xll.HPVAL($A13,$A$51,$A$2,$A$5,$A$6,$A$7)</f>
        <v>14</v>
      </c>
      <c r="E13" s="118">
        <f>_xll.HPVAL($A13,$A$51,$A$3,$A$5,$A$6,$A$7)</f>
        <v>25</v>
      </c>
      <c r="F13" s="119">
        <f t="shared" si="0"/>
        <v>39</v>
      </c>
      <c r="G13" s="5"/>
      <c r="H13" s="117">
        <f>_xll.HPVAL($A13,$A$1,$A$2,$A$5,$A$6,$A$7)</f>
        <v>15.5</v>
      </c>
      <c r="I13" s="118">
        <f>_xll.HPVAL($A13,$A$1,$A$3,$A$5,$A$6,$A$7)</f>
        <v>29</v>
      </c>
      <c r="J13" s="119">
        <f t="shared" si="1"/>
        <v>44.5</v>
      </c>
      <c r="K13" s="1"/>
      <c r="L13" s="117">
        <f t="shared" si="2"/>
        <v>-1.5</v>
      </c>
      <c r="M13" s="118">
        <f t="shared" si="3"/>
        <v>-4</v>
      </c>
      <c r="N13" s="11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42</v>
      </c>
      <c r="B14" s="7" t="s">
        <v>11</v>
      </c>
      <c r="D14" s="117">
        <f>_xll.HPVAL($A14,$A$51,$A$2,$A$5,$A$6,$A$7)</f>
        <v>18</v>
      </c>
      <c r="E14" s="118">
        <f>_xll.HPVAL($A14,$A$51,$A$3,$A$5,$A$6,$A$7)</f>
        <v>12</v>
      </c>
      <c r="F14" s="119">
        <f t="shared" si="0"/>
        <v>30</v>
      </c>
      <c r="G14" s="5"/>
      <c r="H14" s="117">
        <f>_xll.HPVAL($A14,$A$1,$A$2,$A$5,$A$6,$A$7)</f>
        <v>24</v>
      </c>
      <c r="I14" s="118">
        <f>_xll.HPVAL($A14,$A$1,$A$3,$A$5,$A$6,$A$7)</f>
        <v>17</v>
      </c>
      <c r="J14" s="119">
        <f t="shared" si="1"/>
        <v>41</v>
      </c>
      <c r="K14" s="1"/>
      <c r="L14" s="117">
        <f t="shared" si="2"/>
        <v>-6</v>
      </c>
      <c r="M14" s="118">
        <f t="shared" si="3"/>
        <v>-5</v>
      </c>
      <c r="N14" s="119">
        <f t="shared" si="4"/>
        <v>-11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44</v>
      </c>
      <c r="B15" s="7" t="s">
        <v>9</v>
      </c>
      <c r="D15" s="117">
        <f>_xll.HPVAL($A15,$A$51,$A$2,$A$5,$A$6,$A$7)</f>
        <v>10</v>
      </c>
      <c r="E15" s="118">
        <f>_xll.HPVAL($A15,$A$51,$A$3,$A$5,$A$6,$A$7)</f>
        <v>8</v>
      </c>
      <c r="F15" s="119">
        <f t="shared" si="0"/>
        <v>18</v>
      </c>
      <c r="G15" s="5"/>
      <c r="H15" s="117">
        <f>_xll.HPVAL($A15,$A$1,$A$2,$A$5,$A$6,$A$7)</f>
        <v>10</v>
      </c>
      <c r="I15" s="118">
        <f>_xll.HPVAL($A15,$A$1,$A$3,$A$5,$A$6,$A$7)</f>
        <v>13</v>
      </c>
      <c r="J15" s="119">
        <f t="shared" si="1"/>
        <v>23</v>
      </c>
      <c r="K15" s="1"/>
      <c r="L15" s="117">
        <f t="shared" si="2"/>
        <v>0</v>
      </c>
      <c r="M15" s="118">
        <f t="shared" si="3"/>
        <v>-5</v>
      </c>
      <c r="N15" s="119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10</v>
      </c>
      <c r="B16" s="7" t="s">
        <v>177</v>
      </c>
      <c r="D16" s="117">
        <f>_xll.HPVAL($A16,$A$51,$A$2,$A$5,$A$6,$A$7)</f>
        <v>1</v>
      </c>
      <c r="E16" s="118">
        <f>_xll.HPVAL($A16,$A$51,$A$3,$A$5,$A$6,$A$7)</f>
        <v>2</v>
      </c>
      <c r="F16" s="119">
        <f t="shared" si="0"/>
        <v>3</v>
      </c>
      <c r="G16" s="5"/>
      <c r="H16" s="117">
        <f>_xll.HPVAL($A16,$A$1,$A$2,$A$5,$A$6,$A$7)</f>
        <v>1</v>
      </c>
      <c r="I16" s="118">
        <f>_xll.HPVAL($A16,$A$1,$A$3,$A$5,$A$6,$A$7)</f>
        <v>1</v>
      </c>
      <c r="J16" s="119">
        <f t="shared" si="1"/>
        <v>2</v>
      </c>
      <c r="K16" s="1"/>
      <c r="L16" s="117">
        <f t="shared" si="2"/>
        <v>0</v>
      </c>
      <c r="M16" s="118">
        <f t="shared" si="3"/>
        <v>1</v>
      </c>
      <c r="N16" s="119">
        <f t="shared" si="4"/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125</v>
      </c>
      <c r="B17" s="7" t="s">
        <v>88</v>
      </c>
      <c r="D17" s="117">
        <f>_xll.HPVAL($A17,$A$51,$A$2,$A$5,$A$6,$A$7)</f>
        <v>6</v>
      </c>
      <c r="E17" s="118">
        <f>_xll.HPVAL($A17,$A$51,$A$3,$A$5,$A$6,$A$7)</f>
        <v>10</v>
      </c>
      <c r="F17" s="119">
        <f t="shared" si="0"/>
        <v>16</v>
      </c>
      <c r="G17" s="5"/>
      <c r="H17" s="117">
        <f>_xll.HPVAL($A17,$A$1,$A$2,$A$5,$A$6,$A$7)</f>
        <v>8</v>
      </c>
      <c r="I17" s="118">
        <f>_xll.HPVAL($A17,$A$1,$A$3,$A$5,$A$6,$A$7)</f>
        <v>11</v>
      </c>
      <c r="J17" s="119">
        <f t="shared" si="1"/>
        <v>19</v>
      </c>
      <c r="K17" s="1"/>
      <c r="L17" s="117">
        <f t="shared" si="2"/>
        <v>-2</v>
      </c>
      <c r="M17" s="118">
        <f t="shared" si="3"/>
        <v>-1</v>
      </c>
      <c r="N17" s="119">
        <f t="shared" si="4"/>
        <v>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45</v>
      </c>
      <c r="B18" s="7" t="s">
        <v>4</v>
      </c>
      <c r="D18" s="117">
        <f>_xll.HPVAL($A18,$A$51,$A$2,$A$5,$A$6,$A$7)</f>
        <v>0</v>
      </c>
      <c r="E18" s="118">
        <f>_xll.HPVAL($A18,$A$51,$A$3,$A$5,$A$6,$A$7)</f>
        <v>0</v>
      </c>
      <c r="F18" s="119">
        <f t="shared" si="0"/>
        <v>0</v>
      </c>
      <c r="G18" s="5"/>
      <c r="H18" s="117">
        <f>_xll.HPVAL($A18,$A$1,$A$2,$A$5,$A$6,$A$7)</f>
        <v>0</v>
      </c>
      <c r="I18" s="118">
        <f>_xll.HPVAL($A18,$A$1,$A$3,$A$5,$A$6,$A$7)</f>
        <v>0</v>
      </c>
      <c r="J18" s="119">
        <f t="shared" si="1"/>
        <v>0</v>
      </c>
      <c r="K18" s="1"/>
      <c r="L18" s="117">
        <f t="shared" si="2"/>
        <v>0</v>
      </c>
      <c r="M18" s="118">
        <f t="shared" si="3"/>
        <v>0</v>
      </c>
      <c r="N18" s="119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5" t="s">
        <v>12</v>
      </c>
      <c r="C19" s="144"/>
      <c r="D19" s="141">
        <f>SUM(D9:D18)</f>
        <v>153.5</v>
      </c>
      <c r="E19" s="142">
        <f>SUM(E9:E18)</f>
        <v>162.80000000000001</v>
      </c>
      <c r="F19" s="160">
        <f>SUM(F9:F18)</f>
        <v>316.3</v>
      </c>
      <c r="G19" s="146"/>
      <c r="H19" s="141">
        <f>SUM(H9:H18)</f>
        <v>173.5</v>
      </c>
      <c r="I19" s="142">
        <f>SUM(I9:I18)</f>
        <v>161</v>
      </c>
      <c r="J19" s="160">
        <f>SUM(J9:J18)</f>
        <v>334.5</v>
      </c>
      <c r="K19" s="144"/>
      <c r="L19" s="141">
        <f>SUM(L9:L18)</f>
        <v>-20</v>
      </c>
      <c r="M19" s="142">
        <f>SUM(M9:M18)</f>
        <v>1.7999999999999972</v>
      </c>
      <c r="N19" s="160">
        <f>SUM(N9:N18)</f>
        <v>-18.200000000000003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7"/>
      <c r="E20" s="118"/>
      <c r="F20" s="119"/>
      <c r="G20" s="5"/>
      <c r="H20" s="117"/>
      <c r="I20" s="118"/>
      <c r="J20" s="119"/>
      <c r="K20" s="1"/>
      <c r="L20" s="117"/>
      <c r="M20" s="118"/>
      <c r="N20" s="1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46</v>
      </c>
      <c r="B21" s="7" t="s">
        <v>145</v>
      </c>
      <c r="D21" s="117">
        <f>_xll.HPVAL($A21,$A$51,$A$2,$A$5,$A$6,$A$7)</f>
        <v>21.5</v>
      </c>
      <c r="E21" s="118">
        <f>_xll.HPVAL($A21,$A$51,$A$3,$A$5,$A$6,$A$7)</f>
        <v>11.5</v>
      </c>
      <c r="F21" s="119">
        <f t="shared" ref="F21:F29" si="5">+D21+E21</f>
        <v>33</v>
      </c>
      <c r="G21" s="5"/>
      <c r="H21" s="117">
        <f>_xll.HPVAL($A21,$A$1,$A$2,$A$5,$A$6,$A$7)</f>
        <v>31</v>
      </c>
      <c r="I21" s="118">
        <f>_xll.HPVAL($A21,$A$1,$A$3,$A$5,$A$6,$A$7)</f>
        <v>12</v>
      </c>
      <c r="J21" s="119">
        <f t="shared" ref="J21:J29" si="6">+H21+I21</f>
        <v>43</v>
      </c>
      <c r="K21" s="1"/>
      <c r="L21" s="117">
        <f t="shared" ref="L21:L29" si="7">+D21-H21</f>
        <v>-9.5</v>
      </c>
      <c r="M21" s="118">
        <f t="shared" ref="M21:M29" si="8">+E21-I21</f>
        <v>-0.5</v>
      </c>
      <c r="N21" s="119">
        <f t="shared" ref="N21:N29" si="9">+L21+M21</f>
        <v>-10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53</v>
      </c>
      <c r="B22" s="7" t="s">
        <v>146</v>
      </c>
      <c r="D22" s="117">
        <f>_xll.HPVAL($A22,$A$51,$A$2,$A$5,$A$6,$A$7)</f>
        <v>16.5</v>
      </c>
      <c r="E22" s="118">
        <f>_xll.HPVAL($A22,$A$51,$A$3,$A$5,$A$6,$A$7)</f>
        <v>14.8</v>
      </c>
      <c r="F22" s="119">
        <f t="shared" si="5"/>
        <v>31.3</v>
      </c>
      <c r="G22" s="5"/>
      <c r="H22" s="117">
        <f>_xll.HPVAL($A22,$A$1,$A$2,$A$5,$A$6,$A$7)</f>
        <v>23</v>
      </c>
      <c r="I22" s="118">
        <f>_xll.HPVAL($A22,$A$1,$A$3,$A$5,$A$6,$A$7)</f>
        <v>15</v>
      </c>
      <c r="J22" s="119">
        <f t="shared" si="6"/>
        <v>38</v>
      </c>
      <c r="K22" s="1"/>
      <c r="L22" s="117">
        <f t="shared" si="7"/>
        <v>-6.5</v>
      </c>
      <c r="M22" s="118">
        <f t="shared" si="8"/>
        <v>-0.19999999999999929</v>
      </c>
      <c r="N22" s="119">
        <f t="shared" si="9"/>
        <v>-6.6999999999999993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50</v>
      </c>
      <c r="B23" s="7" t="s">
        <v>147</v>
      </c>
      <c r="D23" s="117">
        <f>_xll.HPVAL($A23,$A$51,$A$2,$A$5,$A$6,$A$7)</f>
        <v>27</v>
      </c>
      <c r="E23" s="118">
        <f>_xll.HPVAL($A23,$A$51,$A$3,$A$5,$A$6,$A$7)</f>
        <v>5</v>
      </c>
      <c r="F23" s="119">
        <f t="shared" si="5"/>
        <v>32</v>
      </c>
      <c r="G23" s="5"/>
      <c r="H23" s="117">
        <f>_xll.HPVAL($A23,$A$1,$A$2,$A$5,$A$6,$A$7)</f>
        <v>32</v>
      </c>
      <c r="I23" s="118">
        <f>_xll.HPVAL($A23,$A$1,$A$3,$A$5,$A$6,$A$7)</f>
        <v>9</v>
      </c>
      <c r="J23" s="119">
        <f t="shared" si="6"/>
        <v>41</v>
      </c>
      <c r="K23" s="1"/>
      <c r="L23" s="117">
        <f t="shared" si="7"/>
        <v>-5</v>
      </c>
      <c r="M23" s="118">
        <f t="shared" si="8"/>
        <v>-4</v>
      </c>
      <c r="N23" s="119">
        <f t="shared" si="9"/>
        <v>-9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47</v>
      </c>
      <c r="B24" s="7" t="s">
        <v>148</v>
      </c>
      <c r="D24" s="117">
        <f>_xll.HPVAL($A24,$A$51,$A$2,$A$5,$A$6,$A$7)</f>
        <v>6</v>
      </c>
      <c r="E24" s="118">
        <f>_xll.HPVAL($A24,$A$51,$A$3,$A$5,$A$6,$A$7)</f>
        <v>1</v>
      </c>
      <c r="F24" s="119">
        <f t="shared" si="5"/>
        <v>7</v>
      </c>
      <c r="G24" s="5"/>
      <c r="H24" s="117">
        <f>_xll.HPVAL($A24,$A$1,$A$2,$A$5,$A$6,$A$7)</f>
        <v>24</v>
      </c>
      <c r="I24" s="118">
        <f>_xll.HPVAL($A24,$A$1,$A$3,$A$5,$A$6,$A$7)</f>
        <v>9</v>
      </c>
      <c r="J24" s="119">
        <f t="shared" si="6"/>
        <v>33</v>
      </c>
      <c r="K24" s="1"/>
      <c r="L24" s="117">
        <f t="shared" si="7"/>
        <v>-18</v>
      </c>
      <c r="M24" s="118">
        <f t="shared" si="8"/>
        <v>-8</v>
      </c>
      <c r="N24" s="119">
        <f t="shared" si="9"/>
        <v>-26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171</v>
      </c>
      <c r="B25" s="7" t="s">
        <v>172</v>
      </c>
      <c r="D25" s="117">
        <f>_xll.HPVAL($A25,$A$51,$A$2,$A$5,$A$6,$A$7)</f>
        <v>11</v>
      </c>
      <c r="E25" s="118">
        <f>_xll.HPVAL($A25,$A$51,$A$3,$A$5,$A$6,$A$7)</f>
        <v>3</v>
      </c>
      <c r="F25" s="119">
        <f t="shared" si="5"/>
        <v>14</v>
      </c>
      <c r="G25" s="5"/>
      <c r="H25" s="117">
        <f>_xll.HPVAL($A25,$A$1,$A$2,$A$5,$A$6,$A$7)</f>
        <v>14</v>
      </c>
      <c r="I25" s="118">
        <f>_xll.HPVAL($A25,$A$1,$A$3,$A$5,$A$6,$A$7)</f>
        <v>9</v>
      </c>
      <c r="J25" s="119">
        <f t="shared" si="6"/>
        <v>23</v>
      </c>
      <c r="K25" s="1"/>
      <c r="L25" s="117">
        <f t="shared" si="7"/>
        <v>-3</v>
      </c>
      <c r="M25" s="118">
        <f t="shared" si="8"/>
        <v>-6</v>
      </c>
      <c r="N25" s="119">
        <f t="shared" si="9"/>
        <v>-9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54</v>
      </c>
      <c r="B26" s="7" t="s">
        <v>149</v>
      </c>
      <c r="D26" s="117">
        <f>_xll.HPVAL($A26,$A$51,$A$2,$A$5,$A$6,$A$7)</f>
        <v>5</v>
      </c>
      <c r="E26" s="118">
        <f>_xll.HPVAL($A26,$A$51,$A$3,$A$5,$A$6,$A$7)</f>
        <v>8</v>
      </c>
      <c r="F26" s="119">
        <f t="shared" si="5"/>
        <v>13</v>
      </c>
      <c r="G26" s="5"/>
      <c r="H26" s="117">
        <f>_xll.HPVAL($A26,$A$1,$A$2,$A$5,$A$6,$A$7)</f>
        <v>7</v>
      </c>
      <c r="I26" s="118">
        <f>_xll.HPVAL($A26,$A$1,$A$3,$A$5,$A$6,$A$7)</f>
        <v>8</v>
      </c>
      <c r="J26" s="119">
        <f t="shared" si="6"/>
        <v>15</v>
      </c>
      <c r="K26" s="1"/>
      <c r="L26" s="117">
        <f t="shared" si="7"/>
        <v>-2</v>
      </c>
      <c r="M26" s="118">
        <f t="shared" si="8"/>
        <v>0</v>
      </c>
      <c r="N26" s="119">
        <f t="shared" si="9"/>
        <v>-2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55</v>
      </c>
      <c r="B27" s="7" t="s">
        <v>312</v>
      </c>
      <c r="D27" s="117">
        <f>_xll.HPVAL($A27,$A$51,$A$2,$A$5,$A$6,$A$7)</f>
        <v>4</v>
      </c>
      <c r="E27" s="118">
        <f>_xll.HPVAL($A27,$A$51,$A$3,$A$5,$A$6,$A$7)</f>
        <v>3</v>
      </c>
      <c r="F27" s="119">
        <f t="shared" si="5"/>
        <v>7</v>
      </c>
      <c r="G27" s="5"/>
      <c r="H27" s="117">
        <f>_xll.HPVAL($A27,$A$1,$A$2,$A$5,$A$6,$A$7)</f>
        <v>5</v>
      </c>
      <c r="I27" s="118">
        <f>_xll.HPVAL($A27,$A$1,$A$3,$A$5,$A$6,$A$7)</f>
        <v>3</v>
      </c>
      <c r="J27" s="119">
        <f t="shared" si="6"/>
        <v>8</v>
      </c>
      <c r="K27" s="1"/>
      <c r="L27" s="117">
        <f t="shared" si="7"/>
        <v>-1</v>
      </c>
      <c r="M27" s="118">
        <f t="shared" si="8"/>
        <v>0</v>
      </c>
      <c r="N27" s="119">
        <f t="shared" si="9"/>
        <v>-1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A28" s="23" t="s">
        <v>51</v>
      </c>
      <c r="B28" s="7" t="s">
        <v>2</v>
      </c>
      <c r="D28" s="117">
        <f>_xll.HPVAL($A28,$A$51,$A$2,$A$5,$A$6,$A$7)</f>
        <v>7.5</v>
      </c>
      <c r="E28" s="118">
        <f>_xll.HPVAL($A28,$A$51,$A$3,$A$5,$A$6,$A$7)</f>
        <v>10</v>
      </c>
      <c r="F28" s="119">
        <f t="shared" si="5"/>
        <v>17.5</v>
      </c>
      <c r="G28" s="5"/>
      <c r="H28" s="117">
        <f>_xll.HPVAL($A28,$A$1,$A$2,$A$5,$A$6,$A$7)</f>
        <v>11</v>
      </c>
      <c r="I28" s="118">
        <f>_xll.HPVAL($A28,$A$1,$A$3,$A$5,$A$6,$A$7)</f>
        <v>11</v>
      </c>
      <c r="J28" s="119">
        <f t="shared" si="6"/>
        <v>22</v>
      </c>
      <c r="K28" s="1"/>
      <c r="L28" s="117">
        <f t="shared" si="7"/>
        <v>-3.5</v>
      </c>
      <c r="M28" s="118">
        <f t="shared" si="8"/>
        <v>-1</v>
      </c>
      <c r="N28" s="119">
        <f t="shared" si="9"/>
        <v>-4.5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173</v>
      </c>
      <c r="B29" s="7" t="s">
        <v>174</v>
      </c>
      <c r="D29" s="117">
        <f>_xll.HPVAL($A29,$A$51,$A$2,$A$5,$A$6,$A$7)</f>
        <v>1</v>
      </c>
      <c r="E29" s="118">
        <f>_xll.HPVAL($A29,$A$51,$A$3,$A$5,$A$6,$A$7)</f>
        <v>1</v>
      </c>
      <c r="F29" s="119">
        <f t="shared" si="5"/>
        <v>2</v>
      </c>
      <c r="G29" s="5"/>
      <c r="H29" s="117">
        <f>_xll.HPVAL($A29,$A$1,$A$2,$A$5,$A$6,$A$7)</f>
        <v>1</v>
      </c>
      <c r="I29" s="118">
        <f>_xll.HPVAL($A29,$A$1,$A$3,$A$5,$A$6,$A$7)</f>
        <v>1</v>
      </c>
      <c r="J29" s="119">
        <f t="shared" si="6"/>
        <v>2</v>
      </c>
      <c r="K29" s="1"/>
      <c r="L29" s="117">
        <f t="shared" si="7"/>
        <v>0</v>
      </c>
      <c r="M29" s="118">
        <f t="shared" si="8"/>
        <v>0</v>
      </c>
      <c r="N29" s="119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B30" s="145" t="s">
        <v>3</v>
      </c>
      <c r="C30" s="144"/>
      <c r="D30" s="141">
        <f>SUM(D21:D29)</f>
        <v>99.5</v>
      </c>
      <c r="E30" s="142">
        <f>SUM(E21:E29)</f>
        <v>57.3</v>
      </c>
      <c r="F30" s="160">
        <f>SUM(F21:F29)</f>
        <v>156.80000000000001</v>
      </c>
      <c r="G30" s="146"/>
      <c r="H30" s="141">
        <f>SUM(H21:H29)</f>
        <v>148</v>
      </c>
      <c r="I30" s="142">
        <f>SUM(I21:I29)</f>
        <v>77</v>
      </c>
      <c r="J30" s="160">
        <f>SUM(J21:J29)</f>
        <v>225</v>
      </c>
      <c r="K30" s="144"/>
      <c r="L30" s="141">
        <f>SUM(L21:L29)</f>
        <v>-48.5</v>
      </c>
      <c r="M30" s="142">
        <f>SUM(M21:M29)</f>
        <v>-19.7</v>
      </c>
      <c r="N30" s="160">
        <f>SUM(N21:N29)</f>
        <v>-68.2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3" customHeight="1" x14ac:dyDescent="0.2">
      <c r="B31" s="7"/>
      <c r="D31" s="117"/>
      <c r="E31" s="118"/>
      <c r="F31" s="119"/>
      <c r="G31" s="5"/>
      <c r="H31" s="117"/>
      <c r="I31" s="118"/>
      <c r="J31" s="119"/>
      <c r="K31" s="1"/>
      <c r="L31" s="117"/>
      <c r="M31" s="118"/>
      <c r="N31" s="11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49</v>
      </c>
      <c r="B32" s="7" t="s">
        <v>48</v>
      </c>
      <c r="D32" s="117">
        <f>_xll.HPVAL($A32,$A$51,$A$2,$A$5,$A$6,$A$7)</f>
        <v>7</v>
      </c>
      <c r="E32" s="118">
        <f>_xll.HPVAL($A32,$A$51,$A$3,$A$5,$A$6,$A$7)</f>
        <v>5</v>
      </c>
      <c r="F32" s="119">
        <f>+D32+E32</f>
        <v>12</v>
      </c>
      <c r="G32" s="5"/>
      <c r="H32" s="117">
        <f>_xll.HPVAL($A32,$A$1,$A$2,$A$5,$A$6,$A$7)</f>
        <v>5</v>
      </c>
      <c r="I32" s="118">
        <f>_xll.HPVAL($A32,$A$1,$A$3,$A$5,$A$6,$A$7)</f>
        <v>7</v>
      </c>
      <c r="J32" s="119">
        <f>+H32+I32</f>
        <v>12</v>
      </c>
      <c r="K32" s="1"/>
      <c r="L32" s="117">
        <f>+D32-H32</f>
        <v>2</v>
      </c>
      <c r="M32" s="118">
        <f>+E32-I32</f>
        <v>-2</v>
      </c>
      <c r="N32" s="119">
        <f>+L32+M32</f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52</v>
      </c>
      <c r="B33" s="7" t="s">
        <v>119</v>
      </c>
      <c r="D33" s="117">
        <f>_xll.HPVAL($A33,$A$51,$A$2,$A$5,$A$6,$A$7)</f>
        <v>8</v>
      </c>
      <c r="E33" s="118">
        <f>_xll.HPVAL($A33,$A$51,$A$3,$A$5,$A$6,$A$7)</f>
        <v>3</v>
      </c>
      <c r="F33" s="119">
        <f>+D33+E33</f>
        <v>11</v>
      </c>
      <c r="G33" s="5"/>
      <c r="H33" s="117">
        <f>_xll.HPVAL($A33,$A$1,$A$2,$A$5,$A$6,$A$7)</f>
        <v>8</v>
      </c>
      <c r="I33" s="118">
        <f>_xll.HPVAL($A33,$A$1,$A$3,$A$5,$A$6,$A$7)</f>
        <v>6</v>
      </c>
      <c r="J33" s="119">
        <f>+H33+I33</f>
        <v>14</v>
      </c>
      <c r="K33" s="1"/>
      <c r="L33" s="117">
        <f t="shared" ref="L33:M35" si="10">+D33-H33</f>
        <v>0</v>
      </c>
      <c r="M33" s="118">
        <f t="shared" si="10"/>
        <v>-3</v>
      </c>
      <c r="N33" s="119">
        <f>+L33+M33</f>
        <v>-3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58</v>
      </c>
      <c r="B34" s="7" t="s">
        <v>150</v>
      </c>
      <c r="C34" s="72"/>
      <c r="D34" s="117">
        <f>_xll.HPVAL($A34,$A$51,$A$2,$A$5,$A$6,$A$7)</f>
        <v>40</v>
      </c>
      <c r="E34" s="118">
        <f>_xll.HPVAL($A34,$A$51,$A$3,$A$5,$A$6,$A$7)</f>
        <v>66</v>
      </c>
      <c r="F34" s="119">
        <f>+D34+E34</f>
        <v>106</v>
      </c>
      <c r="G34" s="5"/>
      <c r="H34" s="117">
        <f>_xll.HPVAL($A34,$A$1,$A$2,$A$5,$A$6,$A$7)</f>
        <v>45</v>
      </c>
      <c r="I34" s="118">
        <f>_xll.HPVAL($A34,$A$1,$A$3,$A$5,$A$6,$A$7)</f>
        <v>72</v>
      </c>
      <c r="J34" s="119">
        <f>+H34+I34</f>
        <v>117</v>
      </c>
      <c r="K34" s="1"/>
      <c r="L34" s="117">
        <f t="shared" si="10"/>
        <v>-5</v>
      </c>
      <c r="M34" s="118">
        <f t="shared" si="10"/>
        <v>-6</v>
      </c>
      <c r="N34" s="119">
        <f>+L34+M34</f>
        <v>-11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59</v>
      </c>
      <c r="B35" s="7" t="s">
        <v>151</v>
      </c>
      <c r="C35" s="72"/>
      <c r="D35" s="117">
        <f>_xll.HPVAL($A35,$A$51,$A$2,$A$5,$A$6,$A$7)</f>
        <v>5</v>
      </c>
      <c r="E35" s="118">
        <f>_xll.HPVAL($A35,$A$51,$A$3,$A$5,$A$6,$A$7)</f>
        <v>13</v>
      </c>
      <c r="F35" s="119">
        <f>+D35+E35</f>
        <v>18</v>
      </c>
      <c r="G35" s="5"/>
      <c r="H35" s="117">
        <f>_xll.HPVAL($A35,$A$1,$A$2,$A$5,$A$6,$A$7)</f>
        <v>6</v>
      </c>
      <c r="I35" s="118">
        <f>_xll.HPVAL($A35,$A$1,$A$3,$A$5,$A$6,$A$7)</f>
        <v>18</v>
      </c>
      <c r="J35" s="119">
        <f>+H35+I35</f>
        <v>24</v>
      </c>
      <c r="K35" s="1"/>
      <c r="L35" s="117">
        <f t="shared" si="10"/>
        <v>-1</v>
      </c>
      <c r="M35" s="118">
        <f t="shared" si="10"/>
        <v>-5</v>
      </c>
      <c r="N35" s="119">
        <f>+L35+M35</f>
        <v>-6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B36" s="145" t="s">
        <v>143</v>
      </c>
      <c r="C36" s="144"/>
      <c r="D36" s="141">
        <f>SUM(D32:D35)</f>
        <v>60</v>
      </c>
      <c r="E36" s="142">
        <f>SUM(E32:E35)</f>
        <v>87</v>
      </c>
      <c r="F36" s="160">
        <f>SUM(F32:F35)</f>
        <v>147</v>
      </c>
      <c r="G36" s="146"/>
      <c r="H36" s="141">
        <f>SUM(H32:H35)</f>
        <v>64</v>
      </c>
      <c r="I36" s="142">
        <f>SUM(I32:I35)</f>
        <v>103</v>
      </c>
      <c r="J36" s="160">
        <f>SUM(J32:J35)</f>
        <v>167</v>
      </c>
      <c r="K36" s="144"/>
      <c r="L36" s="141">
        <f>SUM(L32:L35)</f>
        <v>-4</v>
      </c>
      <c r="M36" s="142">
        <f>SUM(M32:M35)</f>
        <v>-16</v>
      </c>
      <c r="N36" s="160">
        <f>SUM(N32:N35)</f>
        <v>-20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3" customHeight="1" x14ac:dyDescent="0.2">
      <c r="B37" s="7"/>
      <c r="D37" s="117"/>
      <c r="E37" s="118"/>
      <c r="F37" s="119"/>
      <c r="G37" s="5"/>
      <c r="H37" s="117"/>
      <c r="I37" s="118"/>
      <c r="J37" s="119"/>
      <c r="K37" s="1"/>
      <c r="L37" s="117"/>
      <c r="M37" s="118"/>
      <c r="N37" s="11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56</v>
      </c>
      <c r="B38" s="7" t="s">
        <v>15</v>
      </c>
      <c r="D38" s="117">
        <f>_xll.HPVAL($A38,$A$51,$A$2,$A$5,$A$6,$A$7)</f>
        <v>8</v>
      </c>
      <c r="E38" s="118">
        <f>_xll.HPVAL($A38,$A$51,$A$3,$A$5,$A$6,$A$7)</f>
        <v>12</v>
      </c>
      <c r="F38" s="119">
        <f>+D38+E38</f>
        <v>20</v>
      </c>
      <c r="G38" s="5"/>
      <c r="H38" s="117">
        <f>_xll.HPVAL($A38,$A$1,$A$2,$A$5,$A$6,$A$7)</f>
        <v>9</v>
      </c>
      <c r="I38" s="118">
        <f>_xll.HPVAL($A38,$A$1,$A$3,$A$5,$A$6,$A$7)</f>
        <v>8</v>
      </c>
      <c r="J38" s="119">
        <f>+H38+I38</f>
        <v>17</v>
      </c>
      <c r="K38" s="1"/>
      <c r="L38" s="117">
        <f>+D38-H38</f>
        <v>-1</v>
      </c>
      <c r="M38" s="118">
        <f>+E38-I38</f>
        <v>4</v>
      </c>
      <c r="N38" s="119">
        <f>+L38+M38</f>
        <v>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57</v>
      </c>
      <c r="B39" s="7" t="s">
        <v>1</v>
      </c>
      <c r="D39" s="117">
        <f>_xll.HPVAL($A39,$A$51,$A$2,$A$5,$A$6,$A$7)</f>
        <v>5</v>
      </c>
      <c r="E39" s="118">
        <f>_xll.HPVAL($A39,$A$51,$A$3,$A$5,$A$6,$A$7)</f>
        <v>7</v>
      </c>
      <c r="F39" s="119">
        <f>+D39+E39</f>
        <v>12</v>
      </c>
      <c r="G39" s="5"/>
      <c r="H39" s="117">
        <f>_xll.HPVAL($A39,$A$1,$A$2,$A$5,$A$6,$A$7)</f>
        <v>6</v>
      </c>
      <c r="I39" s="118">
        <f>_xll.HPVAL($A39,$A$1,$A$3,$A$5,$A$6,$A$7)</f>
        <v>5</v>
      </c>
      <c r="J39" s="119">
        <f>+H39+I39</f>
        <v>11</v>
      </c>
      <c r="K39" s="1"/>
      <c r="L39" s="117">
        <f>+D39-H39</f>
        <v>-1</v>
      </c>
      <c r="M39" s="118">
        <f>+E39-I39</f>
        <v>2</v>
      </c>
      <c r="N39" s="119">
        <f>+L39+M39</f>
        <v>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">
      <c r="A40" s="25" t="s">
        <v>131</v>
      </c>
      <c r="B40" s="7" t="s">
        <v>129</v>
      </c>
      <c r="D40" s="117"/>
      <c r="E40" s="118"/>
      <c r="F40" s="119"/>
      <c r="G40" s="5"/>
      <c r="H40" s="117"/>
      <c r="I40" s="118"/>
      <c r="J40" s="119"/>
      <c r="K40" s="1"/>
      <c r="L40" s="117"/>
      <c r="M40" s="118"/>
      <c r="N40" s="11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45" t="s">
        <v>144</v>
      </c>
      <c r="C41" s="144"/>
      <c r="D41" s="141">
        <f>SUM(D38:D40)</f>
        <v>13</v>
      </c>
      <c r="E41" s="142">
        <f>SUM(E38:E40)</f>
        <v>19</v>
      </c>
      <c r="F41" s="160">
        <f>SUM(F38:F40)</f>
        <v>32</v>
      </c>
      <c r="G41" s="146"/>
      <c r="H41" s="141">
        <f>SUM(H38:H40)</f>
        <v>15</v>
      </c>
      <c r="I41" s="142">
        <f>SUM(I38:I40)</f>
        <v>13</v>
      </c>
      <c r="J41" s="160">
        <f>SUM(J38:J40)</f>
        <v>28</v>
      </c>
      <c r="K41" s="144"/>
      <c r="L41" s="141">
        <f>SUM(L38:L40)</f>
        <v>-2</v>
      </c>
      <c r="M41" s="142">
        <f>SUM(M38:M40)</f>
        <v>6</v>
      </c>
      <c r="N41" s="160">
        <f>SUM(N38:N40)</f>
        <v>4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117"/>
      <c r="E42" s="118"/>
      <c r="F42" s="119"/>
      <c r="G42" s="5"/>
      <c r="H42" s="117"/>
      <c r="I42" s="118"/>
      <c r="J42" s="119"/>
      <c r="K42" s="1"/>
      <c r="L42" s="117"/>
      <c r="M42" s="118"/>
      <c r="N42" s="1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139</v>
      </c>
      <c r="B43" s="7" t="s">
        <v>14</v>
      </c>
      <c r="C43" s="72"/>
      <c r="D43" s="117">
        <f>_xll.HPVAL($A43,$A$51,$A$2,$A$5,$A$6,$A$7)</f>
        <v>60</v>
      </c>
      <c r="E43" s="118">
        <f>_xll.HPVAL($A43,$A$51,$A$3,$A$5,$A$6,$A$7)</f>
        <v>70.5</v>
      </c>
      <c r="F43" s="119">
        <f>+D43+E43</f>
        <v>130.5</v>
      </c>
      <c r="G43" s="5"/>
      <c r="H43" s="117">
        <f>_xll.HPVAL($A43,$A$1,$A$2,$A$5,$A$6,$A$7)</f>
        <v>79</v>
      </c>
      <c r="I43" s="118">
        <f>_xll.HPVAL($A43,$A$1,$A$3,$A$5,$A$6,$A$7)</f>
        <v>80</v>
      </c>
      <c r="J43" s="119">
        <f>+H43+I43</f>
        <v>159</v>
      </c>
      <c r="K43" s="1"/>
      <c r="L43" s="117">
        <f>+D43-H43</f>
        <v>-19</v>
      </c>
      <c r="M43" s="118">
        <f>+E43-I43</f>
        <v>-9.5</v>
      </c>
      <c r="N43" s="119">
        <f>+L43+M43</f>
        <v>-28.5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2"/>
      <c r="D44" s="117"/>
      <c r="E44" s="118"/>
      <c r="F44" s="119">
        <f>+D44+E44</f>
        <v>0</v>
      </c>
      <c r="G44" s="5"/>
      <c r="H44" s="117"/>
      <c r="I44" s="118"/>
      <c r="J44" s="119">
        <f>+H44+I44</f>
        <v>0</v>
      </c>
      <c r="K44" s="1"/>
      <c r="L44" s="117"/>
      <c r="M44" s="118"/>
      <c r="N44" s="119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62</v>
      </c>
      <c r="B45" s="7" t="s">
        <v>13</v>
      </c>
      <c r="C45" s="72"/>
      <c r="D45" s="117">
        <f>_xll.HPVAL($A45,$A$51,$A$2,$A$5,$A$6,$A$7)</f>
        <v>12</v>
      </c>
      <c r="E45" s="118">
        <f>_xll.HPVAL($A45,$A$51,$A$3,$A$5,$A$6,$A$7)</f>
        <v>26</v>
      </c>
      <c r="F45" s="119">
        <f>+D45+E45</f>
        <v>38</v>
      </c>
      <c r="G45" s="5"/>
      <c r="H45" s="117">
        <f>_xll.HPVAL($A45,$A$1,$A$2,$A$5,$A$6,$A$7)</f>
        <v>18</v>
      </c>
      <c r="I45" s="118">
        <f>_xll.HPVAL($A45,$A$1,$A$3,$A$5,$A$6,$A$7)</f>
        <v>31</v>
      </c>
      <c r="J45" s="119">
        <f>+H45+I45</f>
        <v>49</v>
      </c>
      <c r="K45" s="1"/>
      <c r="L45" s="117">
        <f>+D45-H45</f>
        <v>-6</v>
      </c>
      <c r="M45" s="118">
        <f>+E45-I45</f>
        <v>-5</v>
      </c>
      <c r="N45" s="119">
        <f>+L45+M45</f>
        <v>-11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117"/>
      <c r="E46" s="118"/>
      <c r="F46" s="119"/>
      <c r="G46" s="5"/>
      <c r="H46" s="117"/>
      <c r="I46" s="118"/>
      <c r="J46" s="119"/>
      <c r="K46" s="1"/>
      <c r="L46" s="117"/>
      <c r="M46" s="118"/>
      <c r="N46" s="1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4" customFormat="1" ht="11.25" customHeight="1" x14ac:dyDescent="0.2">
      <c r="A47" s="23"/>
      <c r="B47" s="145" t="s">
        <v>17</v>
      </c>
      <c r="D47" s="141">
        <f>SUM(D41:D45)+D19+D30+D36</f>
        <v>398</v>
      </c>
      <c r="E47" s="142">
        <f>SUM(E41:E45)+E19+E30+E36</f>
        <v>422.6</v>
      </c>
      <c r="F47" s="160">
        <f>SUM(F41:F45)+F19+F30+F36</f>
        <v>820.59999999999991</v>
      </c>
      <c r="G47" s="146"/>
      <c r="H47" s="141">
        <f>SUM(H41:H45)+H19+H30+H36</f>
        <v>497.5</v>
      </c>
      <c r="I47" s="142">
        <f>SUM(I41:I45)+I19+I30+I36</f>
        <v>465</v>
      </c>
      <c r="J47" s="160">
        <f>SUM(J41:J45)+J19+J30+J36</f>
        <v>962.5</v>
      </c>
      <c r="L47" s="141">
        <f>SUM(L41:L45)+L19+L30+L36</f>
        <v>-99.5</v>
      </c>
      <c r="M47" s="142">
        <f>SUM(M41:M45)+M19+M30+M36</f>
        <v>-42.400000000000006</v>
      </c>
      <c r="N47" s="160">
        <f>SUM(N41:N45)+N19+N30+N36</f>
        <v>-141.9</v>
      </c>
    </row>
    <row r="48" spans="1:40" ht="3" customHeight="1" x14ac:dyDescent="0.2">
      <c r="A48" s="144"/>
      <c r="B48" s="7"/>
      <c r="D48" s="117"/>
      <c r="E48" s="118"/>
      <c r="F48" s="119"/>
      <c r="G48" s="5"/>
      <c r="H48" s="117"/>
      <c r="I48" s="118"/>
      <c r="J48" s="119"/>
      <c r="K48" s="1"/>
      <c r="L48" s="117"/>
      <c r="M48" s="118"/>
      <c r="N48" s="1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63</v>
      </c>
      <c r="B49" s="7" t="s">
        <v>71</v>
      </c>
      <c r="C49" s="72"/>
      <c r="D49" s="117"/>
      <c r="E49" s="118">
        <f>_xll.HPVAL($A49,$A$51,"total_headcount",$A$5,$A$6,$A$7)</f>
        <v>930</v>
      </c>
      <c r="F49" s="119">
        <f>+D49+E49</f>
        <v>930</v>
      </c>
      <c r="G49" s="5"/>
      <c r="H49" s="117"/>
      <c r="I49" s="118">
        <f>_xll.HPVAL($A49,$A$1,"total_headcount",$A$5,$A$6,$A$7)</f>
        <v>984.05</v>
      </c>
      <c r="J49" s="119">
        <f>+H49+I49</f>
        <v>984.05</v>
      </c>
      <c r="K49" s="1"/>
      <c r="L49" s="117">
        <f>+D49-H49</f>
        <v>0</v>
      </c>
      <c r="M49" s="118">
        <f>+E49-I49</f>
        <v>-54.049999999999955</v>
      </c>
      <c r="N49" s="119">
        <f>+L49+M49</f>
        <v>-54.049999999999955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63</v>
      </c>
      <c r="B50" s="7"/>
      <c r="D50" s="117"/>
      <c r="E50" s="118"/>
      <c r="F50" s="119"/>
      <c r="G50" s="5"/>
      <c r="H50" s="117"/>
      <c r="I50" s="118"/>
      <c r="J50" s="119"/>
      <c r="K50" s="1"/>
      <c r="L50" s="117"/>
      <c r="M50" s="118"/>
      <c r="N50" s="11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">
      <c r="A51" s="23" t="s">
        <v>91</v>
      </c>
      <c r="B51" s="137" t="s">
        <v>21</v>
      </c>
      <c r="D51" s="141">
        <f>D47+D49</f>
        <v>398</v>
      </c>
      <c r="E51" s="142">
        <f>E47+E49</f>
        <v>1352.6</v>
      </c>
      <c r="F51" s="160">
        <f>F47+F49</f>
        <v>1750.6</v>
      </c>
      <c r="G51" s="5"/>
      <c r="H51" s="141">
        <f>H47+H49</f>
        <v>497.5</v>
      </c>
      <c r="I51" s="142">
        <f>I47+I49</f>
        <v>1449.05</v>
      </c>
      <c r="J51" s="160">
        <f>J47+J49</f>
        <v>1946.55</v>
      </c>
      <c r="K51" s="1"/>
      <c r="L51" s="141">
        <f>L47+L49</f>
        <v>-99.5</v>
      </c>
      <c r="M51" s="142">
        <f>M47+M49</f>
        <v>-96.44999999999996</v>
      </c>
      <c r="N51" s="160">
        <f>N47+N49</f>
        <v>-195.94999999999996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44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6.5" x14ac:dyDescent="0.3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5" x14ac:dyDescent="0.25">
      <c r="A3" s="242" t="s">
        <v>273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5"/>
    <row r="5" spans="1:23" ht="12" customHeight="1" x14ac:dyDescent="0.25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5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5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5</v>
      </c>
      <c r="B9" s="38"/>
      <c r="C9" s="59">
        <f t="shared" ref="C9:C19" si="0">J9-K9-M9-N9-L9</f>
        <v>25487</v>
      </c>
      <c r="D9" s="60">
        <f>GrossMargin!M10-Expenses!E9-'CapChrg-AllocExp'!L10-'CapChrg-AllocExp'!E10</f>
        <v>25487</v>
      </c>
      <c r="E9" s="88">
        <f t="shared" ref="E9:E19" si="1">C9-D9</f>
        <v>0</v>
      </c>
      <c r="F9" s="42"/>
      <c r="G9" s="59">
        <f>GrossMargin!I10</f>
        <v>34460</v>
      </c>
      <c r="H9" s="60">
        <f>GrossMargin!J10</f>
        <v>0</v>
      </c>
      <c r="I9" s="60">
        <f>GrossMargin!K10</f>
        <v>7152</v>
      </c>
      <c r="J9" s="86">
        <f t="shared" ref="J9:J19" si="2">SUM(G9:I9)</f>
        <v>41612</v>
      </c>
      <c r="K9" s="217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 t="shared" ref="O9:O19" si="3">J9-K9-M9-N9-L9</f>
        <v>25487</v>
      </c>
      <c r="P9" s="44"/>
      <c r="Q9" s="59">
        <f>GrossMargin!N10</f>
        <v>20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 t="shared" ref="V9:V19" si="4">ROUND(SUM(Q9:U9),0)</f>
        <v>0</v>
      </c>
    </row>
    <row r="10" spans="1:23" ht="12" customHeight="1" x14ac:dyDescent="0.25">
      <c r="A10" s="29" t="s">
        <v>176</v>
      </c>
      <c r="B10" s="38"/>
      <c r="C10" s="41">
        <f t="shared" si="0"/>
        <v>30899</v>
      </c>
      <c r="D10" s="42">
        <f>GrossMargin!M11-Expenses!E10-'CapChrg-AllocExp'!L11-'CapChrg-AllocExp'!E11</f>
        <v>21460</v>
      </c>
      <c r="E10" s="66">
        <f t="shared" si="1"/>
        <v>9439</v>
      </c>
      <c r="F10" s="42"/>
      <c r="G10" s="41">
        <f>GrossMargin!I11</f>
        <v>41124</v>
      </c>
      <c r="H10" s="42">
        <f>GrossMargin!J11</f>
        <v>0</v>
      </c>
      <c r="I10" s="42">
        <f>GrossMargin!K11</f>
        <v>0</v>
      </c>
      <c r="J10" s="87">
        <f t="shared" si="2"/>
        <v>41124</v>
      </c>
      <c r="K10" s="65"/>
      <c r="L10" s="42">
        <f>'CapChrg-AllocExp'!D11</f>
        <v>0</v>
      </c>
      <c r="M10" s="42">
        <f>Expenses!D10</f>
        <v>4637</v>
      </c>
      <c r="N10" s="43">
        <f>'CapChrg-AllocExp'!K11</f>
        <v>5588</v>
      </c>
      <c r="O10" s="87">
        <f t="shared" si="3"/>
        <v>30899</v>
      </c>
      <c r="P10" s="44"/>
      <c r="Q10" s="41">
        <f>GrossMargin!N11</f>
        <v>9444</v>
      </c>
      <c r="R10" s="42"/>
      <c r="S10" s="42">
        <f>'CapChrg-AllocExp'!F11</f>
        <v>0</v>
      </c>
      <c r="T10" s="42">
        <f>Expenses!F10</f>
        <v>-5</v>
      </c>
      <c r="U10" s="42">
        <f>'CapChrg-AllocExp'!M11</f>
        <v>0</v>
      </c>
      <c r="V10" s="66">
        <f t="shared" si="4"/>
        <v>9439</v>
      </c>
    </row>
    <row r="11" spans="1:23" ht="12" customHeight="1" x14ac:dyDescent="0.25">
      <c r="A11" s="29" t="s">
        <v>258</v>
      </c>
      <c r="B11" s="38"/>
      <c r="C11" s="41">
        <f t="shared" si="0"/>
        <v>20721</v>
      </c>
      <c r="D11" s="42">
        <f>GrossMargin!M12-Expenses!E11-'CapChrg-AllocExp'!L12-'CapChrg-AllocExp'!E12</f>
        <v>20721</v>
      </c>
      <c r="E11" s="66">
        <f t="shared" si="1"/>
        <v>0</v>
      </c>
      <c r="F11" s="42"/>
      <c r="G11" s="41">
        <f>GrossMargin!I12</f>
        <v>13109</v>
      </c>
      <c r="H11" s="42">
        <f>GrossMargin!J12</f>
        <v>0</v>
      </c>
      <c r="I11" s="42">
        <f>GrossMargin!K12</f>
        <v>9334</v>
      </c>
      <c r="J11" s="87">
        <f t="shared" si="2"/>
        <v>22443</v>
      </c>
      <c r="K11" s="65"/>
      <c r="L11" s="42">
        <f>'CapChrg-AllocExp'!D12</f>
        <v>0</v>
      </c>
      <c r="M11" s="42">
        <f>Expenses!D11</f>
        <v>795</v>
      </c>
      <c r="N11" s="43">
        <f>'CapChrg-AllocExp'!K12</f>
        <v>927</v>
      </c>
      <c r="O11" s="87">
        <f t="shared" si="3"/>
        <v>20721</v>
      </c>
      <c r="P11" s="44"/>
      <c r="Q11" s="41">
        <f>GrossMargin!N12</f>
        <v>77</v>
      </c>
      <c r="R11" s="42"/>
      <c r="S11" s="42">
        <f>'CapChrg-AllocExp'!F12</f>
        <v>0</v>
      </c>
      <c r="T11" s="42">
        <f>Expenses!F11</f>
        <v>-77</v>
      </c>
      <c r="U11" s="42">
        <f>'CapChrg-AllocExp'!M12</f>
        <v>0</v>
      </c>
      <c r="V11" s="66">
        <f t="shared" si="4"/>
        <v>0</v>
      </c>
    </row>
    <row r="12" spans="1:23" ht="12" customHeight="1" x14ac:dyDescent="0.25">
      <c r="A12" s="29" t="s">
        <v>259</v>
      </c>
      <c r="B12" s="38"/>
      <c r="C12" s="41">
        <f t="shared" si="0"/>
        <v>13682</v>
      </c>
      <c r="D12" s="42">
        <f>GrossMargin!M13-Expenses!E12-'CapChrg-AllocExp'!L13-'CapChrg-AllocExp'!E13</f>
        <v>9062</v>
      </c>
      <c r="E12" s="66">
        <f t="shared" si="1"/>
        <v>4620</v>
      </c>
      <c r="F12" s="42"/>
      <c r="G12" s="41">
        <f>GrossMargin!I13</f>
        <v>16176</v>
      </c>
      <c r="H12" s="42">
        <f>GrossMargin!J13</f>
        <v>0</v>
      </c>
      <c r="I12" s="42">
        <f>GrossMargin!K13</f>
        <v>0</v>
      </c>
      <c r="J12" s="87">
        <f t="shared" si="2"/>
        <v>16176</v>
      </c>
      <c r="K12" s="65"/>
      <c r="L12" s="42">
        <f>'CapChrg-AllocExp'!D13</f>
        <v>0</v>
      </c>
      <c r="M12" s="42">
        <f>Expenses!D12</f>
        <v>1418</v>
      </c>
      <c r="N12" s="43">
        <f>'CapChrg-AllocExp'!K13</f>
        <v>1076</v>
      </c>
      <c r="O12" s="87">
        <f t="shared" si="3"/>
        <v>13682</v>
      </c>
      <c r="P12" s="44"/>
      <c r="Q12" s="41">
        <f>GrossMargin!N13</f>
        <v>4693</v>
      </c>
      <c r="R12" s="42"/>
      <c r="S12" s="42">
        <f>'CapChrg-AllocExp'!F13</f>
        <v>0</v>
      </c>
      <c r="T12" s="42">
        <f>Expenses!F12</f>
        <v>-73</v>
      </c>
      <c r="U12" s="42">
        <f>'CapChrg-AllocExp'!M13</f>
        <v>0</v>
      </c>
      <c r="V12" s="66">
        <f t="shared" si="4"/>
        <v>4620</v>
      </c>
    </row>
    <row r="13" spans="1:23" ht="12" customHeight="1" x14ac:dyDescent="0.25">
      <c r="A13" s="29" t="s">
        <v>202</v>
      </c>
      <c r="B13" s="38"/>
      <c r="C13" s="41">
        <f t="shared" si="0"/>
        <v>17550</v>
      </c>
      <c r="D13" s="42">
        <f>GrossMargin!M14-Expenses!E13-'CapChrg-AllocExp'!L14-'CapChrg-AllocExp'!E14</f>
        <v>17550</v>
      </c>
      <c r="E13" s="66">
        <f t="shared" si="1"/>
        <v>0</v>
      </c>
      <c r="F13" s="42"/>
      <c r="G13" s="41">
        <f>GrossMargin!I14</f>
        <v>18025</v>
      </c>
      <c r="H13" s="42">
        <f>GrossMargin!J14</f>
        <v>0</v>
      </c>
      <c r="I13" s="42">
        <f>GrossMargin!K14</f>
        <v>7352</v>
      </c>
      <c r="J13" s="87">
        <f t="shared" si="2"/>
        <v>25377</v>
      </c>
      <c r="K13" s="65"/>
      <c r="L13" s="42">
        <f>'CapChrg-AllocExp'!D14</f>
        <v>207</v>
      </c>
      <c r="M13" s="42">
        <f>Expenses!D13</f>
        <v>5200</v>
      </c>
      <c r="N13" s="43">
        <f>'CapChrg-AllocExp'!K14</f>
        <v>2420</v>
      </c>
      <c r="O13" s="87">
        <f t="shared" si="3"/>
        <v>17550</v>
      </c>
      <c r="P13" s="44"/>
      <c r="Q13" s="41">
        <f>GrossMargin!N14</f>
        <v>2265</v>
      </c>
      <c r="R13" s="42"/>
      <c r="S13" s="42">
        <f>'CapChrg-AllocExp'!F14</f>
        <v>169</v>
      </c>
      <c r="T13" s="42">
        <f>Expenses!F13</f>
        <v>-2434</v>
      </c>
      <c r="U13" s="42">
        <f>'CapChrg-AllocExp'!M14</f>
        <v>0</v>
      </c>
      <c r="V13" s="66">
        <f t="shared" si="4"/>
        <v>0</v>
      </c>
    </row>
    <row r="14" spans="1:23" ht="12" customHeight="1" x14ac:dyDescent="0.25">
      <c r="A14" s="29" t="s">
        <v>11</v>
      </c>
      <c r="B14" s="38"/>
      <c r="C14" s="41">
        <f t="shared" si="0"/>
        <v>8019</v>
      </c>
      <c r="D14" s="42">
        <f>GrossMargin!M15-Expenses!E14-'CapChrg-AllocExp'!L15-'CapChrg-AllocExp'!E15</f>
        <v>8019</v>
      </c>
      <c r="E14" s="66">
        <f t="shared" si="1"/>
        <v>0</v>
      </c>
      <c r="F14" s="42"/>
      <c r="G14" s="41">
        <f>GrossMargin!I15</f>
        <v>737</v>
      </c>
      <c r="H14" s="42">
        <f>GrossMargin!J15</f>
        <v>0</v>
      </c>
      <c r="I14" s="42">
        <f>GrossMargin!K15</f>
        <v>13005</v>
      </c>
      <c r="J14" s="87">
        <f t="shared" si="2"/>
        <v>13742</v>
      </c>
      <c r="K14" s="65"/>
      <c r="L14" s="42">
        <f>'CapChrg-AllocExp'!D15</f>
        <v>618</v>
      </c>
      <c r="M14" s="42">
        <f>Expenses!D14</f>
        <v>3674</v>
      </c>
      <c r="N14" s="43">
        <f>'CapChrg-AllocExp'!K15</f>
        <v>1431</v>
      </c>
      <c r="O14" s="87">
        <f t="shared" si="3"/>
        <v>8019</v>
      </c>
      <c r="P14" s="44"/>
      <c r="Q14" s="41">
        <f>GrossMargin!N15</f>
        <v>995</v>
      </c>
      <c r="R14" s="42"/>
      <c r="S14" s="42">
        <f>'CapChrg-AllocExp'!F15</f>
        <v>35</v>
      </c>
      <c r="T14" s="42">
        <f>Expenses!F14</f>
        <v>-1030</v>
      </c>
      <c r="U14" s="42">
        <f>'CapChrg-AllocExp'!M15</f>
        <v>0</v>
      </c>
      <c r="V14" s="66">
        <f t="shared" si="4"/>
        <v>0</v>
      </c>
    </row>
    <row r="15" spans="1:23" ht="12" customHeight="1" x14ac:dyDescent="0.25">
      <c r="A15" s="29" t="s">
        <v>9</v>
      </c>
      <c r="B15" s="38"/>
      <c r="C15" s="41">
        <f t="shared" si="0"/>
        <v>1493</v>
      </c>
      <c r="D15" s="42">
        <f>GrossMargin!M16-Expenses!E15-'CapChrg-AllocExp'!L16-'CapChrg-AllocExp'!E16</f>
        <v>1493</v>
      </c>
      <c r="E15" s="66">
        <f t="shared" si="1"/>
        <v>0</v>
      </c>
      <c r="F15" s="42"/>
      <c r="G15" s="41">
        <f>GrossMargin!I16</f>
        <v>-2394</v>
      </c>
      <c r="H15" s="42">
        <f>GrossMargin!J16</f>
        <v>0</v>
      </c>
      <c r="I15" s="42">
        <f>GrossMargin!K16</f>
        <v>5813</v>
      </c>
      <c r="J15" s="87">
        <f t="shared" si="2"/>
        <v>3419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3"/>
        <v>1493</v>
      </c>
      <c r="P15" s="44"/>
      <c r="Q15" s="41">
        <f>GrossMargin!N16</f>
        <v>204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4"/>
        <v>0</v>
      </c>
    </row>
    <row r="16" spans="1:23" ht="12" customHeight="1" x14ac:dyDescent="0.25">
      <c r="A16" s="29" t="s">
        <v>177</v>
      </c>
      <c r="B16" s="38"/>
      <c r="C16" s="41">
        <f t="shared" si="0"/>
        <v>554</v>
      </c>
      <c r="D16" s="42">
        <f>GrossMargin!M17-Expenses!E16-'CapChrg-AllocExp'!L17-'CapChrg-AllocExp'!E17</f>
        <v>408</v>
      </c>
      <c r="E16" s="66">
        <f t="shared" si="1"/>
        <v>146</v>
      </c>
      <c r="F16" s="42"/>
      <c r="G16" s="41">
        <f>GrossMargin!I17</f>
        <v>923</v>
      </c>
      <c r="H16" s="42">
        <f>GrossMargin!J17</f>
        <v>0</v>
      </c>
      <c r="I16" s="42">
        <f>GrossMargin!K17</f>
        <v>0</v>
      </c>
      <c r="J16" s="87">
        <f t="shared" si="2"/>
        <v>923</v>
      </c>
      <c r="K16" s="65"/>
      <c r="L16" s="42">
        <f>'CapChrg-AllocExp'!D17</f>
        <v>0</v>
      </c>
      <c r="M16" s="42">
        <f>Expenses!D16</f>
        <v>131</v>
      </c>
      <c r="N16" s="43">
        <f>'CapChrg-AllocExp'!K17</f>
        <v>238</v>
      </c>
      <c r="O16" s="87">
        <f t="shared" si="3"/>
        <v>554</v>
      </c>
      <c r="P16" s="44"/>
      <c r="Q16" s="41">
        <f>GrossMargin!N17</f>
        <v>173</v>
      </c>
      <c r="R16" s="42"/>
      <c r="S16" s="42">
        <f>'CapChrg-AllocExp'!F17</f>
        <v>0</v>
      </c>
      <c r="T16" s="42">
        <f>Expenses!F16</f>
        <v>-27</v>
      </c>
      <c r="U16" s="42">
        <f>'CapChrg-AllocExp'!M17</f>
        <v>0</v>
      </c>
      <c r="V16" s="66">
        <f t="shared" si="4"/>
        <v>146</v>
      </c>
    </row>
    <row r="17" spans="1:22" ht="12" customHeight="1" x14ac:dyDescent="0.25">
      <c r="A17" s="29" t="s">
        <v>88</v>
      </c>
      <c r="B17" s="38"/>
      <c r="C17" s="41">
        <f t="shared" si="0"/>
        <v>6495</v>
      </c>
      <c r="D17" s="42">
        <f>GrossMargin!M18-Expenses!E17-'CapChrg-AllocExp'!L18-'CapChrg-AllocExp'!E18</f>
        <v>6495</v>
      </c>
      <c r="E17" s="66">
        <f t="shared" si="1"/>
        <v>0</v>
      </c>
      <c r="F17" s="42"/>
      <c r="G17" s="41">
        <f>GrossMargin!I18</f>
        <v>0</v>
      </c>
      <c r="H17" s="42">
        <f>GrossMargin!J18</f>
        <v>0</v>
      </c>
      <c r="I17" s="42">
        <f>GrossMargin!K18</f>
        <v>7712</v>
      </c>
      <c r="J17" s="87">
        <f t="shared" si="2"/>
        <v>7712</v>
      </c>
      <c r="K17" s="65"/>
      <c r="L17" s="42">
        <f>'CapChrg-AllocExp'!D18</f>
        <v>0</v>
      </c>
      <c r="M17" s="42">
        <f>Expenses!D17</f>
        <v>1217</v>
      </c>
      <c r="N17" s="43">
        <f>'CapChrg-AllocExp'!K18</f>
        <v>0</v>
      </c>
      <c r="O17" s="87">
        <f t="shared" si="3"/>
        <v>6495</v>
      </c>
      <c r="P17" s="44"/>
      <c r="Q17" s="41">
        <f>GrossMargin!N18</f>
        <v>0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 t="shared" si="4"/>
        <v>0</v>
      </c>
    </row>
    <row r="18" spans="1:22" ht="12" customHeight="1" x14ac:dyDescent="0.25">
      <c r="A18" s="29" t="s">
        <v>151</v>
      </c>
      <c r="B18" s="38"/>
      <c r="C18" s="41">
        <f>J18-K18-M18-N18-L18</f>
        <v>5159</v>
      </c>
      <c r="D18" s="42">
        <f>Summary!D35</f>
        <v>4081</v>
      </c>
      <c r="E18" s="66">
        <f>C18-D18</f>
        <v>1078</v>
      </c>
      <c r="F18" s="42"/>
      <c r="G18" s="41">
        <f>Summary!G35</f>
        <v>8498</v>
      </c>
      <c r="H18" s="42">
        <f>Summary!H35</f>
        <v>0</v>
      </c>
      <c r="I18" s="42">
        <f>Summary!I35</f>
        <v>0</v>
      </c>
      <c r="J18" s="87">
        <f>SUM(G18:I18)</f>
        <v>8498</v>
      </c>
      <c r="K18" s="65"/>
      <c r="L18" s="65">
        <f>Summary!L35</f>
        <v>0</v>
      </c>
      <c r="M18" s="42">
        <f>Summary!M35</f>
        <v>729</v>
      </c>
      <c r="N18" s="43">
        <f>Summary!N35</f>
        <v>2610</v>
      </c>
      <c r="O18" s="87">
        <f>J18-K18-M18-N18-L18</f>
        <v>5159</v>
      </c>
      <c r="P18" s="44"/>
      <c r="Q18" s="41">
        <f>Summary!Q35</f>
        <v>1062</v>
      </c>
      <c r="R18" s="42">
        <f>Summary!R35</f>
        <v>0</v>
      </c>
      <c r="S18" s="42">
        <f>Summary!S35</f>
        <v>0</v>
      </c>
      <c r="T18" s="42">
        <f>Summary!T35</f>
        <v>16</v>
      </c>
      <c r="U18" s="42">
        <f>Summary!U35</f>
        <v>0</v>
      </c>
      <c r="V18" s="66">
        <f>ROUND(SUM(Q18:U18),0)</f>
        <v>1078</v>
      </c>
    </row>
    <row r="19" spans="1:22" ht="12" customHeight="1" x14ac:dyDescent="0.25">
      <c r="A19" s="29" t="s">
        <v>4</v>
      </c>
      <c r="B19" s="38"/>
      <c r="C19" s="41">
        <f t="shared" si="0"/>
        <v>5079</v>
      </c>
      <c r="D19" s="42">
        <f>GrossMargin!M19-Expenses!E18-'CapChrg-AllocExp'!L19-'CapChrg-AllocExp'!E19</f>
        <v>5079</v>
      </c>
      <c r="E19" s="66">
        <f t="shared" si="1"/>
        <v>0</v>
      </c>
      <c r="F19" s="42"/>
      <c r="G19" s="41">
        <f>GrossMargin!I19</f>
        <v>-738</v>
      </c>
      <c r="H19" s="42">
        <f>GrossMargin!J19</f>
        <v>0</v>
      </c>
      <c r="I19" s="42">
        <f>GrossMargin!K19</f>
        <v>5986</v>
      </c>
      <c r="J19" s="87">
        <f t="shared" si="2"/>
        <v>5248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5079</v>
      </c>
      <c r="P19" s="44"/>
      <c r="Q19" s="41">
        <f>GrossMargin!N19</f>
        <v>0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0</v>
      </c>
    </row>
    <row r="20" spans="1:22" s="120" customFormat="1" ht="12" customHeight="1" x14ac:dyDescent="0.25">
      <c r="A20" s="179" t="s">
        <v>255</v>
      </c>
      <c r="B20" s="121"/>
      <c r="C20" s="230">
        <f>SUM(C9:C19)</f>
        <v>135138</v>
      </c>
      <c r="D20" s="231">
        <f>SUM(D9:D19)</f>
        <v>119855</v>
      </c>
      <c r="E20" s="232">
        <f>SUM(E9:E19)</f>
        <v>15283</v>
      </c>
      <c r="F20" s="122"/>
      <c r="G20" s="230">
        <f t="shared" ref="G20:N20" si="5">SUM(G9:G19)</f>
        <v>129920</v>
      </c>
      <c r="H20" s="231">
        <f t="shared" si="5"/>
        <v>0</v>
      </c>
      <c r="I20" s="231">
        <f t="shared" si="5"/>
        <v>56354</v>
      </c>
      <c r="J20" s="233">
        <f t="shared" si="5"/>
        <v>186274</v>
      </c>
      <c r="K20" s="231">
        <f t="shared" si="5"/>
        <v>0</v>
      </c>
      <c r="L20" s="231">
        <f t="shared" si="5"/>
        <v>825</v>
      </c>
      <c r="M20" s="231">
        <f t="shared" si="5"/>
        <v>22978</v>
      </c>
      <c r="N20" s="232">
        <f t="shared" si="5"/>
        <v>27333</v>
      </c>
      <c r="O20" s="233">
        <f>J20-K20-M20-N20</f>
        <v>135963</v>
      </c>
      <c r="P20" s="123"/>
      <c r="Q20" s="230">
        <f t="shared" ref="Q20:V20" si="6">SUM(Q9:Q19)</f>
        <v>18933</v>
      </c>
      <c r="R20" s="231">
        <f t="shared" si="6"/>
        <v>0</v>
      </c>
      <c r="S20" s="231">
        <f t="shared" si="6"/>
        <v>204</v>
      </c>
      <c r="T20" s="231">
        <f t="shared" si="6"/>
        <v>-3854</v>
      </c>
      <c r="U20" s="231">
        <f t="shared" si="6"/>
        <v>0</v>
      </c>
      <c r="V20" s="232">
        <f t="shared" si="6"/>
        <v>15283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6.5" x14ac:dyDescent="0.3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5" x14ac:dyDescent="0.25">
      <c r="A3" s="242" t="s">
        <v>273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5"/>
    <row r="5" spans="1:23" ht="12" customHeight="1" x14ac:dyDescent="0.25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5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5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5</v>
      </c>
      <c r="B9" s="38"/>
      <c r="C9" s="59">
        <f>J9-K9-M9-N9-L9</f>
        <v>25487</v>
      </c>
      <c r="D9" s="60">
        <f>GrossMargin!M10-Expenses!E9-'CapChrg-AllocExp'!L10-'CapChrg-AllocExp'!E10</f>
        <v>25487</v>
      </c>
      <c r="E9" s="88">
        <f>C9-D9</f>
        <v>0</v>
      </c>
      <c r="F9" s="42"/>
      <c r="G9" s="59">
        <f>GrossMargin!I10</f>
        <v>34460</v>
      </c>
      <c r="H9" s="60">
        <f>GrossMargin!J10</f>
        <v>0</v>
      </c>
      <c r="I9" s="60">
        <f>GrossMargin!K10</f>
        <v>7152</v>
      </c>
      <c r="J9" s="86">
        <f>SUM(G9:I9)</f>
        <v>41612</v>
      </c>
      <c r="K9" s="217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25487</v>
      </c>
      <c r="P9" s="44"/>
      <c r="Q9" s="59">
        <f>GrossMargin!N10</f>
        <v>20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0</v>
      </c>
    </row>
    <row r="10" spans="1:23" ht="12" customHeight="1" x14ac:dyDescent="0.25">
      <c r="A10" s="29" t="s">
        <v>202</v>
      </c>
      <c r="B10" s="38"/>
      <c r="C10" s="41">
        <f>J10-K10-M10-N10-L10</f>
        <v>17550</v>
      </c>
      <c r="D10" s="42">
        <f>GrossMargin!M14-Expenses!E13-'CapChrg-AllocExp'!L14-'CapChrg-AllocExp'!E14</f>
        <v>17550</v>
      </c>
      <c r="E10" s="66">
        <f>C10-D10</f>
        <v>0</v>
      </c>
      <c r="F10" s="42"/>
      <c r="G10" s="41">
        <f>GrossMargin!I14</f>
        <v>18025</v>
      </c>
      <c r="H10" s="42">
        <f>GrossMargin!J14</f>
        <v>0</v>
      </c>
      <c r="I10" s="42">
        <f>GrossMargin!K14</f>
        <v>7352</v>
      </c>
      <c r="J10" s="87">
        <f>SUM(G10:I10)</f>
        <v>25377</v>
      </c>
      <c r="K10" s="65"/>
      <c r="L10" s="42">
        <f>'CapChrg-AllocExp'!D14</f>
        <v>207</v>
      </c>
      <c r="M10" s="42">
        <f>Expenses!D13</f>
        <v>5200</v>
      </c>
      <c r="N10" s="43">
        <f>'CapChrg-AllocExp'!K14</f>
        <v>2420</v>
      </c>
      <c r="O10" s="87">
        <f>J10-K10-M10-N10-L10</f>
        <v>17550</v>
      </c>
      <c r="P10" s="44"/>
      <c r="Q10" s="41">
        <f>GrossMargin!N14</f>
        <v>2265</v>
      </c>
      <c r="R10" s="42"/>
      <c r="S10" s="42">
        <f>'CapChrg-AllocExp'!F14</f>
        <v>169</v>
      </c>
      <c r="T10" s="42">
        <f>Expenses!F13</f>
        <v>-2434</v>
      </c>
      <c r="U10" s="42">
        <f>'CapChrg-AllocExp'!M14</f>
        <v>0</v>
      </c>
      <c r="V10" s="66">
        <f>ROUND(SUM(Q10:U10),0)</f>
        <v>0</v>
      </c>
    </row>
    <row r="11" spans="1:23" ht="12" customHeight="1" x14ac:dyDescent="0.25">
      <c r="A11" s="29" t="s">
        <v>151</v>
      </c>
      <c r="B11" s="38"/>
      <c r="C11" s="41">
        <f>J11-K11-M11-N11-L11</f>
        <v>5159</v>
      </c>
      <c r="D11" s="42">
        <f>Summary!D35</f>
        <v>4081</v>
      </c>
      <c r="E11" s="66">
        <f>C11-D11</f>
        <v>1078</v>
      </c>
      <c r="F11" s="42"/>
      <c r="G11" s="41">
        <f>Summary!G35</f>
        <v>8498</v>
      </c>
      <c r="H11" s="42">
        <f>Summary!H35</f>
        <v>0</v>
      </c>
      <c r="I11" s="42">
        <f>Summary!I35</f>
        <v>0</v>
      </c>
      <c r="J11" s="87">
        <f>SUM(G11:I11)</f>
        <v>8498</v>
      </c>
      <c r="K11" s="65"/>
      <c r="L11" s="65">
        <f>Summary!L35</f>
        <v>0</v>
      </c>
      <c r="M11" s="42">
        <f>Summary!M35</f>
        <v>729</v>
      </c>
      <c r="N11" s="43">
        <f>Summary!N35</f>
        <v>2610</v>
      </c>
      <c r="O11" s="87">
        <f>J11-K11-M11-N11-L11</f>
        <v>5159</v>
      </c>
      <c r="P11" s="44"/>
      <c r="Q11" s="41">
        <f>Summary!Q35</f>
        <v>1062</v>
      </c>
      <c r="R11" s="42">
        <f>Summary!R35</f>
        <v>0</v>
      </c>
      <c r="S11" s="42">
        <f>Summary!S35</f>
        <v>0</v>
      </c>
      <c r="T11" s="42">
        <f>Summary!T35</f>
        <v>16</v>
      </c>
      <c r="U11" s="42">
        <f>Summary!U35</f>
        <v>0</v>
      </c>
      <c r="V11" s="66">
        <f>ROUND(SUM(Q11:U11),0)</f>
        <v>1078</v>
      </c>
    </row>
    <row r="12" spans="1:23" ht="12" customHeight="1" x14ac:dyDescent="0.25">
      <c r="A12" s="29" t="s">
        <v>4</v>
      </c>
      <c r="B12" s="38"/>
      <c r="C12" s="41">
        <f>J12-K12-M12-N12-L12</f>
        <v>5079</v>
      </c>
      <c r="D12" s="42">
        <f>GrossMargin!M19-Expenses!E18-'CapChrg-AllocExp'!L19-'CapChrg-AllocExp'!E19</f>
        <v>5079</v>
      </c>
      <c r="E12" s="66">
        <f>C12-D12</f>
        <v>0</v>
      </c>
      <c r="F12" s="42"/>
      <c r="G12" s="41">
        <f>GrossMargin!I19</f>
        <v>-738</v>
      </c>
      <c r="H12" s="42">
        <f>GrossMargin!J19</f>
        <v>0</v>
      </c>
      <c r="I12" s="42">
        <f>GrossMargin!K19</f>
        <v>5986</v>
      </c>
      <c r="J12" s="87">
        <f>SUM(G12:I12)</f>
        <v>5248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5079</v>
      </c>
      <c r="P12" s="44"/>
      <c r="Q12" s="41">
        <f>GrossMargin!N19</f>
        <v>0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0</v>
      </c>
    </row>
    <row r="13" spans="1:23" s="120" customFormat="1" ht="12" customHeight="1" x14ac:dyDescent="0.25">
      <c r="A13" s="179" t="s">
        <v>255</v>
      </c>
      <c r="B13" s="121"/>
      <c r="C13" s="230">
        <f>SUM(C9:C12)</f>
        <v>53275</v>
      </c>
      <c r="D13" s="231">
        <f>SUM(D9:D12)</f>
        <v>52197</v>
      </c>
      <c r="E13" s="232">
        <f>SUM(E9:E12)</f>
        <v>1078</v>
      </c>
      <c r="F13" s="122"/>
      <c r="G13" s="230">
        <f t="shared" ref="G13:N13" si="0">SUM(G9:G12)</f>
        <v>60245</v>
      </c>
      <c r="H13" s="231">
        <f t="shared" si="0"/>
        <v>0</v>
      </c>
      <c r="I13" s="231">
        <f t="shared" si="0"/>
        <v>20490</v>
      </c>
      <c r="J13" s="233">
        <f t="shared" si="0"/>
        <v>80735</v>
      </c>
      <c r="K13" s="231">
        <f t="shared" si="0"/>
        <v>0</v>
      </c>
      <c r="L13" s="231">
        <f t="shared" si="0"/>
        <v>207</v>
      </c>
      <c r="M13" s="231">
        <f t="shared" si="0"/>
        <v>9873</v>
      </c>
      <c r="N13" s="232">
        <f t="shared" si="0"/>
        <v>17380</v>
      </c>
      <c r="O13" s="233">
        <f>J13-K13-M13-N13</f>
        <v>53482</v>
      </c>
      <c r="P13" s="123"/>
      <c r="Q13" s="230">
        <f t="shared" ref="Q13:V13" si="1">SUM(Q9:Q12)</f>
        <v>3347</v>
      </c>
      <c r="R13" s="231">
        <f t="shared" si="1"/>
        <v>0</v>
      </c>
      <c r="S13" s="231">
        <f t="shared" si="1"/>
        <v>169</v>
      </c>
      <c r="T13" s="231">
        <f t="shared" si="1"/>
        <v>-2438</v>
      </c>
      <c r="U13" s="231">
        <f t="shared" si="1"/>
        <v>0</v>
      </c>
      <c r="V13" s="232">
        <f t="shared" si="1"/>
        <v>1078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6.5" x14ac:dyDescent="0.3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5" x14ac:dyDescent="0.25">
      <c r="A3" s="242" t="s">
        <v>273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5"/>
    <row r="5" spans="1:23" ht="12" customHeight="1" x14ac:dyDescent="0.25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5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5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176</v>
      </c>
      <c r="B9" s="38"/>
      <c r="C9" s="59">
        <f>J9-K9-M9-N9-L9</f>
        <v>30899</v>
      </c>
      <c r="D9" s="60">
        <f>GrossMargin!M11-Expenses!E10-'CapChrg-AllocExp'!L11-'CapChrg-AllocExp'!E11</f>
        <v>21460</v>
      </c>
      <c r="E9" s="88">
        <f>C9-D9</f>
        <v>9439</v>
      </c>
      <c r="F9" s="42"/>
      <c r="G9" s="59">
        <f>GrossMargin!I11</f>
        <v>41124</v>
      </c>
      <c r="H9" s="60">
        <f>GrossMargin!J11</f>
        <v>0</v>
      </c>
      <c r="I9" s="60">
        <f>GrossMargin!K11</f>
        <v>0</v>
      </c>
      <c r="J9" s="86">
        <f>SUM(G9:I9)</f>
        <v>41124</v>
      </c>
      <c r="K9" s="217"/>
      <c r="L9" s="60">
        <f>'CapChrg-AllocExp'!D11</f>
        <v>0</v>
      </c>
      <c r="M9" s="60">
        <f>Expenses!D10</f>
        <v>4637</v>
      </c>
      <c r="N9" s="61">
        <f>'CapChrg-AllocExp'!K11</f>
        <v>5588</v>
      </c>
      <c r="O9" s="86">
        <f>J9-K9-M9-N9-L9</f>
        <v>30899</v>
      </c>
      <c r="P9" s="44"/>
      <c r="Q9" s="59">
        <f>GrossMargin!N11</f>
        <v>9444</v>
      </c>
      <c r="R9" s="60"/>
      <c r="S9" s="60">
        <f>'CapChrg-AllocExp'!F11</f>
        <v>0</v>
      </c>
      <c r="T9" s="60">
        <f>Expenses!F10</f>
        <v>-5</v>
      </c>
      <c r="U9" s="60">
        <f>'CapChrg-AllocExp'!M11</f>
        <v>0</v>
      </c>
      <c r="V9" s="88">
        <f>ROUND(SUM(Q9:U9),0)</f>
        <v>9439</v>
      </c>
    </row>
    <row r="10" spans="1:23" ht="12" customHeight="1" x14ac:dyDescent="0.25">
      <c r="A10" s="29" t="s">
        <v>177</v>
      </c>
      <c r="B10" s="38"/>
      <c r="C10" s="41">
        <f>J10-K10-M10-N10-L10</f>
        <v>554</v>
      </c>
      <c r="D10" s="42">
        <f>GrossMargin!M17-Expenses!E16-'CapChrg-AllocExp'!L17-'CapChrg-AllocExp'!E17</f>
        <v>408</v>
      </c>
      <c r="E10" s="66">
        <f>C10-D10</f>
        <v>146</v>
      </c>
      <c r="F10" s="42"/>
      <c r="G10" s="41">
        <f>GrossMargin!I17</f>
        <v>923</v>
      </c>
      <c r="H10" s="42">
        <f>GrossMargin!J17</f>
        <v>0</v>
      </c>
      <c r="I10" s="42">
        <f>GrossMargin!K17</f>
        <v>0</v>
      </c>
      <c r="J10" s="87">
        <f>SUM(G10:I10)</f>
        <v>923</v>
      </c>
      <c r="K10" s="65"/>
      <c r="L10" s="42">
        <f>'CapChrg-AllocExp'!D17</f>
        <v>0</v>
      </c>
      <c r="M10" s="42">
        <f>Expenses!D16</f>
        <v>131</v>
      </c>
      <c r="N10" s="43">
        <f>'CapChrg-AllocExp'!K17</f>
        <v>238</v>
      </c>
      <c r="O10" s="87">
        <f>J10-K10-M10-N10-L10</f>
        <v>554</v>
      </c>
      <c r="P10" s="44"/>
      <c r="Q10" s="41">
        <f>GrossMargin!N17</f>
        <v>173</v>
      </c>
      <c r="R10" s="42"/>
      <c r="S10" s="42">
        <f>'CapChrg-AllocExp'!F17</f>
        <v>0</v>
      </c>
      <c r="T10" s="42">
        <f>Expenses!F16</f>
        <v>-27</v>
      </c>
      <c r="U10" s="42">
        <f>'CapChrg-AllocExp'!M17</f>
        <v>0</v>
      </c>
      <c r="V10" s="66">
        <f>ROUND(SUM(Q10:U10),0)</f>
        <v>146</v>
      </c>
    </row>
    <row r="11" spans="1:23" s="120" customFormat="1" ht="12" customHeight="1" x14ac:dyDescent="0.25">
      <c r="A11" s="179" t="s">
        <v>255</v>
      </c>
      <c r="B11" s="121"/>
      <c r="C11" s="230">
        <f>SUM(C9:C10)</f>
        <v>31453</v>
      </c>
      <c r="D11" s="231">
        <f>SUM(D9:D10)</f>
        <v>21868</v>
      </c>
      <c r="E11" s="232">
        <f>SUM(E9:E10)</f>
        <v>9585</v>
      </c>
      <c r="F11" s="122"/>
      <c r="G11" s="230">
        <f t="shared" ref="G11:N11" si="0">SUM(G9:G10)</f>
        <v>42047</v>
      </c>
      <c r="H11" s="231">
        <f t="shared" si="0"/>
        <v>0</v>
      </c>
      <c r="I11" s="231">
        <f t="shared" si="0"/>
        <v>0</v>
      </c>
      <c r="J11" s="233">
        <f t="shared" si="0"/>
        <v>42047</v>
      </c>
      <c r="K11" s="231">
        <f t="shared" si="0"/>
        <v>0</v>
      </c>
      <c r="L11" s="231">
        <f t="shared" si="0"/>
        <v>0</v>
      </c>
      <c r="M11" s="231">
        <f t="shared" si="0"/>
        <v>4768</v>
      </c>
      <c r="N11" s="232">
        <f t="shared" si="0"/>
        <v>5826</v>
      </c>
      <c r="O11" s="233">
        <f>J11-K11-M11-N11</f>
        <v>31453</v>
      </c>
      <c r="P11" s="123"/>
      <c r="Q11" s="230">
        <f t="shared" ref="Q11:V11" si="1">SUM(Q9:Q10)</f>
        <v>9617</v>
      </c>
      <c r="R11" s="231">
        <f t="shared" si="1"/>
        <v>0</v>
      </c>
      <c r="S11" s="231">
        <f t="shared" si="1"/>
        <v>0</v>
      </c>
      <c r="T11" s="231">
        <f t="shared" si="1"/>
        <v>-32</v>
      </c>
      <c r="U11" s="231">
        <f t="shared" si="1"/>
        <v>0</v>
      </c>
      <c r="V11" s="232">
        <f t="shared" si="1"/>
        <v>9585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6.5" x14ac:dyDescent="0.3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5" x14ac:dyDescent="0.25">
      <c r="A3" s="242" t="s">
        <v>313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5"/>
    <row r="5" spans="1:23" ht="12" customHeight="1" x14ac:dyDescent="0.25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5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5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5</v>
      </c>
      <c r="B9" s="38"/>
      <c r="C9" s="59">
        <f>J9-K9-M9-N9-L9</f>
        <v>25487</v>
      </c>
      <c r="D9" s="60">
        <f>GrossMargin!M10-Expenses!E9-'CapChrg-AllocExp'!L10-'CapChrg-AllocExp'!E10</f>
        <v>25487</v>
      </c>
      <c r="E9" s="88">
        <f>C9-D9</f>
        <v>0</v>
      </c>
      <c r="F9" s="42"/>
      <c r="G9" s="59">
        <f>GrossMargin!I10</f>
        <v>34460</v>
      </c>
      <c r="H9" s="60">
        <f>GrossMargin!J10</f>
        <v>0</v>
      </c>
      <c r="I9" s="60">
        <f>GrossMargin!K10</f>
        <v>7152</v>
      </c>
      <c r="J9" s="86">
        <f>SUM(G9:I9)</f>
        <v>41612</v>
      </c>
      <c r="K9" s="217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25487</v>
      </c>
      <c r="P9" s="44"/>
      <c r="Q9" s="59">
        <f>GrossMargin!N10</f>
        <v>20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0</v>
      </c>
    </row>
    <row r="10" spans="1:23" ht="12" customHeight="1" x14ac:dyDescent="0.25">
      <c r="A10" s="29" t="s">
        <v>176</v>
      </c>
      <c r="B10" s="38"/>
      <c r="C10" s="41">
        <f t="shared" ref="C10:C18" si="0">J10-K10-M10-N10-L10</f>
        <v>30899</v>
      </c>
      <c r="D10" s="42">
        <f>GrossMargin!M11-Expenses!E10-'CapChrg-AllocExp'!L11-'CapChrg-AllocExp'!E11</f>
        <v>21460</v>
      </c>
      <c r="E10" s="66">
        <f t="shared" ref="E10:E18" si="1">C10-D10</f>
        <v>9439</v>
      </c>
      <c r="F10" s="42"/>
      <c r="G10" s="41">
        <f>GrossMargin!I11</f>
        <v>41124</v>
      </c>
      <c r="H10" s="42">
        <f>GrossMargin!J11</f>
        <v>0</v>
      </c>
      <c r="I10" s="42">
        <f>GrossMargin!K11</f>
        <v>0</v>
      </c>
      <c r="J10" s="87">
        <f t="shared" ref="J10:J18" si="2">SUM(G10:I10)</f>
        <v>41124</v>
      </c>
      <c r="K10" s="65"/>
      <c r="L10" s="42">
        <f>'CapChrg-AllocExp'!D11</f>
        <v>0</v>
      </c>
      <c r="M10" s="42">
        <f>Expenses!D10</f>
        <v>4637</v>
      </c>
      <c r="N10" s="43">
        <f>'CapChrg-AllocExp'!K11</f>
        <v>5588</v>
      </c>
      <c r="O10" s="87">
        <f t="shared" ref="O10:O18" si="3">J10-K10-M10-N10-L10</f>
        <v>30899</v>
      </c>
      <c r="P10" s="44"/>
      <c r="Q10" s="41">
        <f>GrossMargin!N11</f>
        <v>9444</v>
      </c>
      <c r="R10" s="42"/>
      <c r="S10" s="42">
        <f>'CapChrg-AllocExp'!F11</f>
        <v>0</v>
      </c>
      <c r="T10" s="42">
        <f>Expenses!F10</f>
        <v>-5</v>
      </c>
      <c r="U10" s="42">
        <f>'CapChrg-AllocExp'!M11</f>
        <v>0</v>
      </c>
      <c r="V10" s="66">
        <f t="shared" ref="V10:V18" si="4">ROUND(SUM(Q10:U10),0)</f>
        <v>9439</v>
      </c>
    </row>
    <row r="11" spans="1:23" ht="12" customHeight="1" x14ac:dyDescent="0.25">
      <c r="A11" s="29" t="s">
        <v>258</v>
      </c>
      <c r="B11" s="38"/>
      <c r="C11" s="41">
        <f t="shared" si="0"/>
        <v>20721</v>
      </c>
      <c r="D11" s="42">
        <f>GrossMargin!M12-Expenses!E11-'CapChrg-AllocExp'!L12-'CapChrg-AllocExp'!E12</f>
        <v>20721</v>
      </c>
      <c r="E11" s="66">
        <f t="shared" si="1"/>
        <v>0</v>
      </c>
      <c r="F11" s="42"/>
      <c r="G11" s="41">
        <f>GrossMargin!I12</f>
        <v>13109</v>
      </c>
      <c r="H11" s="42">
        <f>GrossMargin!J12</f>
        <v>0</v>
      </c>
      <c r="I11" s="42">
        <f>GrossMargin!K12</f>
        <v>9334</v>
      </c>
      <c r="J11" s="87">
        <f t="shared" si="2"/>
        <v>22443</v>
      </c>
      <c r="K11" s="65"/>
      <c r="L11" s="42">
        <f>'CapChrg-AllocExp'!D12</f>
        <v>0</v>
      </c>
      <c r="M11" s="42">
        <f>Expenses!D11</f>
        <v>795</v>
      </c>
      <c r="N11" s="43">
        <f>'CapChrg-AllocExp'!K12</f>
        <v>927</v>
      </c>
      <c r="O11" s="87">
        <f t="shared" si="3"/>
        <v>20721</v>
      </c>
      <c r="P11" s="44"/>
      <c r="Q11" s="41">
        <f>GrossMargin!N12</f>
        <v>77</v>
      </c>
      <c r="R11" s="42"/>
      <c r="S11" s="42">
        <f>'CapChrg-AllocExp'!F12</f>
        <v>0</v>
      </c>
      <c r="T11" s="42">
        <f>Expenses!F11</f>
        <v>-77</v>
      </c>
      <c r="U11" s="42">
        <f>'CapChrg-AllocExp'!M12</f>
        <v>0</v>
      </c>
      <c r="V11" s="66">
        <f t="shared" si="4"/>
        <v>0</v>
      </c>
    </row>
    <row r="12" spans="1:23" ht="12" customHeight="1" x14ac:dyDescent="0.25">
      <c r="A12" s="29" t="s">
        <v>259</v>
      </c>
      <c r="B12" s="38"/>
      <c r="C12" s="41">
        <f>J12-K12-M12-N12-L12</f>
        <v>13682</v>
      </c>
      <c r="D12" s="42">
        <f>GrossMargin!M13-Expenses!E12-'CapChrg-AllocExp'!L13-'CapChrg-AllocExp'!E13</f>
        <v>9062</v>
      </c>
      <c r="E12" s="66">
        <f>C12-D12</f>
        <v>4620</v>
      </c>
      <c r="F12" s="42"/>
      <c r="G12" s="41">
        <f>GrossMargin!I13</f>
        <v>16176</v>
      </c>
      <c r="H12" s="42">
        <f>GrossMargin!J13</f>
        <v>0</v>
      </c>
      <c r="I12" s="42">
        <f>GrossMargin!K13</f>
        <v>0</v>
      </c>
      <c r="J12" s="87">
        <f>SUM(G12:I12)</f>
        <v>16176</v>
      </c>
      <c r="K12" s="65"/>
      <c r="L12" s="42">
        <f>'CapChrg-AllocExp'!D13</f>
        <v>0</v>
      </c>
      <c r="M12" s="42">
        <f>Expenses!D12</f>
        <v>1418</v>
      </c>
      <c r="N12" s="43">
        <f>'CapChrg-AllocExp'!K13</f>
        <v>1076</v>
      </c>
      <c r="O12" s="87">
        <f>J12-K12-M12-N12-L12</f>
        <v>13682</v>
      </c>
      <c r="P12" s="44"/>
      <c r="Q12" s="41">
        <f>GrossMargin!N13</f>
        <v>4693</v>
      </c>
      <c r="R12" s="42"/>
      <c r="S12" s="42">
        <f>'CapChrg-AllocExp'!F13</f>
        <v>0</v>
      </c>
      <c r="T12" s="42">
        <f>Expenses!F12</f>
        <v>-73</v>
      </c>
      <c r="U12" s="42">
        <f>'CapChrg-AllocExp'!M13</f>
        <v>0</v>
      </c>
      <c r="V12" s="66">
        <f>ROUND(SUM(Q12:U12),0)</f>
        <v>4620</v>
      </c>
    </row>
    <row r="13" spans="1:23" ht="12" customHeight="1" x14ac:dyDescent="0.25">
      <c r="A13" s="29" t="s">
        <v>202</v>
      </c>
      <c r="B13" s="38"/>
      <c r="C13" s="41">
        <f t="shared" si="0"/>
        <v>17550</v>
      </c>
      <c r="D13" s="42">
        <f>GrossMargin!M14-Expenses!E13-'CapChrg-AllocExp'!L14-'CapChrg-AllocExp'!E14</f>
        <v>17550</v>
      </c>
      <c r="E13" s="66">
        <f t="shared" si="1"/>
        <v>0</v>
      </c>
      <c r="F13" s="42"/>
      <c r="G13" s="41">
        <f>GrossMargin!I14</f>
        <v>18025</v>
      </c>
      <c r="H13" s="42">
        <f>GrossMargin!J14</f>
        <v>0</v>
      </c>
      <c r="I13" s="42">
        <f>GrossMargin!K14</f>
        <v>7352</v>
      </c>
      <c r="J13" s="87">
        <f>SUM(G13:I13)</f>
        <v>25377</v>
      </c>
      <c r="K13" s="65"/>
      <c r="L13" s="42">
        <f>'CapChrg-AllocExp'!D14</f>
        <v>207</v>
      </c>
      <c r="M13" s="42">
        <f>Expenses!D13</f>
        <v>5200</v>
      </c>
      <c r="N13" s="43">
        <f>'CapChrg-AllocExp'!K14</f>
        <v>2420</v>
      </c>
      <c r="O13" s="87">
        <f t="shared" si="3"/>
        <v>17550</v>
      </c>
      <c r="P13" s="44"/>
      <c r="Q13" s="41">
        <f>GrossMargin!N14</f>
        <v>2265</v>
      </c>
      <c r="R13" s="42"/>
      <c r="S13" s="42">
        <f>'CapChrg-AllocExp'!F14</f>
        <v>169</v>
      </c>
      <c r="T13" s="42">
        <f>Expenses!F13</f>
        <v>-2434</v>
      </c>
      <c r="U13" s="42">
        <f>'CapChrg-AllocExp'!M14</f>
        <v>0</v>
      </c>
      <c r="V13" s="66">
        <f>ROUND(SUM(Q13:U13),0)</f>
        <v>0</v>
      </c>
    </row>
    <row r="14" spans="1:23" ht="12" customHeight="1" x14ac:dyDescent="0.25">
      <c r="A14" s="29" t="s">
        <v>11</v>
      </c>
      <c r="B14" s="38"/>
      <c r="C14" s="41">
        <f t="shared" si="0"/>
        <v>8019</v>
      </c>
      <c r="D14" s="42">
        <f>GrossMargin!M15-Expenses!E14-'CapChrg-AllocExp'!L15-'CapChrg-AllocExp'!E15</f>
        <v>8019</v>
      </c>
      <c r="E14" s="66">
        <f t="shared" si="1"/>
        <v>0</v>
      </c>
      <c r="F14" s="42"/>
      <c r="G14" s="41">
        <f>GrossMargin!I15</f>
        <v>737</v>
      </c>
      <c r="H14" s="42">
        <f>GrossMargin!J15</f>
        <v>0</v>
      </c>
      <c r="I14" s="42">
        <f>GrossMargin!K15</f>
        <v>13005</v>
      </c>
      <c r="J14" s="87">
        <f t="shared" si="2"/>
        <v>13742</v>
      </c>
      <c r="K14" s="65"/>
      <c r="L14" s="42">
        <f>'CapChrg-AllocExp'!D15</f>
        <v>618</v>
      </c>
      <c r="M14" s="42">
        <f>Expenses!D14</f>
        <v>3674</v>
      </c>
      <c r="N14" s="43">
        <f>'CapChrg-AllocExp'!K15</f>
        <v>1431</v>
      </c>
      <c r="O14" s="87">
        <f t="shared" si="3"/>
        <v>8019</v>
      </c>
      <c r="P14" s="44"/>
      <c r="Q14" s="41">
        <f>GrossMargin!N15</f>
        <v>995</v>
      </c>
      <c r="R14" s="42"/>
      <c r="S14" s="42">
        <f>'CapChrg-AllocExp'!F15</f>
        <v>35</v>
      </c>
      <c r="T14" s="42">
        <f>Expenses!F14</f>
        <v>-1030</v>
      </c>
      <c r="U14" s="42">
        <f>'CapChrg-AllocExp'!M15</f>
        <v>0</v>
      </c>
      <c r="V14" s="66">
        <f t="shared" si="4"/>
        <v>0</v>
      </c>
    </row>
    <row r="15" spans="1:23" ht="12" customHeight="1" x14ac:dyDescent="0.25">
      <c r="A15" s="29" t="s">
        <v>9</v>
      </c>
      <c r="B15" s="38"/>
      <c r="C15" s="41">
        <f t="shared" si="0"/>
        <v>1493</v>
      </c>
      <c r="D15" s="42">
        <f>GrossMargin!M16-Expenses!E15-'CapChrg-AllocExp'!L16-'CapChrg-AllocExp'!E16</f>
        <v>1493</v>
      </c>
      <c r="E15" s="66">
        <f t="shared" si="1"/>
        <v>0</v>
      </c>
      <c r="F15" s="42"/>
      <c r="G15" s="41">
        <f>GrossMargin!I16</f>
        <v>-2394</v>
      </c>
      <c r="H15" s="42">
        <f>GrossMargin!J16</f>
        <v>0</v>
      </c>
      <c r="I15" s="42">
        <f>GrossMargin!K16</f>
        <v>5813</v>
      </c>
      <c r="J15" s="87">
        <f t="shared" si="2"/>
        <v>3419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3"/>
        <v>1493</v>
      </c>
      <c r="P15" s="44"/>
      <c r="Q15" s="41">
        <f>GrossMargin!N16</f>
        <v>204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4"/>
        <v>0</v>
      </c>
    </row>
    <row r="16" spans="1:23" ht="12" customHeight="1" x14ac:dyDescent="0.25">
      <c r="A16" s="29" t="s">
        <v>177</v>
      </c>
      <c r="B16" s="38"/>
      <c r="C16" s="41">
        <f t="shared" si="0"/>
        <v>554</v>
      </c>
      <c r="D16" s="42">
        <f>GrossMargin!M17-Expenses!E16-'CapChrg-AllocExp'!L17-'CapChrg-AllocExp'!E17</f>
        <v>408</v>
      </c>
      <c r="E16" s="66">
        <f t="shared" si="1"/>
        <v>146</v>
      </c>
      <c r="F16" s="42"/>
      <c r="G16" s="41">
        <f>GrossMargin!I17</f>
        <v>923</v>
      </c>
      <c r="H16" s="42">
        <f>GrossMargin!J17</f>
        <v>0</v>
      </c>
      <c r="I16" s="42">
        <f>GrossMargin!K17</f>
        <v>0</v>
      </c>
      <c r="J16" s="87">
        <f t="shared" si="2"/>
        <v>923</v>
      </c>
      <c r="K16" s="65"/>
      <c r="L16" s="42">
        <f>'CapChrg-AllocExp'!D17</f>
        <v>0</v>
      </c>
      <c r="M16" s="42">
        <f>Expenses!D16</f>
        <v>131</v>
      </c>
      <c r="N16" s="43">
        <f>'CapChrg-AllocExp'!K17</f>
        <v>238</v>
      </c>
      <c r="O16" s="87">
        <f t="shared" si="3"/>
        <v>554</v>
      </c>
      <c r="P16" s="44"/>
      <c r="Q16" s="41">
        <f>GrossMargin!N17</f>
        <v>173</v>
      </c>
      <c r="R16" s="42"/>
      <c r="S16" s="42">
        <f>'CapChrg-AllocExp'!F17</f>
        <v>0</v>
      </c>
      <c r="T16" s="42">
        <f>Expenses!F16</f>
        <v>-27</v>
      </c>
      <c r="U16" s="42">
        <f>'CapChrg-AllocExp'!M17</f>
        <v>0</v>
      </c>
      <c r="V16" s="66">
        <f t="shared" si="4"/>
        <v>146</v>
      </c>
    </row>
    <row r="17" spans="1:22" ht="12" customHeight="1" x14ac:dyDescent="0.25">
      <c r="A17" s="29" t="s">
        <v>88</v>
      </c>
      <c r="B17" s="38"/>
      <c r="C17" s="41">
        <f t="shared" si="0"/>
        <v>6495</v>
      </c>
      <c r="D17" s="42">
        <f>GrossMargin!M18-Expenses!E17-'CapChrg-AllocExp'!L18-'CapChrg-AllocExp'!E18</f>
        <v>6495</v>
      </c>
      <c r="E17" s="66">
        <f t="shared" si="1"/>
        <v>0</v>
      </c>
      <c r="F17" s="42"/>
      <c r="G17" s="41">
        <f>GrossMargin!I18</f>
        <v>0</v>
      </c>
      <c r="H17" s="42">
        <f>GrossMargin!J18</f>
        <v>0</v>
      </c>
      <c r="I17" s="42">
        <f>GrossMargin!K18</f>
        <v>7712</v>
      </c>
      <c r="J17" s="87">
        <f>SUM(G17:I17)</f>
        <v>7712</v>
      </c>
      <c r="K17" s="65"/>
      <c r="L17" s="42">
        <f>'CapChrg-AllocExp'!D18</f>
        <v>0</v>
      </c>
      <c r="M17" s="42">
        <f>Expenses!D17</f>
        <v>1217</v>
      </c>
      <c r="N17" s="43">
        <f>'CapChrg-AllocExp'!K18</f>
        <v>0</v>
      </c>
      <c r="O17" s="87">
        <f t="shared" si="3"/>
        <v>6495</v>
      </c>
      <c r="P17" s="44"/>
      <c r="Q17" s="41">
        <f>GrossMargin!N18</f>
        <v>0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>ROUND(SUM(Q17:U17),0)</f>
        <v>0</v>
      </c>
    </row>
    <row r="18" spans="1:22" ht="12" customHeight="1" x14ac:dyDescent="0.25">
      <c r="A18" s="29" t="s">
        <v>4</v>
      </c>
      <c r="B18" s="38"/>
      <c r="C18" s="41">
        <f t="shared" si="0"/>
        <v>5079</v>
      </c>
      <c r="D18" s="42">
        <f>GrossMargin!M19-Expenses!E18-'CapChrg-AllocExp'!L19-'CapChrg-AllocExp'!E19</f>
        <v>5079</v>
      </c>
      <c r="E18" s="66">
        <f t="shared" si="1"/>
        <v>0</v>
      </c>
      <c r="F18" s="42"/>
      <c r="G18" s="41">
        <f>GrossMargin!I19</f>
        <v>-738</v>
      </c>
      <c r="H18" s="42">
        <f>GrossMargin!J19</f>
        <v>0</v>
      </c>
      <c r="I18" s="42">
        <f>GrossMargin!K19</f>
        <v>5986</v>
      </c>
      <c r="J18" s="87">
        <f t="shared" si="2"/>
        <v>5248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3"/>
        <v>5079</v>
      </c>
      <c r="P18" s="44"/>
      <c r="Q18" s="41">
        <f>GrossMargin!N19</f>
        <v>0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4"/>
        <v>0</v>
      </c>
    </row>
    <row r="19" spans="1:22" s="120" customFormat="1" ht="12" customHeight="1" x14ac:dyDescent="0.25">
      <c r="A19" s="124" t="s">
        <v>255</v>
      </c>
      <c r="B19" s="121"/>
      <c r="C19" s="129">
        <f>SUM(C9:C18)</f>
        <v>129979</v>
      </c>
      <c r="D19" s="130">
        <f>SUM(D9:D18)</f>
        <v>115774</v>
      </c>
      <c r="E19" s="131">
        <f>SUM(E9:E18)</f>
        <v>14205</v>
      </c>
      <c r="F19" s="122"/>
      <c r="G19" s="129">
        <f t="shared" ref="G19:V19" si="5">SUM(G9:G18)</f>
        <v>121422</v>
      </c>
      <c r="H19" s="130">
        <f t="shared" si="5"/>
        <v>0</v>
      </c>
      <c r="I19" s="130">
        <f t="shared" si="5"/>
        <v>56354</v>
      </c>
      <c r="J19" s="132">
        <f t="shared" si="5"/>
        <v>177776</v>
      </c>
      <c r="K19" s="130">
        <f t="shared" si="5"/>
        <v>0</v>
      </c>
      <c r="L19" s="130">
        <f t="shared" si="5"/>
        <v>825</v>
      </c>
      <c r="M19" s="130">
        <f t="shared" si="5"/>
        <v>22249</v>
      </c>
      <c r="N19" s="131">
        <f t="shared" si="5"/>
        <v>24723</v>
      </c>
      <c r="O19" s="132">
        <f>J19-K19-M19-N19</f>
        <v>130804</v>
      </c>
      <c r="P19" s="123"/>
      <c r="Q19" s="129">
        <f t="shared" si="5"/>
        <v>17871</v>
      </c>
      <c r="R19" s="130">
        <f t="shared" si="5"/>
        <v>0</v>
      </c>
      <c r="S19" s="130">
        <f t="shared" si="5"/>
        <v>204</v>
      </c>
      <c r="T19" s="130">
        <f t="shared" si="5"/>
        <v>-3870</v>
      </c>
      <c r="U19" s="130">
        <f t="shared" si="5"/>
        <v>0</v>
      </c>
      <c r="V19" s="131">
        <f t="shared" si="5"/>
        <v>14205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145</v>
      </c>
      <c r="B21" s="38"/>
      <c r="C21" s="41">
        <f t="shared" ref="C21:C29" si="6">J21-K21-M21-N21-L21</f>
        <v>1137</v>
      </c>
      <c r="D21" s="42">
        <f>GrossMargin!M23-Expenses!E21-'CapChrg-AllocExp'!L22-'CapChrg-AllocExp'!E22</f>
        <v>7680</v>
      </c>
      <c r="E21" s="66">
        <f t="shared" ref="E21:E29" si="7">C21-D21</f>
        <v>-6543</v>
      </c>
      <c r="F21" s="42"/>
      <c r="G21" s="41">
        <f>GrossMargin!I23</f>
        <v>0</v>
      </c>
      <c r="H21" s="42">
        <f>GrossMargin!J23</f>
        <v>7700</v>
      </c>
      <c r="I21" s="42">
        <f>GrossMargin!K23</f>
        <v>0</v>
      </c>
      <c r="J21" s="87">
        <f t="shared" ref="J21:J29" si="8">SUM(G21:I21)</f>
        <v>7700</v>
      </c>
      <c r="K21" s="65"/>
      <c r="L21" s="42">
        <f>'CapChrg-AllocExp'!D22</f>
        <v>0</v>
      </c>
      <c r="M21" s="42">
        <f>Expenses!D21</f>
        <v>3423</v>
      </c>
      <c r="N21" s="43">
        <f>'CapChrg-AllocExp'!K22</f>
        <v>3140</v>
      </c>
      <c r="O21" s="87">
        <f t="shared" ref="O21:O29" si="9">J21-K21-M21-N21-L21</f>
        <v>1137</v>
      </c>
      <c r="P21" s="44"/>
      <c r="Q21" s="41">
        <f>GrossMargin!N23</f>
        <v>-6543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9" si="10">ROUND(SUM(Q21:U21),0)</f>
        <v>-6543</v>
      </c>
    </row>
    <row r="22" spans="1:22" ht="12" customHeight="1" x14ac:dyDescent="0.25">
      <c r="A22" s="29" t="s">
        <v>146</v>
      </c>
      <c r="B22" s="38"/>
      <c r="C22" s="41">
        <f t="shared" si="6"/>
        <v>-4830</v>
      </c>
      <c r="D22" s="42">
        <f>GrossMargin!M24-Expenses!E22-'CapChrg-AllocExp'!L23-'CapChrg-AllocExp'!E23</f>
        <v>5285</v>
      </c>
      <c r="E22" s="66">
        <f t="shared" si="7"/>
        <v>-10115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8"/>
        <v>3723</v>
      </c>
      <c r="K22" s="65"/>
      <c r="L22" s="42">
        <f>'CapChrg-AllocExp'!D23</f>
        <v>1377</v>
      </c>
      <c r="M22" s="42">
        <f>Expenses!D22</f>
        <v>4818</v>
      </c>
      <c r="N22" s="43">
        <f>'CapChrg-AllocExp'!K23</f>
        <v>2358</v>
      </c>
      <c r="O22" s="87">
        <f t="shared" si="9"/>
        <v>-4830</v>
      </c>
      <c r="P22" s="44"/>
      <c r="Q22" s="41">
        <f>GrossMargin!N24</f>
        <v>-9512</v>
      </c>
      <c r="R22" s="42"/>
      <c r="S22" s="42">
        <f>'CapChrg-AllocExp'!F23</f>
        <v>-603</v>
      </c>
      <c r="T22" s="42">
        <f>Expenses!F22</f>
        <v>0</v>
      </c>
      <c r="U22" s="42">
        <f>'CapChrg-AllocExp'!M23</f>
        <v>0</v>
      </c>
      <c r="V22" s="66">
        <f t="shared" si="10"/>
        <v>-10115</v>
      </c>
    </row>
    <row r="23" spans="1:22" ht="12" customHeight="1" x14ac:dyDescent="0.25">
      <c r="A23" s="29" t="s">
        <v>147</v>
      </c>
      <c r="B23" s="38"/>
      <c r="C23" s="41">
        <f t="shared" si="6"/>
        <v>48090</v>
      </c>
      <c r="D23" s="42">
        <f>GrossMargin!M25-Expenses!E23-'CapChrg-AllocExp'!L24-'CapChrg-AllocExp'!E24</f>
        <v>8269</v>
      </c>
      <c r="E23" s="66">
        <f t="shared" si="7"/>
        <v>39821</v>
      </c>
      <c r="F23" s="42"/>
      <c r="G23" s="41">
        <f>GrossMargin!I25</f>
        <v>2982</v>
      </c>
      <c r="H23" s="42">
        <f>GrossMargin!J25</f>
        <v>50060</v>
      </c>
      <c r="I23" s="42">
        <f>GrossMargin!K25</f>
        <v>0</v>
      </c>
      <c r="J23" s="87">
        <f t="shared" si="8"/>
        <v>53042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9"/>
        <v>48090</v>
      </c>
      <c r="P23" s="44"/>
      <c r="Q23" s="41">
        <f>GrossMargin!N25</f>
        <v>38878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10"/>
        <v>39821</v>
      </c>
    </row>
    <row r="24" spans="1:22" ht="12" customHeight="1" x14ac:dyDescent="0.25">
      <c r="A24" s="29" t="s">
        <v>148</v>
      </c>
      <c r="B24" s="38"/>
      <c r="C24" s="41">
        <f t="shared" si="6"/>
        <v>1587</v>
      </c>
      <c r="D24" s="42">
        <f>GrossMargin!M26-Expenses!E24-'CapChrg-AllocExp'!L25-'CapChrg-AllocExp'!E25</f>
        <v>-1109</v>
      </c>
      <c r="E24" s="66">
        <f t="shared" si="7"/>
        <v>2696</v>
      </c>
      <c r="F24" s="42"/>
      <c r="G24" s="41">
        <f>GrossMargin!I26</f>
        <v>1</v>
      </c>
      <c r="H24" s="42">
        <f>GrossMargin!J26</f>
        <v>5000</v>
      </c>
      <c r="I24" s="42">
        <f>GrossMargin!K26</f>
        <v>0</v>
      </c>
      <c r="J24" s="87">
        <f t="shared" si="8"/>
        <v>5001</v>
      </c>
      <c r="K24" s="65"/>
      <c r="L24" s="42">
        <f>'CapChrg-AllocExp'!D25</f>
        <v>76</v>
      </c>
      <c r="M24" s="42">
        <f>Expenses!D24</f>
        <v>2541</v>
      </c>
      <c r="N24" s="43">
        <f>'CapChrg-AllocExp'!K25</f>
        <v>797</v>
      </c>
      <c r="O24" s="87">
        <f t="shared" si="9"/>
        <v>1587</v>
      </c>
      <c r="P24" s="44"/>
      <c r="Q24" s="41">
        <f>GrossMargin!N26</f>
        <v>2244</v>
      </c>
      <c r="R24" s="42"/>
      <c r="S24" s="42">
        <f>'CapChrg-AllocExp'!F25</f>
        <v>452</v>
      </c>
      <c r="T24" s="42">
        <f>Expenses!F24</f>
        <v>0</v>
      </c>
      <c r="U24" s="42">
        <f>'CapChrg-AllocExp'!M25</f>
        <v>0</v>
      </c>
      <c r="V24" s="66">
        <f t="shared" si="10"/>
        <v>2696</v>
      </c>
    </row>
    <row r="25" spans="1:22" ht="12" customHeight="1" x14ac:dyDescent="0.25">
      <c r="A25" s="29" t="s">
        <v>172</v>
      </c>
      <c r="B25" s="38"/>
      <c r="C25" s="41">
        <f t="shared" si="6"/>
        <v>-2694</v>
      </c>
      <c r="D25" s="42">
        <f>GrossMargin!M27-Expenses!E25-'CapChrg-AllocExp'!L26-'CapChrg-AllocExp'!E26</f>
        <v>3783</v>
      </c>
      <c r="E25" s="66">
        <f t="shared" si="7"/>
        <v>-6477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8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9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10"/>
        <v>-6477</v>
      </c>
    </row>
    <row r="26" spans="1:22" ht="12" customHeight="1" x14ac:dyDescent="0.25">
      <c r="A26" s="29" t="s">
        <v>149</v>
      </c>
      <c r="B26" s="38"/>
      <c r="C26" s="41">
        <f t="shared" si="6"/>
        <v>3468</v>
      </c>
      <c r="D26" s="42">
        <f>GrossMargin!M28-Expenses!E26-'CapChrg-AllocExp'!L27-'CapChrg-AllocExp'!E27</f>
        <v>4509</v>
      </c>
      <c r="E26" s="66">
        <f t="shared" si="7"/>
        <v>-1041</v>
      </c>
      <c r="F26" s="42"/>
      <c r="G26" s="41">
        <f>GrossMargin!I28</f>
        <v>11936</v>
      </c>
      <c r="H26" s="42">
        <f>GrossMargin!J28</f>
        <v>23</v>
      </c>
      <c r="I26" s="42">
        <f>GrossMargin!K28</f>
        <v>0</v>
      </c>
      <c r="J26" s="87">
        <f t="shared" si="8"/>
        <v>11959</v>
      </c>
      <c r="K26" s="65"/>
      <c r="L26" s="42">
        <f>'CapChrg-AllocExp'!D27</f>
        <v>5696</v>
      </c>
      <c r="M26" s="42">
        <f>Expenses!D26</f>
        <v>1017</v>
      </c>
      <c r="N26" s="43">
        <f>'CapChrg-AllocExp'!K27</f>
        <v>1778</v>
      </c>
      <c r="O26" s="87">
        <f t="shared" si="9"/>
        <v>3468</v>
      </c>
      <c r="P26" s="44"/>
      <c r="Q26" s="41">
        <f>GrossMargin!N28</f>
        <v>-3125</v>
      </c>
      <c r="R26" s="42"/>
      <c r="S26" s="42">
        <f>'CapChrg-AllocExp'!F27</f>
        <v>2204</v>
      </c>
      <c r="T26" s="42">
        <f>Expenses!F26</f>
        <v>-120</v>
      </c>
      <c r="U26" s="42">
        <f>'CapChrg-AllocExp'!M27</f>
        <v>0</v>
      </c>
      <c r="V26" s="66">
        <f t="shared" si="10"/>
        <v>-1041</v>
      </c>
    </row>
    <row r="27" spans="1:22" ht="12" customHeight="1" x14ac:dyDescent="0.25">
      <c r="A27" s="29" t="s">
        <v>312</v>
      </c>
      <c r="B27" s="38"/>
      <c r="C27" s="41">
        <f t="shared" si="6"/>
        <v>-20493</v>
      </c>
      <c r="D27" s="42">
        <f>GrossMargin!M29-Expenses!E27-'CapChrg-AllocExp'!L28-'CapChrg-AllocExp'!E28</f>
        <v>1935</v>
      </c>
      <c r="E27" s="66">
        <f t="shared" si="7"/>
        <v>-22428</v>
      </c>
      <c r="F27" s="42"/>
      <c r="G27" s="41">
        <f>GrossMargin!I29</f>
        <v>-14830</v>
      </c>
      <c r="H27" s="42">
        <f>GrossMargin!J29</f>
        <v>0</v>
      </c>
      <c r="I27" s="42">
        <f>GrossMargin!K29</f>
        <v>-3000</v>
      </c>
      <c r="J27" s="87">
        <f t="shared" si="8"/>
        <v>-17830</v>
      </c>
      <c r="K27" s="65"/>
      <c r="L27" s="42">
        <f>'CapChrg-AllocExp'!D28</f>
        <v>1308</v>
      </c>
      <c r="M27" s="42">
        <f>Expenses!D27</f>
        <v>505</v>
      </c>
      <c r="N27" s="43">
        <f>'CapChrg-AllocExp'!K28</f>
        <v>850</v>
      </c>
      <c r="O27" s="87">
        <f t="shared" si="9"/>
        <v>-20493</v>
      </c>
      <c r="P27" s="44"/>
      <c r="Q27" s="41">
        <f>GrossMargin!N29</f>
        <v>-23837</v>
      </c>
      <c r="R27" s="42"/>
      <c r="S27" s="42">
        <f>'CapChrg-AllocExp'!F28</f>
        <v>1467</v>
      </c>
      <c r="T27" s="42">
        <f>Expenses!F27</f>
        <v>-58</v>
      </c>
      <c r="U27" s="42">
        <f>'CapChrg-AllocExp'!M28</f>
        <v>0</v>
      </c>
      <c r="V27" s="66">
        <f t="shared" si="10"/>
        <v>-22428</v>
      </c>
    </row>
    <row r="28" spans="1:22" ht="12" customHeight="1" x14ac:dyDescent="0.25">
      <c r="A28" s="29" t="s">
        <v>2</v>
      </c>
      <c r="B28" s="38"/>
      <c r="C28" s="41">
        <f t="shared" si="6"/>
        <v>-1352</v>
      </c>
      <c r="D28" s="42">
        <f>GrossMargin!M30-Expenses!E28-'CapChrg-AllocExp'!L29-'CapChrg-AllocExp'!E29</f>
        <v>2200</v>
      </c>
      <c r="E28" s="66">
        <f>C28-D28</f>
        <v>-3552</v>
      </c>
      <c r="F28" s="42"/>
      <c r="G28" s="41">
        <f>GrossMargin!I30</f>
        <v>0</v>
      </c>
      <c r="H28" s="42">
        <f>GrossMargin!J30</f>
        <v>1000</v>
      </c>
      <c r="I28" s="42">
        <f>GrossMargin!K30</f>
        <v>0</v>
      </c>
      <c r="J28" s="87">
        <f t="shared" si="8"/>
        <v>1000</v>
      </c>
      <c r="K28" s="65"/>
      <c r="L28" s="42">
        <f>'CapChrg-AllocExp'!D29</f>
        <v>0</v>
      </c>
      <c r="M28" s="42">
        <f>Expenses!D28</f>
        <v>1733</v>
      </c>
      <c r="N28" s="43">
        <f>'CapChrg-AllocExp'!K29</f>
        <v>619</v>
      </c>
      <c r="O28" s="87">
        <f t="shared" si="9"/>
        <v>-1352</v>
      </c>
      <c r="P28" s="44"/>
      <c r="Q28" s="41">
        <f>GrossMargin!N30</f>
        <v>-3656</v>
      </c>
      <c r="R28" s="42"/>
      <c r="S28" s="42">
        <f>'CapChrg-AllocExp'!F29</f>
        <v>0</v>
      </c>
      <c r="T28" s="42">
        <f>Expenses!F28</f>
        <v>104</v>
      </c>
      <c r="U28" s="42">
        <f>'CapChrg-AllocExp'!M29</f>
        <v>0</v>
      </c>
      <c r="V28" s="66">
        <f t="shared" si="10"/>
        <v>-3552</v>
      </c>
    </row>
    <row r="29" spans="1:22" ht="12" customHeight="1" x14ac:dyDescent="0.25">
      <c r="A29" s="29" t="s">
        <v>174</v>
      </c>
      <c r="B29" s="38"/>
      <c r="C29" s="41">
        <f t="shared" si="6"/>
        <v>-748</v>
      </c>
      <c r="D29" s="42">
        <f>GrossMargin!M31-Expenses!E29-'CapChrg-AllocExp'!L30-'CapChrg-AllocExp'!E30</f>
        <v>-748</v>
      </c>
      <c r="E29" s="66">
        <f t="shared" si="7"/>
        <v>0</v>
      </c>
      <c r="F29" s="42"/>
      <c r="G29" s="41">
        <f>GrossMargin!I31</f>
        <v>0</v>
      </c>
      <c r="H29" s="42">
        <f>GrossMargin!J31</f>
        <v>0</v>
      </c>
      <c r="I29" s="42">
        <f>GrossMargin!K31</f>
        <v>0</v>
      </c>
      <c r="J29" s="87">
        <f t="shared" si="8"/>
        <v>0</v>
      </c>
      <c r="K29" s="65"/>
      <c r="L29" s="42">
        <f>'CapChrg-AllocExp'!D30</f>
        <v>0</v>
      </c>
      <c r="M29" s="42">
        <f>Expenses!D29</f>
        <v>416</v>
      </c>
      <c r="N29" s="43">
        <f>'CapChrg-AllocExp'!K30</f>
        <v>332</v>
      </c>
      <c r="O29" s="87">
        <f t="shared" si="9"/>
        <v>-748</v>
      </c>
      <c r="P29" s="44"/>
      <c r="Q29" s="41">
        <f>GrossMargin!N31</f>
        <v>0</v>
      </c>
      <c r="R29" s="42"/>
      <c r="S29" s="42">
        <f>'CapChrg-AllocExp'!F30</f>
        <v>0</v>
      </c>
      <c r="T29" s="42">
        <f>Expenses!F29</f>
        <v>0</v>
      </c>
      <c r="U29" s="42">
        <f>'CapChrg-AllocExp'!M30</f>
        <v>0</v>
      </c>
      <c r="V29" s="66">
        <f t="shared" si="10"/>
        <v>0</v>
      </c>
    </row>
    <row r="30" spans="1:22" s="120" customFormat="1" ht="12" customHeight="1" x14ac:dyDescent="0.25">
      <c r="A30" s="124" t="s">
        <v>3</v>
      </c>
      <c r="B30" s="121"/>
      <c r="C30" s="129">
        <f>SUM(C21:C29)</f>
        <v>24165</v>
      </c>
      <c r="D30" s="130">
        <f t="shared" ref="D30:N30" si="11">SUM(D21:D29)</f>
        <v>31804</v>
      </c>
      <c r="E30" s="131">
        <f t="shared" si="11"/>
        <v>-7639</v>
      </c>
      <c r="F30" s="122">
        <f t="shared" si="11"/>
        <v>0</v>
      </c>
      <c r="G30" s="129">
        <f t="shared" si="11"/>
        <v>3812</v>
      </c>
      <c r="H30" s="130">
        <f t="shared" si="11"/>
        <v>63783</v>
      </c>
      <c r="I30" s="130">
        <f t="shared" si="11"/>
        <v>-3000</v>
      </c>
      <c r="J30" s="132">
        <f t="shared" si="11"/>
        <v>64595</v>
      </c>
      <c r="K30" s="130">
        <f t="shared" si="11"/>
        <v>0</v>
      </c>
      <c r="L30" s="130">
        <f t="shared" si="11"/>
        <v>8742</v>
      </c>
      <c r="M30" s="130">
        <f t="shared" si="11"/>
        <v>19422</v>
      </c>
      <c r="N30" s="131">
        <f t="shared" si="11"/>
        <v>12266</v>
      </c>
      <c r="O30" s="132">
        <f>J30-K30-M30-N30</f>
        <v>32907</v>
      </c>
      <c r="P30" s="123"/>
      <c r="Q30" s="129">
        <f t="shared" ref="Q30:V30" si="12">SUM(Q21:Q29)</f>
        <v>-12028</v>
      </c>
      <c r="R30" s="130">
        <f t="shared" si="12"/>
        <v>0</v>
      </c>
      <c r="S30" s="130">
        <f t="shared" si="12"/>
        <v>4463</v>
      </c>
      <c r="T30" s="130">
        <f t="shared" si="12"/>
        <v>-74</v>
      </c>
      <c r="U30" s="130">
        <f t="shared" si="12"/>
        <v>0</v>
      </c>
      <c r="V30" s="131">
        <f t="shared" si="12"/>
        <v>-7639</v>
      </c>
    </row>
    <row r="31" spans="1:22" ht="3" customHeight="1" x14ac:dyDescent="0.25">
      <c r="A31" s="29"/>
      <c r="B31" s="38"/>
      <c r="C31" s="41"/>
      <c r="D31" s="42"/>
      <c r="E31" s="66"/>
      <c r="F31" s="42"/>
      <c r="G31" s="41"/>
      <c r="H31" s="42"/>
      <c r="I31" s="42"/>
      <c r="J31" s="87"/>
      <c r="K31" s="65"/>
      <c r="L31" s="65"/>
      <c r="M31" s="42"/>
      <c r="N31" s="43"/>
      <c r="O31" s="87"/>
      <c r="P31" s="44"/>
      <c r="Q31" s="41"/>
      <c r="R31" s="42"/>
      <c r="S31" s="42"/>
      <c r="T31" s="42"/>
      <c r="U31" s="42"/>
      <c r="V31" s="66"/>
    </row>
    <row r="32" spans="1:22" ht="12" customHeight="1" x14ac:dyDescent="0.25">
      <c r="A32" s="29" t="s">
        <v>48</v>
      </c>
      <c r="B32" s="38"/>
      <c r="C32" s="41">
        <f>J32-K32-M32-N32-L32</f>
        <v>3592</v>
      </c>
      <c r="D32" s="42">
        <f>GrossMargin!M35-Expenses!E32-'CapChrg-AllocExp'!L33-Expenses!E58-'CapChrg-AllocExp'!E33</f>
        <v>-15325</v>
      </c>
      <c r="E32" s="66">
        <f>C32-D32</f>
        <v>18917</v>
      </c>
      <c r="F32" s="42"/>
      <c r="G32" s="41">
        <f>GrossMargin!I35</f>
        <v>-2186</v>
      </c>
      <c r="H32" s="42">
        <f>GrossMargin!J35</f>
        <v>0</v>
      </c>
      <c r="I32" s="42">
        <f>GrossMargin!K35</f>
        <v>20000</v>
      </c>
      <c r="J32" s="87">
        <f>SUM(G32:I32)</f>
        <v>17814</v>
      </c>
      <c r="K32" s="42">
        <f>Expenses!D58</f>
        <v>6714</v>
      </c>
      <c r="L32" s="42">
        <f>'CapChrg-AllocExp'!D33</f>
        <v>6247</v>
      </c>
      <c r="M32" s="42">
        <f>Expenses!D32</f>
        <v>726</v>
      </c>
      <c r="N32" s="43">
        <f>'CapChrg-AllocExp'!K33</f>
        <v>535</v>
      </c>
      <c r="O32" s="87">
        <f>J32-K32-M32-N32-L32</f>
        <v>3592</v>
      </c>
      <c r="P32" s="44"/>
      <c r="Q32" s="41">
        <f>GrossMargin!N35</f>
        <v>19543</v>
      </c>
      <c r="R32" s="42">
        <f>Expenses!F58</f>
        <v>-109</v>
      </c>
      <c r="S32" s="42">
        <f>'CapChrg-AllocExp'!F33</f>
        <v>-517</v>
      </c>
      <c r="T32" s="42">
        <f>Expenses!F32</f>
        <v>0</v>
      </c>
      <c r="U32" s="42">
        <f>'CapChrg-AllocExp'!M33</f>
        <v>0</v>
      </c>
      <c r="V32" s="66">
        <f>ROUND(SUM(Q32:U32),0)</f>
        <v>18917</v>
      </c>
    </row>
    <row r="33" spans="1:22" ht="12" customHeight="1" x14ac:dyDescent="0.25">
      <c r="A33" s="29" t="s">
        <v>119</v>
      </c>
      <c r="B33" s="38"/>
      <c r="C33" s="41">
        <f>J33-K33-M33-N33-L33</f>
        <v>8860</v>
      </c>
      <c r="D33" s="42">
        <f>GrossMargin!M36-Expenses!E33-'CapChrg-AllocExp'!L34-'CapChrg-AllocExp'!E34</f>
        <v>4324</v>
      </c>
      <c r="E33" s="66">
        <f>C33-D33</f>
        <v>4536</v>
      </c>
      <c r="F33" s="42"/>
      <c r="G33" s="41">
        <f>GrossMargin!I36</f>
        <v>0</v>
      </c>
      <c r="H33" s="42">
        <f>GrossMargin!J36</f>
        <v>10000</v>
      </c>
      <c r="I33" s="42">
        <f>GrossMargin!K36</f>
        <v>3986</v>
      </c>
      <c r="J33" s="87">
        <f>SUM(G33:I33)</f>
        <v>13986</v>
      </c>
      <c r="K33" s="42"/>
      <c r="L33" s="42">
        <f>'CapChrg-AllocExp'!D34</f>
        <v>3239</v>
      </c>
      <c r="M33" s="42">
        <f>Expenses!D33</f>
        <v>1224</v>
      </c>
      <c r="N33" s="43">
        <f>'CapChrg-AllocExp'!K34</f>
        <v>663</v>
      </c>
      <c r="O33" s="87">
        <f>J33-K33-M33-N33-L33</f>
        <v>8860</v>
      </c>
      <c r="P33" s="44"/>
      <c r="Q33" s="41">
        <f>GrossMargin!N36</f>
        <v>1752</v>
      </c>
      <c r="R33" s="42"/>
      <c r="S33" s="42">
        <f>'CapChrg-AllocExp'!F34</f>
        <v>2924</v>
      </c>
      <c r="T33" s="42">
        <f>Expenses!F33</f>
        <v>-140</v>
      </c>
      <c r="U33" s="42">
        <f>'CapChrg-AllocExp'!M34</f>
        <v>0</v>
      </c>
      <c r="V33" s="66">
        <f>ROUND(SUM(Q33:U33),0)</f>
        <v>4536</v>
      </c>
    </row>
    <row r="34" spans="1:22" ht="12" customHeight="1" x14ac:dyDescent="0.25">
      <c r="A34" s="29" t="s">
        <v>150</v>
      </c>
      <c r="B34" s="38"/>
      <c r="C34" s="41">
        <f>J34-K34-M34-N34-L34</f>
        <v>-30452</v>
      </c>
      <c r="D34" s="42">
        <f>GrossMargin!M37-Expenses!E59-Expenses!E34-'CapChrg-AllocExp'!E35-'CapChrg-AllocExp'!L35</f>
        <v>-30375</v>
      </c>
      <c r="E34" s="66">
        <f>C34-D34</f>
        <v>-77</v>
      </c>
      <c r="F34" s="42"/>
      <c r="G34" s="41">
        <f>GrossMargin!I37</f>
        <v>10088</v>
      </c>
      <c r="H34" s="42">
        <f>GrossMargin!J37</f>
        <v>5593</v>
      </c>
      <c r="I34" s="42">
        <f>GrossMargin!K37</f>
        <v>9791</v>
      </c>
      <c r="J34" s="87">
        <f>SUM(G34:I34)</f>
        <v>25472</v>
      </c>
      <c r="K34" s="42">
        <f>Expenses!D59</f>
        <v>36193</v>
      </c>
      <c r="L34" s="42">
        <f>'CapChrg-AllocExp'!D35</f>
        <v>8242</v>
      </c>
      <c r="M34" s="42">
        <f>Expenses!D34</f>
        <v>4288</v>
      </c>
      <c r="N34" s="43">
        <f>'CapChrg-AllocExp'!K35</f>
        <v>7201</v>
      </c>
      <c r="O34" s="87">
        <f>J34-K34-M34-N34-L34</f>
        <v>-30452</v>
      </c>
      <c r="P34" s="44"/>
      <c r="Q34" s="41">
        <f>GrossMargin!N37</f>
        <v>-12623</v>
      </c>
      <c r="R34" s="42">
        <f>Expenses!F59</f>
        <v>9855</v>
      </c>
      <c r="S34" s="42">
        <f>'CapChrg-AllocExp'!F35</f>
        <v>2684</v>
      </c>
      <c r="T34" s="42">
        <f>Expenses!F34</f>
        <v>7</v>
      </c>
      <c r="U34" s="42">
        <f>'CapChrg-AllocExp'!M35</f>
        <v>0</v>
      </c>
      <c r="V34" s="66">
        <f>ROUND(SUM(Q34:U34),0)</f>
        <v>-77</v>
      </c>
    </row>
    <row r="35" spans="1:22" ht="12" customHeight="1" x14ac:dyDescent="0.25">
      <c r="A35" s="29" t="s">
        <v>151</v>
      </c>
      <c r="B35" s="38"/>
      <c r="C35" s="41">
        <f>J35-K35-M35-N35-L35</f>
        <v>5159</v>
      </c>
      <c r="D35" s="42">
        <f>GrossMargin!M38-Expenses!E35-'CapChrg-AllocExp'!L36-'CapChrg-AllocExp'!E36</f>
        <v>4081</v>
      </c>
      <c r="E35" s="66">
        <f>C35-D35</f>
        <v>1078</v>
      </c>
      <c r="F35" s="42"/>
      <c r="G35" s="41">
        <f>GrossMargin!I38</f>
        <v>8498</v>
      </c>
      <c r="H35" s="42">
        <f>GrossMargin!J38</f>
        <v>0</v>
      </c>
      <c r="I35" s="42">
        <f>GrossMargin!K38</f>
        <v>0</v>
      </c>
      <c r="J35" s="87">
        <f>SUM(G35:I35)</f>
        <v>8498</v>
      </c>
      <c r="K35" s="65"/>
      <c r="L35" s="65">
        <f>'CapChrg-AllocExp'!D36</f>
        <v>0</v>
      </c>
      <c r="M35" s="42">
        <f>Expenses!D35</f>
        <v>729</v>
      </c>
      <c r="N35" s="43">
        <f>'CapChrg-AllocExp'!K36</f>
        <v>2610</v>
      </c>
      <c r="O35" s="87">
        <f>J35-K35-M35-N35-L35</f>
        <v>5159</v>
      </c>
      <c r="P35" s="44"/>
      <c r="Q35" s="41">
        <f>GrossMargin!N38</f>
        <v>1062</v>
      </c>
      <c r="R35" s="42"/>
      <c r="S35" s="42">
        <f>'CapChrg-AllocExp'!F36</f>
        <v>0</v>
      </c>
      <c r="T35" s="42">
        <f>Expenses!F35</f>
        <v>16</v>
      </c>
      <c r="U35" s="42">
        <f>'CapChrg-AllocExp'!M36</f>
        <v>0</v>
      </c>
      <c r="V35" s="66">
        <f>ROUND(SUM(Q35:U35),0)</f>
        <v>1078</v>
      </c>
    </row>
    <row r="36" spans="1:22" s="120" customFormat="1" ht="12" customHeight="1" x14ac:dyDescent="0.25">
      <c r="A36" s="124" t="s">
        <v>143</v>
      </c>
      <c r="B36" s="121"/>
      <c r="C36" s="129">
        <f>SUM(C32:C35)</f>
        <v>-12841</v>
      </c>
      <c r="D36" s="130">
        <f>SUM(D32:D35)</f>
        <v>-37295</v>
      </c>
      <c r="E36" s="131">
        <f>SUM(E32:E35)</f>
        <v>24454</v>
      </c>
      <c r="F36" s="122"/>
      <c r="G36" s="129">
        <f t="shared" ref="G36:N36" si="13">SUM(G32:G35)</f>
        <v>16400</v>
      </c>
      <c r="H36" s="130">
        <f t="shared" si="13"/>
        <v>15593</v>
      </c>
      <c r="I36" s="130">
        <f t="shared" si="13"/>
        <v>33777</v>
      </c>
      <c r="J36" s="132">
        <f t="shared" si="13"/>
        <v>65770</v>
      </c>
      <c r="K36" s="130">
        <f t="shared" si="13"/>
        <v>42907</v>
      </c>
      <c r="L36" s="130">
        <f t="shared" si="13"/>
        <v>17728</v>
      </c>
      <c r="M36" s="130">
        <f t="shared" si="13"/>
        <v>6967</v>
      </c>
      <c r="N36" s="131">
        <f t="shared" si="13"/>
        <v>11009</v>
      </c>
      <c r="O36" s="132">
        <f>J36-K36-M36-N36</f>
        <v>4887</v>
      </c>
      <c r="P36" s="123"/>
      <c r="Q36" s="129">
        <f t="shared" ref="Q36:V36" si="14">SUM(Q32:Q35)</f>
        <v>9734</v>
      </c>
      <c r="R36" s="130">
        <f t="shared" si="14"/>
        <v>9746</v>
      </c>
      <c r="S36" s="130">
        <f t="shared" si="14"/>
        <v>5091</v>
      </c>
      <c r="T36" s="130">
        <f t="shared" si="14"/>
        <v>-117</v>
      </c>
      <c r="U36" s="130">
        <f t="shared" si="14"/>
        <v>0</v>
      </c>
      <c r="V36" s="131">
        <f t="shared" si="14"/>
        <v>24454</v>
      </c>
    </row>
    <row r="37" spans="1:22" ht="3" customHeight="1" x14ac:dyDescent="0.25">
      <c r="A37" s="29"/>
      <c r="B37" s="38"/>
      <c r="C37" s="41"/>
      <c r="D37" s="42"/>
      <c r="E37" s="66"/>
      <c r="F37" s="42"/>
      <c r="G37" s="41"/>
      <c r="H37" s="42"/>
      <c r="I37" s="42"/>
      <c r="J37" s="87"/>
      <c r="K37" s="65"/>
      <c r="L37" s="65"/>
      <c r="M37" s="42"/>
      <c r="N37" s="43"/>
      <c r="O37" s="87"/>
      <c r="P37" s="44"/>
      <c r="Q37" s="41"/>
      <c r="R37" s="42"/>
      <c r="S37" s="42"/>
      <c r="T37" s="42"/>
      <c r="U37" s="42"/>
      <c r="V37" s="66"/>
    </row>
    <row r="38" spans="1:22" ht="12" customHeight="1" x14ac:dyDescent="0.25">
      <c r="A38" s="29" t="s">
        <v>15</v>
      </c>
      <c r="B38" s="38"/>
      <c r="C38" s="41">
        <f>J38-K38-M38-N38-L38</f>
        <v>8624</v>
      </c>
      <c r="D38" s="42">
        <f>GrossMargin!M42-Expenses!E38-'CapChrg-AllocExp'!L39-'CapChrg-AllocExp'!E39</f>
        <v>12175</v>
      </c>
      <c r="E38" s="66">
        <f>C38-D38</f>
        <v>-3551</v>
      </c>
      <c r="F38" s="42"/>
      <c r="G38" s="41">
        <f>GrossMargin!I42</f>
        <v>11308</v>
      </c>
      <c r="H38" s="42">
        <f>GrossMargin!J42</f>
        <v>0</v>
      </c>
      <c r="I38" s="42">
        <f>GrossMargin!K42</f>
        <v>0</v>
      </c>
      <c r="J38" s="87">
        <f>SUM(G38:I38)</f>
        <v>11308</v>
      </c>
      <c r="K38" s="65"/>
      <c r="L38" s="42">
        <f>'CapChrg-AllocExp'!D39</f>
        <v>1016</v>
      </c>
      <c r="M38" s="42">
        <f>Expenses!D38</f>
        <v>744</v>
      </c>
      <c r="N38" s="43">
        <f>'CapChrg-AllocExp'!K39</f>
        <v>924</v>
      </c>
      <c r="O38" s="87">
        <f>J38-K38-M38-N38-L38</f>
        <v>8624</v>
      </c>
      <c r="P38" s="44"/>
      <c r="Q38" s="41">
        <f>GrossMargin!N42</f>
        <v>-4071</v>
      </c>
      <c r="R38" s="42"/>
      <c r="S38" s="42">
        <f>'CapChrg-AllocExp'!F39</f>
        <v>529</v>
      </c>
      <c r="T38" s="42">
        <f>Expenses!F38</f>
        <v>-9</v>
      </c>
      <c r="U38" s="42">
        <f>'CapChrg-AllocExp'!M39</f>
        <v>0</v>
      </c>
      <c r="V38" s="66">
        <f>ROUND(SUM(Q38:U38),0)</f>
        <v>-3551</v>
      </c>
    </row>
    <row r="39" spans="1:22" ht="12" customHeight="1" x14ac:dyDescent="0.25">
      <c r="A39" s="29" t="s">
        <v>1</v>
      </c>
      <c r="B39" s="38"/>
      <c r="C39" s="41">
        <f>J39-K39-M39-N39-L39</f>
        <v>-3762</v>
      </c>
      <c r="D39" s="42">
        <f>GrossMargin!M43-Expenses!E39-'CapChrg-AllocExp'!L40-'CapChrg-AllocExp'!E40</f>
        <v>1253</v>
      </c>
      <c r="E39" s="66">
        <f>C39-D39</f>
        <v>-5015</v>
      </c>
      <c r="F39" s="42"/>
      <c r="G39" s="41">
        <f>GrossMargin!I43</f>
        <v>2628</v>
      </c>
      <c r="H39" s="42">
        <f>GrossMargin!J43</f>
        <v>0</v>
      </c>
      <c r="I39" s="42">
        <f>GrossMargin!K43</f>
        <v>-4000</v>
      </c>
      <c r="J39" s="87">
        <f>SUM(G39:I39)</f>
        <v>-1372</v>
      </c>
      <c r="K39" s="65"/>
      <c r="L39" s="42">
        <f>'CapChrg-AllocExp'!D40</f>
        <v>1477</v>
      </c>
      <c r="M39" s="42">
        <f>Expenses!D39</f>
        <v>242</v>
      </c>
      <c r="N39" s="43">
        <f>'CapChrg-AllocExp'!K40</f>
        <v>671</v>
      </c>
      <c r="O39" s="87">
        <f>J39-K39-M39-N39-L39</f>
        <v>-3762</v>
      </c>
      <c r="P39" s="44"/>
      <c r="Q39" s="41">
        <f>GrossMargin!N43</f>
        <v>-4942</v>
      </c>
      <c r="R39" s="42"/>
      <c r="S39" s="42">
        <f>'CapChrg-AllocExp'!F40</f>
        <v>-201</v>
      </c>
      <c r="T39" s="42">
        <f>Expenses!F39</f>
        <v>128</v>
      </c>
      <c r="U39" s="42">
        <f>'CapChrg-AllocExp'!M40</f>
        <v>0</v>
      </c>
      <c r="V39" s="66">
        <f>ROUND(SUM(Q39:U39),0)</f>
        <v>-5015</v>
      </c>
    </row>
    <row r="40" spans="1:22" ht="12" hidden="1" customHeight="1" x14ac:dyDescent="0.25">
      <c r="A40" s="29" t="s">
        <v>129</v>
      </c>
      <c r="B40" s="38"/>
      <c r="C40" s="41">
        <f>J40-K40-M40-N40-L40</f>
        <v>0</v>
      </c>
      <c r="D40" s="42">
        <f>GrossMargin!M44-Expenses!E40-'CapChrg-AllocExp'!L41-'CapChrg-AllocExp'!E41</f>
        <v>0</v>
      </c>
      <c r="E40" s="66">
        <f>C40-D40</f>
        <v>0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>
        <f>GrossMargin!N44</f>
        <v>0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>
        <f>ROUND(SUM(Q40:U40),0)</f>
        <v>0</v>
      </c>
    </row>
    <row r="41" spans="1:22" s="120" customFormat="1" ht="12" customHeight="1" x14ac:dyDescent="0.25">
      <c r="A41" s="124" t="s">
        <v>144</v>
      </c>
      <c r="B41" s="121"/>
      <c r="C41" s="129">
        <f>SUM(C38:C40)</f>
        <v>4862</v>
      </c>
      <c r="D41" s="130">
        <f>SUM(D38:D40)</f>
        <v>13428</v>
      </c>
      <c r="E41" s="131">
        <f>SUM(E38:E40)</f>
        <v>-8566</v>
      </c>
      <c r="F41" s="122"/>
      <c r="G41" s="129">
        <f t="shared" ref="G41:N41" si="15">SUM(G38:G40)</f>
        <v>13936</v>
      </c>
      <c r="H41" s="130">
        <f t="shared" si="15"/>
        <v>0</v>
      </c>
      <c r="I41" s="130">
        <f t="shared" si="15"/>
        <v>-4000</v>
      </c>
      <c r="J41" s="132">
        <f t="shared" si="15"/>
        <v>9936</v>
      </c>
      <c r="K41" s="130">
        <f t="shared" si="15"/>
        <v>0</v>
      </c>
      <c r="L41" s="130">
        <f t="shared" si="15"/>
        <v>2493</v>
      </c>
      <c r="M41" s="130">
        <f t="shared" si="15"/>
        <v>986</v>
      </c>
      <c r="N41" s="131">
        <f t="shared" si="15"/>
        <v>1595</v>
      </c>
      <c r="O41" s="132">
        <f>J41-K41-M41-N41</f>
        <v>7355</v>
      </c>
      <c r="P41" s="123"/>
      <c r="Q41" s="129">
        <f t="shared" ref="Q41:V41" si="16">SUM(Q38:Q40)</f>
        <v>-9013</v>
      </c>
      <c r="R41" s="130">
        <f t="shared" si="16"/>
        <v>0</v>
      </c>
      <c r="S41" s="130">
        <f t="shared" si="16"/>
        <v>328</v>
      </c>
      <c r="T41" s="130">
        <f t="shared" si="16"/>
        <v>119</v>
      </c>
      <c r="U41" s="130">
        <f t="shared" si="16"/>
        <v>0</v>
      </c>
      <c r="V41" s="131">
        <f t="shared" si="16"/>
        <v>-8566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14</v>
      </c>
      <c r="B43" s="38"/>
      <c r="C43" s="41">
        <f>J43-K43-M43-N43-L43</f>
        <v>-8514</v>
      </c>
      <c r="D43" s="42">
        <f>GrossMargin!M48-Expenses!E43-'CapChrg-AllocExp'!L44-'CapChrg-AllocExp'!E44</f>
        <v>-6014</v>
      </c>
      <c r="E43" s="66">
        <f>C43-D43</f>
        <v>-2500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7">
        <f>SUM(G43:I43)</f>
        <v>0</v>
      </c>
      <c r="K43" s="65"/>
      <c r="L43" s="42">
        <f>'CapChrg-AllocExp'!D44</f>
        <v>0</v>
      </c>
      <c r="M43" s="42">
        <f>Expenses!D43</f>
        <v>5988</v>
      </c>
      <c r="N43" s="43">
        <f>'CapChrg-AllocExp'!K44</f>
        <v>2526</v>
      </c>
      <c r="O43" s="87">
        <f>J43-K43-M43-N43-L43</f>
        <v>-8514</v>
      </c>
      <c r="P43" s="44"/>
      <c r="Q43" s="41">
        <f>GrossMargin!N48</f>
        <v>-2500</v>
      </c>
      <c r="R43" s="42"/>
      <c r="S43" s="42">
        <f>'CapChrg-AllocExp'!F44</f>
        <v>0</v>
      </c>
      <c r="T43" s="42">
        <f>Expenses!F43</f>
        <v>0</v>
      </c>
      <c r="U43" s="42">
        <f>'CapChrg-AllocExp'!M44</f>
        <v>0</v>
      </c>
      <c r="V43" s="66">
        <f>ROUND(SUM(Q43:U43),0)</f>
        <v>-2500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13</v>
      </c>
      <c r="B45" s="38"/>
      <c r="C45" s="41">
        <f>J45-K45-M45-N45-L45</f>
        <v>-6904</v>
      </c>
      <c r="D45" s="42">
        <f>GrossMargin!M50-Expenses!E45-'CapChrg-AllocExp'!L46-'CapChrg-AllocExp'!E46</f>
        <v>-6904</v>
      </c>
      <c r="E45" s="66">
        <f>C45-D45</f>
        <v>0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>
        <f>'CapChrg-AllocExp'!D46</f>
        <v>0</v>
      </c>
      <c r="M45" s="42">
        <f>Expenses!D45</f>
        <v>2682</v>
      </c>
      <c r="N45" s="43">
        <f>'CapChrg-AllocExp'!K46</f>
        <v>4222</v>
      </c>
      <c r="O45" s="87">
        <f>J45-K45-M45-N45-L45</f>
        <v>-6904</v>
      </c>
      <c r="P45" s="44"/>
      <c r="Q45" s="41">
        <f>GrossMargin!N50</f>
        <v>0</v>
      </c>
      <c r="R45" s="42"/>
      <c r="S45" s="42">
        <f>'CapChrg-AllocExp'!F46</f>
        <v>0</v>
      </c>
      <c r="T45" s="42">
        <f>Expenses!F45</f>
        <v>0</v>
      </c>
      <c r="U45" s="42">
        <f>'CapChrg-AllocExp'!M46</f>
        <v>0</v>
      </c>
      <c r="V45" s="66">
        <f>ROUND(SUM(Q45:U45),0)</f>
        <v>0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20" customFormat="1" ht="12" customHeight="1" x14ac:dyDescent="0.25">
      <c r="A47" s="124" t="s">
        <v>17</v>
      </c>
      <c r="B47" s="121"/>
      <c r="C47" s="129">
        <f>SUM(C41:C45)+C19+C30+C36</f>
        <v>130747</v>
      </c>
      <c r="D47" s="130">
        <f>SUM(D41:D45)+D19+D30+D36</f>
        <v>110793</v>
      </c>
      <c r="E47" s="131">
        <f>SUM(E41:E45)+E19+E30+E36</f>
        <v>19954</v>
      </c>
      <c r="F47" s="122"/>
      <c r="G47" s="129">
        <f t="shared" ref="G47:N47" si="17">SUM(G41:G45)+G19+G30+G36</f>
        <v>155570</v>
      </c>
      <c r="H47" s="130">
        <f t="shared" si="17"/>
        <v>79376</v>
      </c>
      <c r="I47" s="130">
        <f t="shared" si="17"/>
        <v>83131</v>
      </c>
      <c r="J47" s="132">
        <f t="shared" si="17"/>
        <v>318077</v>
      </c>
      <c r="K47" s="130">
        <f t="shared" si="17"/>
        <v>42907</v>
      </c>
      <c r="L47" s="130">
        <f t="shared" si="17"/>
        <v>29788</v>
      </c>
      <c r="M47" s="130">
        <f t="shared" si="17"/>
        <v>58294</v>
      </c>
      <c r="N47" s="131">
        <f t="shared" si="17"/>
        <v>56341</v>
      </c>
      <c r="O47" s="132">
        <f>J47-K47-M47-N47</f>
        <v>160535</v>
      </c>
      <c r="P47" s="123"/>
      <c r="Q47" s="129">
        <f t="shared" ref="Q47:V47" si="18">SUM(Q41:Q45)+Q19+Q30+Q36</f>
        <v>4064</v>
      </c>
      <c r="R47" s="130">
        <f t="shared" si="18"/>
        <v>9746</v>
      </c>
      <c r="S47" s="130">
        <f t="shared" si="18"/>
        <v>10086</v>
      </c>
      <c r="T47" s="130">
        <f t="shared" si="18"/>
        <v>-3942</v>
      </c>
      <c r="U47" s="130">
        <f t="shared" si="18"/>
        <v>0</v>
      </c>
      <c r="V47" s="131">
        <f t="shared" si="18"/>
        <v>19954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71</v>
      </c>
      <c r="B49" s="38"/>
      <c r="C49" s="41">
        <f>J49-K49-M49-N49-L49</f>
        <v>-6999</v>
      </c>
      <c r="D49" s="42">
        <f>-Expenses!E49-'CapChrg-AllocExp'!L52</f>
        <v>-6999</v>
      </c>
      <c r="E49" s="66">
        <f>C49-D49</f>
        <v>0</v>
      </c>
      <c r="F49" s="42"/>
      <c r="G49" s="41"/>
      <c r="H49" s="42"/>
      <c r="I49" s="42"/>
      <c r="J49" s="87"/>
      <c r="K49" s="65"/>
      <c r="L49" s="42"/>
      <c r="M49" s="42">
        <f>Expenses!D49</f>
        <v>63340</v>
      </c>
      <c r="N49" s="43">
        <f>'CapChrg-AllocExp'!K52</f>
        <v>-56341</v>
      </c>
      <c r="O49" s="87">
        <f>J49-K49-M49-N49-L49</f>
        <v>-6999</v>
      </c>
      <c r="P49" s="44"/>
      <c r="Q49" s="41">
        <v>0</v>
      </c>
      <c r="R49" s="42"/>
      <c r="S49" s="42"/>
      <c r="T49" s="42">
        <f>Expenses!F49</f>
        <v>0</v>
      </c>
      <c r="U49" s="42">
        <f>'CapChrg-AllocExp'!M52</f>
        <v>0</v>
      </c>
      <c r="V49" s="66">
        <f>ROUND(SUM(Q49:U49),0)</f>
        <v>0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26</v>
      </c>
      <c r="B51" s="38"/>
      <c r="C51" s="41">
        <f>J51-K51-M51-N51-L51</f>
        <v>-36579</v>
      </c>
      <c r="D51" s="42">
        <f>GrossMargin!M52-Expenses!E51</f>
        <v>-33398</v>
      </c>
      <c r="E51" s="66">
        <f>C51-D51</f>
        <v>-3181</v>
      </c>
      <c r="F51" s="65"/>
      <c r="G51" s="41">
        <f>GrossMargin!I52</f>
        <v>0</v>
      </c>
      <c r="H51" s="42">
        <f>GrossMargin!J52</f>
        <v>0</v>
      </c>
      <c r="I51" s="42">
        <f>GrossMargin!K52</f>
        <v>-12932</v>
      </c>
      <c r="J51" s="87">
        <f>SUM(G51:I51)</f>
        <v>-12932</v>
      </c>
      <c r="K51" s="65"/>
      <c r="L51" s="42"/>
      <c r="M51" s="42">
        <f>Expenses!D51</f>
        <v>23647</v>
      </c>
      <c r="N51" s="43"/>
      <c r="O51" s="87">
        <f>J51-K51-M51-N51-L51</f>
        <v>-36579</v>
      </c>
      <c r="P51" s="44"/>
      <c r="Q51" s="41">
        <f>GrossMargin!N52</f>
        <v>-2137</v>
      </c>
      <c r="R51" s="42"/>
      <c r="S51" s="42"/>
      <c r="T51" s="42">
        <f>Expenses!F51</f>
        <v>-1044</v>
      </c>
      <c r="U51" s="42"/>
      <c r="V51" s="66">
        <f>ROUND(SUM(Q51:U51),0)</f>
        <v>-3181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84</v>
      </c>
      <c r="B53" s="38"/>
      <c r="C53" s="41">
        <f>J53-K53-M53-N53-L53</f>
        <v>29788</v>
      </c>
      <c r="D53" s="42">
        <f>-'CapChrg-AllocExp'!E48</f>
        <v>39874</v>
      </c>
      <c r="E53" s="66">
        <f>C53-D53</f>
        <v>-10086</v>
      </c>
      <c r="F53" s="42"/>
      <c r="G53" s="41"/>
      <c r="H53" s="42"/>
      <c r="I53" s="42"/>
      <c r="J53" s="87">
        <f>SUM(G53:I53)</f>
        <v>0</v>
      </c>
      <c r="K53" s="65"/>
      <c r="L53" s="42">
        <f>'CapChrg-AllocExp'!D48</f>
        <v>-29788</v>
      </c>
      <c r="M53" s="42"/>
      <c r="N53" s="43"/>
      <c r="O53" s="87">
        <f>J53-K53-M53-N53-L53</f>
        <v>29788</v>
      </c>
      <c r="P53" s="44"/>
      <c r="Q53" s="41"/>
      <c r="R53" s="42"/>
      <c r="S53" s="42">
        <f>'CapChrg-AllocExp'!F48</f>
        <v>-10086</v>
      </c>
      <c r="T53" s="42"/>
      <c r="U53" s="42"/>
      <c r="V53" s="66">
        <f>ROUND(SUM(Q53:U53),0)</f>
        <v>-10086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5">
      <c r="A55" s="29" t="s">
        <v>27</v>
      </c>
      <c r="B55" s="38"/>
      <c r="C55" s="41">
        <f>J55-K55-M55-N55-L55</f>
        <v>0</v>
      </c>
      <c r="D55" s="42">
        <f>GrossMargin!M54</f>
        <v>33128</v>
      </c>
      <c r="E55" s="66">
        <f>C55-D55</f>
        <v>-33128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-33128</v>
      </c>
      <c r="R55" s="42"/>
      <c r="S55" s="42"/>
      <c r="T55" s="42">
        <v>0</v>
      </c>
      <c r="U55" s="42"/>
      <c r="V55" s="66">
        <f>ROUND(SUM(Q55:U55),0)</f>
        <v>-33128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20" customFormat="1" ht="12" customHeight="1" x14ac:dyDescent="0.25">
      <c r="A57" s="124" t="s">
        <v>92</v>
      </c>
      <c r="B57" s="121"/>
      <c r="C57" s="129">
        <f>SUM(C47:C55)</f>
        <v>116957</v>
      </c>
      <c r="D57" s="130">
        <f>SUM(D47:D55)</f>
        <v>143398</v>
      </c>
      <c r="E57" s="131">
        <f>SUM(E47:E55)</f>
        <v>-26441</v>
      </c>
      <c r="F57" s="122"/>
      <c r="G57" s="129">
        <f t="shared" ref="G57:N57" si="19">SUM(G47:G55)</f>
        <v>155570</v>
      </c>
      <c r="H57" s="130">
        <f t="shared" si="19"/>
        <v>79376</v>
      </c>
      <c r="I57" s="130">
        <f t="shared" si="19"/>
        <v>70199</v>
      </c>
      <c r="J57" s="132">
        <f t="shared" si="19"/>
        <v>305145</v>
      </c>
      <c r="K57" s="130">
        <f t="shared" si="19"/>
        <v>42907</v>
      </c>
      <c r="L57" s="130">
        <f t="shared" si="19"/>
        <v>0</v>
      </c>
      <c r="M57" s="130">
        <f t="shared" si="19"/>
        <v>145281</v>
      </c>
      <c r="N57" s="131">
        <f t="shared" si="19"/>
        <v>0</v>
      </c>
      <c r="O57" s="132">
        <f>J57-K57-M57-N57</f>
        <v>116957</v>
      </c>
      <c r="P57" s="123"/>
      <c r="Q57" s="129">
        <f t="shared" ref="Q57:V57" si="20">SUM(Q47:Q55)</f>
        <v>-31201</v>
      </c>
      <c r="R57" s="130">
        <f t="shared" si="20"/>
        <v>9746</v>
      </c>
      <c r="S57" s="130">
        <f t="shared" si="20"/>
        <v>0</v>
      </c>
      <c r="T57" s="130">
        <f t="shared" si="20"/>
        <v>-4986</v>
      </c>
      <c r="U57" s="130">
        <f t="shared" si="20"/>
        <v>0</v>
      </c>
      <c r="V57" s="131">
        <f t="shared" si="20"/>
        <v>-26441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28</v>
      </c>
      <c r="B59" s="38"/>
      <c r="C59" s="41">
        <f>J59-K59-M59-N59-L59</f>
        <v>0</v>
      </c>
      <c r="D59" s="42">
        <v>-12000</v>
      </c>
      <c r="E59" s="66">
        <f>C59-D59</f>
        <v>12000</v>
      </c>
      <c r="F59" s="42"/>
      <c r="G59" s="41"/>
      <c r="H59" s="42"/>
      <c r="I59" s="42"/>
      <c r="J59" s="87"/>
      <c r="K59" s="65"/>
      <c r="L59" s="65"/>
      <c r="M59" s="42"/>
      <c r="N59" s="43"/>
      <c r="O59" s="87">
        <f>J59-K59-M59-N59-L59</f>
        <v>0</v>
      </c>
      <c r="P59" s="44"/>
      <c r="Q59" s="41">
        <v>0</v>
      </c>
      <c r="R59" s="42"/>
      <c r="S59" s="42"/>
      <c r="T59" s="42">
        <f>E59</f>
        <v>12000</v>
      </c>
      <c r="U59" s="42"/>
      <c r="V59" s="66">
        <f>ROUND(SUM(Q59:U59),0)</f>
        <v>12000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20" customFormat="1" ht="12" customHeight="1" x14ac:dyDescent="0.25">
      <c r="A61" s="124" t="s">
        <v>93</v>
      </c>
      <c r="B61" s="121"/>
      <c r="C61" s="125">
        <f>SUM(C57:C59)</f>
        <v>116957</v>
      </c>
      <c r="D61" s="126">
        <f>SUM(D57:D59)</f>
        <v>131398</v>
      </c>
      <c r="E61" s="127">
        <f>SUM(E57:E59)</f>
        <v>-14441</v>
      </c>
      <c r="F61" s="122"/>
      <c r="G61" s="125">
        <f t="shared" ref="G61:V61" si="21">SUM(G57:G59)</f>
        <v>155570</v>
      </c>
      <c r="H61" s="126">
        <f t="shared" si="21"/>
        <v>79376</v>
      </c>
      <c r="I61" s="126">
        <f t="shared" si="21"/>
        <v>70199</v>
      </c>
      <c r="J61" s="128">
        <f t="shared" si="21"/>
        <v>305145</v>
      </c>
      <c r="K61" s="126">
        <f t="shared" si="21"/>
        <v>42907</v>
      </c>
      <c r="L61" s="126">
        <f t="shared" si="21"/>
        <v>0</v>
      </c>
      <c r="M61" s="126">
        <f t="shared" si="21"/>
        <v>145281</v>
      </c>
      <c r="N61" s="127">
        <f t="shared" si="21"/>
        <v>0</v>
      </c>
      <c r="O61" s="128">
        <f>J61-K61-M61-N61-L61</f>
        <v>116957</v>
      </c>
      <c r="P61" s="123"/>
      <c r="Q61" s="125">
        <f t="shared" si="21"/>
        <v>-31201</v>
      </c>
      <c r="R61" s="126">
        <f t="shared" si="21"/>
        <v>9746</v>
      </c>
      <c r="S61" s="126">
        <f t="shared" si="21"/>
        <v>0</v>
      </c>
      <c r="T61" s="126">
        <f t="shared" si="21"/>
        <v>7014</v>
      </c>
      <c r="U61" s="126">
        <f t="shared" si="21"/>
        <v>0</v>
      </c>
      <c r="V61" s="127">
        <f t="shared" si="21"/>
        <v>-14441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224"/>
      <c r="C63" s="225"/>
      <c r="D63" s="44"/>
      <c r="E63" s="224" t="s">
        <v>270</v>
      </c>
      <c r="F63" s="44"/>
      <c r="G63" s="225">
        <f>'GM-WklyChnge'!D55</f>
        <v>7407</v>
      </c>
    </row>
    <row r="64" spans="1:22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  <row r="86" spans="3:6" x14ac:dyDescent="0.25">
      <c r="C86" s="44"/>
      <c r="D86" s="44"/>
      <c r="E86" s="44"/>
      <c r="F86" s="44"/>
    </row>
    <row r="87" spans="3:6" x14ac:dyDescent="0.25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90"/>
  <sheetViews>
    <sheetView topLeftCell="C3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9.140625" style="25" hidden="1" customWidth="1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2" width="9.28515625" style="27" customWidth="1"/>
    <col min="13" max="15" width="7.7109375" style="27" customWidth="1"/>
    <col min="16" max="16" width="0.85546875" style="27" customWidth="1"/>
    <col min="17" max="19" width="7.7109375" style="27" customWidth="1"/>
    <col min="20" max="20" width="8.7109375" style="27" customWidth="1"/>
    <col min="21" max="21" width="9.140625" style="27"/>
    <col min="22" max="22" width="9.5703125" style="27" customWidth="1"/>
    <col min="23" max="16384" width="9.140625" style="27"/>
  </cols>
  <sheetData>
    <row r="1" spans="1:29" s="25" customFormat="1" ht="8.25" hidden="1" x14ac:dyDescent="0.15">
      <c r="A1" s="25" t="s">
        <v>66</v>
      </c>
      <c r="B1" s="25" t="s">
        <v>91</v>
      </c>
      <c r="F1" s="25" t="s">
        <v>67</v>
      </c>
      <c r="I1" s="25" t="s">
        <v>73</v>
      </c>
      <c r="M1" s="25" t="s">
        <v>77</v>
      </c>
      <c r="N1" s="25" t="s">
        <v>79</v>
      </c>
      <c r="Q1" s="25" t="s">
        <v>73</v>
      </c>
      <c r="R1" s="25" t="s">
        <v>77</v>
      </c>
      <c r="S1" s="25" t="s">
        <v>79</v>
      </c>
      <c r="V1" s="25" t="s">
        <v>73</v>
      </c>
      <c r="W1" s="25" t="s">
        <v>77</v>
      </c>
      <c r="X1" s="25" t="s">
        <v>78</v>
      </c>
      <c r="Y1" s="25" t="s">
        <v>79</v>
      </c>
    </row>
    <row r="2" spans="1:29" hidden="1" x14ac:dyDescent="0.25">
      <c r="A2" s="26">
        <v>36495</v>
      </c>
      <c r="B2" s="26">
        <v>36404</v>
      </c>
      <c r="I2" s="23" t="s">
        <v>78</v>
      </c>
    </row>
    <row r="3" spans="1:29" ht="15.75" x14ac:dyDescent="0.25">
      <c r="A3" s="25" t="s">
        <v>68</v>
      </c>
      <c r="B3" s="25" t="s">
        <v>89</v>
      </c>
      <c r="C3" s="240" t="s">
        <v>24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9" ht="16.5" x14ac:dyDescent="0.3">
      <c r="A4" s="25" t="s">
        <v>69</v>
      </c>
      <c r="C4" s="241" t="s">
        <v>25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</row>
    <row r="5" spans="1:29" ht="13.5" x14ac:dyDescent="0.25">
      <c r="C5" s="242" t="s">
        <v>152</v>
      </c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9" ht="3" customHeight="1" x14ac:dyDescent="0.25"/>
    <row r="7" spans="1:29" ht="12" customHeight="1" x14ac:dyDescent="0.25">
      <c r="C7" s="28"/>
      <c r="E7" s="243" t="s">
        <v>107</v>
      </c>
      <c r="F7" s="244"/>
      <c r="G7" s="245"/>
      <c r="I7" s="243" t="s">
        <v>124</v>
      </c>
      <c r="J7" s="244"/>
      <c r="K7" s="244"/>
      <c r="L7" s="244"/>
      <c r="M7" s="244"/>
      <c r="N7" s="244"/>
      <c r="O7" s="245"/>
      <c r="Q7" s="243" t="s">
        <v>85</v>
      </c>
      <c r="R7" s="244"/>
      <c r="S7" s="244"/>
      <c r="T7" s="245"/>
    </row>
    <row r="8" spans="1:29" ht="12" customHeight="1" x14ac:dyDescent="0.25">
      <c r="C8" s="29"/>
      <c r="E8" s="78"/>
      <c r="F8" s="79"/>
      <c r="G8" s="80"/>
      <c r="I8" s="32" t="s">
        <v>123</v>
      </c>
      <c r="J8" s="32" t="s">
        <v>18</v>
      </c>
      <c r="K8" s="32" t="s">
        <v>20</v>
      </c>
      <c r="L8" s="32" t="s">
        <v>21</v>
      </c>
      <c r="M8" s="32" t="s">
        <v>33</v>
      </c>
      <c r="N8" s="32" t="s">
        <v>37</v>
      </c>
      <c r="O8" s="32"/>
      <c r="Q8" s="31" t="s">
        <v>31</v>
      </c>
      <c r="R8" s="31" t="s">
        <v>33</v>
      </c>
      <c r="S8" s="31" t="s">
        <v>37</v>
      </c>
      <c r="T8" s="31" t="s">
        <v>21</v>
      </c>
    </row>
    <row r="9" spans="1:29" ht="12" customHeight="1" x14ac:dyDescent="0.25">
      <c r="C9" s="32" t="s">
        <v>23</v>
      </c>
      <c r="D9" s="29"/>
      <c r="E9" s="33" t="s">
        <v>86</v>
      </c>
      <c r="F9" s="34" t="s">
        <v>22</v>
      </c>
      <c r="G9" s="35" t="s">
        <v>30</v>
      </c>
      <c r="H9" s="36"/>
      <c r="I9" s="37" t="s">
        <v>32</v>
      </c>
      <c r="J9" s="37" t="s">
        <v>19</v>
      </c>
      <c r="K9" s="37" t="s">
        <v>32</v>
      </c>
      <c r="L9" s="37" t="s">
        <v>32</v>
      </c>
      <c r="M9" s="37" t="s">
        <v>83</v>
      </c>
      <c r="N9" s="37" t="s">
        <v>83</v>
      </c>
      <c r="O9" s="37" t="s">
        <v>21</v>
      </c>
      <c r="Q9" s="37" t="s">
        <v>32</v>
      </c>
      <c r="R9" s="37" t="s">
        <v>34</v>
      </c>
      <c r="S9" s="37" t="s">
        <v>34</v>
      </c>
      <c r="T9" s="169" t="s">
        <v>127</v>
      </c>
    </row>
    <row r="10" spans="1:29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30"/>
      <c r="O10" s="28"/>
      <c r="Q10" s="39"/>
      <c r="R10" s="40"/>
      <c r="S10" s="40"/>
      <c r="T10" s="30"/>
    </row>
    <row r="11" spans="1:29" ht="12" customHeight="1" x14ac:dyDescent="0.25">
      <c r="A11" s="25" t="s">
        <v>38</v>
      </c>
      <c r="C11" s="29" t="s">
        <v>5</v>
      </c>
      <c r="D11" s="38"/>
      <c r="E11" s="59" t="e">
        <f>L11-M11-N11</f>
        <v>#VALUE!</v>
      </c>
      <c r="F11" s="60">
        <f>Z11</f>
        <v>92202.766305588157</v>
      </c>
      <c r="G11" s="66" t="e">
        <f>ROUND(E11-F11,0)</f>
        <v>#VALUE!</v>
      </c>
      <c r="H11" s="42"/>
      <c r="I11" s="59" t="e">
        <f>_xll.HPVAL($A11,$B$1,$I$1,$B$2,$B$3,$A$4)/1000+GrossMargin!I10-_xll.HPVAL($A11,$B$1,$I$2,$B$2,$B$3,$A$4)/1000</f>
        <v>#VALUE!</v>
      </c>
      <c r="J11" s="60">
        <f>GrossMargin!J10</f>
        <v>0</v>
      </c>
      <c r="K11" s="60" t="e">
        <f>GrossMargin!K10+GrossMargin!#REF!</f>
        <v>#REF!</v>
      </c>
      <c r="L11" s="86" t="e">
        <f t="shared" ref="L11:L21" si="0">SUM(I11:K11)</f>
        <v>#VALUE!</v>
      </c>
      <c r="M11" s="60" t="e">
        <f>_xll.HPVAL($A11,$B$1,$M$1,$B$2,$B$3,$A$4)/1000+Expenses!D9</f>
        <v>#VALUE!</v>
      </c>
      <c r="N11" s="61" t="e">
        <f>_xll.HPVAL($A11,$B$1,$N$1,$B$2,$B$3,$A$4)/1000+'CapChrg-AllocExp'!K10</f>
        <v>#VALUE!</v>
      </c>
      <c r="O11" s="86" t="e">
        <f t="shared" ref="O11:O22" si="1">L11-M11-N11</f>
        <v>#VALUE!</v>
      </c>
      <c r="P11" s="44"/>
      <c r="Q11" s="59" t="e">
        <f>L11-(V11-X11)</f>
        <v>#VALUE!</v>
      </c>
      <c r="R11" s="60" t="e">
        <f t="shared" ref="R11:R21" si="2">W11-M11</f>
        <v>#VALUE!</v>
      </c>
      <c r="S11" s="60" t="e">
        <f t="shared" ref="S11:S21" si="3">Y11-N11</f>
        <v>#VALUE!</v>
      </c>
      <c r="T11" s="88" t="e">
        <f t="shared" ref="T11:T21" si="4">ROUND(SUM(Q11:S11),0)</f>
        <v>#VALUE!</v>
      </c>
      <c r="V11" s="44">
        <f>_xll.HPVAL($A11,$A$1,V$1,$A$2,$B$3,$A$4)/1000</f>
        <v>152791.59299999999</v>
      </c>
      <c r="W11" s="44">
        <f>_xll.HPVAL($A11,$A$1,W$1,$A$2,$B$3,$A$4)/1000</f>
        <v>12261.568580193327</v>
      </c>
      <c r="X11" s="44">
        <f>_xll.HPVAL($A11,$A$1,X$1,$A$2,$B$3,$A$4)/1000</f>
        <v>0</v>
      </c>
      <c r="Y11" s="44">
        <f>_xll.HPVAL($A11,$A$1,Y$1,$A$2,$B$3,$A$4)/1000</f>
        <v>48327.258114218515</v>
      </c>
      <c r="Z11" s="165">
        <f>V11-W11-X11-Y11</f>
        <v>92202.766305588157</v>
      </c>
      <c r="AC11" s="73" t="e">
        <f>E11-Summary!C9</f>
        <v>#VALUE!</v>
      </c>
    </row>
    <row r="12" spans="1:29" ht="12" customHeight="1" x14ac:dyDescent="0.25">
      <c r="A12" s="25" t="s">
        <v>39</v>
      </c>
      <c r="C12" s="29" t="s">
        <v>6</v>
      </c>
      <c r="D12" s="38"/>
      <c r="E12" s="41" t="e">
        <f>L12-M12-N12</f>
        <v>#VALUE!</v>
      </c>
      <c r="F12" s="42">
        <f t="shared" ref="F12:F21" si="5">Z12</f>
        <v>37916.448120652814</v>
      </c>
      <c r="G12" s="66" t="e">
        <f t="shared" ref="G12:G21" si="6">ROUND(E12-F12,0)</f>
        <v>#VALUE!</v>
      </c>
      <c r="H12" s="42"/>
      <c r="I12" s="41" t="e">
        <f>_xll.HPVAL($A12,$B$1,$I$1,$B$2,$B$3,$A$4)/1000+GrossMargin!I11-_xll.HPVAL($A12,$B$1,$I$2,$B$2,$B$3,$A$4)/1000</f>
        <v>#VALUE!</v>
      </c>
      <c r="J12" s="42">
        <f>GrossMargin!J11</f>
        <v>0</v>
      </c>
      <c r="K12" s="42" t="e">
        <f>GrossMargin!K11+GrossMargin!#REF!</f>
        <v>#REF!</v>
      </c>
      <c r="L12" s="87" t="e">
        <f t="shared" si="0"/>
        <v>#VALUE!</v>
      </c>
      <c r="M12" s="42" t="e">
        <f>_xll.HPVAL($A12,$B$1,$M$1,$B$2,$B$3,$A$4)/1000+Expenses!D10</f>
        <v>#VALUE!</v>
      </c>
      <c r="N12" s="43" t="e">
        <f>_xll.HPVAL($A12,$B$1,$N$1,$B$2,$B$3,$A$4)/1000+'CapChrg-AllocExp'!K11</f>
        <v>#VALUE!</v>
      </c>
      <c r="O12" s="87" t="e">
        <f t="shared" si="1"/>
        <v>#VALUE!</v>
      </c>
      <c r="P12" s="44"/>
      <c r="Q12" s="41" t="e">
        <f t="shared" ref="Q12:Q21" si="7">L12-(V12-X12)</f>
        <v>#VALUE!</v>
      </c>
      <c r="R12" s="42" t="e">
        <f t="shared" si="2"/>
        <v>#VALUE!</v>
      </c>
      <c r="S12" s="42" t="e">
        <f t="shared" si="3"/>
        <v>#VALUE!</v>
      </c>
      <c r="T12" s="66" t="e">
        <f t="shared" si="4"/>
        <v>#VALUE!</v>
      </c>
      <c r="V12" s="44">
        <f>_xll.HPVAL($A12,$A$1,V$1,$A$2,$B$3,$A$4)/1000</f>
        <v>56563.999999999993</v>
      </c>
      <c r="W12" s="44">
        <f>_xll.HPVAL($A12,$A$1,W$1,$A$2,$B$3,$A$4)/1000</f>
        <v>7912.7690270000012</v>
      </c>
      <c r="X12" s="44">
        <f>_xll.HPVAL($A12,$A$1,X$1,$A$2,$B$3,$A$4)/1000</f>
        <v>0</v>
      </c>
      <c r="Y12" s="44">
        <f>_xll.HPVAL($A12,$A$1,Y$1,$A$2,$B$3,$A$4)/1000</f>
        <v>10734.782852347178</v>
      </c>
      <c r="Z12" s="165">
        <f t="shared" ref="Z12:Z21" si="8">V12-W12-X12-Y12</f>
        <v>37916.448120652814</v>
      </c>
      <c r="AC12" s="73" t="e">
        <f>E12-Summary!C10</f>
        <v>#VALUE!</v>
      </c>
    </row>
    <row r="13" spans="1:29" ht="12" customHeight="1" x14ac:dyDescent="0.25">
      <c r="A13" s="25" t="s">
        <v>40</v>
      </c>
      <c r="C13" s="29" t="s">
        <v>7</v>
      </c>
      <c r="D13" s="38"/>
      <c r="E13" s="41" t="e">
        <f t="shared" ref="E13:E21" si="9">L13-M13-N13</f>
        <v>#VALUE!</v>
      </c>
      <c r="F13" s="42">
        <f t="shared" si="5"/>
        <v>31721.704097056834</v>
      </c>
      <c r="G13" s="66" t="e">
        <f t="shared" si="6"/>
        <v>#VALUE!</v>
      </c>
      <c r="H13" s="42"/>
      <c r="I13" s="41" t="e">
        <f>_xll.HPVAL($A13,$B$1,$I$1,$B$2,$B$3,$A$4)/1000+GrossMargin!#REF!-_xll.HPVAL($A13,$B$1,$I$2,$B$2,$B$3,$A$4)/1000</f>
        <v>#VALUE!</v>
      </c>
      <c r="J13" s="42" t="e">
        <f>GrossMargin!#REF!</f>
        <v>#REF!</v>
      </c>
      <c r="K13" s="42" t="e">
        <f>GrossMargin!#REF!+GrossMargin!#REF!</f>
        <v>#REF!</v>
      </c>
      <c r="L13" s="87" t="e">
        <f t="shared" si="0"/>
        <v>#VALUE!</v>
      </c>
      <c r="M13" s="42" t="e">
        <f>_xll.HPVAL($A13,$B$1,$M$1,$B$2,$B$3,$A$4)/1000+Expenses!#REF!</f>
        <v>#VALUE!</v>
      </c>
      <c r="N13" s="43" t="e">
        <f>_xll.HPVAL($A13,$B$1,$N$1,$B$2,$B$3,$A$4)/1000+'CapChrg-AllocExp'!#REF!</f>
        <v>#VALUE!</v>
      </c>
      <c r="O13" s="87" t="e">
        <f t="shared" si="1"/>
        <v>#VALUE!</v>
      </c>
      <c r="P13" s="44"/>
      <c r="Q13" s="41" t="e">
        <f t="shared" si="7"/>
        <v>#VALUE!</v>
      </c>
      <c r="R13" s="42" t="e">
        <f t="shared" si="2"/>
        <v>#VALUE!</v>
      </c>
      <c r="S13" s="42" t="e">
        <f t="shared" si="3"/>
        <v>#VALUE!</v>
      </c>
      <c r="T13" s="66" t="e">
        <f t="shared" si="4"/>
        <v>#VALUE!</v>
      </c>
      <c r="V13" s="44">
        <f>_xll.HPVAL($A13,$A$1,V$1,$A$2,$B$3,$A$4)/1000</f>
        <v>45728.31700000001</v>
      </c>
      <c r="W13" s="44">
        <f>_xll.HPVAL($A13,$A$1,W$1,$A$2,$B$3,$A$4)/1000</f>
        <v>6095.2459166540002</v>
      </c>
      <c r="X13" s="44">
        <f>_xll.HPVAL($A13,$A$1,X$1,$A$2,$B$3,$A$4)/1000</f>
        <v>0</v>
      </c>
      <c r="Y13" s="44">
        <f>_xll.HPVAL($A13,$A$1,Y$1,$A$2,$B$3,$A$4)/1000</f>
        <v>7911.3669862891766</v>
      </c>
      <c r="Z13" s="165">
        <f t="shared" si="8"/>
        <v>31721.704097056834</v>
      </c>
      <c r="AC13" s="73" t="e">
        <f>E13-Summary!#REF!</f>
        <v>#VALUE!</v>
      </c>
    </row>
    <row r="14" spans="1:29" ht="12" customHeight="1" x14ac:dyDescent="0.25">
      <c r="A14" s="25" t="s">
        <v>41</v>
      </c>
      <c r="C14" s="29" t="s">
        <v>8</v>
      </c>
      <c r="D14" s="38"/>
      <c r="E14" s="41" t="e">
        <f t="shared" si="9"/>
        <v>#VALUE!</v>
      </c>
      <c r="F14" s="42">
        <f t="shared" si="5"/>
        <v>79120.076879437751</v>
      </c>
      <c r="G14" s="66" t="e">
        <f t="shared" si="6"/>
        <v>#VALUE!</v>
      </c>
      <c r="H14" s="42"/>
      <c r="I14" s="41" t="e">
        <f>_xll.HPVAL($A14,$B$1,$I$1,$B$2,$B$3,$A$4)/1000+GrossMargin!I12-_xll.HPVAL($A14,$B$1,$I$2,$B$2,$B$3,$A$4)/1000</f>
        <v>#VALUE!</v>
      </c>
      <c r="J14" s="42">
        <f>GrossMargin!J12</f>
        <v>0</v>
      </c>
      <c r="K14" s="42" t="e">
        <f>GrossMargin!K12+GrossMargin!#REF!</f>
        <v>#REF!</v>
      </c>
      <c r="L14" s="87" t="e">
        <f t="shared" si="0"/>
        <v>#VALUE!</v>
      </c>
      <c r="M14" s="42" t="e">
        <f>_xll.HPVAL($A14,$B$1,$M$1,$B$2,$B$3,$A$4)/1000+Expenses!D11</f>
        <v>#VALUE!</v>
      </c>
      <c r="N14" s="43" t="e">
        <f>_xll.HPVAL($A14,$B$1,$N$1,$B$2,$B$3,$A$4)/1000+'CapChrg-AllocExp'!K12</f>
        <v>#VALUE!</v>
      </c>
      <c r="O14" s="87" t="e">
        <f t="shared" si="1"/>
        <v>#VALUE!</v>
      </c>
      <c r="P14" s="44"/>
      <c r="Q14" s="41" t="e">
        <f t="shared" si="7"/>
        <v>#VALUE!</v>
      </c>
      <c r="R14" s="42" t="e">
        <f t="shared" si="2"/>
        <v>#VALUE!</v>
      </c>
      <c r="S14" s="42" t="e">
        <f t="shared" si="3"/>
        <v>#VALUE!</v>
      </c>
      <c r="T14" s="66" t="e">
        <f t="shared" si="4"/>
        <v>#VALUE!</v>
      </c>
      <c r="V14" s="44">
        <f>_xll.HPVAL($A14,$A$1,V$1,$A$2,$B$3,$A$4)/1000</f>
        <v>84061</v>
      </c>
      <c r="W14" s="44">
        <f>_xll.HPVAL($A14,$A$1,W$1,$A$2,$B$3,$A$4)/1000</f>
        <v>1252.4001566799998</v>
      </c>
      <c r="X14" s="44">
        <f>_xll.HPVAL($A14,$A$1,X$1,$A$2,$B$3,$A$4)/1000</f>
        <v>0</v>
      </c>
      <c r="Y14" s="44">
        <f>_xll.HPVAL($A14,$A$1,Y$1,$A$2,$B$3,$A$4)/1000</f>
        <v>3688.5229638822425</v>
      </c>
      <c r="Z14" s="165">
        <f t="shared" si="8"/>
        <v>79120.076879437751</v>
      </c>
      <c r="AC14" s="73" t="e">
        <f>E14-Summary!C11</f>
        <v>#VALUE!</v>
      </c>
    </row>
    <row r="15" spans="1:29" ht="12" customHeight="1" x14ac:dyDescent="0.25">
      <c r="A15" s="25" t="s">
        <v>130</v>
      </c>
      <c r="C15" s="29" t="s">
        <v>128</v>
      </c>
      <c r="D15" s="38"/>
      <c r="E15" s="41" t="e">
        <f t="shared" si="9"/>
        <v>#VALUE!</v>
      </c>
      <c r="F15" s="42">
        <f t="shared" si="5"/>
        <v>44211.896981567821</v>
      </c>
      <c r="G15" s="66" t="e">
        <f t="shared" si="6"/>
        <v>#VALUE!</v>
      </c>
      <c r="H15" s="42"/>
      <c r="I15" s="41" t="e">
        <f>_xll.HPVAL($A15,$B$1,$I$1,$B$2,$B$3,$A$4)/1000+GrossMargin!I14-_xll.HPVAL($A15,$B$1,$I$2,$B$2,$B$3,$A$4)/1000-335515</f>
        <v>#VALUE!</v>
      </c>
      <c r="J15" s="42">
        <f>GrossMargin!J14</f>
        <v>0</v>
      </c>
      <c r="K15" s="42" t="e">
        <f>GrossMargin!K14+GrossMargin!#REF!</f>
        <v>#REF!</v>
      </c>
      <c r="L15" s="87" t="e">
        <f t="shared" si="0"/>
        <v>#VALUE!</v>
      </c>
      <c r="M15" s="42" t="e">
        <f>_xll.HPVAL($A15,$B$1,$M$1,$B$2,$B$3,$A$4)/1000+Expenses!D13</f>
        <v>#VALUE!</v>
      </c>
      <c r="N15" s="43" t="e">
        <f>_xll.HPVAL($A15,$B$1,$N$1,$B$2,$B$3,$A$4)/1000+'CapChrg-AllocExp'!K14</f>
        <v>#VALUE!</v>
      </c>
      <c r="O15" s="87" t="e">
        <f t="shared" si="1"/>
        <v>#VALUE!</v>
      </c>
      <c r="P15" s="44"/>
      <c r="Q15" s="41" t="e">
        <f t="shared" si="7"/>
        <v>#VALUE!</v>
      </c>
      <c r="R15" s="42" t="e">
        <f t="shared" si="2"/>
        <v>#VALUE!</v>
      </c>
      <c r="S15" s="42" t="e">
        <f t="shared" si="3"/>
        <v>#VALUE!</v>
      </c>
      <c r="T15" s="66" t="e">
        <f t="shared" si="4"/>
        <v>#VALUE!</v>
      </c>
      <c r="V15" s="44">
        <f>_xll.HPVAL($A15,$A$1,V$1,$A$2,$B$3,$A$4)/1000</f>
        <v>56599.5</v>
      </c>
      <c r="W15" s="44">
        <f>_xll.HPVAL($A15,$A$1,W$1,$A$2,$B$3,$A$4)/1000</f>
        <v>3129.0344827586209</v>
      </c>
      <c r="X15" s="44">
        <f>_xll.HPVAL($A15,$A$1,X$1,$A$2,$B$3,$A$4)/1000</f>
        <v>449.50799999999998</v>
      </c>
      <c r="Y15" s="44">
        <f>_xll.HPVAL($A15,$A$1,Y$1,$A$2,$B$3,$A$4)/1000</f>
        <v>8809.0605356735541</v>
      </c>
      <c r="Z15" s="165">
        <f t="shared" si="8"/>
        <v>44211.896981567821</v>
      </c>
      <c r="AC15" s="73" t="e">
        <f>E15-Summary!C13</f>
        <v>#VALUE!</v>
      </c>
    </row>
    <row r="16" spans="1:29" ht="12" customHeight="1" x14ac:dyDescent="0.25">
      <c r="A16" s="25" t="s">
        <v>42</v>
      </c>
      <c r="C16" s="29" t="s">
        <v>11</v>
      </c>
      <c r="D16" s="38"/>
      <c r="E16" s="41" t="e">
        <f t="shared" si="9"/>
        <v>#VALUE!</v>
      </c>
      <c r="F16" s="42">
        <f t="shared" si="5"/>
        <v>25323.914086516539</v>
      </c>
      <c r="G16" s="66" t="e">
        <f t="shared" si="6"/>
        <v>#VALUE!</v>
      </c>
      <c r="H16" s="42"/>
      <c r="I16" s="41" t="e">
        <f>_xll.HPVAL($A16,$B$1,$I$1,$B$2,$B$3,$A$4)/1000+GrossMargin!I15-_xll.HPVAL($A16,$B$1,$I$2,$B$2,$B$3,$A$4)/1000</f>
        <v>#VALUE!</v>
      </c>
      <c r="J16" s="42">
        <f>GrossMargin!J15</f>
        <v>0</v>
      </c>
      <c r="K16" s="42" t="e">
        <f>GrossMargin!K15+GrossMargin!#REF!</f>
        <v>#REF!</v>
      </c>
      <c r="L16" s="87" t="e">
        <f t="shared" si="0"/>
        <v>#VALUE!</v>
      </c>
      <c r="M16" s="42" t="e">
        <f>_xll.HPVAL($A16,$B$1,$M$1,$B$2,$B$3,$A$4)/1000+Expenses!D14</f>
        <v>#VALUE!</v>
      </c>
      <c r="N16" s="43" t="e">
        <f>_xll.HPVAL($A16,$B$1,$N$1,$B$2,$B$3,$A$4)/1000+'CapChrg-AllocExp'!K15</f>
        <v>#VALUE!</v>
      </c>
      <c r="O16" s="87" t="e">
        <f t="shared" si="1"/>
        <v>#VALUE!</v>
      </c>
      <c r="P16" s="44"/>
      <c r="Q16" s="41" t="e">
        <f t="shared" si="7"/>
        <v>#VALUE!</v>
      </c>
      <c r="R16" s="42" t="e">
        <f t="shared" si="2"/>
        <v>#VALUE!</v>
      </c>
      <c r="S16" s="42" t="e">
        <f t="shared" si="3"/>
        <v>#VALUE!</v>
      </c>
      <c r="T16" s="66" t="e">
        <f t="shared" si="4"/>
        <v>#VALUE!</v>
      </c>
      <c r="V16" s="44">
        <f>_xll.HPVAL($A16,$A$1,V$1,$A$2,$B$3,$A$4)/1000</f>
        <v>36257</v>
      </c>
      <c r="W16" s="44">
        <f>_xll.HPVAL($A16,$A$1,W$1,$A$2,$B$3,$A$4)/1000</f>
        <v>4492.9759796200005</v>
      </c>
      <c r="X16" s="44">
        <f>_xll.HPVAL($A16,$A$1,X$1,$A$2,$B$3,$A$4)/1000</f>
        <v>2104.38</v>
      </c>
      <c r="Y16" s="44">
        <f>_xll.HPVAL($A16,$A$1,Y$1,$A$2,$B$3,$A$4)/1000</f>
        <v>4335.7299338634584</v>
      </c>
      <c r="Z16" s="165">
        <f t="shared" si="8"/>
        <v>25323.914086516539</v>
      </c>
      <c r="AC16" s="73" t="e">
        <f>E16-Summary!C14</f>
        <v>#VALUE!</v>
      </c>
    </row>
    <row r="17" spans="1:29" ht="12" customHeight="1" x14ac:dyDescent="0.25">
      <c r="A17" s="25" t="s">
        <v>43</v>
      </c>
      <c r="C17" s="29" t="s">
        <v>16</v>
      </c>
      <c r="D17" s="38"/>
      <c r="E17" s="41" t="e">
        <f t="shared" si="9"/>
        <v>#VALUE!</v>
      </c>
      <c r="F17" s="42">
        <f t="shared" si="5"/>
        <v>4673.1966136361316</v>
      </c>
      <c r="G17" s="66" t="e">
        <f t="shared" si="6"/>
        <v>#VALUE!</v>
      </c>
      <c r="H17" s="42"/>
      <c r="I17" s="41" t="e">
        <f>_xll.HPVAL($A17,$B$1,$I$1,$B$2,$B$3,$A$4)/1000+GrossMargin!#REF!-_xll.HPVAL($A17,$B$1,$I$2,$B$2,$B$3,$A$4)/1000</f>
        <v>#VALUE!</v>
      </c>
      <c r="J17" s="42" t="e">
        <f>GrossMargin!#REF!</f>
        <v>#REF!</v>
      </c>
      <c r="K17" s="42" t="e">
        <f>GrossMargin!#REF!+GrossMargin!#REF!</f>
        <v>#REF!</v>
      </c>
      <c r="L17" s="87" t="e">
        <f t="shared" si="0"/>
        <v>#VALUE!</v>
      </c>
      <c r="M17" s="42" t="e">
        <f>_xll.HPVAL($A17,$B$1,$M$1,$B$2,$B$3,$A$4)/1000+Expenses!#REF!</f>
        <v>#VALUE!</v>
      </c>
      <c r="N17" s="43" t="e">
        <f>_xll.HPVAL($A17,$B$1,$N$1,$B$2,$B$3,$A$4)/1000+'CapChrg-AllocExp'!#REF!</f>
        <v>#VALUE!</v>
      </c>
      <c r="O17" s="87" t="e">
        <f t="shared" si="1"/>
        <v>#VALUE!</v>
      </c>
      <c r="P17" s="44"/>
      <c r="Q17" s="41" t="e">
        <f t="shared" si="7"/>
        <v>#VALUE!</v>
      </c>
      <c r="R17" s="42" t="e">
        <f t="shared" si="2"/>
        <v>#VALUE!</v>
      </c>
      <c r="S17" s="42" t="e">
        <f t="shared" si="3"/>
        <v>#VALUE!</v>
      </c>
      <c r="T17" s="66" t="e">
        <f t="shared" si="4"/>
        <v>#VALUE!</v>
      </c>
      <c r="V17" s="44">
        <f>_xll.HPVAL($A17,$A$1,V$1,$A$2,$B$3,$A$4)/1000</f>
        <v>10000</v>
      </c>
      <c r="W17" s="44">
        <f>_xll.HPVAL($A17,$A$1,W$1,$A$2,$B$3,$A$4)/1000</f>
        <v>4357.8246160000008</v>
      </c>
      <c r="X17" s="44">
        <f>_xll.HPVAL($A17,$A$1,X$1,$A$2,$B$3,$A$4)/1000</f>
        <v>0</v>
      </c>
      <c r="Y17" s="44">
        <f>_xll.HPVAL($A17,$A$1,Y$1,$A$2,$B$3,$A$4)/1000</f>
        <v>968.97877036386728</v>
      </c>
      <c r="Z17" s="165">
        <f t="shared" si="8"/>
        <v>4673.1966136361316</v>
      </c>
      <c r="AC17" s="73" t="e">
        <f>E17-Summary!#REF!</f>
        <v>#VALUE!</v>
      </c>
    </row>
    <row r="18" spans="1:29" ht="12" customHeight="1" x14ac:dyDescent="0.25">
      <c r="A18" s="25" t="s">
        <v>44</v>
      </c>
      <c r="C18" s="29" t="s">
        <v>9</v>
      </c>
      <c r="D18" s="38"/>
      <c r="E18" s="41" t="e">
        <f t="shared" si="9"/>
        <v>#VALUE!</v>
      </c>
      <c r="F18" s="42">
        <f t="shared" si="5"/>
        <v>864.48136206400454</v>
      </c>
      <c r="G18" s="66" t="e">
        <f t="shared" si="6"/>
        <v>#VALUE!</v>
      </c>
      <c r="H18" s="42"/>
      <c r="I18" s="41" t="e">
        <f>_xll.HPVAL($A18,$B$1,$I$1,$B$2,$B$3,$A$4)/1000+GrossMargin!I16-_xll.HPVAL($A18,$B$1,$I$2,$B$2,$B$3,$A$4)/1000</f>
        <v>#VALUE!</v>
      </c>
      <c r="J18" s="42">
        <f>GrossMargin!J16</f>
        <v>0</v>
      </c>
      <c r="K18" s="42" t="e">
        <f>GrossMargin!K16+GrossMargin!#REF!</f>
        <v>#REF!</v>
      </c>
      <c r="L18" s="87" t="e">
        <f t="shared" si="0"/>
        <v>#VALUE!</v>
      </c>
      <c r="M18" s="42" t="e">
        <f>_xll.HPVAL($A18,$B$1,$M$1,$B$2,$B$3,$A$4)/1000+Expenses!D15</f>
        <v>#VALUE!</v>
      </c>
      <c r="N18" s="43" t="e">
        <f>_xll.HPVAL($A18,$B$1,$N$1,$B$2,$B$3,$A$4)/1000+'CapChrg-AllocExp'!K16</f>
        <v>#VALUE!</v>
      </c>
      <c r="O18" s="87" t="e">
        <f t="shared" si="1"/>
        <v>#VALUE!</v>
      </c>
      <c r="P18" s="44"/>
      <c r="Q18" s="41" t="e">
        <f t="shared" si="7"/>
        <v>#VALUE!</v>
      </c>
      <c r="R18" s="42" t="e">
        <f t="shared" si="2"/>
        <v>#VALUE!</v>
      </c>
      <c r="S18" s="42" t="e">
        <f t="shared" si="3"/>
        <v>#VALUE!</v>
      </c>
      <c r="T18" s="66" t="e">
        <f t="shared" si="4"/>
        <v>#VALUE!</v>
      </c>
      <c r="V18" s="44">
        <f>_xll.HPVAL($A18,$A$1,V$1,$A$2,$B$3,$A$4)/1000</f>
        <v>4058.0000000000009</v>
      </c>
      <c r="W18" s="44">
        <f>_xll.HPVAL($A18,$A$1,W$1,$A$2,$B$3,$A$4)/1000</f>
        <v>1552.9474381399998</v>
      </c>
      <c r="X18" s="44">
        <f>_xll.HPVAL($A18,$A$1,X$1,$A$2,$B$3,$A$4)/1000</f>
        <v>0</v>
      </c>
      <c r="Y18" s="44">
        <f>_xll.HPVAL($A18,$A$1,Y$1,$A$2,$B$3,$A$4)/1000</f>
        <v>1640.5711997959968</v>
      </c>
      <c r="Z18" s="165">
        <f t="shared" si="8"/>
        <v>864.48136206400454</v>
      </c>
      <c r="AC18" s="73" t="e">
        <f>E18-Summary!C15</f>
        <v>#VALUE!</v>
      </c>
    </row>
    <row r="19" spans="1:29" ht="12" customHeight="1" x14ac:dyDescent="0.25">
      <c r="A19" s="25" t="s">
        <v>10</v>
      </c>
      <c r="C19" s="29" t="s">
        <v>10</v>
      </c>
      <c r="D19" s="38"/>
      <c r="E19" s="41" t="e">
        <f t="shared" si="9"/>
        <v>#VALUE!</v>
      </c>
      <c r="F19" s="42">
        <f t="shared" si="5"/>
        <v>1830.7713914548026</v>
      </c>
      <c r="G19" s="66" t="e">
        <f t="shared" si="6"/>
        <v>#VALUE!</v>
      </c>
      <c r="H19" s="42"/>
      <c r="I19" s="41" t="e">
        <f>_xll.HPVAL($A19,$B$1,$I$1,$B$2,$B$3,$A$4)/1000+GrossMargin!I17-_xll.HPVAL($A19,$B$1,$I$2,$B$2,$B$3,$A$4)/1000</f>
        <v>#VALUE!</v>
      </c>
      <c r="J19" s="42">
        <f>GrossMargin!J17</f>
        <v>0</v>
      </c>
      <c r="K19" s="42" t="e">
        <f>GrossMargin!K17+GrossMargin!#REF!</f>
        <v>#REF!</v>
      </c>
      <c r="L19" s="87" t="e">
        <f t="shared" si="0"/>
        <v>#VALUE!</v>
      </c>
      <c r="M19" s="42" t="e">
        <f>_xll.HPVAL($A19,$B$1,$M$1,$B$2,$B$3,$A$4)/1000+Expenses!D16</f>
        <v>#VALUE!</v>
      </c>
      <c r="N19" s="43" t="e">
        <f>_xll.HPVAL($A19,$B$1,$N$1,$B$2,$B$3,$A$4)/1000+'CapChrg-AllocExp'!K17</f>
        <v>#VALUE!</v>
      </c>
      <c r="O19" s="87" t="e">
        <f t="shared" si="1"/>
        <v>#VALUE!</v>
      </c>
      <c r="P19" s="44"/>
      <c r="Q19" s="41" t="e">
        <f t="shared" si="7"/>
        <v>#VALUE!</v>
      </c>
      <c r="R19" s="42" t="e">
        <f t="shared" si="2"/>
        <v>#VALUE!</v>
      </c>
      <c r="S19" s="42" t="e">
        <f t="shared" si="3"/>
        <v>#VALUE!</v>
      </c>
      <c r="T19" s="66" t="e">
        <f t="shared" si="4"/>
        <v>#VALUE!</v>
      </c>
      <c r="V19" s="44">
        <f>_xll.HPVAL($A19,$A$1,V$1,$A$2,$B$3,$A$4)/1000</f>
        <v>3000</v>
      </c>
      <c r="W19" s="44">
        <f>_xll.HPVAL($A19,$A$1,W$1,$A$2,$B$3,$A$4)/1000</f>
        <v>165.38344366666669</v>
      </c>
      <c r="X19" s="44">
        <f>_xll.HPVAL($A19,$A$1,X$1,$A$2,$B$3,$A$4)/1000</f>
        <v>0</v>
      </c>
      <c r="Y19" s="44">
        <f>_xll.HPVAL($A19,$A$1,Y$1,$A$2,$B$3,$A$4)/1000</f>
        <v>1003.8451648785308</v>
      </c>
      <c r="Z19" s="165">
        <f t="shared" si="8"/>
        <v>1830.7713914548026</v>
      </c>
      <c r="AC19" s="73" t="e">
        <f>E19-Summary!C16</f>
        <v>#VALUE!</v>
      </c>
    </row>
    <row r="20" spans="1:29" ht="12" customHeight="1" x14ac:dyDescent="0.25">
      <c r="A20" s="25" t="s">
        <v>125</v>
      </c>
      <c r="C20" s="29" t="s">
        <v>88</v>
      </c>
      <c r="D20" s="38"/>
      <c r="E20" s="41" t="e">
        <f t="shared" si="9"/>
        <v>#VALUE!</v>
      </c>
      <c r="F20" s="42">
        <f t="shared" si="5"/>
        <v>0</v>
      </c>
      <c r="G20" s="66" t="e">
        <f t="shared" si="6"/>
        <v>#VALUE!</v>
      </c>
      <c r="H20" s="42"/>
      <c r="I20" s="41" t="e">
        <f>_xll.HPVAL($A20,$B$1,$I$1,$B$2,$B$3,$A$4)/1000+GrossMargin!I18-_xll.HPVAL($A20,$B$1,$I$2,$B$2,$B$3,$A$4)/1000</f>
        <v>#VALUE!</v>
      </c>
      <c r="J20" s="42">
        <f>GrossMargin!J18</f>
        <v>0</v>
      </c>
      <c r="K20" s="42" t="e">
        <f>GrossMargin!K18+GrossMargin!#REF!</f>
        <v>#REF!</v>
      </c>
      <c r="L20" s="87" t="e">
        <f>SUM(I20:K20)</f>
        <v>#VALUE!</v>
      </c>
      <c r="M20" s="42" t="e">
        <f>_xll.HPVAL($A20,$B$1,$M$1,$B$2,$B$3,$A$4)/1000+Expenses!D17</f>
        <v>#VALUE!</v>
      </c>
      <c r="N20" s="43" t="e">
        <f>_xll.HPVAL($A20,$B$1,$N$1,$B$2,$B$3,$A$4)/1000+'CapChrg-AllocExp'!K18</f>
        <v>#VALUE!</v>
      </c>
      <c r="O20" s="87" t="e">
        <f>L20-M20-N20</f>
        <v>#VALUE!</v>
      </c>
      <c r="P20" s="44"/>
      <c r="Q20" s="41" t="e">
        <f t="shared" si="7"/>
        <v>#VALUE!</v>
      </c>
      <c r="R20" s="42" t="e">
        <f t="shared" si="2"/>
        <v>#VALUE!</v>
      </c>
      <c r="S20" s="42" t="e">
        <f t="shared" si="3"/>
        <v>#VALUE!</v>
      </c>
      <c r="T20" s="66" t="e">
        <f t="shared" si="4"/>
        <v>#VALUE!</v>
      </c>
      <c r="V20" s="44">
        <v>0</v>
      </c>
      <c r="W20" s="44">
        <v>0</v>
      </c>
      <c r="X20" s="44">
        <v>0</v>
      </c>
      <c r="Y20" s="44">
        <v>0</v>
      </c>
      <c r="Z20" s="165">
        <f t="shared" si="8"/>
        <v>0</v>
      </c>
      <c r="AC20" s="73" t="e">
        <f>E20-Summary!C17</f>
        <v>#VALUE!</v>
      </c>
    </row>
    <row r="21" spans="1:29" ht="12" customHeight="1" x14ac:dyDescent="0.25">
      <c r="A21" s="25" t="s">
        <v>45</v>
      </c>
      <c r="C21" s="29" t="s">
        <v>4</v>
      </c>
      <c r="D21" s="38"/>
      <c r="E21" s="41" t="e">
        <f t="shared" si="9"/>
        <v>#VALUE!</v>
      </c>
      <c r="F21" s="42">
        <f t="shared" si="5"/>
        <v>-3576.9250767295171</v>
      </c>
      <c r="G21" s="66" t="e">
        <f t="shared" si="6"/>
        <v>#VALUE!</v>
      </c>
      <c r="H21" s="42"/>
      <c r="I21" s="41" t="e">
        <f>_xll.HPVAL($A21,$B$1,$I$1,$B$2,$B$3,$A$4)/1000+GrossMargin!I19-_xll.HPVAL($A21,$B$1,$I$2,$B$2,$B$3,$A$4)/1000</f>
        <v>#VALUE!</v>
      </c>
      <c r="J21" s="42">
        <f>GrossMargin!J19</f>
        <v>0</v>
      </c>
      <c r="K21" s="42" t="e">
        <f>GrossMargin!K19+GrossMargin!#REF!</f>
        <v>#REF!</v>
      </c>
      <c r="L21" s="87" t="e">
        <f t="shared" si="0"/>
        <v>#VALUE!</v>
      </c>
      <c r="M21" s="42" t="e">
        <f>_xll.HPVAL($A21,$B$1,$M$1,$B$2,$B$3,$A$4)/1000+Expenses!D18</f>
        <v>#VALUE!</v>
      </c>
      <c r="N21" s="43" t="e">
        <f>_xll.HPVAL($A21,$B$1,$N$1,$B$2,$B$3,$A$4)/1000+'CapChrg-AllocExp'!K19</f>
        <v>#VALUE!</v>
      </c>
      <c r="O21" s="87" t="e">
        <f t="shared" si="1"/>
        <v>#VALUE!</v>
      </c>
      <c r="P21" s="44"/>
      <c r="Q21" s="41" t="e">
        <f t="shared" si="7"/>
        <v>#VALUE!</v>
      </c>
      <c r="R21" s="42" t="e">
        <f t="shared" si="2"/>
        <v>#VALUE!</v>
      </c>
      <c r="S21" s="42" t="e">
        <f t="shared" si="3"/>
        <v>#VALUE!</v>
      </c>
      <c r="T21" s="66" t="e">
        <f t="shared" si="4"/>
        <v>#VALUE!</v>
      </c>
      <c r="V21" s="44">
        <f>_xll.HPVAL($A21,$A$1,V$1,$A$2,$B$3,$A$4)/1000</f>
        <v>0</v>
      </c>
      <c r="W21" s="44">
        <f>_xll.HPVAL($A21,$A$1,W$1,$A$2,$B$3,$A$4)/1000</f>
        <v>1533.4850000000001</v>
      </c>
      <c r="X21" s="44">
        <f>_xll.HPVAL($A21,$A$1,X$1,$A$2,$B$3,$A$4)/1000</f>
        <v>0</v>
      </c>
      <c r="Y21" s="44">
        <f>_xll.HPVAL($A21,$A$1,Y$1,$A$2,$B$3,$A$4)/1000</f>
        <v>2043.4400767295169</v>
      </c>
      <c r="Z21" s="165">
        <f t="shared" si="8"/>
        <v>-3576.9250767295171</v>
      </c>
      <c r="AC21" s="73" t="e">
        <f>E21-Summary!C18</f>
        <v>#VALUE!</v>
      </c>
    </row>
    <row r="22" spans="1:29" ht="12" customHeight="1" x14ac:dyDescent="0.25">
      <c r="C22" s="75" t="s">
        <v>12</v>
      </c>
      <c r="D22" s="38"/>
      <c r="E22" s="174" t="e">
        <f>SUM(E11:E21)</f>
        <v>#VALUE!</v>
      </c>
      <c r="F22" s="175">
        <f>SUM(F11:F21)</f>
        <v>314288.33076124539</v>
      </c>
      <c r="G22" s="177" t="e">
        <f>SUM(G11:G21)</f>
        <v>#VALUE!</v>
      </c>
      <c r="H22" s="42"/>
      <c r="I22" s="174" t="e">
        <f t="shared" ref="I22:N22" si="10">SUM(I11:I21)</f>
        <v>#VALUE!</v>
      </c>
      <c r="J22" s="175" t="e">
        <f t="shared" si="10"/>
        <v>#REF!</v>
      </c>
      <c r="K22" s="177" t="e">
        <f t="shared" si="10"/>
        <v>#REF!</v>
      </c>
      <c r="L22" s="178" t="e">
        <f t="shared" si="10"/>
        <v>#VALUE!</v>
      </c>
      <c r="M22" s="174" t="e">
        <f t="shared" si="10"/>
        <v>#VALUE!</v>
      </c>
      <c r="N22" s="177" t="e">
        <f t="shared" si="10"/>
        <v>#VALUE!</v>
      </c>
      <c r="O22" s="178" t="e">
        <f t="shared" si="1"/>
        <v>#VALUE!</v>
      </c>
      <c r="P22" s="44"/>
      <c r="Q22" s="174" t="e">
        <f>SUM(Q11:Q21)</f>
        <v>#VALUE!</v>
      </c>
      <c r="R22" s="175" t="e">
        <f>SUM(R11:R21)</f>
        <v>#VALUE!</v>
      </c>
      <c r="S22" s="175" t="e">
        <f>SUM(S11:S21)</f>
        <v>#VALUE!</v>
      </c>
      <c r="T22" s="177" t="e">
        <f>SUM(T11:T21)</f>
        <v>#VALUE!</v>
      </c>
      <c r="V22" s="166">
        <f>SUM(V11:V21)</f>
        <v>449059.41000000003</v>
      </c>
      <c r="W22" s="166">
        <f>SUM(W11:W21)</f>
        <v>42753.634640712611</v>
      </c>
      <c r="X22" s="166">
        <f>SUM(X11:X21)</f>
        <v>2553.8879999999999</v>
      </c>
      <c r="Y22" s="166">
        <f>SUM(Y11:Y21)</f>
        <v>89463.556598042051</v>
      </c>
      <c r="Z22" s="166">
        <f>SUM(Z11:Z21)</f>
        <v>314288.33076124539</v>
      </c>
      <c r="AC22" s="166" t="e">
        <f>SUM(AC11:AC21)</f>
        <v>#VALUE!</v>
      </c>
    </row>
    <row r="23" spans="1:29" ht="3" customHeight="1" x14ac:dyDescent="0.25">
      <c r="C23" s="29"/>
      <c r="D23" s="38"/>
      <c r="E23" s="41"/>
      <c r="F23" s="42"/>
      <c r="G23" s="66"/>
      <c r="H23" s="42"/>
      <c r="I23" s="41"/>
      <c r="J23" s="42"/>
      <c r="K23" s="42"/>
      <c r="L23" s="87"/>
      <c r="M23" s="42"/>
      <c r="N23" s="43"/>
      <c r="O23" s="87"/>
      <c r="P23" s="44"/>
      <c r="Q23" s="41"/>
      <c r="R23" s="42"/>
      <c r="S23" s="42"/>
      <c r="T23" s="66"/>
    </row>
    <row r="24" spans="1:29" ht="12" customHeight="1" x14ac:dyDescent="0.25">
      <c r="A24" s="25" t="s">
        <v>46</v>
      </c>
      <c r="B24" s="25" t="s">
        <v>70</v>
      </c>
      <c r="C24" s="29" t="s">
        <v>145</v>
      </c>
      <c r="D24" s="38"/>
      <c r="E24" s="41" t="e">
        <f t="shared" ref="E24:E33" si="11">L24-M24-N24</f>
        <v>#VALUE!</v>
      </c>
      <c r="F24" s="42">
        <f t="shared" ref="F24:F33" si="12">Z24</f>
        <v>66513.958561746913</v>
      </c>
      <c r="G24" s="66" t="e">
        <f t="shared" ref="G24:G33" si="13">ROUND(E24-F24,0)</f>
        <v>#VALUE!</v>
      </c>
      <c r="H24" s="42"/>
      <c r="I24" s="41" t="e">
        <f>_xll.HPVAL($A24,$B$1,$I$1,$B$2,$B$3,$A$4)/1000+_xll.HPVAL($B$24,$B$1,$I$1,$B$2,$B$3,$A$4)/1000/2+GrossMargin!I23-_xll.HPVAL($A24,$B$1,$I$2,$B$2,$B$3,$A$4)/1000-_xll.HPVAL($B$24,$B$1,$I$2,$B$2,$B$3,$A$4)/1000/2</f>
        <v>#VALUE!</v>
      </c>
      <c r="J24" s="42">
        <f>GrossMargin!J23</f>
        <v>7700</v>
      </c>
      <c r="K24" s="42" t="e">
        <f>GrossMargin!K23+GrossMargin!#REF!</f>
        <v>#REF!</v>
      </c>
      <c r="L24" s="87" t="e">
        <f t="shared" ref="L24:L33" si="14">SUM(I24:K24)</f>
        <v>#VALUE!</v>
      </c>
      <c r="M24" s="42" t="e">
        <f>_xll.HPVAL($A24,$B$1,$M$1,$B$2,$B$3,$A$4)/1000+_xll.HPVAL($B$24,$B$1,$M$1,$B$2,$B$3,$A$4)/2/1000+Expenses!D21</f>
        <v>#VALUE!</v>
      </c>
      <c r="N24" s="43" t="e">
        <f>_xll.HPVAL($A24,$B$1,$N$1,$B$2,$B$3,$A$4)/1000+_xll.HPVAL($B$24,$B$1,$N$1,$B$2,$B$3,$A$4)/2/1000+'CapChrg-AllocExp'!K22</f>
        <v>#VALUE!</v>
      </c>
      <c r="O24" s="87" t="e">
        <f t="shared" ref="O24:O33" si="15">L24-M24-N24</f>
        <v>#VALUE!</v>
      </c>
      <c r="P24" s="44"/>
      <c r="Q24" s="41" t="e">
        <f t="shared" ref="Q24:Q33" si="16">L24-(V24-X24)</f>
        <v>#VALUE!</v>
      </c>
      <c r="R24" s="42" t="e">
        <f t="shared" ref="R24:R33" si="17">W24-M24</f>
        <v>#VALUE!</v>
      </c>
      <c r="S24" s="42" t="e">
        <f t="shared" ref="S24:S33" si="18">Y24-N24</f>
        <v>#VALUE!</v>
      </c>
      <c r="T24" s="66" t="e">
        <f t="shared" ref="T24:T33" si="19">ROUND(SUM(Q24:S24),0)</f>
        <v>#VALUE!</v>
      </c>
      <c r="V24" s="44">
        <f>_xll.HPVAL($A24,$A$1,V$1,$A$2,$B$3,$A$4)/1000+_xll.HPVAL($B$24,$A$1,V$1,$A$2,$B$3,$A$4)/1000/2</f>
        <v>99457.478499999997</v>
      </c>
      <c r="W24" s="44">
        <f>_xll.HPVAL($A24,$A$1,W$1,$A$2,$B$3,$A$4)/1000+_xll.HPVAL($B$24,$A$1,W$1,$A$2,$B$3,$A$4)/1000/2</f>
        <v>15723.473698997499</v>
      </c>
      <c r="X24" s="44">
        <f>_xll.HPVAL($A24,$A$1,X$1,$A$2,$B$3,$A$4)/1000+_xll.HPVAL($B$24,$A$1,X$1,$A$2,$B$3,$A$4)/1000/2</f>
        <v>2058.3335000000002</v>
      </c>
      <c r="Y24" s="44">
        <f>_xll.HPVAL($A24,$A$1,Y$1,$A$2,$B$3,$A$4)/1000+_xll.HPVAL($B$24,$A$1,Y$1,$A$2,$B$3,$A$4)/1000/2</f>
        <v>15161.712739255596</v>
      </c>
      <c r="Z24" s="165">
        <f t="shared" ref="Z24:Z33" si="20">V24-W24-X24-Y24</f>
        <v>66513.958561746913</v>
      </c>
      <c r="AC24" s="73" t="e">
        <f>E24-Summary!C21</f>
        <v>#VALUE!</v>
      </c>
    </row>
    <row r="25" spans="1:29" ht="12" customHeight="1" x14ac:dyDescent="0.25">
      <c r="A25" s="25" t="s">
        <v>53</v>
      </c>
      <c r="C25" s="29" t="s">
        <v>146</v>
      </c>
      <c r="D25" s="38"/>
      <c r="E25" s="41" t="e">
        <f>L25-M25-N25</f>
        <v>#VALUE!</v>
      </c>
      <c r="F25" s="42">
        <f>Z25</f>
        <v>44615.057956317352</v>
      </c>
      <c r="G25" s="66" t="e">
        <f>ROUND(E25-F25,0)</f>
        <v>#VALUE!</v>
      </c>
      <c r="H25" s="42"/>
      <c r="I25" s="41" t="e">
        <f>_xll.HPVAL($A25,$B$1,$I$1,$B$2,$B$3,$A$4)/1000+_xll.HPVAL($B$24,$B$1,$I$1,$B$2,$B$3,$A$4)/1000/2+GrossMargin!I24-_xll.HPVAL($A25,$B$1,$I$2,$B$2,$B$3,$A$4)/1000-_xll.HPVAL($B$24,$B$1,$I$2,$B$2,$B$3,$A$4)/1000/2</f>
        <v>#VALUE!</v>
      </c>
      <c r="J25" s="42">
        <f>GrossMargin!J24</f>
        <v>0</v>
      </c>
      <c r="K25" s="42" t="e">
        <f>GrossMargin!K24+GrossMargin!#REF!</f>
        <v>#REF!</v>
      </c>
      <c r="L25" s="87" t="e">
        <f>SUM(I25:K25)</f>
        <v>#VALUE!</v>
      </c>
      <c r="M25" s="42" t="e">
        <f>_xll.HPVAL($A25,$B$1,$M$1,$B$2,$B$3,$A$4)/1000+_xll.HPVAL($B$24,$B$1,$M$1,$B$2,$B$3,$A$4)/2/1000+Expenses!D22</f>
        <v>#VALUE!</v>
      </c>
      <c r="N25" s="43" t="e">
        <f>_xll.HPVAL($A25,$B$1,$N$1,$B$2,$B$3,$A$4)/1000+_xll.HPVAL($B$24,$B$1,$N$1,$B$2,$B$3,$A$4)/2/1000+'CapChrg-AllocExp'!K23</f>
        <v>#VALUE!</v>
      </c>
      <c r="O25" s="87" t="e">
        <f>L25-M25-N25</f>
        <v>#VALUE!</v>
      </c>
      <c r="P25" s="44"/>
      <c r="Q25" s="41" t="e">
        <f>L25-(V25-X25)</f>
        <v>#VALUE!</v>
      </c>
      <c r="R25" s="42" t="e">
        <f>W25-M25</f>
        <v>#VALUE!</v>
      </c>
      <c r="S25" s="42" t="e">
        <f>Y25-N25</f>
        <v>#VALUE!</v>
      </c>
      <c r="T25" s="66" t="e">
        <f>ROUND(SUM(Q25:S25),0)</f>
        <v>#VALUE!</v>
      </c>
      <c r="V25" s="44">
        <f>_xll.HPVAL($A25,$A$1,V$1,$A$2,$B$3,$A$4)/1000+_xll.HPVAL($B$24,$A$1,V$1,$A$2,$B$3,$A$4)/1000/2</f>
        <v>71490.979500000016</v>
      </c>
      <c r="W25" s="44">
        <f>_xll.HPVAL($A25,$A$1,W$1,$A$2,$B$3,$A$4)/1000+_xll.HPVAL($B$24,$A$1,W$1,$A$2,$B$3,$A$4)/1000/2</f>
        <v>13721.529051473337</v>
      </c>
      <c r="X25" s="44">
        <f>_xll.HPVAL($A25,$A$1,X$1,$A$2,$B$3,$A$4)/1000+_xll.HPVAL($B$24,$A$1,X$1,$A$2,$B$3,$A$4)/1000/2</f>
        <v>2058.3335000000002</v>
      </c>
      <c r="Y25" s="44">
        <f>_xll.HPVAL($A25,$A$1,Y$1,$A$2,$B$3,$A$4)/1000+_xll.HPVAL($B$24,$A$1,Y$1,$A$2,$B$3,$A$4)/1000/2</f>
        <v>11096.05899220933</v>
      </c>
      <c r="Z25" s="165">
        <f>V25-W25-X25-Y25</f>
        <v>44615.057956317352</v>
      </c>
      <c r="AC25" s="73" t="e">
        <f>E25-Summary!#REF!</f>
        <v>#VALUE!</v>
      </c>
    </row>
    <row r="26" spans="1:29" ht="12" customHeight="1" x14ac:dyDescent="0.25">
      <c r="A26" s="25" t="s">
        <v>50</v>
      </c>
      <c r="C26" s="29" t="s">
        <v>147</v>
      </c>
      <c r="D26" s="38"/>
      <c r="E26" s="41" t="e">
        <f>L26-M26-N26</f>
        <v>#VALUE!</v>
      </c>
      <c r="F26" s="42">
        <f>Z26</f>
        <v>41515.992584523774</v>
      </c>
      <c r="G26" s="66" t="e">
        <f>ROUND(E26-F26,0)</f>
        <v>#VALUE!</v>
      </c>
      <c r="H26" s="42"/>
      <c r="I26" s="41" t="e">
        <f>_xll.HPVAL($A26,$B$1,$I$1,$B$2,$B$3,$A$4)/1000+GrossMargin!I25-_xll.HPVAL($A26,$B$1,$I$2,$B$2,$B$3,$A$4)/1000</f>
        <v>#VALUE!</v>
      </c>
      <c r="J26" s="42">
        <f>GrossMargin!J25</f>
        <v>50060</v>
      </c>
      <c r="K26" s="42" t="e">
        <f>GrossMargin!K25+GrossMargin!#REF!</f>
        <v>#REF!</v>
      </c>
      <c r="L26" s="87" t="e">
        <f>SUM(I26:K26)</f>
        <v>#VALUE!</v>
      </c>
      <c r="M26" s="42" t="e">
        <f>_xll.HPVAL($A26,$B$1,$M$1,$B$2,$B$3,$A$4)/1000+Expenses!D23</f>
        <v>#VALUE!</v>
      </c>
      <c r="N26" s="43" t="e">
        <f>_xll.HPVAL($A26,$B$1,$N$1,$B$2,$B$3,$A$4)/1000+'CapChrg-AllocExp'!K24</f>
        <v>#VALUE!</v>
      </c>
      <c r="O26" s="87" t="e">
        <f>L26-M26-N26</f>
        <v>#VALUE!</v>
      </c>
      <c r="P26" s="44"/>
      <c r="Q26" s="41" t="e">
        <f>L26-(V26-X26)</f>
        <v>#VALUE!</v>
      </c>
      <c r="R26" s="42" t="e">
        <f>W26-M26</f>
        <v>#VALUE!</v>
      </c>
      <c r="S26" s="42" t="e">
        <f>Y26-N26</f>
        <v>#VALUE!</v>
      </c>
      <c r="T26" s="66" t="e">
        <f>ROUND(SUM(Q26:S26),0)</f>
        <v>#VALUE!</v>
      </c>
      <c r="V26" s="44">
        <f>_xll.HPVAL($A26,$A$1,V$1,$A$2,$B$3,$A$4)/1000</f>
        <v>55374.999983895941</v>
      </c>
      <c r="W26" s="44">
        <f>_xll.HPVAL($A26,$A$1,W$1,$A$2,$B$3,$A$4)/1000</f>
        <v>6261.1567524201118</v>
      </c>
      <c r="X26" s="44">
        <f>_xll.HPVAL($A26,$A$1,X$1,$A$2,$B$3,$A$4)/1000</f>
        <v>2993.4989949999995</v>
      </c>
      <c r="Y26" s="44">
        <f>_xll.HPVAL($A26,$A$1,Y$1,$A$2,$B$3,$A$4)/1000</f>
        <v>4604.3516519520563</v>
      </c>
      <c r="Z26" s="165">
        <f>V26-W26-X26-Y26</f>
        <v>41515.992584523774</v>
      </c>
      <c r="AC26" s="73" t="e">
        <f>E26-Summary!#REF!</f>
        <v>#VALUE!</v>
      </c>
    </row>
    <row r="27" spans="1:29" ht="12" customHeight="1" x14ac:dyDescent="0.25">
      <c r="A27" s="25" t="s">
        <v>47</v>
      </c>
      <c r="C27" s="29" t="s">
        <v>148</v>
      </c>
      <c r="D27" s="38"/>
      <c r="E27" s="41" t="e">
        <f t="shared" si="11"/>
        <v>#VALUE!</v>
      </c>
      <c r="F27" s="42">
        <f t="shared" si="12"/>
        <v>-3082.5979256864439</v>
      </c>
      <c r="G27" s="66" t="e">
        <f t="shared" si="13"/>
        <v>#VALUE!</v>
      </c>
      <c r="H27" s="42"/>
      <c r="I27" s="41" t="e">
        <f>_xll.HPVAL($A27,$B$1,$I$1,$B$2,$B$3,$A$4)/1000+GrossMargin!I26-_xll.HPVAL($A27,$B$1,$I$2,$B$2,$B$3,$A$4)/1000</f>
        <v>#VALUE!</v>
      </c>
      <c r="J27" s="42">
        <f>GrossMargin!J26</f>
        <v>5000</v>
      </c>
      <c r="K27" s="42" t="e">
        <f>GrossMargin!K26+GrossMargin!#REF!</f>
        <v>#REF!</v>
      </c>
      <c r="L27" s="87" t="e">
        <f t="shared" si="14"/>
        <v>#VALUE!</v>
      </c>
      <c r="M27" s="42" t="e">
        <f>_xll.HPVAL($A27,$B$1,$M$1,$B$2,$B$3,$A$4)/1000+Expenses!D24</f>
        <v>#VALUE!</v>
      </c>
      <c r="N27" s="43" t="e">
        <f>_xll.HPVAL($A27,$B$1,$N$1,$B$2,$B$3,$A$4)/1000+'CapChrg-AllocExp'!K25</f>
        <v>#VALUE!</v>
      </c>
      <c r="O27" s="87" t="e">
        <f t="shared" si="15"/>
        <v>#VALUE!</v>
      </c>
      <c r="P27" s="44"/>
      <c r="Q27" s="41" t="e">
        <f t="shared" si="16"/>
        <v>#VALUE!</v>
      </c>
      <c r="R27" s="42" t="e">
        <f t="shared" si="17"/>
        <v>#VALUE!</v>
      </c>
      <c r="S27" s="42" t="e">
        <f t="shared" si="18"/>
        <v>#VALUE!</v>
      </c>
      <c r="T27" s="66" t="e">
        <f t="shared" si="19"/>
        <v>#VALUE!</v>
      </c>
      <c r="V27" s="44">
        <f>_xll.HPVAL($A27,$A$1,V$1,$A$2,$B$3,$A$4)/1000</f>
        <v>0</v>
      </c>
      <c r="W27" s="44">
        <f>_xll.HPVAL($A27,$A$1,W$1,$A$2,$B$3,$A$4)/1000</f>
        <v>1434.7756623203056</v>
      </c>
      <c r="X27" s="44">
        <f>_xll.HPVAL($A27,$A$1,X$1,$A$2,$B$3,$A$4)/1000</f>
        <v>36.000002499999987</v>
      </c>
      <c r="Y27" s="44">
        <f>_xll.HPVAL($A27,$A$1,Y$1,$A$2,$B$3,$A$4)/1000</f>
        <v>1611.8222608661381</v>
      </c>
      <c r="Z27" s="165">
        <f t="shared" si="20"/>
        <v>-3082.5979256864439</v>
      </c>
      <c r="AC27" s="73" t="e">
        <f>E27-Summary!C24</f>
        <v>#VALUE!</v>
      </c>
    </row>
    <row r="28" spans="1:29" ht="12" customHeight="1" x14ac:dyDescent="0.25">
      <c r="A28" s="25" t="s">
        <v>54</v>
      </c>
      <c r="C28" s="29" t="s">
        <v>149</v>
      </c>
      <c r="D28" s="38"/>
      <c r="E28" s="41" t="e">
        <f t="shared" si="11"/>
        <v>#VALUE!</v>
      </c>
      <c r="F28" s="42">
        <f t="shared" si="12"/>
        <v>74668.64941099046</v>
      </c>
      <c r="G28" s="66" t="e">
        <f t="shared" si="13"/>
        <v>#VALUE!</v>
      </c>
      <c r="H28" s="42"/>
      <c r="I28" s="41" t="e">
        <f>_xll.HPVAL($A28,$B$1,$I$1,$B$2,$B$3,$A$4)/1000+GrossMargin!I28-_xll.HPVAL($A28,$B$1,$I$2,$B$2,$B$3,$A$4)/1000</f>
        <v>#VALUE!</v>
      </c>
      <c r="J28" s="42">
        <f>GrossMargin!J28</f>
        <v>23</v>
      </c>
      <c r="K28" s="42" t="e">
        <f>GrossMargin!K28+GrossMargin!#REF!</f>
        <v>#REF!</v>
      </c>
      <c r="L28" s="87" t="e">
        <f t="shared" si="14"/>
        <v>#VALUE!</v>
      </c>
      <c r="M28" s="42" t="e">
        <f>_xll.HPVAL($A28,$B$1,$M$1,$B$2,$B$3,$A$4)/1000+Expenses!D26</f>
        <v>#VALUE!</v>
      </c>
      <c r="N28" s="43" t="e">
        <f>_xll.HPVAL($A28,$B$1,$N$1,$B$2,$B$3,$A$4)/1000+'CapChrg-AllocExp'!K27</f>
        <v>#VALUE!</v>
      </c>
      <c r="O28" s="87" t="e">
        <f t="shared" si="15"/>
        <v>#VALUE!</v>
      </c>
      <c r="P28" s="44"/>
      <c r="Q28" s="41" t="e">
        <f t="shared" si="16"/>
        <v>#VALUE!</v>
      </c>
      <c r="R28" s="42" t="e">
        <f t="shared" si="17"/>
        <v>#VALUE!</v>
      </c>
      <c r="S28" s="42" t="e">
        <f t="shared" si="18"/>
        <v>#VALUE!</v>
      </c>
      <c r="T28" s="66" t="e">
        <f t="shared" si="19"/>
        <v>#VALUE!</v>
      </c>
      <c r="V28" s="44">
        <f>_xll.HPVAL($A28,$A$1,V$1,$A$2,$B$3,$A$4)/1000</f>
        <v>115476.00000000003</v>
      </c>
      <c r="W28" s="44">
        <f>_xll.HPVAL($A28,$A$1,W$1,$A$2,$B$3,$A$4)/1000</f>
        <v>10061.103970024998</v>
      </c>
      <c r="X28" s="44">
        <f>_xll.HPVAL($A28,$A$1,X$1,$A$2,$B$3,$A$4)/1000</f>
        <v>16991.45</v>
      </c>
      <c r="Y28" s="44">
        <f>_xll.HPVAL($A28,$A$1,Y$1,$A$2,$B$3,$A$4)/1000</f>
        <v>13754.796618984576</v>
      </c>
      <c r="Z28" s="165">
        <f t="shared" si="20"/>
        <v>74668.64941099046</v>
      </c>
      <c r="AC28" s="73" t="e">
        <f>E28-Summary!#REF!</f>
        <v>#VALUE!</v>
      </c>
    </row>
    <row r="29" spans="1:29" ht="12" customHeight="1" x14ac:dyDescent="0.25">
      <c r="A29" s="25" t="s">
        <v>55</v>
      </c>
      <c r="B29" s="25" t="s">
        <v>90</v>
      </c>
      <c r="C29" s="29" t="s">
        <v>0</v>
      </c>
      <c r="D29" s="38"/>
      <c r="E29" s="41" t="e">
        <f t="shared" si="11"/>
        <v>#VALUE!</v>
      </c>
      <c r="F29" s="42">
        <f t="shared" si="12"/>
        <v>28023.013007925823</v>
      </c>
      <c r="G29" s="66" t="e">
        <f t="shared" si="13"/>
        <v>#VALUE!</v>
      </c>
      <c r="H29" s="42"/>
      <c r="I29" s="41" t="e">
        <f>_xll.HPVAL($A29,$B$1,$I$1,$B$2,$B$3,$A$4)/1000+_xll.HPVAL($B29,$B$1,$I$1,$B$2,$B$3,$A$4)/1000+GrossMargin!I29-_xll.HPVAL($A29,$B$1,$I$2,$B$2,$B$3,$A$4)/1000-_xll.HPVAL($B29,$B$1,$I$2,$B$2,$B$3,$A$4)/1000</f>
        <v>#VALUE!</v>
      </c>
      <c r="J29" s="42">
        <f>GrossMargin!J29</f>
        <v>0</v>
      </c>
      <c r="K29" s="42" t="e">
        <f>GrossMargin!K29+GrossMargin!#REF!</f>
        <v>#REF!</v>
      </c>
      <c r="L29" s="87" t="e">
        <f t="shared" si="14"/>
        <v>#VALUE!</v>
      </c>
      <c r="M29" s="42" t="e">
        <f>_xll.HPVAL($A29,$B$1,$M$1,$B$2,$B$3,$A$4)/1000+_xll.HPVAL($B29,$B$1,$M$1,$B$2,$B$3,$A$4)/1000+Expenses!D27</f>
        <v>#VALUE!</v>
      </c>
      <c r="N29" s="43" t="e">
        <f>_xll.HPVAL($A29,$B$1,$N$1,$B$2,$B$3,$A$4)/1000+_xll.HPVAL($B29,$B$1,$N$1,$B$2,$B$3,$A$4)/1000+'CapChrg-AllocExp'!K28</f>
        <v>#VALUE!</v>
      </c>
      <c r="O29" s="87" t="e">
        <f t="shared" si="15"/>
        <v>#VALUE!</v>
      </c>
      <c r="P29" s="44"/>
      <c r="Q29" s="41" t="e">
        <f t="shared" si="16"/>
        <v>#VALUE!</v>
      </c>
      <c r="R29" s="42" t="e">
        <f t="shared" si="17"/>
        <v>#VALUE!</v>
      </c>
      <c r="S29" s="42" t="e">
        <f t="shared" si="18"/>
        <v>#VALUE!</v>
      </c>
      <c r="T29" s="66" t="e">
        <f t="shared" si="19"/>
        <v>#VALUE!</v>
      </c>
      <c r="V29" s="44">
        <f>_xll.HPVAL($A29,$A$1,V$1,$A$2,$B$3,$A$4)/1000+_xll.HPVAL($B29,$A$1,V$1,$A$2,$B$3,$A$4)/1000</f>
        <v>50701.201431688081</v>
      </c>
      <c r="W29" s="44">
        <f>_xll.HPVAL($A29,$A$1,W$1,$A$2,$B$3,$A$4)/1000+_xll.HPVAL($B29,$A$1,W$1,$A$2,$B$3,$A$4)/1000</f>
        <v>6670.956002832917</v>
      </c>
      <c r="X29" s="44">
        <f>_xll.HPVAL($A29,$A$1,X$1,$A$2,$B$3,$A$4)/1000+_xll.HPVAL($B29,$A$1,X$1,$A$2,$B$3,$A$4)/1000</f>
        <v>10836.204</v>
      </c>
      <c r="Y29" s="44">
        <f>_xll.HPVAL($A29,$A$1,Y$1,$A$2,$B$3,$A$4)/1000+_xll.HPVAL($B29,$A$1,Y$1,$A$2,$B$3,$A$4)/1000</f>
        <v>5171.0284209293477</v>
      </c>
      <c r="Z29" s="165">
        <f t="shared" si="20"/>
        <v>28023.013007925823</v>
      </c>
      <c r="AC29" s="73" t="e">
        <f>E29-Summary!#REF!</f>
        <v>#VALUE!</v>
      </c>
    </row>
    <row r="30" spans="1:29" ht="12" customHeight="1" x14ac:dyDescent="0.25">
      <c r="A30" s="25" t="s">
        <v>51</v>
      </c>
      <c r="C30" s="29" t="s">
        <v>2</v>
      </c>
      <c r="D30" s="38"/>
      <c r="E30" s="41" t="e">
        <f>L30-M30-N30</f>
        <v>#VALUE!</v>
      </c>
      <c r="F30" s="42">
        <f>Z30</f>
        <v>7033.6969088232026</v>
      </c>
      <c r="G30" s="66" t="e">
        <f>ROUND(E30-F30,0)</f>
        <v>#VALUE!</v>
      </c>
      <c r="H30" s="42"/>
      <c r="I30" s="41" t="e">
        <f>_xll.HPVAL($A30,$B$1,$I$1,$B$2,$B$3,$A$4)/1000+GrossMargin!I31-_xll.HPVAL($A30,$B$1,$I$2,$B$2,$B$3,$A$4)/1000</f>
        <v>#VALUE!</v>
      </c>
      <c r="J30" s="42">
        <f>GrossMargin!J31</f>
        <v>0</v>
      </c>
      <c r="K30" s="42" t="e">
        <f>GrossMargin!K31+GrossMargin!#REF!</f>
        <v>#REF!</v>
      </c>
      <c r="L30" s="87" t="e">
        <f>SUM(I30:K30)</f>
        <v>#VALUE!</v>
      </c>
      <c r="M30" s="42" t="e">
        <f>_xll.HPVAL($A30,$B$1,$M$1,$B$2,$B$3,$A$4)/1000+Expenses!D29</f>
        <v>#VALUE!</v>
      </c>
      <c r="N30" s="43" t="e">
        <f>_xll.HPVAL($A30,$B$1,$N$1,$B$2,$B$3,$A$4)/1000+'CapChrg-AllocExp'!K30</f>
        <v>#VALUE!</v>
      </c>
      <c r="O30" s="87" t="e">
        <f>L30-M30-N30</f>
        <v>#VALUE!</v>
      </c>
      <c r="P30" s="44"/>
      <c r="Q30" s="41" t="e">
        <f>L30-(V30-X30)</f>
        <v>#VALUE!</v>
      </c>
      <c r="R30" s="42" t="e">
        <f>W30-M30</f>
        <v>#VALUE!</v>
      </c>
      <c r="S30" s="42" t="e">
        <f>Y30-N30</f>
        <v>#VALUE!</v>
      </c>
      <c r="T30" s="66" t="e">
        <f>ROUND(SUM(Q30:S30),0)</f>
        <v>#VALUE!</v>
      </c>
      <c r="V30" s="44">
        <f>_xll.HPVAL($A30,$A$1,V$1,$A$2,$B$3,$A$4)/1000</f>
        <v>21933.999999999996</v>
      </c>
      <c r="W30" s="44">
        <f>_xll.HPVAL($A30,$A$1,W$1,$A$2,$B$3,$A$4)/1000</f>
        <v>10317.216108713335</v>
      </c>
      <c r="X30" s="44">
        <f>_xll.HPVAL($A30,$A$1,X$1,$A$2,$B$3,$A$4)/1000</f>
        <v>1625.0219999999999</v>
      </c>
      <c r="Y30" s="44">
        <f>_xll.HPVAL($A30,$A$1,Y$1,$A$2,$B$3,$A$4)/1000</f>
        <v>2958.0649824634575</v>
      </c>
      <c r="Z30" s="165">
        <f>V30-W30-X30-Y30</f>
        <v>7033.6969088232026</v>
      </c>
      <c r="AC30" s="73" t="e">
        <f>E30-Summary!#REF!</f>
        <v>#VALUE!</v>
      </c>
    </row>
    <row r="31" spans="1:29" ht="12" customHeight="1" x14ac:dyDescent="0.25">
      <c r="C31" s="75" t="s">
        <v>3</v>
      </c>
      <c r="D31" s="38"/>
      <c r="E31" s="174" t="e">
        <f>SUM(E24:E30)</f>
        <v>#VALUE!</v>
      </c>
      <c r="F31" s="175">
        <f>SUM(F24:F30)</f>
        <v>259287.77050464111</v>
      </c>
      <c r="G31" s="177" t="e">
        <f>SUM(G24:G30)</f>
        <v>#VALUE!</v>
      </c>
      <c r="H31" s="42"/>
      <c r="I31" s="174" t="e">
        <f t="shared" ref="I31:N31" si="21">SUM(I24:I30)</f>
        <v>#VALUE!</v>
      </c>
      <c r="J31" s="175">
        <f t="shared" si="21"/>
        <v>62783</v>
      </c>
      <c r="K31" s="175" t="e">
        <f t="shared" si="21"/>
        <v>#REF!</v>
      </c>
      <c r="L31" s="178" t="e">
        <f t="shared" si="21"/>
        <v>#VALUE!</v>
      </c>
      <c r="M31" s="175" t="e">
        <f t="shared" si="21"/>
        <v>#VALUE!</v>
      </c>
      <c r="N31" s="177" t="e">
        <f t="shared" si="21"/>
        <v>#VALUE!</v>
      </c>
      <c r="O31" s="178" t="e">
        <f>L31-M31-N31</f>
        <v>#VALUE!</v>
      </c>
      <c r="P31" s="44"/>
      <c r="Q31" s="174" t="e">
        <f>SUM(Q24:Q30)</f>
        <v>#VALUE!</v>
      </c>
      <c r="R31" s="175" t="e">
        <f>SUM(R24:R30)</f>
        <v>#VALUE!</v>
      </c>
      <c r="S31" s="175" t="e">
        <f>SUM(S24:S30)</f>
        <v>#VALUE!</v>
      </c>
      <c r="T31" s="177" t="e">
        <f>SUM(T24:T30)</f>
        <v>#VALUE!</v>
      </c>
      <c r="V31" s="166">
        <f>SUM(V17:V30)</f>
        <v>880552.06941558397</v>
      </c>
      <c r="W31" s="166">
        <f>SUM(W17:W30)</f>
        <v>114553.48638530177</v>
      </c>
      <c r="X31" s="166">
        <f>SUM(X17:X30)</f>
        <v>39152.729997499999</v>
      </c>
      <c r="Y31" s="166">
        <f>SUM(Y17:Y30)</f>
        <v>149478.22747647049</v>
      </c>
      <c r="Z31" s="166">
        <f>SUM(Z17:Z30)</f>
        <v>577367.62555631192</v>
      </c>
      <c r="AC31" s="166" t="e">
        <f>SUM(AC17:AC30)</f>
        <v>#VALUE!</v>
      </c>
    </row>
    <row r="32" spans="1:29" ht="3" customHeight="1" x14ac:dyDescent="0.25">
      <c r="C32" s="29"/>
      <c r="D32" s="38"/>
      <c r="E32" s="41"/>
      <c r="F32" s="42"/>
      <c r="G32" s="66"/>
      <c r="H32" s="42"/>
      <c r="I32" s="41"/>
      <c r="J32" s="42"/>
      <c r="K32" s="42"/>
      <c r="L32" s="87"/>
      <c r="M32" s="42"/>
      <c r="N32" s="43"/>
      <c r="O32" s="87"/>
      <c r="P32" s="44"/>
      <c r="Q32" s="41"/>
      <c r="R32" s="42"/>
      <c r="S32" s="42"/>
      <c r="T32" s="66"/>
    </row>
    <row r="33" spans="1:29" ht="12" customHeight="1" x14ac:dyDescent="0.25">
      <c r="A33" s="25" t="s">
        <v>49</v>
      </c>
      <c r="C33" s="29" t="s">
        <v>48</v>
      </c>
      <c r="D33" s="38"/>
      <c r="E33" s="41" t="e">
        <f t="shared" si="11"/>
        <v>#VALUE!</v>
      </c>
      <c r="F33" s="42">
        <f t="shared" si="12"/>
        <v>-26192.715970459998</v>
      </c>
      <c r="G33" s="66" t="e">
        <f t="shared" si="13"/>
        <v>#VALUE!</v>
      </c>
      <c r="H33" s="42"/>
      <c r="I33" s="41" t="e">
        <f>_xll.HPVAL($A33,$B$1,$I$1,$B$2,$B$3,$A$4)/1000+GrossMargin!I35-_xll.HPVAL($A33,$B$1,$I$2,$B$2,$B$3,$A$4)/1000</f>
        <v>#VALUE!</v>
      </c>
      <c r="J33" s="42">
        <f>GrossMargin!J35</f>
        <v>0</v>
      </c>
      <c r="K33" s="42" t="e">
        <f>GrossMargin!K35+GrossMargin!#REF!</f>
        <v>#REF!</v>
      </c>
      <c r="L33" s="87" t="e">
        <f t="shared" si="14"/>
        <v>#VALUE!</v>
      </c>
      <c r="M33" s="42" t="e">
        <f>_xll.HPVAL($A33,$B$1,$M$1,$B$2,$B$3,$A$4)/1000+Expenses!D32</f>
        <v>#VALUE!</v>
      </c>
      <c r="N33" s="43" t="e">
        <f>_xll.HPVAL($A33,$B$1,$N$1,$B$2,$B$3,$A$4)/1000+'CapChrg-AllocExp'!K33</f>
        <v>#VALUE!</v>
      </c>
      <c r="O33" s="87" t="e">
        <f t="shared" si="15"/>
        <v>#VALUE!</v>
      </c>
      <c r="P33" s="44"/>
      <c r="Q33" s="41" t="e">
        <f t="shared" si="16"/>
        <v>#VALUE!</v>
      </c>
      <c r="R33" s="42" t="e">
        <f t="shared" si="17"/>
        <v>#VALUE!</v>
      </c>
      <c r="S33" s="42" t="e">
        <f t="shared" si="18"/>
        <v>#VALUE!</v>
      </c>
      <c r="T33" s="66" t="e">
        <f t="shared" si="19"/>
        <v>#VALUE!</v>
      </c>
      <c r="V33" s="44">
        <f>_xll.HPVAL($A33,$A$1,V$1,$A$2,$B$3,$A$4)/1000</f>
        <v>-15000</v>
      </c>
      <c r="W33" s="44">
        <f>_xll.HPVAL($A33,$A$1,W$1,$A$2,$B$3,$A$4)/1000</f>
        <v>1777.7159704599997</v>
      </c>
      <c r="X33" s="44">
        <f>_xll.HPVAL($A33,$A$1,X$1,$A$2,$B$3,$A$4)/1000</f>
        <v>9415</v>
      </c>
      <c r="Y33" s="44">
        <f>_xll.HPVAL($A33,$A$1,Y$1,$A$2,$B$3,$A$4)/1000</f>
        <v>0</v>
      </c>
      <c r="Z33" s="165">
        <f t="shared" si="20"/>
        <v>-26192.715970459998</v>
      </c>
      <c r="AC33" s="73" t="e">
        <f>E33-Summary!C32</f>
        <v>#VALUE!</v>
      </c>
    </row>
    <row r="34" spans="1:29" ht="12" customHeight="1" x14ac:dyDescent="0.25">
      <c r="A34" s="25" t="s">
        <v>52</v>
      </c>
      <c r="C34" s="29" t="s">
        <v>119</v>
      </c>
      <c r="D34" s="38"/>
      <c r="E34" s="41" t="e">
        <f>L34-M34-N34</f>
        <v>#VALUE!</v>
      </c>
      <c r="F34" s="42">
        <f>Z34</f>
        <v>-4257.7572296705011</v>
      </c>
      <c r="G34" s="66" t="e">
        <f>ROUND(E34-F34,0)</f>
        <v>#VALUE!</v>
      </c>
      <c r="H34" s="42"/>
      <c r="I34" s="41" t="e">
        <f>_xll.HPVAL($A34,$B$1,$I$1,$B$2,$B$3,$A$4)/1000+GrossMargin!I36-_xll.HPVAL($A34,$B$1,$I$2,$B$2,$B$3,$A$4)/1000</f>
        <v>#VALUE!</v>
      </c>
      <c r="J34" s="42">
        <f>GrossMargin!J36</f>
        <v>10000</v>
      </c>
      <c r="K34" s="42" t="e">
        <f>GrossMargin!K36+GrossMargin!#REF!</f>
        <v>#REF!</v>
      </c>
      <c r="L34" s="87" t="e">
        <f>SUM(I34:K34)</f>
        <v>#VALUE!</v>
      </c>
      <c r="M34" s="42" t="e">
        <f>_xll.HPVAL($A34,$B$1,$M$1,$B$2,$B$3,$A$4)/1000+Expenses!D33</f>
        <v>#VALUE!</v>
      </c>
      <c r="N34" s="43" t="e">
        <f>_xll.HPVAL($A34,$B$1,$N$1,$B$2,$B$3,$A$4)/1000+'CapChrg-AllocExp'!K34</f>
        <v>#VALUE!</v>
      </c>
      <c r="O34" s="87" t="e">
        <f>L34-M34-N34</f>
        <v>#VALUE!</v>
      </c>
      <c r="P34" s="44"/>
      <c r="Q34" s="41" t="e">
        <f>L34-(V34-X34)</f>
        <v>#VALUE!</v>
      </c>
      <c r="R34" s="42" t="e">
        <f>W34-M34</f>
        <v>#VALUE!</v>
      </c>
      <c r="S34" s="42" t="e">
        <f>Y34-N34</f>
        <v>#VALUE!</v>
      </c>
      <c r="T34" s="66" t="e">
        <f>ROUND(SUM(Q34:S34),0)</f>
        <v>#VALUE!</v>
      </c>
      <c r="V34" s="44">
        <f>_xll.HPVAL($A34,$A$1,V$1,$A$2,$B$3,$A$4)/1000</f>
        <v>10508</v>
      </c>
      <c r="W34" s="44">
        <f>_xll.HPVAL($A34,$A$1,W$1,$A$2,$B$3,$A$4)/1000</f>
        <v>2201.1656806400001</v>
      </c>
      <c r="X34" s="44">
        <f>_xll.HPVAL($A34,$A$1,X$1,$A$2,$B$3,$A$4)/1000</f>
        <v>8097.92</v>
      </c>
      <c r="Y34" s="44">
        <f>_xll.HPVAL($A34,$A$1,Y$1,$A$2,$B$3,$A$4)/1000</f>
        <v>4466.6715490305005</v>
      </c>
      <c r="Z34" s="165">
        <f>V34-W34-X34-Y34</f>
        <v>-4257.7572296705011</v>
      </c>
      <c r="AC34" s="73" t="e">
        <f>E34-Summary!#REF!</f>
        <v>#VALUE!</v>
      </c>
    </row>
    <row r="35" spans="1:29" ht="12" customHeight="1" x14ac:dyDescent="0.25">
      <c r="A35" s="25" t="s">
        <v>58</v>
      </c>
      <c r="C35" s="29" t="s">
        <v>150</v>
      </c>
      <c r="D35" s="38"/>
      <c r="E35" s="41" t="e">
        <f>L35-M35-N35</f>
        <v>#VALUE!</v>
      </c>
      <c r="F35" s="42">
        <f>Z35</f>
        <v>-86509.961185147346</v>
      </c>
      <c r="G35" s="66" t="e">
        <f>ROUND(E35-F35,0)</f>
        <v>#VALUE!</v>
      </c>
      <c r="H35" s="42"/>
      <c r="I35" s="41" t="e">
        <f>_xll.HPVAL($A35,$B$1,$I$1,$B$2,$B$3,$A$4)/1000+GrossMargin!I37-_xll.HPVAL($A35,$B$1,$I$2,$B$2,$B$3,$A$4)/1000</f>
        <v>#VALUE!</v>
      </c>
      <c r="J35" s="42">
        <f>GrossMargin!J37</f>
        <v>5593</v>
      </c>
      <c r="K35" s="42" t="e">
        <f>GrossMargin!K37+GrossMargin!#REF!</f>
        <v>#REF!</v>
      </c>
      <c r="L35" s="87" t="e">
        <f>SUM(I35:K35)</f>
        <v>#VALUE!</v>
      </c>
      <c r="M35" s="42" t="e">
        <f>_xll.HPVAL($A35,$B$1,$M$1,$B$2,$B$3,$A$4)/1000+Expenses!D34</f>
        <v>#VALUE!</v>
      </c>
      <c r="N35" s="43" t="e">
        <f>_xll.HPVAL($A35,$B$1,$N$1,$B$2,$B$3,$A$4)/1000+'CapChrg-AllocExp'!K35</f>
        <v>#VALUE!</v>
      </c>
      <c r="O35" s="87" t="e">
        <f>L35-M35-N35</f>
        <v>#VALUE!</v>
      </c>
      <c r="P35" s="44"/>
      <c r="Q35" s="41" t="e">
        <f>L35-(V35-X35)</f>
        <v>#VALUE!</v>
      </c>
      <c r="R35" s="42" t="e">
        <f>W35-M35</f>
        <v>#VALUE!</v>
      </c>
      <c r="S35" s="42" t="e">
        <f>Y35-N35</f>
        <v>#VALUE!</v>
      </c>
      <c r="T35" s="66" t="e">
        <f>ROUND(SUM(Q35:S35),0)</f>
        <v>#VALUE!</v>
      </c>
      <c r="V35" s="44">
        <f>_xll.HPVAL($A35,$A$1,V$1,$A$2,$B$3,$A$4)/1000</f>
        <v>-16291.989086124971</v>
      </c>
      <c r="W35" s="44">
        <f>_xll.HPVAL($A35,$A$1,W$1,$A$2,$B$3,$A$4)/1000</f>
        <v>12639.435875263332</v>
      </c>
      <c r="X35" s="44">
        <f>_xll.HPVAL($A35,$A$1,X$1,$A$2,$B$3,$A$4)/1000</f>
        <v>30494.170999999998</v>
      </c>
      <c r="Y35" s="44">
        <f>_xll.HPVAL($A35,$A$1,Y$1,$A$2,$B$3,$A$4)/1000</f>
        <v>27084.365223759043</v>
      </c>
      <c r="Z35" s="165">
        <f>V35-W35-X35-Y35</f>
        <v>-86509.961185147346</v>
      </c>
      <c r="AC35" s="73" t="e">
        <f>E35-Summary!#REF!</f>
        <v>#VALUE!</v>
      </c>
    </row>
    <row r="36" spans="1:29" ht="12" customHeight="1" x14ac:dyDescent="0.25">
      <c r="A36" s="25" t="s">
        <v>59</v>
      </c>
      <c r="C36" s="29" t="s">
        <v>151</v>
      </c>
      <c r="D36" s="38"/>
      <c r="E36" s="41" t="e">
        <f>L36-M36-N36</f>
        <v>#VALUE!</v>
      </c>
      <c r="F36" s="42">
        <f>Z36</f>
        <v>5144.77898</v>
      </c>
      <c r="G36" s="66" t="e">
        <f>ROUND(E36-F36,0)</f>
        <v>#VALUE!</v>
      </c>
      <c r="H36" s="42"/>
      <c r="I36" s="41" t="e">
        <f>_xll.HPVAL($A36,$B$1,$I$1,$B$2,$B$3,$A$4)/1000+GrossMargin!I38-_xll.HPVAL($A36,$B$1,$I$2,$B$2,$B$3,$A$4)/1000</f>
        <v>#VALUE!</v>
      </c>
      <c r="J36" s="42">
        <f>GrossMargin!J38</f>
        <v>0</v>
      </c>
      <c r="K36" s="42" t="e">
        <f>GrossMargin!K38+GrossMargin!#REF!</f>
        <v>#REF!</v>
      </c>
      <c r="L36" s="87" t="e">
        <f>SUM(I36:K36)</f>
        <v>#VALUE!</v>
      </c>
      <c r="M36" s="42" t="e">
        <f>_xll.HPVAL($A36,$B$1,$M$1,$B$2,$B$3,$A$4)/1000+Expenses!D35</f>
        <v>#VALUE!</v>
      </c>
      <c r="N36" s="43" t="e">
        <f>_xll.HPVAL($A36,$B$1,$N$1,$B$2,$B$3,$A$4)/1000+'CapChrg-AllocExp'!K36</f>
        <v>#VALUE!</v>
      </c>
      <c r="O36" s="87" t="e">
        <f>L36-M36-N36</f>
        <v>#VALUE!</v>
      </c>
      <c r="P36" s="44"/>
      <c r="Q36" s="41" t="e">
        <f>L36-(V36-X36)</f>
        <v>#VALUE!</v>
      </c>
      <c r="R36" s="42" t="e">
        <f>W36-M36</f>
        <v>#VALUE!</v>
      </c>
      <c r="S36" s="42" t="e">
        <f>Y36-N36</f>
        <v>#VALUE!</v>
      </c>
      <c r="T36" s="66" t="e">
        <f>ROUND(SUM(Q36:S36),0)</f>
        <v>#VALUE!</v>
      </c>
      <c r="V36" s="44">
        <f>_xll.HPVAL($A36,$A$1,V$1,$A$2,$B$3,$A$4)/1000</f>
        <v>10817</v>
      </c>
      <c r="W36" s="44">
        <f>_xll.HPVAL($A36,$A$1,W$1,$A$2,$B$3,$A$4)/1000</f>
        <v>1144.8490200000001</v>
      </c>
      <c r="X36" s="44">
        <f>_xll.HPVAL($A36,$A$1,X$1,$A$2,$B$3,$A$4)/1000</f>
        <v>0</v>
      </c>
      <c r="Y36" s="44">
        <f>_xll.HPVAL($A36,$A$1,Y$1,$A$2,$B$3,$A$4)/1000</f>
        <v>4527.3720000000003</v>
      </c>
      <c r="Z36" s="165">
        <f>V36-W36-X36-Y36</f>
        <v>5144.77898</v>
      </c>
      <c r="AC36" s="73" t="e">
        <f>E36-Summary!#REF!</f>
        <v>#VALUE!</v>
      </c>
    </row>
    <row r="37" spans="1:29" ht="12" customHeight="1" x14ac:dyDescent="0.25">
      <c r="C37" s="75" t="s">
        <v>143</v>
      </c>
      <c r="D37" s="38"/>
      <c r="E37" s="174" t="e">
        <f>SUM(E33:E36)</f>
        <v>#VALUE!</v>
      </c>
      <c r="F37" s="175">
        <f>SUM(F33:F36)</f>
        <v>-111815.65540527784</v>
      </c>
      <c r="G37" s="177" t="e">
        <f>SUM(G33:G36)</f>
        <v>#VALUE!</v>
      </c>
      <c r="H37" s="42"/>
      <c r="I37" s="174" t="e">
        <f t="shared" ref="I37:N37" si="22">SUM(I33:I36)</f>
        <v>#VALUE!</v>
      </c>
      <c r="J37" s="175">
        <f t="shared" si="22"/>
        <v>15593</v>
      </c>
      <c r="K37" s="175" t="e">
        <f t="shared" si="22"/>
        <v>#REF!</v>
      </c>
      <c r="L37" s="178" t="e">
        <f t="shared" si="22"/>
        <v>#VALUE!</v>
      </c>
      <c r="M37" s="175" t="e">
        <f t="shared" si="22"/>
        <v>#VALUE!</v>
      </c>
      <c r="N37" s="177" t="e">
        <f t="shared" si="22"/>
        <v>#VALUE!</v>
      </c>
      <c r="O37" s="178" t="e">
        <f>L37-M37-N37</f>
        <v>#VALUE!</v>
      </c>
      <c r="P37" s="44"/>
      <c r="Q37" s="174" t="e">
        <f>SUM(Q33:Q36)</f>
        <v>#VALUE!</v>
      </c>
      <c r="R37" s="175" t="e">
        <f>SUM(R33:R36)</f>
        <v>#VALUE!</v>
      </c>
      <c r="S37" s="175" t="e">
        <f>SUM(S33:S36)</f>
        <v>#VALUE!</v>
      </c>
      <c r="T37" s="177" t="e">
        <f>SUM(T33:T36)</f>
        <v>#VALUE!</v>
      </c>
      <c r="V37" s="166">
        <f>SUM(V30:V36)</f>
        <v>892519.08032945904</v>
      </c>
      <c r="W37" s="166">
        <f>SUM(W30:W36)</f>
        <v>142633.86904037843</v>
      </c>
      <c r="X37" s="166">
        <f>SUM(X30:X36)</f>
        <v>88784.842997499989</v>
      </c>
      <c r="Y37" s="166">
        <f>SUM(Y30:Y36)</f>
        <v>188514.70123172351</v>
      </c>
      <c r="Z37" s="166">
        <f>SUM(Z30:Z36)</f>
        <v>472585.66705985728</v>
      </c>
      <c r="AC37" s="166" t="e">
        <f>SUM(AC30:AC36)</f>
        <v>#VALUE!</v>
      </c>
    </row>
    <row r="38" spans="1:29" ht="3" customHeight="1" x14ac:dyDescent="0.25">
      <c r="C38" s="29"/>
      <c r="D38" s="38"/>
      <c r="E38" s="41"/>
      <c r="F38" s="42"/>
      <c r="G38" s="66"/>
      <c r="H38" s="42"/>
      <c r="I38" s="41"/>
      <c r="J38" s="42"/>
      <c r="K38" s="42"/>
      <c r="L38" s="87"/>
      <c r="M38" s="42"/>
      <c r="N38" s="43"/>
      <c r="O38" s="87"/>
      <c r="P38" s="44"/>
      <c r="Q38" s="41"/>
      <c r="R38" s="42"/>
      <c r="S38" s="42"/>
      <c r="T38" s="66"/>
    </row>
    <row r="39" spans="1:29" ht="12" customHeight="1" x14ac:dyDescent="0.25">
      <c r="A39" s="25" t="s">
        <v>56</v>
      </c>
      <c r="C39" s="29" t="s">
        <v>15</v>
      </c>
      <c r="D39" s="38"/>
      <c r="E39" s="41" t="e">
        <f>L39-M39-N39</f>
        <v>#VALUE!</v>
      </c>
      <c r="F39" s="42">
        <f>Z39</f>
        <v>47733.124401147514</v>
      </c>
      <c r="G39" s="66" t="e">
        <f>ROUND(E39-F39,0)</f>
        <v>#VALUE!</v>
      </c>
      <c r="H39" s="42"/>
      <c r="I39" s="41" t="e">
        <f>_xll.HPVAL($A39,$B$1,$I$1,$B$2,$B$3,$A$4)/1000+GrossMargin!I42-_xll.HPVAL($A39,$B$1,$I$2,$B$2,$B$3,$A$4)/1000</f>
        <v>#VALUE!</v>
      </c>
      <c r="J39" s="42">
        <f>GrossMargin!J42</f>
        <v>0</v>
      </c>
      <c r="K39" s="42" t="e">
        <f>GrossMargin!K42+GrossMargin!#REF!</f>
        <v>#REF!</v>
      </c>
      <c r="L39" s="87" t="e">
        <f>SUM(I39:K39)</f>
        <v>#VALUE!</v>
      </c>
      <c r="M39" s="42" t="e">
        <f>_xll.HPVAL($A39,$B$1,$M$1,$B$2,$B$3,$A$4)/1000+Expenses!D38</f>
        <v>#VALUE!</v>
      </c>
      <c r="N39" s="43" t="e">
        <f>_xll.HPVAL($A39,$B$1,$N$1,$B$2,$B$3,$A$4)/1000+'CapChrg-AllocExp'!K39</f>
        <v>#VALUE!</v>
      </c>
      <c r="O39" s="87" t="e">
        <f>L39-M39-N39</f>
        <v>#VALUE!</v>
      </c>
      <c r="P39" s="44"/>
      <c r="Q39" s="41" t="e">
        <f>L39-(V39-X39)</f>
        <v>#VALUE!</v>
      </c>
      <c r="R39" s="42" t="e">
        <f>W39-M39</f>
        <v>#VALUE!</v>
      </c>
      <c r="S39" s="42" t="e">
        <f>Y39-N39</f>
        <v>#VALUE!</v>
      </c>
      <c r="T39" s="66" t="e">
        <f>ROUND(SUM(Q39:S39),0)</f>
        <v>#VALUE!</v>
      </c>
      <c r="V39" s="44">
        <f>_xll.HPVAL($A39,$A$1,V$1,$A$2,$B$3,$A$4)/1000</f>
        <v>59008.230999999992</v>
      </c>
      <c r="W39" s="44">
        <f>_xll.HPVAL($A39,$A$1,W$1,$A$2,$B$3,$A$4)/1000</f>
        <v>2257.8725571499999</v>
      </c>
      <c r="X39" s="44">
        <f>_xll.HPVAL($A39,$A$1,X$1,$A$2,$B$3,$A$4)/1000</f>
        <v>3917.8609999999999</v>
      </c>
      <c r="Y39" s="44">
        <f>_xll.HPVAL($A39,$A$1,Y$1,$A$2,$B$3,$A$4)/1000</f>
        <v>5099.373041702479</v>
      </c>
      <c r="Z39" s="165">
        <f>V39-W39-X39-Y39</f>
        <v>47733.124401147514</v>
      </c>
      <c r="AC39" s="73" t="e">
        <f>E39-Summary!C38</f>
        <v>#VALUE!</v>
      </c>
    </row>
    <row r="40" spans="1:29" ht="12" customHeight="1" x14ac:dyDescent="0.25">
      <c r="A40" s="25" t="s">
        <v>57</v>
      </c>
      <c r="C40" s="29" t="s">
        <v>1</v>
      </c>
      <c r="D40" s="38"/>
      <c r="E40" s="41" t="e">
        <f>L40-M40-N40</f>
        <v>#VALUE!</v>
      </c>
      <c r="F40" s="42">
        <f>Z40</f>
        <v>-5195.9999044999995</v>
      </c>
      <c r="G40" s="66" t="e">
        <f>ROUND(E40-F40,0)</f>
        <v>#VALUE!</v>
      </c>
      <c r="H40" s="42"/>
      <c r="I40" s="41" t="e">
        <f>_xll.HPVAL($A40,$B$1,$I$1,$B$2,$B$3,$A$4)/1000+GrossMargin!I43-_xll.HPVAL($A40,$B$1,$I$2,$B$2,$B$3,$A$4)/1000</f>
        <v>#VALUE!</v>
      </c>
      <c r="J40" s="42">
        <f>GrossMargin!J43</f>
        <v>0</v>
      </c>
      <c r="K40" s="42" t="e">
        <f>GrossMargin!K43+GrossMargin!#REF!</f>
        <v>#REF!</v>
      </c>
      <c r="L40" s="87" t="e">
        <f>SUM(I40:K40)</f>
        <v>#VALUE!</v>
      </c>
      <c r="M40" s="42" t="e">
        <f>_xll.HPVAL($A40,$B$1,$M$1,$B$2,$B$3,$A$4)/1000+Expenses!D39</f>
        <v>#VALUE!</v>
      </c>
      <c r="N40" s="43" t="e">
        <f>_xll.HPVAL($A40,$B$1,$N$1,$B$2,$B$3,$A$4)/1000+'CapChrg-AllocExp'!K40</f>
        <v>#VALUE!</v>
      </c>
      <c r="O40" s="87" t="e">
        <f>L40-M40-N40</f>
        <v>#VALUE!</v>
      </c>
      <c r="P40" s="44"/>
      <c r="Q40" s="41" t="e">
        <f>L40-(V40-X40)</f>
        <v>#VALUE!</v>
      </c>
      <c r="R40" s="42" t="e">
        <f>W40-M40</f>
        <v>#VALUE!</v>
      </c>
      <c r="S40" s="42" t="e">
        <f>Y40-N40</f>
        <v>#VALUE!</v>
      </c>
      <c r="T40" s="66" t="e">
        <f>ROUND(SUM(Q40:S40),0)</f>
        <v>#VALUE!</v>
      </c>
      <c r="V40" s="44">
        <f>_xll.HPVAL($A40,$A$1,V$1,$A$2,$B$3,$A$4)/1000</f>
        <v>0</v>
      </c>
      <c r="W40" s="44">
        <f>_xll.HPVAL($A40,$A$1,W$1,$A$2,$B$3,$A$4)/1000</f>
        <v>0</v>
      </c>
      <c r="X40" s="44">
        <f>_xll.HPVAL($A40,$A$1,X$1,$A$2,$B$3,$A$4)/1000</f>
        <v>5195.9999044999995</v>
      </c>
      <c r="Y40" s="44">
        <f>_xll.HPVAL($A40,$A$1,Y$1,$A$2,$B$3,$A$4)/1000</f>
        <v>0</v>
      </c>
      <c r="Z40" s="165">
        <f>V40-W40-X40-Y40</f>
        <v>-5195.9999044999995</v>
      </c>
      <c r="AC40" s="73" t="e">
        <f>E40-Summary!C39</f>
        <v>#VALUE!</v>
      </c>
    </row>
    <row r="41" spans="1:29" ht="12" customHeight="1" x14ac:dyDescent="0.25">
      <c r="A41" s="25" t="s">
        <v>131</v>
      </c>
      <c r="C41" s="29" t="s">
        <v>129</v>
      </c>
      <c r="D41" s="38"/>
      <c r="E41" s="41" t="e">
        <f>L41-M41-N41</f>
        <v>#VALUE!</v>
      </c>
      <c r="F41" s="42">
        <f>Z41</f>
        <v>29227.192413793102</v>
      </c>
      <c r="G41" s="66" t="e">
        <f>ROUND(E41-F41,0)</f>
        <v>#VALUE!</v>
      </c>
      <c r="H41" s="42"/>
      <c r="I41" s="41" t="e">
        <f>_xll.HPVAL($A41,$B$1,$I$1,$B$2,$B$3,$A$4)/1000+GrossMargin!I44-_xll.HPVAL($A41,$B$1,$I$2,$B$2,$B$3,$A$4)/1000+335515</f>
        <v>#VALUE!</v>
      </c>
      <c r="J41" s="42">
        <f>GrossMargin!J44</f>
        <v>0</v>
      </c>
      <c r="K41" s="42" t="e">
        <f>GrossMargin!K44+GrossMargin!#REF!</f>
        <v>#REF!</v>
      </c>
      <c r="L41" s="87" t="e">
        <f>SUM(I41:K41)</f>
        <v>#VALUE!</v>
      </c>
      <c r="M41" s="42" t="e">
        <f>_xll.HPVAL($A41,$B$1,$M$1,$B$2,$B$3,$A$4)/1000+Expenses!D40</f>
        <v>#VALUE!</v>
      </c>
      <c r="N41" s="43" t="e">
        <f>_xll.HPVAL($A41,$B$1,$N$1,$B$2,$B$3,$A$4)/1000+'CapChrg-AllocExp'!K41</f>
        <v>#VALUE!</v>
      </c>
      <c r="O41" s="87" t="e">
        <f>L41-M41-N41</f>
        <v>#VALUE!</v>
      </c>
      <c r="P41" s="44"/>
      <c r="Q41" s="41" t="e">
        <f>L41-(V41-X41)</f>
        <v>#VALUE!</v>
      </c>
      <c r="R41" s="42" t="e">
        <f>W41-M41</f>
        <v>#VALUE!</v>
      </c>
      <c r="S41" s="42" t="e">
        <f>Y41-N41</f>
        <v>#VALUE!</v>
      </c>
      <c r="T41" s="66" t="e">
        <f>ROUND(SUM(Q41:S41),0)</f>
        <v>#VALUE!</v>
      </c>
      <c r="V41" s="44">
        <f>_xll.HPVAL($A41,$A$1,V$1,$A$2,$B$3,$A$4)/1000</f>
        <v>31591.5</v>
      </c>
      <c r="W41" s="44">
        <f>_xll.HPVAL($A41,$A$1,W$1,$A$2,$B$3,$A$4)/1000</f>
        <v>2364.3075862068972</v>
      </c>
      <c r="X41" s="44">
        <f>_xll.HPVAL($A41,$A$1,X$1,$A$2,$B$3,$A$4)/1000</f>
        <v>0</v>
      </c>
      <c r="Y41" s="44">
        <f>_xll.HPVAL($A41,$A$1,Y$1,$A$2,$B$3,$A$4)/1000</f>
        <v>0</v>
      </c>
      <c r="Z41" s="165">
        <f>V41-W41-X41-Y41</f>
        <v>29227.192413793102</v>
      </c>
      <c r="AC41" s="73" t="e">
        <f>E41-Summary!C40</f>
        <v>#VALUE!</v>
      </c>
    </row>
    <row r="42" spans="1:29" ht="12" customHeight="1" x14ac:dyDescent="0.25">
      <c r="C42" s="75" t="s">
        <v>144</v>
      </c>
      <c r="D42" s="38"/>
      <c r="E42" s="174" t="e">
        <f>SUM(E39:E41)</f>
        <v>#VALUE!</v>
      </c>
      <c r="F42" s="175">
        <f>SUM(F39:F41)</f>
        <v>71764.316910440612</v>
      </c>
      <c r="G42" s="177" t="e">
        <f>SUM(G39:G41)</f>
        <v>#VALUE!</v>
      </c>
      <c r="H42" s="42"/>
      <c r="I42" s="174" t="e">
        <f t="shared" ref="I42:N42" si="23">SUM(I39:I41)</f>
        <v>#VALUE!</v>
      </c>
      <c r="J42" s="175">
        <f t="shared" si="23"/>
        <v>0</v>
      </c>
      <c r="K42" s="175" t="e">
        <f t="shared" si="23"/>
        <v>#REF!</v>
      </c>
      <c r="L42" s="178" t="e">
        <f t="shared" si="23"/>
        <v>#VALUE!</v>
      </c>
      <c r="M42" s="175" t="e">
        <f t="shared" si="23"/>
        <v>#VALUE!</v>
      </c>
      <c r="N42" s="177" t="e">
        <f t="shared" si="23"/>
        <v>#VALUE!</v>
      </c>
      <c r="O42" s="178" t="e">
        <f>L42-M42-N42</f>
        <v>#VALUE!</v>
      </c>
      <c r="P42" s="44"/>
      <c r="Q42" s="174" t="e">
        <f>SUM(Q39:Q41)</f>
        <v>#VALUE!</v>
      </c>
      <c r="R42" s="175" t="e">
        <f>SUM(R39:R41)</f>
        <v>#VALUE!</v>
      </c>
      <c r="S42" s="175" t="e">
        <f>SUM(S39:S41)</f>
        <v>#VALUE!</v>
      </c>
      <c r="T42" s="177" t="e">
        <f>SUM(T39:T41)</f>
        <v>#VALUE!</v>
      </c>
      <c r="V42" s="166">
        <f>SUM(V39:V41)</f>
        <v>90599.731</v>
      </c>
      <c r="W42" s="166">
        <f>SUM(W39:W41)</f>
        <v>4622.1801433568971</v>
      </c>
      <c r="X42" s="166">
        <f>SUM(X39:X41)</f>
        <v>9113.8609044999994</v>
      </c>
      <c r="Y42" s="166">
        <f>SUM(Y39:Y41)</f>
        <v>5099.373041702479</v>
      </c>
      <c r="Z42" s="166">
        <f>SUM(Z39:Z41)</f>
        <v>71764.316910440612</v>
      </c>
      <c r="AC42" s="166" t="e">
        <f>SUM(AC39:AC41)</f>
        <v>#VALUE!</v>
      </c>
    </row>
    <row r="43" spans="1:29" ht="3" customHeight="1" x14ac:dyDescent="0.25">
      <c r="C43" s="29"/>
      <c r="D43" s="38"/>
      <c r="E43" s="41"/>
      <c r="F43" s="42"/>
      <c r="G43" s="66"/>
      <c r="H43" s="42"/>
      <c r="I43" s="41"/>
      <c r="J43" s="42"/>
      <c r="K43" s="42"/>
      <c r="L43" s="87"/>
      <c r="M43" s="42"/>
      <c r="N43" s="43"/>
      <c r="O43" s="87"/>
      <c r="P43" s="44"/>
      <c r="Q43" s="41"/>
      <c r="R43" s="42"/>
      <c r="S43" s="42"/>
      <c r="T43" s="66"/>
    </row>
    <row r="44" spans="1:29" ht="12" customHeight="1" x14ac:dyDescent="0.25">
      <c r="A44" s="25" t="s">
        <v>126</v>
      </c>
      <c r="C44" s="29" t="s">
        <v>29</v>
      </c>
      <c r="D44" s="38"/>
      <c r="E44" s="41" t="e">
        <f>L44-M44-N44</f>
        <v>#VALUE!</v>
      </c>
      <c r="F44" s="42">
        <f>Z44</f>
        <v>31187.161394280833</v>
      </c>
      <c r="G44" s="66" t="e">
        <f>ROUND(E44-F44,0)</f>
        <v>#VALUE!</v>
      </c>
      <c r="H44" s="42"/>
      <c r="I44" s="41" t="e">
        <f>_xll.HPVAL($A44,$B$1,$I$1,$B$2,$B$3,$A$4)/1000+GrossMargin!#REF!</f>
        <v>#VALUE!</v>
      </c>
      <c r="J44" s="42" t="e">
        <f>GrossMargin!#REF!</f>
        <v>#REF!</v>
      </c>
      <c r="K44" s="42" t="e">
        <f>GrossMargin!#REF!+GrossMargin!#REF!</f>
        <v>#REF!</v>
      </c>
      <c r="L44" s="87" t="e">
        <f>SUM(I44:K44)</f>
        <v>#VALUE!</v>
      </c>
      <c r="M44" s="42" t="e">
        <f>_xll.HPVAL($A56,$B$1,$M$1,$B$2,$B$3,$A$4)/1000+Expenses!D43</f>
        <v>#VALUE!</v>
      </c>
      <c r="N44" s="43" t="e">
        <f>_xll.HPVAL($A44,$B$1,$N$1,$B$2,$B$3,$A$4)/1000+'CapChrg-AllocExp'!#REF!</f>
        <v>#VALUE!</v>
      </c>
      <c r="O44" s="87" t="e">
        <f>L44-M44-N44</f>
        <v>#VALUE!</v>
      </c>
      <c r="P44" s="44"/>
      <c r="Q44" s="41" t="e">
        <f>L44-(V44-X44)</f>
        <v>#VALUE!</v>
      </c>
      <c r="R44" s="42" t="e">
        <f>W44-M44</f>
        <v>#VALUE!</v>
      </c>
      <c r="S44" s="42" t="e">
        <f>Y44-N44</f>
        <v>#VALUE!</v>
      </c>
      <c r="T44" s="66" t="e">
        <f>ROUND(SUM(Q44:S44),0)</f>
        <v>#VALUE!</v>
      </c>
      <c r="V44" s="44">
        <f>_xll.HPVAL($A44,$A$1,V$1,$A$2,$B$3,$A$4)/1000</f>
        <v>35000.000000000007</v>
      </c>
      <c r="W44" s="44">
        <f>_xll.HPVAL($A56,$A$1,W$1,$A$2,$B$3,$A$4)/1000</f>
        <v>3463.9994999999999</v>
      </c>
      <c r="X44" s="44">
        <v>0</v>
      </c>
      <c r="Y44" s="44">
        <f>_xll.HPVAL($A44,$A$1,Y$1,$A$2,$B$3,$A$4)/1000</f>
        <v>348.83910571917613</v>
      </c>
      <c r="Z44" s="165">
        <f>V44-W44-X44-Y44</f>
        <v>31187.161394280833</v>
      </c>
      <c r="AC44" s="73" t="e">
        <f>E44-Summary!#REF!</f>
        <v>#VALUE!</v>
      </c>
    </row>
    <row r="45" spans="1:29" ht="3" customHeight="1" x14ac:dyDescent="0.25">
      <c r="C45" s="29"/>
      <c r="D45" s="38"/>
      <c r="E45" s="41"/>
      <c r="F45" s="42"/>
      <c r="G45" s="66"/>
      <c r="H45" s="42"/>
      <c r="I45" s="41"/>
      <c r="J45" s="42"/>
      <c r="K45" s="42"/>
      <c r="L45" s="87"/>
      <c r="M45" s="42"/>
      <c r="N45" s="43"/>
      <c r="O45" s="87"/>
      <c r="P45" s="44"/>
      <c r="Q45" s="64"/>
      <c r="R45" s="65"/>
      <c r="S45" s="65"/>
      <c r="T45" s="66"/>
    </row>
    <row r="46" spans="1:29" ht="12" customHeight="1" x14ac:dyDescent="0.25">
      <c r="A46" s="25" t="s">
        <v>61</v>
      </c>
      <c r="C46" s="29" t="s">
        <v>14</v>
      </c>
      <c r="D46" s="38"/>
      <c r="E46" s="41" t="e">
        <f>L46-M46-N46</f>
        <v>#VALUE!</v>
      </c>
      <c r="F46" s="42">
        <f>Z46</f>
        <v>-6194.8089441888342</v>
      </c>
      <c r="G46" s="66" t="e">
        <f>ROUND(E46-F46,0)</f>
        <v>#VALUE!</v>
      </c>
      <c r="H46" s="42"/>
      <c r="I46" s="41" t="e">
        <f>_xll.HPVAL($A46,$B$1,$I$1,$B$2,$B$3,$A$4)/1000+GrossMargin!I48</f>
        <v>#VALUE!</v>
      </c>
      <c r="J46" s="42">
        <f>GrossMargin!J48</f>
        <v>0</v>
      </c>
      <c r="K46" s="42" t="e">
        <f>GrossMargin!K48+GrossMargin!#REF!</f>
        <v>#REF!</v>
      </c>
      <c r="L46" s="87" t="e">
        <f>SUM(I46:K46)</f>
        <v>#VALUE!</v>
      </c>
      <c r="M46" s="42" t="e">
        <f>_xll.HPVAL($A46,$B$1,$M$1,$B$2,$B$3,$A$4)/1000+Expenses!#REF!</f>
        <v>#VALUE!</v>
      </c>
      <c r="N46" s="43" t="e">
        <f>_xll.HPVAL($A46,$B$1,$N$1,$B$2,$B$3,$A$4)/1000+'CapChrg-AllocExp'!K44</f>
        <v>#VALUE!</v>
      </c>
      <c r="O46" s="87" t="e">
        <f>L46-M46-N46</f>
        <v>#VALUE!</v>
      </c>
      <c r="P46" s="44"/>
      <c r="Q46" s="41" t="e">
        <f>L46-(V46-X46)</f>
        <v>#VALUE!</v>
      </c>
      <c r="R46" s="42" t="e">
        <f>W46-M46</f>
        <v>#VALUE!</v>
      </c>
      <c r="S46" s="42" t="e">
        <f>Y46-N46</f>
        <v>#VALUE!</v>
      </c>
      <c r="T46" s="66" t="e">
        <f>ROUND(SUM(Q46:S46),0)</f>
        <v>#VALUE!</v>
      </c>
      <c r="V46" s="44">
        <f>_xll.HPVAL($A46,$A$1,V$1,$A$2,$B$3,$A$4)/1000</f>
        <v>0</v>
      </c>
      <c r="W46" s="44">
        <f>_xll.HPVAL($A46,$A$1,W$1,$A$2,$B$3,$A$4)/1000</f>
        <v>4045.3207099842493</v>
      </c>
      <c r="X46" s="44">
        <f>_xll.HPVAL($A46,$A$1,X$1,$A$2,$B$3,$A$4)/1000</f>
        <v>0</v>
      </c>
      <c r="Y46" s="44">
        <f>_xll.HPVAL($A46,$A$1,Y$1,$A$2,$B$3,$A$4)/1000</f>
        <v>2149.4882342045848</v>
      </c>
      <c r="Z46" s="165">
        <f>V46-W46-X46-Y46</f>
        <v>-6194.8089441888342</v>
      </c>
      <c r="AC46" s="73" t="e">
        <f>E46-Summary!C43</f>
        <v>#VALUE!</v>
      </c>
    </row>
    <row r="47" spans="1:29" ht="3" customHeight="1" x14ac:dyDescent="0.25">
      <c r="C47" s="29"/>
      <c r="D47" s="38"/>
      <c r="E47" s="41"/>
      <c r="F47" s="42"/>
      <c r="G47" s="66"/>
      <c r="H47" s="42"/>
      <c r="I47" s="41"/>
      <c r="J47" s="42"/>
      <c r="K47" s="42"/>
      <c r="L47" s="87"/>
      <c r="M47" s="42"/>
      <c r="N47" s="43"/>
      <c r="O47" s="87"/>
      <c r="P47" s="44"/>
      <c r="Q47" s="41"/>
      <c r="R47" s="42"/>
      <c r="S47" s="42"/>
      <c r="T47" s="66"/>
    </row>
    <row r="48" spans="1:29" ht="12" customHeight="1" x14ac:dyDescent="0.25">
      <c r="A48" s="25" t="s">
        <v>62</v>
      </c>
      <c r="C48" s="29" t="s">
        <v>13</v>
      </c>
      <c r="D48" s="38"/>
      <c r="E48" s="41" t="e">
        <f>L48-M48-N48</f>
        <v>#VALUE!</v>
      </c>
      <c r="F48" s="42">
        <f>Z48</f>
        <v>-19259.100105547641</v>
      </c>
      <c r="G48" s="66" t="e">
        <f>ROUND(E48-F48,0)</f>
        <v>#VALUE!</v>
      </c>
      <c r="H48" s="42"/>
      <c r="I48" s="41" t="e">
        <f>_xll.HPVAL($A48,$B$1,$I$1,$B$2,$B$3,$A$4)/1000+GrossMargin!I50</f>
        <v>#VALUE!</v>
      </c>
      <c r="J48" s="42">
        <f>GrossMargin!J50</f>
        <v>0</v>
      </c>
      <c r="K48" s="42" t="e">
        <f>GrossMargin!K50+GrossMargin!#REF!</f>
        <v>#REF!</v>
      </c>
      <c r="L48" s="87" t="e">
        <f>SUM(I48:K48)</f>
        <v>#VALUE!</v>
      </c>
      <c r="M48" s="42" t="e">
        <f>_xll.HPVAL($A48,$B$1,$M$1,$B$2,$B$3,$A$4)/1000+Expenses!D45</f>
        <v>#VALUE!</v>
      </c>
      <c r="N48" s="43" t="e">
        <f>_xll.HPVAL($A48,$B$1,$N$1,$B$2,$B$3,$A$4)/1000+'CapChrg-AllocExp'!K46</f>
        <v>#VALUE!</v>
      </c>
      <c r="O48" s="87" t="e">
        <f>L48-M48-N48</f>
        <v>#VALUE!</v>
      </c>
      <c r="P48" s="44"/>
      <c r="Q48" s="41" t="e">
        <f>L48-(V48-X48)</f>
        <v>#VALUE!</v>
      </c>
      <c r="R48" s="42" t="e">
        <f>W48-M48</f>
        <v>#VALUE!</v>
      </c>
      <c r="S48" s="42" t="e">
        <f>Y48-N48</f>
        <v>#VALUE!</v>
      </c>
      <c r="T48" s="66" t="e">
        <f>ROUND(SUM(Q48:S48),0)</f>
        <v>#VALUE!</v>
      </c>
      <c r="V48" s="44">
        <v>0</v>
      </c>
      <c r="W48" s="44">
        <f>_xll.HPVAL($A48,$A$1,W$1,$A$2,$B$3,$A$4)/1000</f>
        <v>7166.1971948000019</v>
      </c>
      <c r="X48" s="44">
        <f>_xll.HPVAL($A48,$A$1,X$1,$A$2,$B$3,$A$4)/1000</f>
        <v>0</v>
      </c>
      <c r="Y48" s="44">
        <f>_xll.HPVAL($A48,$A$1,Y$1,$A$2,$B$3,$A$4)/1000</f>
        <v>12092.90291074764</v>
      </c>
      <c r="Z48" s="165">
        <f>V48-W48-X48-Y48</f>
        <v>-19259.100105547641</v>
      </c>
      <c r="AC48" s="73" t="e">
        <f>E48-Summary!C45</f>
        <v>#VALUE!</v>
      </c>
    </row>
    <row r="49" spans="1:29" ht="3" customHeight="1" x14ac:dyDescent="0.25">
      <c r="C49" s="29"/>
      <c r="D49" s="38"/>
      <c r="E49" s="41"/>
      <c r="F49" s="42"/>
      <c r="G49" s="66"/>
      <c r="H49" s="42"/>
      <c r="I49" s="41"/>
      <c r="J49" s="42"/>
      <c r="K49" s="42"/>
      <c r="L49" s="87"/>
      <c r="M49" s="42"/>
      <c r="N49" s="43"/>
      <c r="O49" s="87"/>
      <c r="P49" s="44"/>
      <c r="Q49" s="41"/>
      <c r="R49" s="42"/>
      <c r="S49" s="42"/>
      <c r="T49" s="66"/>
    </row>
    <row r="50" spans="1:29" s="69" customFormat="1" ht="12" customHeight="1" x14ac:dyDescent="0.25">
      <c r="A50" s="68"/>
      <c r="B50" s="68"/>
      <c r="C50" s="75" t="s">
        <v>17</v>
      </c>
      <c r="D50" s="70"/>
      <c r="E50" s="174" t="e">
        <f>SUM(E42:E48)+E22+E31+E37</f>
        <v>#VALUE!</v>
      </c>
      <c r="F50" s="175">
        <f>SUM(F42:F48)+F22+F31+F37</f>
        <v>539258.01511559356</v>
      </c>
      <c r="G50" s="177" t="e">
        <f>SUM(G42:G48)+G22+G31+G37</f>
        <v>#VALUE!</v>
      </c>
      <c r="H50" s="67"/>
      <c r="I50" s="174" t="e">
        <f t="shared" ref="I50:N50" si="24">SUM(I42:I48)+I22+I31+I37</f>
        <v>#VALUE!</v>
      </c>
      <c r="J50" s="175" t="e">
        <f t="shared" si="24"/>
        <v>#REF!</v>
      </c>
      <c r="K50" s="175" t="e">
        <f t="shared" si="24"/>
        <v>#REF!</v>
      </c>
      <c r="L50" s="178" t="e">
        <f t="shared" si="24"/>
        <v>#VALUE!</v>
      </c>
      <c r="M50" s="175" t="e">
        <f t="shared" si="24"/>
        <v>#VALUE!</v>
      </c>
      <c r="N50" s="177" t="e">
        <f t="shared" si="24"/>
        <v>#VALUE!</v>
      </c>
      <c r="O50" s="178" t="e">
        <f>L50-M50-N50</f>
        <v>#VALUE!</v>
      </c>
      <c r="P50" s="71"/>
      <c r="Q50" s="174" t="e">
        <f>SUM(Q42:Q48)+Q22+Q31+Q37</f>
        <v>#VALUE!</v>
      </c>
      <c r="R50" s="175" t="e">
        <f>SUM(R42:R48)+R22+R31+R37</f>
        <v>#VALUE!</v>
      </c>
      <c r="S50" s="175" t="e">
        <f>SUM(S42:S48)+S22+S31+S37</f>
        <v>#VALUE!</v>
      </c>
      <c r="T50" s="177" t="e">
        <f>SUM(T42:T48)+T22+T31+T37</f>
        <v>#VALUE!</v>
      </c>
      <c r="V50" s="167" t="e">
        <f>SUM(V42:V48)+#REF!+V22</f>
        <v>#REF!</v>
      </c>
      <c r="W50" s="167" t="e">
        <f>SUM(W42:W48)+#REF!+W22</f>
        <v>#REF!</v>
      </c>
      <c r="X50" s="167" t="e">
        <f>SUM(X42:X48)+#REF!+X22</f>
        <v>#REF!</v>
      </c>
      <c r="Y50" s="167" t="e">
        <f>SUM(Y42:Y48)+#REF!+Y22</f>
        <v>#REF!</v>
      </c>
      <c r="Z50" s="167" t="e">
        <f>SUM(Z42:Z48)+#REF!+Z22</f>
        <v>#REF!</v>
      </c>
      <c r="AC50" s="167" t="e">
        <f>SUM(AC42:AC48)+#REF!+AC22</f>
        <v>#VALUE!</v>
      </c>
    </row>
    <row r="51" spans="1:29" ht="3" customHeight="1" x14ac:dyDescent="0.25">
      <c r="C51" s="29"/>
      <c r="D51" s="38"/>
      <c r="E51" s="41"/>
      <c r="F51" s="42"/>
      <c r="G51" s="66"/>
      <c r="H51" s="42"/>
      <c r="I51" s="41"/>
      <c r="J51" s="42"/>
      <c r="K51" s="42"/>
      <c r="L51" s="87"/>
      <c r="M51" s="42"/>
      <c r="N51" s="43"/>
      <c r="O51" s="87"/>
      <c r="P51" s="44"/>
      <c r="Q51" s="41"/>
      <c r="R51" s="42"/>
      <c r="S51" s="42"/>
      <c r="T51" s="66"/>
    </row>
    <row r="52" spans="1:29" ht="12" customHeight="1" x14ac:dyDescent="0.25">
      <c r="A52" s="25" t="s">
        <v>63</v>
      </c>
      <c r="C52" s="29" t="s">
        <v>71</v>
      </c>
      <c r="D52" s="38"/>
      <c r="E52" s="41" t="e">
        <f>L52-M52-N52</f>
        <v>#VALUE!</v>
      </c>
      <c r="F52" s="42">
        <f>Z52</f>
        <v>-190598.17765167652</v>
      </c>
      <c r="G52" s="66" t="e">
        <f>ROUND(E52-F52,0)</f>
        <v>#VALUE!</v>
      </c>
      <c r="H52" s="42"/>
      <c r="I52" s="41"/>
      <c r="J52" s="42"/>
      <c r="K52" s="42"/>
      <c r="L52" s="87"/>
      <c r="M52" s="42">
        <f>259233+Expenses!D49</f>
        <v>322573</v>
      </c>
      <c r="N52" s="43" t="e">
        <f>_xll.HPVAL($A52,$B$1,$N$1,$B$2,$B$3,$A$4)/1000-'CapChrg-AllocExp'!K50+3</f>
        <v>#VALUE!</v>
      </c>
      <c r="O52" s="87" t="e">
        <f>L52-M52-N52</f>
        <v>#VALUE!</v>
      </c>
      <c r="P52" s="44"/>
      <c r="Q52" s="41">
        <f>L52-(V52-X52)</f>
        <v>0</v>
      </c>
      <c r="R52" s="42">
        <f>W52-M52</f>
        <v>67615.582310581114</v>
      </c>
      <c r="S52" s="42" t="e">
        <f>Y52-N52</f>
        <v>#VALUE!</v>
      </c>
      <c r="T52" s="66" t="e">
        <f>ROUND(SUM(Q52:S52),0)</f>
        <v>#VALUE!</v>
      </c>
      <c r="V52" s="44">
        <f>_xll.HPVAL($A52,$A$1,V$1,$A$2,$B$3,$A$4)/1000</f>
        <v>0</v>
      </c>
      <c r="W52" s="44">
        <f>_xll.HPVAL($A52,$A$1,W$1,$A$2,$B$3,$A$4)/1000</f>
        <v>390188.58231058111</v>
      </c>
      <c r="X52" s="44">
        <f>_xll.HPVAL($A52,$A$1,X$1,$A$2,$B$3,$A$4)/1000</f>
        <v>0</v>
      </c>
      <c r="Y52" s="44">
        <f>_xll.HPVAL($A52,$A$1,Y$1,$A$2,$B$3,$A$4)/1000</f>
        <v>-199590.40465890459</v>
      </c>
      <c r="Z52" s="165">
        <f>V52-W52-X52-Y52</f>
        <v>-190598.17765167652</v>
      </c>
      <c r="AC52" s="73" t="e">
        <f>E52-Summary!C49</f>
        <v>#VALUE!</v>
      </c>
    </row>
    <row r="53" spans="1:29" ht="3" customHeight="1" x14ac:dyDescent="0.25">
      <c r="C53" s="29"/>
      <c r="D53" s="38"/>
      <c r="E53" s="41"/>
      <c r="F53" s="42"/>
      <c r="G53" s="66"/>
      <c r="H53" s="42"/>
      <c r="I53" s="41"/>
      <c r="J53" s="42"/>
      <c r="K53" s="42"/>
      <c r="L53" s="87"/>
      <c r="M53" s="42"/>
      <c r="N53" s="43"/>
      <c r="O53" s="87"/>
      <c r="P53" s="44"/>
      <c r="Q53" s="41"/>
      <c r="R53" s="42"/>
      <c r="S53" s="42"/>
      <c r="T53" s="66"/>
    </row>
    <row r="54" spans="1:29" ht="12" customHeight="1" x14ac:dyDescent="0.25">
      <c r="A54" s="25" t="s">
        <v>64</v>
      </c>
      <c r="C54" s="29" t="s">
        <v>26</v>
      </c>
      <c r="D54" s="38"/>
      <c r="E54" s="41" t="e">
        <f>L54-M54-N54</f>
        <v>#VALUE!</v>
      </c>
      <c r="F54" s="42">
        <f>Z54</f>
        <v>-100124.508</v>
      </c>
      <c r="G54" s="66" t="e">
        <f>ROUND(E54-F54,0)</f>
        <v>#VALUE!</v>
      </c>
      <c r="H54" s="65"/>
      <c r="I54" s="41"/>
      <c r="J54" s="42"/>
      <c r="K54" s="42"/>
      <c r="L54" s="87"/>
      <c r="M54" s="42" t="e">
        <f>_xll.HPVAL($A54,$B$1,$M$1,$B$2,$B$3,$A$4)/1000+Expenses!D51</f>
        <v>#VALUE!</v>
      </c>
      <c r="N54" s="43"/>
      <c r="O54" s="87" t="e">
        <f>L54-M54-N54</f>
        <v>#VALUE!</v>
      </c>
      <c r="P54" s="44"/>
      <c r="Q54" s="41">
        <f>L54-(V54-X54)</f>
        <v>0</v>
      </c>
      <c r="R54" s="42" t="e">
        <f>W54-M54</f>
        <v>#VALUE!</v>
      </c>
      <c r="S54" s="42">
        <f>Y54-N54</f>
        <v>0</v>
      </c>
      <c r="T54" s="66" t="e">
        <f>ROUND(SUM(Q54:S54),0)</f>
        <v>#VALUE!</v>
      </c>
      <c r="V54" s="44">
        <f>_xll.HPVAL($A54,$A$1,V$1,$A$2,$B$3,$A$4)/1000</f>
        <v>0</v>
      </c>
      <c r="W54" s="44">
        <f>_xll.HPVAL($A54,$A$1,W$1,$A$2,$B$3,$A$4)/1000</f>
        <v>100124.508</v>
      </c>
      <c r="X54" s="44">
        <f>_xll.HPVAL($A54,$A$1,X$1,$A$2,$B$3,$A$4)/1000</f>
        <v>0</v>
      </c>
      <c r="Y54" s="44">
        <f>_xll.HPVAL($A54,$A$1,Y$1,$A$2,$B$3,$A$4)/1000</f>
        <v>0</v>
      </c>
      <c r="Z54" s="165">
        <f>V54-W54-X54-Y54</f>
        <v>-100124.508</v>
      </c>
      <c r="AC54" s="73" t="e">
        <f>E54-Summary!C51</f>
        <v>#VALUE!</v>
      </c>
    </row>
    <row r="55" spans="1:29" ht="3" customHeight="1" x14ac:dyDescent="0.25">
      <c r="C55" s="29"/>
      <c r="D55" s="38"/>
      <c r="E55" s="41"/>
      <c r="F55" s="42"/>
      <c r="G55" s="66"/>
      <c r="H55" s="42"/>
      <c r="I55" s="41"/>
      <c r="J55" s="42"/>
      <c r="K55" s="42"/>
      <c r="L55" s="87"/>
      <c r="M55" s="42"/>
      <c r="N55" s="43"/>
      <c r="O55" s="87"/>
      <c r="P55" s="44"/>
      <c r="Q55" s="41"/>
      <c r="R55" s="42"/>
      <c r="S55" s="42"/>
      <c r="T55" s="66"/>
    </row>
    <row r="56" spans="1:29" ht="12" customHeight="1" x14ac:dyDescent="0.25">
      <c r="A56" s="25" t="s">
        <v>65</v>
      </c>
      <c r="C56" s="29" t="s">
        <v>84</v>
      </c>
      <c r="D56" s="38"/>
      <c r="E56" s="41" t="e">
        <f>L56-M56-N56</f>
        <v>#REF!</v>
      </c>
      <c r="F56" s="42">
        <f>Z56</f>
        <v>96273.682000000001</v>
      </c>
      <c r="G56" s="66" t="e">
        <f>ROUND(E56-F56,0)</f>
        <v>#REF!</v>
      </c>
      <c r="H56" s="42"/>
      <c r="I56" s="41" t="e">
        <f>62444+GrossMargin!#REF!</f>
        <v>#REF!</v>
      </c>
      <c r="J56" s="42"/>
      <c r="K56" s="42" t="e">
        <f>GrossMargin!#REF!</f>
        <v>#REF!</v>
      </c>
      <c r="L56" s="87" t="e">
        <f>SUM(I56:K56)</f>
        <v>#REF!</v>
      </c>
      <c r="M56" s="42"/>
      <c r="N56" s="43"/>
      <c r="O56" s="87" t="e">
        <f>L56-M56-N56</f>
        <v>#REF!</v>
      </c>
      <c r="P56" s="44"/>
      <c r="Q56" s="41" t="e">
        <f>L56-(V56-X56)</f>
        <v>#REF!</v>
      </c>
      <c r="R56" s="42">
        <f>W56-M56</f>
        <v>0</v>
      </c>
      <c r="S56" s="42">
        <f>Y56-N56</f>
        <v>0</v>
      </c>
      <c r="T56" s="66" t="e">
        <f>ROUND(SUM(Q56:S56),0)</f>
        <v>#REF!</v>
      </c>
      <c r="V56" s="44">
        <v>0</v>
      </c>
      <c r="W56" s="44">
        <v>0</v>
      </c>
      <c r="X56" s="44">
        <f>_xll.HPVAL($A56,$A$1,X$1,$A$2,$B$3,$A$4)/1000</f>
        <v>-96273.682000000001</v>
      </c>
      <c r="Y56" s="44">
        <v>0</v>
      </c>
      <c r="Z56" s="165">
        <f>V56-W56-X56-Y56</f>
        <v>96273.682000000001</v>
      </c>
      <c r="AC56" s="73" t="e">
        <f>E56-Summary!C53</f>
        <v>#REF!</v>
      </c>
    </row>
    <row r="57" spans="1:29" ht="3" customHeight="1" x14ac:dyDescent="0.25">
      <c r="C57" s="29"/>
      <c r="D57" s="38"/>
      <c r="E57" s="41"/>
      <c r="F57" s="42"/>
      <c r="G57" s="66"/>
      <c r="H57" s="42"/>
      <c r="I57" s="41"/>
      <c r="J57" s="42"/>
      <c r="K57" s="42"/>
      <c r="L57" s="87"/>
      <c r="M57" s="42"/>
      <c r="N57" s="43"/>
      <c r="O57" s="87"/>
      <c r="P57" s="44"/>
      <c r="Q57" s="41"/>
      <c r="R57" s="42"/>
      <c r="S57" s="42"/>
      <c r="T57" s="66">
        <f>ROUND(SUM(Q57:S57),0)</f>
        <v>0</v>
      </c>
    </row>
    <row r="58" spans="1:29" ht="12" customHeight="1" x14ac:dyDescent="0.25">
      <c r="C58" s="29" t="s">
        <v>27</v>
      </c>
      <c r="D58" s="38"/>
      <c r="E58" s="41"/>
      <c r="F58" s="42">
        <f>Z58</f>
        <v>138187</v>
      </c>
      <c r="G58" s="66">
        <f>ROUND(E58-F58,0)</f>
        <v>-138187</v>
      </c>
      <c r="H58" s="42"/>
      <c r="I58" s="41"/>
      <c r="J58" s="42"/>
      <c r="K58" s="42"/>
      <c r="L58" s="87"/>
      <c r="M58" s="42"/>
      <c r="N58" s="43"/>
      <c r="O58" s="87">
        <f>L58-M58-N58</f>
        <v>0</v>
      </c>
      <c r="P58" s="44"/>
      <c r="Q58" s="41">
        <f>L58-(V58-X58)</f>
        <v>-138187</v>
      </c>
      <c r="R58" s="42">
        <f>W58-M58</f>
        <v>0</v>
      </c>
      <c r="S58" s="42">
        <f>Y58-N58</f>
        <v>0</v>
      </c>
      <c r="T58" s="66">
        <f>ROUND(SUM(Q58:S58),0)</f>
        <v>-138187</v>
      </c>
      <c r="V58" s="44">
        <v>138187</v>
      </c>
      <c r="W58" s="44"/>
      <c r="X58" s="44"/>
      <c r="Y58" s="44"/>
      <c r="Z58" s="165">
        <f>V58-W58-X58-Y58</f>
        <v>138187</v>
      </c>
      <c r="AC58" s="73">
        <f>E58-Summary!C55</f>
        <v>0</v>
      </c>
    </row>
    <row r="59" spans="1:29" ht="3" customHeight="1" x14ac:dyDescent="0.25">
      <c r="C59" s="29"/>
      <c r="D59" s="38"/>
      <c r="E59" s="41"/>
      <c r="F59" s="42"/>
      <c r="G59" s="66"/>
      <c r="H59" s="42"/>
      <c r="I59" s="41"/>
      <c r="J59" s="42"/>
      <c r="K59" s="42"/>
      <c r="L59" s="87"/>
      <c r="M59" s="42"/>
      <c r="N59" s="43"/>
      <c r="O59" s="87"/>
      <c r="P59" s="44"/>
      <c r="Q59" s="41"/>
      <c r="R59" s="42"/>
      <c r="S59" s="42"/>
      <c r="T59" s="66"/>
    </row>
    <row r="60" spans="1:29" ht="12" customHeight="1" x14ac:dyDescent="0.25">
      <c r="C60" s="75" t="s">
        <v>92</v>
      </c>
      <c r="D60" s="38"/>
      <c r="E60" s="174" t="e">
        <f>SUM(E50:E58)</f>
        <v>#VALUE!</v>
      </c>
      <c r="F60" s="175">
        <f>SUM(F50:F58)</f>
        <v>482996.01146391704</v>
      </c>
      <c r="G60" s="177" t="e">
        <f>SUM(G50:G58)</f>
        <v>#VALUE!</v>
      </c>
      <c r="H60" s="42"/>
      <c r="I60" s="174" t="e">
        <f t="shared" ref="I60:N60" si="25">SUM(I50:I58)</f>
        <v>#VALUE!</v>
      </c>
      <c r="J60" s="175" t="e">
        <f t="shared" si="25"/>
        <v>#REF!</v>
      </c>
      <c r="K60" s="175" t="e">
        <f t="shared" si="25"/>
        <v>#REF!</v>
      </c>
      <c r="L60" s="178" t="e">
        <f t="shared" si="25"/>
        <v>#VALUE!</v>
      </c>
      <c r="M60" s="175" t="e">
        <f t="shared" si="25"/>
        <v>#VALUE!</v>
      </c>
      <c r="N60" s="177" t="e">
        <f t="shared" si="25"/>
        <v>#VALUE!</v>
      </c>
      <c r="O60" s="178" t="e">
        <f>L60-M60-N60</f>
        <v>#VALUE!</v>
      </c>
      <c r="P60" s="44"/>
      <c r="Q60" s="174" t="e">
        <f>SUM(Q50:Q58)</f>
        <v>#VALUE!</v>
      </c>
      <c r="R60" s="175" t="e">
        <f>SUM(R50:R58)</f>
        <v>#VALUE!</v>
      </c>
      <c r="S60" s="175" t="e">
        <f>SUM(S50:S58)</f>
        <v>#VALUE!</v>
      </c>
      <c r="T60" s="177" t="e">
        <f>SUM(T50:T58)</f>
        <v>#VALUE!</v>
      </c>
      <c r="V60" s="168" t="e">
        <f>SUM(V50:V58)</f>
        <v>#REF!</v>
      </c>
      <c r="W60" s="168" t="e">
        <f>SUM(W50:W58)</f>
        <v>#REF!</v>
      </c>
      <c r="X60" s="168" t="e">
        <f>SUM(X50:X58)</f>
        <v>#REF!</v>
      </c>
      <c r="Y60" s="168" t="e">
        <f>SUM(Y50:Y58)</f>
        <v>#REF!</v>
      </c>
      <c r="Z60" s="168" t="e">
        <f>SUM(Z50:Z58)</f>
        <v>#REF!</v>
      </c>
      <c r="AC60" s="168" t="e">
        <f>SUM(AC50:AC58)</f>
        <v>#VALUE!</v>
      </c>
    </row>
    <row r="61" spans="1:29" ht="3" customHeight="1" x14ac:dyDescent="0.25">
      <c r="C61" s="29"/>
      <c r="D61" s="38"/>
      <c r="E61" s="41"/>
      <c r="F61" s="42"/>
      <c r="G61" s="66"/>
      <c r="H61" s="42"/>
      <c r="I61" s="41"/>
      <c r="J61" s="42"/>
      <c r="K61" s="42"/>
      <c r="L61" s="87"/>
      <c r="M61" s="42"/>
      <c r="N61" s="43"/>
      <c r="O61" s="87"/>
      <c r="P61" s="44"/>
      <c r="Q61" s="41"/>
      <c r="R61" s="42"/>
      <c r="S61" s="42"/>
      <c r="T61" s="66"/>
    </row>
    <row r="62" spans="1:29" ht="12" customHeight="1" x14ac:dyDescent="0.25">
      <c r="C62" s="29" t="s">
        <v>28</v>
      </c>
      <c r="D62" s="38"/>
      <c r="E62" s="41">
        <f>L62-M62-N62</f>
        <v>-12500</v>
      </c>
      <c r="F62" s="42">
        <f>Z62</f>
        <v>-24200</v>
      </c>
      <c r="G62" s="66">
        <f>ROUND(E62-F62,0)</f>
        <v>11700</v>
      </c>
      <c r="H62" s="42"/>
      <c r="I62" s="41"/>
      <c r="J62" s="42"/>
      <c r="K62" s="42"/>
      <c r="L62" s="87"/>
      <c r="M62" s="42">
        <f>12500+Summary!M59</f>
        <v>12500</v>
      </c>
      <c r="N62" s="43"/>
      <c r="O62" s="87">
        <f>L62-M62-N62</f>
        <v>-12500</v>
      </c>
      <c r="P62" s="44"/>
      <c r="Q62" s="41">
        <f>L62-(V62-X62)</f>
        <v>0</v>
      </c>
      <c r="R62" s="42">
        <f>W62-M62</f>
        <v>11700</v>
      </c>
      <c r="S62" s="42">
        <f>Y62-N62</f>
        <v>0</v>
      </c>
      <c r="T62" s="66">
        <f>ROUND(SUM(Q62:S62),0)</f>
        <v>11700</v>
      </c>
      <c r="V62" s="44"/>
      <c r="W62" s="44">
        <v>24200</v>
      </c>
      <c r="X62" s="44"/>
      <c r="Y62" s="44"/>
      <c r="Z62" s="165">
        <f>V62-W62-X62-Y62</f>
        <v>-24200</v>
      </c>
      <c r="AC62" s="73">
        <f>E62-Summary!C59</f>
        <v>-12500</v>
      </c>
    </row>
    <row r="63" spans="1:29" ht="3" customHeight="1" x14ac:dyDescent="0.25">
      <c r="C63" s="29"/>
      <c r="D63" s="38"/>
      <c r="E63" s="41"/>
      <c r="F63" s="42"/>
      <c r="G63" s="66"/>
      <c r="H63" s="42"/>
      <c r="I63" s="41"/>
      <c r="J63" s="42"/>
      <c r="K63" s="42"/>
      <c r="L63" s="87"/>
      <c r="M63" s="42"/>
      <c r="N63" s="43"/>
      <c r="O63" s="87"/>
      <c r="P63" s="44"/>
      <c r="Q63" s="41"/>
      <c r="R63" s="42"/>
      <c r="S63" s="42"/>
      <c r="T63" s="66"/>
    </row>
    <row r="64" spans="1:29" ht="12" customHeight="1" x14ac:dyDescent="0.25">
      <c r="C64" s="75" t="s">
        <v>93</v>
      </c>
      <c r="D64" s="38"/>
      <c r="E64" s="125" t="e">
        <f>SUM(E60:E62)</f>
        <v>#VALUE!</v>
      </c>
      <c r="F64" s="126">
        <f>SUM(F60:F62)</f>
        <v>458796.01146391704</v>
      </c>
      <c r="G64" s="127" t="e">
        <f>SUM(G60:G62)</f>
        <v>#VALUE!</v>
      </c>
      <c r="H64" s="42"/>
      <c r="I64" s="125" t="e">
        <f t="shared" ref="I64:N64" si="26">SUM(I60:I62)</f>
        <v>#VALUE!</v>
      </c>
      <c r="J64" s="126" t="e">
        <f t="shared" si="26"/>
        <v>#REF!</v>
      </c>
      <c r="K64" s="126" t="e">
        <f t="shared" si="26"/>
        <v>#REF!</v>
      </c>
      <c r="L64" s="128" t="e">
        <f t="shared" si="26"/>
        <v>#VALUE!</v>
      </c>
      <c r="M64" s="126" t="e">
        <f t="shared" si="26"/>
        <v>#VALUE!</v>
      </c>
      <c r="N64" s="127" t="e">
        <f t="shared" si="26"/>
        <v>#VALUE!</v>
      </c>
      <c r="O64" s="128" t="e">
        <f>L64-M64-N64</f>
        <v>#VALUE!</v>
      </c>
      <c r="P64" s="44"/>
      <c r="Q64" s="125" t="e">
        <f>SUM(Q60:Q62)</f>
        <v>#VALUE!</v>
      </c>
      <c r="R64" s="126" t="e">
        <f>SUM(R60:R62)</f>
        <v>#VALUE!</v>
      </c>
      <c r="S64" s="126" t="e">
        <f>SUM(S60:S62)</f>
        <v>#VALUE!</v>
      </c>
      <c r="T64" s="127" t="e">
        <f>SUM(T60:T62)</f>
        <v>#VALUE!</v>
      </c>
      <c r="V64" s="167" t="e">
        <f>SUM(V60:V62)</f>
        <v>#REF!</v>
      </c>
      <c r="W64" s="167" t="e">
        <f>SUM(W60:W62)</f>
        <v>#REF!</v>
      </c>
      <c r="X64" s="167" t="e">
        <f>SUM(X60:X62)</f>
        <v>#REF!</v>
      </c>
      <c r="Y64" s="167" t="e">
        <f>SUM(Y60:Y62)</f>
        <v>#REF!</v>
      </c>
      <c r="Z64" s="167" t="e">
        <f>SUM(Z60:Z62)</f>
        <v>#REF!</v>
      </c>
      <c r="AC64" s="167" t="e">
        <f>SUM(AC60:AC62)</f>
        <v>#VALUE!</v>
      </c>
    </row>
    <row r="65" spans="1:22" s="38" customFormat="1" ht="3" customHeight="1" x14ac:dyDescent="0.25">
      <c r="A65" s="25"/>
      <c r="B65" s="25"/>
      <c r="C65" s="48"/>
      <c r="D65" s="36"/>
      <c r="E65" s="49"/>
      <c r="F65" s="50"/>
      <c r="G65" s="51"/>
      <c r="H65" s="42"/>
      <c r="I65" s="52"/>
      <c r="J65" s="53"/>
      <c r="K65" s="53"/>
      <c r="L65" s="48"/>
      <c r="M65" s="53"/>
      <c r="N65" s="54"/>
      <c r="O65" s="48"/>
      <c r="Q65" s="52"/>
      <c r="R65" s="53"/>
      <c r="S65" s="53"/>
      <c r="T65" s="54"/>
    </row>
    <row r="66" spans="1:22" ht="13.5" x14ac:dyDescent="0.25">
      <c r="C66" s="55"/>
      <c r="E66" s="44"/>
      <c r="F66" s="44"/>
      <c r="G66" s="44"/>
      <c r="H66" s="44"/>
    </row>
    <row r="67" spans="1:22" x14ac:dyDescent="0.25">
      <c r="E67" s="44"/>
      <c r="F67" s="44"/>
      <c r="G67" s="44"/>
      <c r="H67" s="44"/>
      <c r="V67" s="165"/>
    </row>
    <row r="68" spans="1:22" x14ac:dyDescent="0.25">
      <c r="E68" s="44"/>
      <c r="F68" s="44"/>
      <c r="G68" s="44"/>
      <c r="H68" s="44"/>
    </row>
    <row r="69" spans="1:22" x14ac:dyDescent="0.25">
      <c r="E69" s="44"/>
      <c r="F69" s="44"/>
      <c r="G69" s="44"/>
      <c r="H69" s="44"/>
    </row>
    <row r="70" spans="1:22" x14ac:dyDescent="0.25">
      <c r="E70" s="44"/>
      <c r="F70" s="44"/>
      <c r="G70" s="44"/>
      <c r="H70" s="44"/>
    </row>
    <row r="71" spans="1:22" x14ac:dyDescent="0.25">
      <c r="E71" s="44"/>
      <c r="F71" s="44"/>
      <c r="G71" s="44"/>
      <c r="H71" s="44"/>
    </row>
    <row r="72" spans="1:22" x14ac:dyDescent="0.25">
      <c r="E72" s="44"/>
      <c r="F72" s="44"/>
      <c r="G72" s="44"/>
      <c r="H72" s="44"/>
    </row>
    <row r="73" spans="1:22" x14ac:dyDescent="0.25">
      <c r="E73" s="44"/>
      <c r="F73" s="44"/>
      <c r="G73" s="44"/>
      <c r="H73" s="44"/>
    </row>
    <row r="74" spans="1:22" x14ac:dyDescent="0.25">
      <c r="E74" s="44"/>
      <c r="F74" s="44"/>
      <c r="G74" s="44"/>
      <c r="H74" s="44"/>
      <c r="Q74" s="27">
        <f>L74-(V74-X74)</f>
        <v>0</v>
      </c>
    </row>
    <row r="75" spans="1:22" x14ac:dyDescent="0.25">
      <c r="E75" s="44"/>
      <c r="F75" s="44"/>
      <c r="G75" s="44"/>
      <c r="H75" s="44"/>
    </row>
    <row r="76" spans="1:22" x14ac:dyDescent="0.25">
      <c r="E76" s="44"/>
      <c r="F76" s="44"/>
      <c r="G76" s="44"/>
      <c r="H76" s="44"/>
    </row>
    <row r="77" spans="1:22" x14ac:dyDescent="0.25">
      <c r="E77" s="44"/>
      <c r="F77" s="44"/>
      <c r="G77" s="44"/>
      <c r="H77" s="44"/>
    </row>
    <row r="78" spans="1:22" x14ac:dyDescent="0.25">
      <c r="E78" s="44"/>
      <c r="F78" s="44"/>
      <c r="G78" s="44"/>
      <c r="H78" s="44"/>
    </row>
    <row r="79" spans="1:22" x14ac:dyDescent="0.25">
      <c r="E79" s="44"/>
      <c r="F79" s="44"/>
      <c r="G79" s="44"/>
      <c r="H79" s="44"/>
    </row>
    <row r="80" spans="1:22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  <row r="90" spans="5:8" x14ac:dyDescent="0.25">
      <c r="E90" s="44"/>
      <c r="F90" s="44"/>
      <c r="G90" s="44"/>
      <c r="H90" s="44"/>
    </row>
  </sheetData>
  <mergeCells count="6">
    <mergeCell ref="C3:T3"/>
    <mergeCell ref="C4:T4"/>
    <mergeCell ref="C5:T5"/>
    <mergeCell ref="E7:G7"/>
    <mergeCell ref="Q7:T7"/>
    <mergeCell ref="I7:O7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9"/>
  <sheetViews>
    <sheetView topLeftCell="C3" workbookViewId="0">
      <selection activeCell="C7" sqref="C7"/>
    </sheetView>
  </sheetViews>
  <sheetFormatPr defaultRowHeight="12.75" x14ac:dyDescent="0.25"/>
  <cols>
    <col min="1" max="1" width="13.85546875" style="25" hidden="1" customWidth="1"/>
    <col min="2" max="2" width="9.140625" style="25" hidden="1" customWidth="1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2" width="0.85546875" style="27" customWidth="1"/>
    <col min="13" max="15" width="7.7109375" style="27" customWidth="1"/>
    <col min="16" max="16" width="0.85546875" style="27" customWidth="1"/>
    <col min="17" max="19" width="7.7109375" style="27" customWidth="1"/>
    <col min="20" max="20" width="0.85546875" style="27" customWidth="1"/>
    <col min="21" max="23" width="7.7109375" style="27" customWidth="1"/>
    <col min="24" max="16384" width="9.140625" style="27"/>
  </cols>
  <sheetData>
    <row r="1" spans="1:23" s="25" customFormat="1" hidden="1" x14ac:dyDescent="0.25">
      <c r="A1" s="25" t="s">
        <v>137</v>
      </c>
      <c r="E1" s="25" t="s">
        <v>91</v>
      </c>
      <c r="F1" s="25" t="s">
        <v>170</v>
      </c>
      <c r="G1" s="176">
        <v>36586</v>
      </c>
      <c r="I1" s="25" t="s">
        <v>91</v>
      </c>
      <c r="J1" s="25" t="s">
        <v>170</v>
      </c>
      <c r="K1" s="176">
        <v>36678</v>
      </c>
      <c r="M1" s="25" t="s">
        <v>91</v>
      </c>
      <c r="N1" s="25" t="s">
        <v>170</v>
      </c>
      <c r="O1" s="176">
        <v>36770</v>
      </c>
      <c r="Q1" s="25" t="s">
        <v>91</v>
      </c>
      <c r="R1" s="25" t="s">
        <v>170</v>
      </c>
      <c r="S1" s="176">
        <v>36861</v>
      </c>
      <c r="W1" s="176"/>
    </row>
    <row r="2" spans="1:23" hidden="1" x14ac:dyDescent="0.25">
      <c r="A2" s="26" t="s">
        <v>138</v>
      </c>
      <c r="B2" s="26"/>
      <c r="E2" s="176"/>
      <c r="I2" s="176"/>
      <c r="M2" s="176"/>
      <c r="Q2" s="176"/>
      <c r="U2" s="176"/>
    </row>
    <row r="3" spans="1:23" ht="15.75" x14ac:dyDescent="0.25">
      <c r="A3" s="25" t="s">
        <v>69</v>
      </c>
      <c r="C3" s="240" t="s">
        <v>24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16.5" x14ac:dyDescent="0.3">
      <c r="C4" s="241" t="s">
        <v>188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</row>
    <row r="5" spans="1:23" ht="13.5" x14ac:dyDescent="0.25"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</row>
    <row r="6" spans="1:23" ht="3" customHeight="1" x14ac:dyDescent="0.25"/>
    <row r="7" spans="1:23" ht="12" customHeight="1" x14ac:dyDescent="0.25">
      <c r="C7" s="28"/>
      <c r="E7" s="243" t="s">
        <v>136</v>
      </c>
      <c r="F7" s="244"/>
      <c r="G7" s="245"/>
      <c r="I7" s="243" t="s">
        <v>140</v>
      </c>
      <c r="J7" s="244"/>
      <c r="K7" s="245"/>
      <c r="M7" s="243" t="s">
        <v>141</v>
      </c>
      <c r="N7" s="244"/>
      <c r="O7" s="245"/>
      <c r="Q7" s="243" t="s">
        <v>142</v>
      </c>
      <c r="R7" s="244"/>
      <c r="S7" s="245"/>
      <c r="U7" s="243" t="s">
        <v>21</v>
      </c>
      <c r="V7" s="244"/>
      <c r="W7" s="245"/>
    </row>
    <row r="8" spans="1:23" ht="12" customHeight="1" x14ac:dyDescent="0.25">
      <c r="C8" s="29"/>
      <c r="E8" s="78"/>
      <c r="F8" s="79"/>
      <c r="G8" s="80"/>
      <c r="I8" s="78"/>
      <c r="J8" s="79"/>
      <c r="K8" s="80"/>
      <c r="M8" s="78"/>
      <c r="N8" s="79"/>
      <c r="O8" s="80"/>
      <c r="Q8" s="78"/>
      <c r="R8" s="79"/>
      <c r="S8" s="80"/>
      <c r="U8" s="78"/>
      <c r="V8" s="79"/>
      <c r="W8" s="80"/>
    </row>
    <row r="9" spans="1:23" ht="12" customHeight="1" x14ac:dyDescent="0.25">
      <c r="C9" s="32" t="s">
        <v>23</v>
      </c>
      <c r="D9" s="29"/>
      <c r="E9" s="33" t="s">
        <v>123</v>
      </c>
      <c r="F9" s="34" t="s">
        <v>22</v>
      </c>
      <c r="G9" s="35" t="s">
        <v>30</v>
      </c>
      <c r="H9" s="36"/>
      <c r="I9" s="33" t="s">
        <v>123</v>
      </c>
      <c r="J9" s="34" t="s">
        <v>22</v>
      </c>
      <c r="K9" s="35" t="s">
        <v>30</v>
      </c>
      <c r="L9" s="36"/>
      <c r="M9" s="33" t="s">
        <v>123</v>
      </c>
      <c r="N9" s="34" t="s">
        <v>22</v>
      </c>
      <c r="O9" s="35" t="s">
        <v>30</v>
      </c>
      <c r="P9" s="36"/>
      <c r="Q9" s="33" t="s">
        <v>86</v>
      </c>
      <c r="R9" s="34" t="s">
        <v>22</v>
      </c>
      <c r="S9" s="35" t="s">
        <v>30</v>
      </c>
      <c r="T9" s="36"/>
      <c r="U9" s="33" t="s">
        <v>86</v>
      </c>
      <c r="V9" s="34" t="s">
        <v>22</v>
      </c>
      <c r="W9" s="35" t="s">
        <v>30</v>
      </c>
    </row>
    <row r="10" spans="1:23" ht="3" customHeight="1" x14ac:dyDescent="0.25">
      <c r="C10" s="28"/>
      <c r="D10" s="38"/>
      <c r="E10" s="39"/>
      <c r="F10" s="40"/>
      <c r="G10" s="30"/>
      <c r="H10" s="38"/>
      <c r="I10" s="39"/>
      <c r="J10" s="40"/>
      <c r="K10" s="30"/>
      <c r="L10" s="38"/>
      <c r="M10" s="39"/>
      <c r="N10" s="40"/>
      <c r="O10" s="30"/>
      <c r="P10" s="38"/>
      <c r="Q10" s="39"/>
      <c r="R10" s="40"/>
      <c r="S10" s="30"/>
      <c r="T10" s="38"/>
      <c r="U10" s="39"/>
      <c r="V10" s="40"/>
      <c r="W10" s="30"/>
    </row>
    <row r="11" spans="1:23" ht="12" customHeight="1" x14ac:dyDescent="0.25">
      <c r="A11" s="25" t="s">
        <v>38</v>
      </c>
      <c r="C11" s="29" t="s">
        <v>5</v>
      </c>
      <c r="D11" s="38"/>
      <c r="E11" s="59">
        <f>ROUND(_xll.HPVAL($A11,E$1,$A$1,G$1,$A$2,$A$3)/1000,0)</f>
        <v>0</v>
      </c>
      <c r="F11" s="60">
        <f>ROUND(_xll.HPVAL($A11,F$1,$A$1,G$1,$A$2,$A$3)/1000,0)</f>
        <v>25487</v>
      </c>
      <c r="G11" s="66">
        <f t="shared" ref="G11:G20" si="0">ROUND(E11-F11,0)</f>
        <v>-25487</v>
      </c>
      <c r="H11" s="42"/>
      <c r="I11" s="59">
        <f>ROUND(_xll.HPVAL($A11,I$1,$A$1,K$1,$A$2,$A$3)/1000,0)</f>
        <v>0</v>
      </c>
      <c r="J11" s="60">
        <f>ROUND(_xll.HPVAL($A11,J$1,$A$1,K$1,$A$2,$A$3)/1000,0)</f>
        <v>26809</v>
      </c>
      <c r="K11" s="66">
        <f t="shared" ref="K11:K20" si="1">ROUND(I11-J11,0)</f>
        <v>-26809</v>
      </c>
      <c r="L11" s="42"/>
      <c r="M11" s="59">
        <f>ROUND(_xll.HPVAL($A11,M$1,$A$1,O$1,$A$2,$A$3)/1000,0)</f>
        <v>0</v>
      </c>
      <c r="N11" s="60">
        <f>ROUND(_xll.HPVAL($A11,N$1,$A$1,O$1,$A$2,$A$3)/1000,0)</f>
        <v>26535</v>
      </c>
      <c r="O11" s="66">
        <f t="shared" ref="O11:O20" si="2">ROUND(M11-N11,0)</f>
        <v>-26535</v>
      </c>
      <c r="P11" s="42"/>
      <c r="Q11" s="59">
        <f>ROUND(_xll.HPVAL($A11,Q$1,$A$1,S$1,$A$2,$A$3)/1000,0)</f>
        <v>0</v>
      </c>
      <c r="R11" s="60">
        <f>ROUND(_xll.HPVAL($A11,R$1,$A$1,S$1,$A$2,$A$3)/1000,0)</f>
        <v>26352</v>
      </c>
      <c r="S11" s="66">
        <f t="shared" ref="S11:S20" si="3">ROUND(Q11-R11,0)</f>
        <v>-26352</v>
      </c>
      <c r="T11" s="42"/>
      <c r="U11" s="59">
        <f>E11+I11+M11+Q11</f>
        <v>0</v>
      </c>
      <c r="V11" s="60">
        <f>F11+J11+N11+R11</f>
        <v>105183</v>
      </c>
      <c r="W11" s="66">
        <f t="shared" ref="W11:W20" si="4">ROUND(U11-V11,0)</f>
        <v>-105183</v>
      </c>
    </row>
    <row r="12" spans="1:23" ht="12" customHeight="1" x14ac:dyDescent="0.25">
      <c r="A12" s="25" t="s">
        <v>187</v>
      </c>
      <c r="C12" s="29" t="s">
        <v>176</v>
      </c>
      <c r="D12" s="38"/>
      <c r="E12" s="41">
        <f>ROUND(_xll.HPVAL($A12,E$1,$A$1,G$1,$A$2,$A$3)/1000,0)</f>
        <v>0</v>
      </c>
      <c r="F12" s="42">
        <f>ROUND(_xll.HPVAL($A12,F$1,$A$1,G$1,$A$2,$A$3)/1000,0)</f>
        <v>19086</v>
      </c>
      <c r="G12" s="66">
        <f t="shared" si="0"/>
        <v>-19086</v>
      </c>
      <c r="H12" s="42"/>
      <c r="I12" s="41">
        <f>ROUND(_xll.HPVAL($A12,I$1,$A$1,K$1,$A$2,$A$3)/1000,0)</f>
        <v>0</v>
      </c>
      <c r="J12" s="42">
        <f>ROUND(_xll.HPVAL($A12,J$1,$A$1,K$1,$A$2,$A$3)/1000,0)</f>
        <v>19939</v>
      </c>
      <c r="K12" s="66">
        <f t="shared" si="1"/>
        <v>-19939</v>
      </c>
      <c r="L12" s="42"/>
      <c r="M12" s="41">
        <f>ROUND(_xll.HPVAL($A12,M$1,$A$1,O$1,$A$2,$A$3)/1000,0)</f>
        <v>0</v>
      </c>
      <c r="N12" s="42">
        <f>ROUND(_xll.HPVAL($A12,N$1,$A$1,O$1,$A$2,$A$3)/1000,0)</f>
        <v>19876</v>
      </c>
      <c r="O12" s="66">
        <f t="shared" si="2"/>
        <v>-19876</v>
      </c>
      <c r="P12" s="42"/>
      <c r="Q12" s="41">
        <f>ROUND(_xll.HPVAL($A12,Q$1,$A$1,S$1,$A$2,$A$3)/1000,0)</f>
        <v>0</v>
      </c>
      <c r="R12" s="42">
        <f>ROUND(_xll.HPVAL($A12,R$1,$A$1,S$1,$A$2,$A$3)/1000,0)</f>
        <v>19477</v>
      </c>
      <c r="S12" s="66">
        <f t="shared" si="3"/>
        <v>-19477</v>
      </c>
      <c r="T12" s="42"/>
      <c r="U12" s="41">
        <f t="shared" ref="U12:U20" si="5">E12+I12+M12+Q12</f>
        <v>0</v>
      </c>
      <c r="V12" s="42">
        <f t="shared" ref="V12:V20" si="6">F12+J12+N12+R12</f>
        <v>78378</v>
      </c>
      <c r="W12" s="66">
        <f t="shared" si="4"/>
        <v>-78378</v>
      </c>
    </row>
    <row r="13" spans="1:23" ht="12" customHeight="1" x14ac:dyDescent="0.25">
      <c r="A13" s="25" t="s">
        <v>41</v>
      </c>
      <c r="C13" s="29" t="s">
        <v>8</v>
      </c>
      <c r="D13" s="38"/>
      <c r="E13" s="41">
        <f>ROUND(_xll.HPVAL($A13,E$1,$A$1,G$1,$A$2,$A$3)/1000,0)</f>
        <v>0</v>
      </c>
      <c r="F13" s="42">
        <f>ROUND(_xll.HPVAL($A13,F$1,$A$1,G$1,$A$2,$A$3)/1000,0)</f>
        <v>24449</v>
      </c>
      <c r="G13" s="66">
        <f t="shared" si="0"/>
        <v>-24449</v>
      </c>
      <c r="H13" s="42"/>
      <c r="I13" s="41">
        <f>ROUND(_xll.HPVAL($A13,I$1,$A$1,K$1,$A$2,$A$3)/1000,0)</f>
        <v>0</v>
      </c>
      <c r="J13" s="42">
        <f>ROUND(_xll.HPVAL($A13,J$1,$A$1,K$1,$A$2,$A$3)/1000,0)</f>
        <v>24475</v>
      </c>
      <c r="K13" s="66">
        <f t="shared" si="1"/>
        <v>-24475</v>
      </c>
      <c r="L13" s="42"/>
      <c r="M13" s="41">
        <f>ROUND(_xll.HPVAL($A13,M$1,$A$1,O$1,$A$2,$A$3)/1000,0)</f>
        <v>0</v>
      </c>
      <c r="N13" s="42">
        <f>ROUND(_xll.HPVAL($A13,N$1,$A$1,O$1,$A$2,$A$3)/1000,0)</f>
        <v>24458</v>
      </c>
      <c r="O13" s="66">
        <f t="shared" si="2"/>
        <v>-24458</v>
      </c>
      <c r="P13" s="42"/>
      <c r="Q13" s="41">
        <f>ROUND(_xll.HPVAL($A13,Q$1,$A$1,S$1,$A$2,$A$3)/1000,0)</f>
        <v>0</v>
      </c>
      <c r="R13" s="42">
        <f>ROUND(_xll.HPVAL($A13,R$1,$A$1,S$1,$A$2,$A$3)/1000,0)</f>
        <v>24427</v>
      </c>
      <c r="S13" s="66">
        <f t="shared" si="3"/>
        <v>-24427</v>
      </c>
      <c r="T13" s="42"/>
      <c r="U13" s="41">
        <f t="shared" si="5"/>
        <v>0</v>
      </c>
      <c r="V13" s="42">
        <f t="shared" si="6"/>
        <v>97809</v>
      </c>
      <c r="W13" s="66">
        <f t="shared" si="4"/>
        <v>-97809</v>
      </c>
    </row>
    <row r="14" spans="1:23" ht="12" customHeight="1" x14ac:dyDescent="0.25">
      <c r="A14" s="25" t="s">
        <v>130</v>
      </c>
      <c r="C14" s="29" t="s">
        <v>128</v>
      </c>
      <c r="D14" s="38"/>
      <c r="E14" s="41">
        <f>ROUND(_xll.HPVAL($A14,E$1,$A$1,G$1,$A$2,$A$3)/1000,0)</f>
        <v>0</v>
      </c>
      <c r="F14" s="42">
        <f>ROUND(_xll.HPVAL($A14,F$1,$A$1,G$1,$A$2,$A$3)/1000,0)</f>
        <v>17809</v>
      </c>
      <c r="G14" s="66">
        <f t="shared" si="0"/>
        <v>-17809</v>
      </c>
      <c r="H14" s="42"/>
      <c r="I14" s="41">
        <f>ROUND(_xll.HPVAL($A14,I$1,$A$1,K$1,$A$2,$A$3)/1000,0)</f>
        <v>0</v>
      </c>
      <c r="J14" s="42">
        <f>ROUND(_xll.HPVAL($A14,J$1,$A$1,K$1,$A$2,$A$3)/1000,0)</f>
        <v>18261</v>
      </c>
      <c r="K14" s="66">
        <f t="shared" si="1"/>
        <v>-18261</v>
      </c>
      <c r="L14" s="42"/>
      <c r="M14" s="41">
        <f>ROUND(_xll.HPVAL($A14,M$1,$A$1,O$1,$A$2,$A$3)/1000,0)</f>
        <v>0</v>
      </c>
      <c r="N14" s="42">
        <f>ROUND(_xll.HPVAL($A14,N$1,$A$1,O$1,$A$2,$A$3)/1000,0)</f>
        <v>18261</v>
      </c>
      <c r="O14" s="66">
        <f t="shared" si="2"/>
        <v>-18261</v>
      </c>
      <c r="P14" s="42"/>
      <c r="Q14" s="41">
        <f>ROUND(_xll.HPVAL($A14,Q$1,$A$1,S$1,$A$2,$A$3)/1000,0)</f>
        <v>0</v>
      </c>
      <c r="R14" s="42">
        <f>ROUND(_xll.HPVAL($A14,R$1,$A$1,S$1,$A$2,$A$3)/1000,0)</f>
        <v>18257</v>
      </c>
      <c r="S14" s="66">
        <f t="shared" si="3"/>
        <v>-18257</v>
      </c>
      <c r="T14" s="42"/>
      <c r="U14" s="41">
        <f t="shared" si="5"/>
        <v>0</v>
      </c>
      <c r="V14" s="42">
        <f t="shared" si="6"/>
        <v>72588</v>
      </c>
      <c r="W14" s="66">
        <f t="shared" si="4"/>
        <v>-72588</v>
      </c>
    </row>
    <row r="15" spans="1:23" ht="12" customHeight="1" x14ac:dyDescent="0.25">
      <c r="A15" s="25" t="s">
        <v>42</v>
      </c>
      <c r="C15" s="29" t="s">
        <v>11</v>
      </c>
      <c r="D15" s="38"/>
      <c r="E15" s="41">
        <f>ROUND(_xll.HPVAL($A15,E$1,$A$1,G$1,$A$2,$A$3)/1000,0)</f>
        <v>0</v>
      </c>
      <c r="F15" s="42">
        <f>ROUND(_xll.HPVAL($A15,F$1,$A$1,G$1,$A$2,$A$3)/1000,0)</f>
        <v>8020</v>
      </c>
      <c r="G15" s="66">
        <f t="shared" si="0"/>
        <v>-8020</v>
      </c>
      <c r="H15" s="42"/>
      <c r="I15" s="41">
        <f>ROUND(_xll.HPVAL($A15,I$1,$A$1,K$1,$A$2,$A$3)/1000,0)</f>
        <v>0</v>
      </c>
      <c r="J15" s="42">
        <f>ROUND(_xll.HPVAL($A15,J$1,$A$1,K$1,$A$2,$A$3)/1000,0)</f>
        <v>7954</v>
      </c>
      <c r="K15" s="66">
        <f t="shared" si="1"/>
        <v>-7954</v>
      </c>
      <c r="L15" s="42"/>
      <c r="M15" s="41">
        <f>ROUND(_xll.HPVAL($A15,M$1,$A$1,O$1,$A$2,$A$3)/1000,0)</f>
        <v>0</v>
      </c>
      <c r="N15" s="42">
        <f>ROUND(_xll.HPVAL($A15,N$1,$A$1,O$1,$A$2,$A$3)/1000,0)</f>
        <v>7865</v>
      </c>
      <c r="O15" s="66">
        <f t="shared" si="2"/>
        <v>-7865</v>
      </c>
      <c r="P15" s="42"/>
      <c r="Q15" s="41">
        <f>ROUND(_xll.HPVAL($A15,Q$1,$A$1,S$1,$A$2,$A$3)/1000,0)</f>
        <v>0</v>
      </c>
      <c r="R15" s="42">
        <f>ROUND(_xll.HPVAL($A15,R$1,$A$1,S$1,$A$2,$A$3)/1000,0)</f>
        <v>7500</v>
      </c>
      <c r="S15" s="66">
        <f t="shared" si="3"/>
        <v>-7500</v>
      </c>
      <c r="T15" s="42"/>
      <c r="U15" s="41">
        <f t="shared" si="5"/>
        <v>0</v>
      </c>
      <c r="V15" s="42">
        <f t="shared" si="6"/>
        <v>31339</v>
      </c>
      <c r="W15" s="66">
        <f t="shared" si="4"/>
        <v>-31339</v>
      </c>
    </row>
    <row r="16" spans="1:23" ht="12" customHeight="1" x14ac:dyDescent="0.25">
      <c r="A16" s="25" t="s">
        <v>43</v>
      </c>
      <c r="C16" s="29" t="s">
        <v>16</v>
      </c>
      <c r="D16" s="38"/>
      <c r="E16" s="41">
        <f>ROUND(_xll.HPVAL($A16,E$1,$A$1,G$1,$A$2,$A$3)/1000,0)</f>
        <v>0</v>
      </c>
      <c r="F16" s="42">
        <f>ROUND(_xll.HPVAL($A16,F$1,$A$1,G$1,$A$2,$A$3)/1000,0)</f>
        <v>5335</v>
      </c>
      <c r="G16" s="66">
        <f t="shared" si="0"/>
        <v>-5335</v>
      </c>
      <c r="H16" s="42"/>
      <c r="I16" s="41">
        <f>ROUND(_xll.HPVAL($A16,I$1,$A$1,K$1,$A$2,$A$3)/1000,0)</f>
        <v>0</v>
      </c>
      <c r="J16" s="42">
        <f>ROUND(_xll.HPVAL($A16,J$1,$A$1,K$1,$A$2,$A$3)/1000,0)</f>
        <v>5271</v>
      </c>
      <c r="K16" s="66">
        <f t="shared" si="1"/>
        <v>-5271</v>
      </c>
      <c r="L16" s="42"/>
      <c r="M16" s="41">
        <f>ROUND(_xll.HPVAL($A16,M$1,$A$1,O$1,$A$2,$A$3)/1000,0)</f>
        <v>0</v>
      </c>
      <c r="N16" s="42">
        <f>ROUND(_xll.HPVAL($A16,N$1,$A$1,O$1,$A$2,$A$3)/1000,0)</f>
        <v>5313</v>
      </c>
      <c r="O16" s="66">
        <f t="shared" si="2"/>
        <v>-5313</v>
      </c>
      <c r="P16" s="42"/>
      <c r="Q16" s="41">
        <f>ROUND(_xll.HPVAL($A16,Q$1,$A$1,S$1,$A$2,$A$3)/1000,0)</f>
        <v>0</v>
      </c>
      <c r="R16" s="42">
        <f>ROUND(_xll.HPVAL($A16,R$1,$A$1,S$1,$A$2,$A$3)/1000,0)</f>
        <v>5331</v>
      </c>
      <c r="S16" s="66">
        <f t="shared" si="3"/>
        <v>-5331</v>
      </c>
      <c r="T16" s="42"/>
      <c r="U16" s="41">
        <f t="shared" si="5"/>
        <v>0</v>
      </c>
      <c r="V16" s="42">
        <f t="shared" si="6"/>
        <v>21250</v>
      </c>
      <c r="W16" s="66">
        <f t="shared" si="4"/>
        <v>-21250</v>
      </c>
    </row>
    <row r="17" spans="1:23" ht="12" customHeight="1" x14ac:dyDescent="0.25">
      <c r="A17" s="25" t="s">
        <v>44</v>
      </c>
      <c r="C17" s="29" t="s">
        <v>9</v>
      </c>
      <c r="D17" s="38"/>
      <c r="E17" s="41">
        <f>ROUND(_xll.HPVAL($A17,E$1,$A$1,G$1,$A$2,$A$3)/1000,0)</f>
        <v>0</v>
      </c>
      <c r="F17" s="42">
        <f>ROUND(_xll.HPVAL($A17,F$1,$A$1,G$1,$A$2,$A$3)/1000,0)</f>
        <v>1493</v>
      </c>
      <c r="G17" s="66">
        <f t="shared" si="0"/>
        <v>-1493</v>
      </c>
      <c r="H17" s="42"/>
      <c r="I17" s="41">
        <f>ROUND(_xll.HPVAL($A17,I$1,$A$1,K$1,$A$2,$A$3)/1000,0)</f>
        <v>0</v>
      </c>
      <c r="J17" s="42">
        <f>ROUND(_xll.HPVAL($A17,J$1,$A$1,K$1,$A$2,$A$3)/1000,0)</f>
        <v>1554</v>
      </c>
      <c r="K17" s="66">
        <f t="shared" si="1"/>
        <v>-1554</v>
      </c>
      <c r="L17" s="42"/>
      <c r="M17" s="41">
        <f>ROUND(_xll.HPVAL($A17,M$1,$A$1,O$1,$A$2,$A$3)/1000,0)</f>
        <v>0</v>
      </c>
      <c r="N17" s="42">
        <f>ROUND(_xll.HPVAL($A17,N$1,$A$1,O$1,$A$2,$A$3)/1000,0)</f>
        <v>1559</v>
      </c>
      <c r="O17" s="66">
        <f t="shared" si="2"/>
        <v>-1559</v>
      </c>
      <c r="P17" s="42"/>
      <c r="Q17" s="41">
        <f>ROUND(_xll.HPVAL($A17,Q$1,$A$1,S$1,$A$2,$A$3)/1000,0)</f>
        <v>0</v>
      </c>
      <c r="R17" s="42">
        <f>ROUND(_xll.HPVAL($A17,R$1,$A$1,S$1,$A$2,$A$3)/1000,0)</f>
        <v>1500</v>
      </c>
      <c r="S17" s="66">
        <f t="shared" si="3"/>
        <v>-1500</v>
      </c>
      <c r="T17" s="42"/>
      <c r="U17" s="41">
        <f t="shared" si="5"/>
        <v>0</v>
      </c>
      <c r="V17" s="42">
        <f t="shared" si="6"/>
        <v>6106</v>
      </c>
      <c r="W17" s="66">
        <f t="shared" si="4"/>
        <v>-6106</v>
      </c>
    </row>
    <row r="18" spans="1:23" ht="12" customHeight="1" x14ac:dyDescent="0.25">
      <c r="A18" s="25" t="s">
        <v>10</v>
      </c>
      <c r="C18" s="29" t="s">
        <v>177</v>
      </c>
      <c r="D18" s="38"/>
      <c r="E18" s="41">
        <f>ROUND(_xll.HPVAL($A18,E$1,$A$1,G$1,$A$2,$A$3)/1000,0)</f>
        <v>0</v>
      </c>
      <c r="F18" s="42">
        <f>ROUND(_xll.HPVAL($A18,F$1,$A$1,G$1,$A$2,$A$3)/1000,0)</f>
        <v>409</v>
      </c>
      <c r="G18" s="66">
        <f t="shared" si="0"/>
        <v>-409</v>
      </c>
      <c r="H18" s="42"/>
      <c r="I18" s="41">
        <f>ROUND(_xll.HPVAL($A18,I$1,$A$1,K$1,$A$2,$A$3)/1000,0)</f>
        <v>0</v>
      </c>
      <c r="J18" s="42">
        <f>ROUND(_xll.HPVAL($A18,J$1,$A$1,K$1,$A$2,$A$3)/1000,0)</f>
        <v>412</v>
      </c>
      <c r="K18" s="66">
        <f t="shared" si="1"/>
        <v>-412</v>
      </c>
      <c r="L18" s="42"/>
      <c r="M18" s="41">
        <f>ROUND(_xll.HPVAL($A18,M$1,$A$1,O$1,$A$2,$A$3)/1000,0)</f>
        <v>0</v>
      </c>
      <c r="N18" s="42">
        <f>ROUND(_xll.HPVAL($A18,N$1,$A$1,O$1,$A$2,$A$3)/1000,0)</f>
        <v>410</v>
      </c>
      <c r="O18" s="66">
        <f t="shared" si="2"/>
        <v>-410</v>
      </c>
      <c r="P18" s="42"/>
      <c r="Q18" s="41">
        <f>ROUND(_xll.HPVAL($A18,Q$1,$A$1,S$1,$A$2,$A$3)/1000,0)</f>
        <v>0</v>
      </c>
      <c r="R18" s="42">
        <f>ROUND(_xll.HPVAL($A18,R$1,$A$1,S$1,$A$2,$A$3)/1000,0)</f>
        <v>371</v>
      </c>
      <c r="S18" s="66">
        <f t="shared" si="3"/>
        <v>-371</v>
      </c>
      <c r="T18" s="42"/>
      <c r="U18" s="41">
        <f t="shared" si="5"/>
        <v>0</v>
      </c>
      <c r="V18" s="42">
        <f t="shared" si="6"/>
        <v>1602</v>
      </c>
      <c r="W18" s="66">
        <f t="shared" si="4"/>
        <v>-1602</v>
      </c>
    </row>
    <row r="19" spans="1:23" ht="12" customHeight="1" x14ac:dyDescent="0.25">
      <c r="A19" s="25" t="s">
        <v>125</v>
      </c>
      <c r="C19" s="29" t="s">
        <v>88</v>
      </c>
      <c r="D19" s="38"/>
      <c r="E19" s="41">
        <f>ROUND(_xll.HPVAL($A19,E$1,$A$1,G$1,$A$2,$A$3)/1000,0)</f>
        <v>0</v>
      </c>
      <c r="F19" s="42">
        <f>ROUND(_xll.HPVAL($A19,F$1,$A$1,G$1,$A$2,$A$3)/1000,0)</f>
        <v>6495</v>
      </c>
      <c r="G19" s="66">
        <f t="shared" si="0"/>
        <v>-6495</v>
      </c>
      <c r="H19" s="42"/>
      <c r="I19" s="41">
        <f>ROUND(_xll.HPVAL($A19,I$1,$A$1,K$1,$A$2,$A$3)/1000,0)</f>
        <v>0</v>
      </c>
      <c r="J19" s="42">
        <f>ROUND(_xll.HPVAL($A19,J$1,$A$1,K$1,$A$2,$A$3)/1000,0)</f>
        <v>6378</v>
      </c>
      <c r="K19" s="66">
        <f t="shared" si="1"/>
        <v>-6378</v>
      </c>
      <c r="L19" s="42"/>
      <c r="M19" s="41">
        <f>ROUND(_xll.HPVAL($A19,M$1,$A$1,O$1,$A$2,$A$3)/1000,0)</f>
        <v>0</v>
      </c>
      <c r="N19" s="42">
        <f>ROUND(_xll.HPVAL($A19,N$1,$A$1,O$1,$A$2,$A$3)/1000,0)</f>
        <v>6094</v>
      </c>
      <c r="O19" s="66">
        <f t="shared" si="2"/>
        <v>-6094</v>
      </c>
      <c r="P19" s="42"/>
      <c r="Q19" s="41">
        <f>ROUND(_xll.HPVAL($A19,Q$1,$A$1,S$1,$A$2,$A$3)/1000,0)</f>
        <v>0</v>
      </c>
      <c r="R19" s="42">
        <f>ROUND(_xll.HPVAL($A19,R$1,$A$1,S$1,$A$2,$A$3)/1000,0)</f>
        <v>6033</v>
      </c>
      <c r="S19" s="66">
        <f t="shared" si="3"/>
        <v>-6033</v>
      </c>
      <c r="T19" s="42"/>
      <c r="U19" s="41">
        <f t="shared" si="5"/>
        <v>0</v>
      </c>
      <c r="V19" s="42">
        <f t="shared" si="6"/>
        <v>25000</v>
      </c>
      <c r="W19" s="66">
        <f t="shared" si="4"/>
        <v>-25000</v>
      </c>
    </row>
    <row r="20" spans="1:23" ht="12" customHeight="1" x14ac:dyDescent="0.25">
      <c r="A20" s="25" t="s">
        <v>45</v>
      </c>
      <c r="C20" s="29" t="s">
        <v>4</v>
      </c>
      <c r="D20" s="38"/>
      <c r="E20" s="41">
        <f>ROUND(_xll.HPVAL($A20,E$1,$A$1,G$1,$A$2,$A$3)/1000,0)</f>
        <v>0</v>
      </c>
      <c r="F20" s="42">
        <f>ROUND(_xll.HPVAL($A20,F$1,$A$1,G$1,$A$2,$A$3)/1000,0)</f>
        <v>4621</v>
      </c>
      <c r="G20" s="66">
        <f t="shared" si="0"/>
        <v>-4621</v>
      </c>
      <c r="H20" s="42"/>
      <c r="I20" s="41">
        <f>ROUND(_xll.HPVAL($A20,I$1,$A$1,K$1,$A$2,$A$3)/1000,0)</f>
        <v>0</v>
      </c>
      <c r="J20" s="42">
        <f>ROUND(_xll.HPVAL($A20,J$1,$A$1,K$1,$A$2,$A$3)/1000,0)</f>
        <v>4621</v>
      </c>
      <c r="K20" s="66">
        <f t="shared" si="1"/>
        <v>-4621</v>
      </c>
      <c r="L20" s="42"/>
      <c r="M20" s="41">
        <f>ROUND(_xll.HPVAL($A20,M$1,$A$1,O$1,$A$2,$A$3)/1000,0)</f>
        <v>0</v>
      </c>
      <c r="N20" s="42">
        <f>ROUND(_xll.HPVAL($A20,N$1,$A$1,O$1,$A$2,$A$3)/1000,0)</f>
        <v>4621</v>
      </c>
      <c r="O20" s="66">
        <f t="shared" si="2"/>
        <v>-4621</v>
      </c>
      <c r="P20" s="42"/>
      <c r="Q20" s="41">
        <f>ROUND(_xll.HPVAL($A20,Q$1,$A$1,S$1,$A$2,$A$3)/1000,0)</f>
        <v>0</v>
      </c>
      <c r="R20" s="42">
        <f>ROUND(_xll.HPVAL($A20,R$1,$A$1,S$1,$A$2,$A$3)/1000,0)</f>
        <v>4620</v>
      </c>
      <c r="S20" s="66">
        <f t="shared" si="3"/>
        <v>-4620</v>
      </c>
      <c r="T20" s="42"/>
      <c r="U20" s="41">
        <f t="shared" si="5"/>
        <v>0</v>
      </c>
      <c r="V20" s="42">
        <f t="shared" si="6"/>
        <v>18483</v>
      </c>
      <c r="W20" s="66">
        <f t="shared" si="4"/>
        <v>-18483</v>
      </c>
    </row>
    <row r="21" spans="1:23" ht="12" customHeight="1" x14ac:dyDescent="0.25">
      <c r="C21" s="75" t="s">
        <v>12</v>
      </c>
      <c r="D21" s="38"/>
      <c r="E21" s="174">
        <f>SUM(E11:E20)</f>
        <v>0</v>
      </c>
      <c r="F21" s="175">
        <f>SUM(F11:F20)</f>
        <v>113204</v>
      </c>
      <c r="G21" s="177">
        <f>SUM(G11:G20)</f>
        <v>-113204</v>
      </c>
      <c r="H21" s="42"/>
      <c r="I21" s="174">
        <f>SUM(I11:I20)</f>
        <v>0</v>
      </c>
      <c r="J21" s="175">
        <f>SUM(J11:J20)</f>
        <v>115674</v>
      </c>
      <c r="K21" s="177">
        <f>SUM(K11:K20)</f>
        <v>-115674</v>
      </c>
      <c r="L21" s="42"/>
      <c r="M21" s="174">
        <f>SUM(M11:M20)</f>
        <v>0</v>
      </c>
      <c r="N21" s="175">
        <f>SUM(N11:N20)</f>
        <v>114992</v>
      </c>
      <c r="O21" s="177">
        <f>SUM(O11:O20)</f>
        <v>-114992</v>
      </c>
      <c r="P21" s="42"/>
      <c r="Q21" s="174">
        <f>SUM(Q11:Q20)</f>
        <v>0</v>
      </c>
      <c r="R21" s="175">
        <f>SUM(R11:R20)</f>
        <v>113868</v>
      </c>
      <c r="S21" s="177">
        <f>SUM(S11:S20)</f>
        <v>-113868</v>
      </c>
      <c r="T21" s="42"/>
      <c r="U21" s="174">
        <f>SUM(U11:U20)</f>
        <v>0</v>
      </c>
      <c r="V21" s="175">
        <f>SUM(V11:V20)</f>
        <v>457738</v>
      </c>
      <c r="W21" s="177">
        <f>SUM(W11:W20)</f>
        <v>-457738</v>
      </c>
    </row>
    <row r="22" spans="1:23" ht="3" customHeight="1" x14ac:dyDescent="0.25">
      <c r="C22" s="29"/>
      <c r="D22" s="38"/>
      <c r="E22" s="41"/>
      <c r="F22" s="42"/>
      <c r="G22" s="66"/>
      <c r="H22" s="42"/>
      <c r="I22" s="41"/>
      <c r="J22" s="42"/>
      <c r="K22" s="66"/>
      <c r="L22" s="42"/>
      <c r="M22" s="41"/>
      <c r="N22" s="42"/>
      <c r="O22" s="66"/>
      <c r="P22" s="42"/>
      <c r="Q22" s="41"/>
      <c r="R22" s="42"/>
      <c r="S22" s="66"/>
      <c r="T22" s="42"/>
      <c r="U22" s="41"/>
      <c r="V22" s="42"/>
      <c r="W22" s="66"/>
    </row>
    <row r="23" spans="1:23" ht="12" customHeight="1" x14ac:dyDescent="0.25">
      <c r="A23" s="25" t="s">
        <v>46</v>
      </c>
      <c r="C23" s="29" t="s">
        <v>145</v>
      </c>
      <c r="D23" s="38"/>
      <c r="E23" s="41">
        <f>ROUND(_xll.HPVAL($A23,E$1,$A$1,G$1,$A$2,$A$3)/1000,0)</f>
        <v>0</v>
      </c>
      <c r="F23" s="42">
        <f>ROUND(_xll.HPVAL($A23,F$1,$A$1,G$1,$A$2,$A$3)/1000,0)</f>
        <v>15136</v>
      </c>
      <c r="G23" s="66">
        <f t="shared" ref="G23:G31" si="7">ROUND(E23-F23,0)</f>
        <v>-15136</v>
      </c>
      <c r="H23" s="42"/>
      <c r="I23" s="41">
        <f>ROUND(_xll.HPVAL($A23,I$1,$A$1,K$1,$A$2,$A$3)/1000,0)</f>
        <v>0</v>
      </c>
      <c r="J23" s="42">
        <f>ROUND(_xll.HPVAL($A23,J$1,$A$1,K$1,$A$2,$A$3)/1000,0)</f>
        <v>21661</v>
      </c>
      <c r="K23" s="66">
        <f t="shared" ref="K23:K31" si="8">ROUND(I23-J23,0)</f>
        <v>-21661</v>
      </c>
      <c r="L23" s="42"/>
      <c r="M23" s="41">
        <f>ROUND(_xll.HPVAL($A23,M$1,$A$1,O$1,$A$2,$A$3)/1000,0)</f>
        <v>0</v>
      </c>
      <c r="N23" s="42">
        <f>ROUND(_xll.HPVAL($A23,N$1,$A$1,O$1,$A$2,$A$3)/1000,0)</f>
        <v>23101</v>
      </c>
      <c r="O23" s="66">
        <f t="shared" ref="O23:O31" si="9">ROUND(M23-N23,0)</f>
        <v>-23101</v>
      </c>
      <c r="P23" s="42"/>
      <c r="Q23" s="41">
        <f>ROUND(_xll.HPVAL($A23,Q$1,$A$1,S$1,$A$2,$A$3)/1000,0)</f>
        <v>0</v>
      </c>
      <c r="R23" s="42">
        <f>ROUND(_xll.HPVAL($A23,R$1,$A$1,S$1,$A$2,$A$3)/1000,0)</f>
        <v>23311</v>
      </c>
      <c r="S23" s="66">
        <f t="shared" ref="S23:S31" si="10">ROUND(Q23-R23,0)</f>
        <v>-23311</v>
      </c>
      <c r="T23" s="42"/>
      <c r="U23" s="41">
        <f t="shared" ref="U23:U31" si="11">E23+I23+M23+Q23</f>
        <v>0</v>
      </c>
      <c r="V23" s="42">
        <f t="shared" ref="V23:V31" si="12">F23+J23+N23+R23</f>
        <v>83209</v>
      </c>
      <c r="W23" s="66">
        <f t="shared" ref="W23:W31" si="13">ROUND(U23-V23,0)</f>
        <v>-83209</v>
      </c>
    </row>
    <row r="24" spans="1:23" ht="12" customHeight="1" x14ac:dyDescent="0.25">
      <c r="A24" s="25" t="s">
        <v>53</v>
      </c>
      <c r="C24" s="29" t="s">
        <v>146</v>
      </c>
      <c r="D24" s="38"/>
      <c r="E24" s="41">
        <f>ROUND(_xll.HPVAL($A24,E$1,$A$1,G$1,$A$2,$A$3)/1000,0)</f>
        <v>0</v>
      </c>
      <c r="F24" s="42">
        <f>ROUND(_xll.HPVAL($A24,F$1,$A$1,G$1,$A$2,$A$3)/1000,0)</f>
        <v>5266</v>
      </c>
      <c r="G24" s="66">
        <f t="shared" si="7"/>
        <v>-5266</v>
      </c>
      <c r="H24" s="42"/>
      <c r="I24" s="41">
        <f>ROUND(_xll.HPVAL($A24,I$1,$A$1,K$1,$A$2,$A$3)/1000,0)</f>
        <v>0</v>
      </c>
      <c r="J24" s="42">
        <f>ROUND(_xll.HPVAL($A24,J$1,$A$1,K$1,$A$2,$A$3)/1000,0)</f>
        <v>5464</v>
      </c>
      <c r="K24" s="66">
        <f t="shared" si="8"/>
        <v>-5464</v>
      </c>
      <c r="L24" s="42"/>
      <c r="M24" s="41">
        <f>ROUND(_xll.HPVAL($A24,M$1,$A$1,O$1,$A$2,$A$3)/1000,0)</f>
        <v>0</v>
      </c>
      <c r="N24" s="42">
        <f>ROUND(_xll.HPVAL($A24,N$1,$A$1,O$1,$A$2,$A$3)/1000,0)</f>
        <v>9681</v>
      </c>
      <c r="O24" s="66">
        <f t="shared" si="9"/>
        <v>-9681</v>
      </c>
      <c r="P24" s="42"/>
      <c r="Q24" s="41">
        <f>ROUND(_xll.HPVAL($A24,Q$1,$A$1,S$1,$A$2,$A$3)/1000,0)</f>
        <v>0</v>
      </c>
      <c r="R24" s="42">
        <f>ROUND(_xll.HPVAL($A24,R$1,$A$1,S$1,$A$2,$A$3)/1000,0)</f>
        <v>35155</v>
      </c>
      <c r="S24" s="66">
        <f t="shared" si="10"/>
        <v>-35155</v>
      </c>
      <c r="T24" s="42"/>
      <c r="U24" s="41">
        <f t="shared" si="11"/>
        <v>0</v>
      </c>
      <c r="V24" s="42">
        <f t="shared" si="12"/>
        <v>55566</v>
      </c>
      <c r="W24" s="66">
        <f t="shared" si="13"/>
        <v>-55566</v>
      </c>
    </row>
    <row r="25" spans="1:23" ht="12" customHeight="1" x14ac:dyDescent="0.25">
      <c r="A25" s="25" t="s">
        <v>50</v>
      </c>
      <c r="C25" s="29" t="s">
        <v>147</v>
      </c>
      <c r="D25" s="38"/>
      <c r="E25" s="41">
        <f>ROUND(_xll.HPVAL($A25,E$1,$A$1,G$1,$A$2,$A$3)/1000,0)</f>
        <v>0</v>
      </c>
      <c r="F25" s="42">
        <f>ROUND(_xll.HPVAL($A25,F$1,$A$1,G$1,$A$2,$A$3)/1000,0)</f>
        <v>8270</v>
      </c>
      <c r="G25" s="66">
        <f t="shared" si="7"/>
        <v>-8270</v>
      </c>
      <c r="H25" s="42"/>
      <c r="I25" s="41">
        <f>ROUND(_xll.HPVAL($A25,I$1,$A$1,K$1,$A$2,$A$3)/1000,0)</f>
        <v>0</v>
      </c>
      <c r="J25" s="42">
        <f>ROUND(_xll.HPVAL($A25,J$1,$A$1,K$1,$A$2,$A$3)/1000,0)</f>
        <v>8887</v>
      </c>
      <c r="K25" s="66">
        <f t="shared" si="8"/>
        <v>-8887</v>
      </c>
      <c r="L25" s="42"/>
      <c r="M25" s="41">
        <f>ROUND(_xll.HPVAL($A25,M$1,$A$1,O$1,$A$2,$A$3)/1000,0)</f>
        <v>0</v>
      </c>
      <c r="N25" s="42">
        <f>ROUND(_xll.HPVAL($A25,N$1,$A$1,O$1,$A$2,$A$3)/1000,0)</f>
        <v>13357</v>
      </c>
      <c r="O25" s="66">
        <f t="shared" si="9"/>
        <v>-13357</v>
      </c>
      <c r="P25" s="42"/>
      <c r="Q25" s="41">
        <f>ROUND(_xll.HPVAL($A25,Q$1,$A$1,S$1,$A$2,$A$3)/1000,0)</f>
        <v>0</v>
      </c>
      <c r="R25" s="42">
        <f>ROUND(_xll.HPVAL($A25,R$1,$A$1,S$1,$A$2,$A$3)/1000,0)</f>
        <v>13286</v>
      </c>
      <c r="S25" s="66">
        <f t="shared" si="10"/>
        <v>-13286</v>
      </c>
      <c r="T25" s="42"/>
      <c r="U25" s="41">
        <f t="shared" si="11"/>
        <v>0</v>
      </c>
      <c r="V25" s="42">
        <f t="shared" si="12"/>
        <v>43800</v>
      </c>
      <c r="W25" s="66">
        <f t="shared" si="13"/>
        <v>-43800</v>
      </c>
    </row>
    <row r="26" spans="1:23" ht="12" customHeight="1" x14ac:dyDescent="0.25">
      <c r="A26" s="25" t="s">
        <v>47</v>
      </c>
      <c r="C26" s="29" t="s">
        <v>148</v>
      </c>
      <c r="D26" s="38"/>
      <c r="E26" s="41">
        <f>ROUND(_xll.HPVAL($A26,E$1,$A$1,G$1,$A$2,$A$3)/1000,0)</f>
        <v>0</v>
      </c>
      <c r="F26" s="42">
        <f>ROUND(_xll.HPVAL($A26,F$1,$A$1,G$1,$A$2,$A$3)/1000,0)</f>
        <v>-1109</v>
      </c>
      <c r="G26" s="66">
        <f t="shared" si="7"/>
        <v>1109</v>
      </c>
      <c r="H26" s="42"/>
      <c r="I26" s="41">
        <f>ROUND(_xll.HPVAL($A26,I$1,$A$1,K$1,$A$2,$A$3)/1000,0)</f>
        <v>0</v>
      </c>
      <c r="J26" s="42">
        <f>ROUND(_xll.HPVAL($A26,J$1,$A$1,K$1,$A$2,$A$3)/1000,0)</f>
        <v>5064</v>
      </c>
      <c r="K26" s="66">
        <f t="shared" si="8"/>
        <v>-5064</v>
      </c>
      <c r="L26" s="42"/>
      <c r="M26" s="41">
        <f>ROUND(_xll.HPVAL($A26,M$1,$A$1,O$1,$A$2,$A$3)/1000,0)</f>
        <v>0</v>
      </c>
      <c r="N26" s="42">
        <f>ROUND(_xll.HPVAL($A26,N$1,$A$1,O$1,$A$2,$A$3)/1000,0)</f>
        <v>6399</v>
      </c>
      <c r="O26" s="66">
        <f t="shared" si="9"/>
        <v>-6399</v>
      </c>
      <c r="P26" s="42"/>
      <c r="Q26" s="41">
        <f>ROUND(_xll.HPVAL($A26,Q$1,$A$1,S$1,$A$2,$A$3)/1000,0)</f>
        <v>0</v>
      </c>
      <c r="R26" s="42">
        <f>ROUND(_xll.HPVAL($A26,R$1,$A$1,S$1,$A$2,$A$3)/1000,0)</f>
        <v>6314</v>
      </c>
      <c r="S26" s="66">
        <f t="shared" si="10"/>
        <v>-6314</v>
      </c>
      <c r="T26" s="42"/>
      <c r="U26" s="41">
        <f t="shared" si="11"/>
        <v>0</v>
      </c>
      <c r="V26" s="42">
        <f t="shared" si="12"/>
        <v>16668</v>
      </c>
      <c r="W26" s="66">
        <f t="shared" si="13"/>
        <v>-16668</v>
      </c>
    </row>
    <row r="27" spans="1:23" ht="12" customHeight="1" x14ac:dyDescent="0.25">
      <c r="A27" s="25" t="s">
        <v>171</v>
      </c>
      <c r="C27" s="29" t="s">
        <v>172</v>
      </c>
      <c r="D27" s="38"/>
      <c r="E27" s="41">
        <v>0</v>
      </c>
      <c r="F27" s="42">
        <f>ROUND(_xll.HPVAL($A27,F$1,$A$1,G$1,$A$2,$A$3)/1000,0)</f>
        <v>3783</v>
      </c>
      <c r="G27" s="66">
        <f t="shared" si="7"/>
        <v>-3783</v>
      </c>
      <c r="H27" s="42"/>
      <c r="I27" s="41">
        <v>0</v>
      </c>
      <c r="J27" s="42">
        <f>ROUND(_xll.HPVAL($A27,J$1,$A$1,K$1,$A$2,$A$3)/1000,0)</f>
        <v>3752</v>
      </c>
      <c r="K27" s="66">
        <f t="shared" si="8"/>
        <v>-3752</v>
      </c>
      <c r="L27" s="42"/>
      <c r="M27" s="41">
        <v>0</v>
      </c>
      <c r="N27" s="42">
        <f>ROUND(_xll.HPVAL($A27,N$1,$A$1,O$1,$A$2,$A$3)/1000,0)</f>
        <v>3092</v>
      </c>
      <c r="O27" s="66">
        <f t="shared" si="9"/>
        <v>-3092</v>
      </c>
      <c r="P27" s="42"/>
      <c r="Q27" s="41">
        <v>0</v>
      </c>
      <c r="R27" s="42">
        <f>ROUND(_xll.HPVAL($A27,R$1,$A$1,S$1,$A$2,$A$3)/1000,0)</f>
        <v>2419</v>
      </c>
      <c r="S27" s="66">
        <f t="shared" si="10"/>
        <v>-2419</v>
      </c>
      <c r="T27" s="42"/>
      <c r="U27" s="41">
        <f t="shared" si="11"/>
        <v>0</v>
      </c>
      <c r="V27" s="42">
        <f t="shared" si="12"/>
        <v>13046</v>
      </c>
      <c r="W27" s="66">
        <f t="shared" si="13"/>
        <v>-13046</v>
      </c>
    </row>
    <row r="28" spans="1:23" ht="12" customHeight="1" x14ac:dyDescent="0.25">
      <c r="A28" s="25" t="s">
        <v>54</v>
      </c>
      <c r="C28" s="29" t="s">
        <v>149</v>
      </c>
      <c r="D28" s="38"/>
      <c r="E28" s="41">
        <f>ROUND(_xll.HPVAL($A28,E$1,$A$1,G$1,$A$2,$A$3)/1000,0)</f>
        <v>0</v>
      </c>
      <c r="F28" s="42">
        <f>ROUND(_xll.HPVAL($A28,F$1,$A$1,G$1,$A$2,$A$3)/1000,0)</f>
        <v>-366</v>
      </c>
      <c r="G28" s="66">
        <f t="shared" si="7"/>
        <v>366</v>
      </c>
      <c r="H28" s="42"/>
      <c r="I28" s="41">
        <f>ROUND(_xll.HPVAL($A28,I$1,$A$1,K$1,$A$2,$A$3)/1000,0)</f>
        <v>0</v>
      </c>
      <c r="J28" s="42">
        <f>ROUND(_xll.HPVAL($A28,J$1,$A$1,K$1,$A$2,$A$3)/1000,0)</f>
        <v>5602</v>
      </c>
      <c r="K28" s="66">
        <f t="shared" si="8"/>
        <v>-5602</v>
      </c>
      <c r="L28" s="42"/>
      <c r="M28" s="41">
        <f>ROUND(_xll.HPVAL($A28,M$1,$A$1,O$1,$A$2,$A$3)/1000,0)</f>
        <v>0</v>
      </c>
      <c r="N28" s="42">
        <f>ROUND(_xll.HPVAL($A28,N$1,$A$1,O$1,$A$2,$A$3)/1000,0)</f>
        <v>396</v>
      </c>
      <c r="O28" s="66">
        <f t="shared" si="9"/>
        <v>-396</v>
      </c>
      <c r="P28" s="42"/>
      <c r="Q28" s="41">
        <f>ROUND(_xll.HPVAL($A28,Q$1,$A$1,S$1,$A$2,$A$3)/1000,0)</f>
        <v>0</v>
      </c>
      <c r="R28" s="42">
        <f>ROUND(_xll.HPVAL($A28,R$1,$A$1,S$1,$A$2,$A$3)/1000,0)</f>
        <v>2261</v>
      </c>
      <c r="S28" s="66">
        <f t="shared" si="10"/>
        <v>-2261</v>
      </c>
      <c r="T28" s="42"/>
      <c r="U28" s="41">
        <f t="shared" si="11"/>
        <v>0</v>
      </c>
      <c r="V28" s="42">
        <f t="shared" si="12"/>
        <v>7893</v>
      </c>
      <c r="W28" s="66">
        <f t="shared" si="13"/>
        <v>-7893</v>
      </c>
    </row>
    <row r="29" spans="1:23" ht="12" customHeight="1" x14ac:dyDescent="0.25">
      <c r="A29" s="25" t="s">
        <v>55</v>
      </c>
      <c r="C29" s="29" t="s">
        <v>0</v>
      </c>
      <c r="D29" s="38"/>
      <c r="E29" s="41">
        <f>ROUND(_xll.HPVAL($A29,E$1,$A$1,G$1,$A$2,$A$3)/1000,0)</f>
        <v>0</v>
      </c>
      <c r="F29" s="42">
        <f>ROUND(_xll.HPVAL($A29,F$1,$A$1,G$1,$A$2,$A$3)/1000,0)</f>
        <v>1935</v>
      </c>
      <c r="G29" s="66">
        <f t="shared" si="7"/>
        <v>-1935</v>
      </c>
      <c r="H29" s="42"/>
      <c r="I29" s="41">
        <f>ROUND(_xll.HPVAL($A29,I$1,$A$1,K$1,$A$2,$A$3)/1000,0)</f>
        <v>0</v>
      </c>
      <c r="J29" s="42">
        <f>ROUND(_xll.HPVAL($A29,J$1,$A$1,K$1,$A$2,$A$3)/1000,0)</f>
        <v>4747</v>
      </c>
      <c r="K29" s="66">
        <f t="shared" si="8"/>
        <v>-4747</v>
      </c>
      <c r="L29" s="42"/>
      <c r="M29" s="41">
        <f>ROUND(_xll.HPVAL($A29,M$1,$A$1,O$1,$A$2,$A$3)/1000,0)</f>
        <v>0</v>
      </c>
      <c r="N29" s="42">
        <f>ROUND(_xll.HPVAL($A29,N$1,$A$1,O$1,$A$2,$A$3)/1000,0)</f>
        <v>3872</v>
      </c>
      <c r="O29" s="66">
        <f t="shared" si="9"/>
        <v>-3872</v>
      </c>
      <c r="P29" s="42"/>
      <c r="Q29" s="41">
        <f>ROUND(_xll.HPVAL($A29,Q$1,$A$1,S$1,$A$2,$A$3)/1000,0)</f>
        <v>0</v>
      </c>
      <c r="R29" s="42">
        <f>ROUND(_xll.HPVAL($A29,R$1,$A$1,S$1,$A$2,$A$3)/1000,0)</f>
        <v>9829</v>
      </c>
      <c r="S29" s="66">
        <f t="shared" si="10"/>
        <v>-9829</v>
      </c>
      <c r="T29" s="42"/>
      <c r="U29" s="41">
        <f t="shared" si="11"/>
        <v>0</v>
      </c>
      <c r="V29" s="42">
        <f t="shared" si="12"/>
        <v>20383</v>
      </c>
      <c r="W29" s="66">
        <f t="shared" si="13"/>
        <v>-20383</v>
      </c>
    </row>
    <row r="30" spans="1:23" ht="12" customHeight="1" x14ac:dyDescent="0.25">
      <c r="A30" s="25" t="s">
        <v>51</v>
      </c>
      <c r="C30" s="29" t="s">
        <v>2</v>
      </c>
      <c r="D30" s="38"/>
      <c r="E30" s="41">
        <f>ROUND(_xll.HPVAL($A30,E$1,$A$1,G$1,$A$2,$A$3)/1000,0)</f>
        <v>0</v>
      </c>
      <c r="F30" s="42">
        <f>ROUND(_xll.HPVAL($A30,F$1,$A$1,G$1,$A$2,$A$3)/1000,0)</f>
        <v>2200</v>
      </c>
      <c r="G30" s="66">
        <f t="shared" si="7"/>
        <v>-2200</v>
      </c>
      <c r="H30" s="42"/>
      <c r="I30" s="41">
        <f>ROUND(_xll.HPVAL($A30,I$1,$A$1,K$1,$A$2,$A$3)/1000,0)</f>
        <v>0</v>
      </c>
      <c r="J30" s="42">
        <f>ROUND(_xll.HPVAL($A30,J$1,$A$1,K$1,$A$2,$A$3)/1000,0)</f>
        <v>2031</v>
      </c>
      <c r="K30" s="66">
        <f t="shared" si="8"/>
        <v>-2031</v>
      </c>
      <c r="L30" s="42"/>
      <c r="M30" s="41">
        <f>ROUND(_xll.HPVAL($A30,M$1,$A$1,O$1,$A$2,$A$3)/1000,0)</f>
        <v>0</v>
      </c>
      <c r="N30" s="42">
        <f>ROUND(_xll.HPVAL($A30,N$1,$A$1,O$1,$A$2,$A$3)/1000,0)</f>
        <v>2200</v>
      </c>
      <c r="O30" s="66">
        <f t="shared" si="9"/>
        <v>-2200</v>
      </c>
      <c r="P30" s="42"/>
      <c r="Q30" s="41">
        <f>ROUND(_xll.HPVAL($A30,Q$1,$A$1,S$1,$A$2,$A$3)/1000,0)</f>
        <v>0</v>
      </c>
      <c r="R30" s="42">
        <f>ROUND(_xll.HPVAL($A30,R$1,$A$1,S$1,$A$2,$A$3)/1000,0)</f>
        <v>1773</v>
      </c>
      <c r="S30" s="66">
        <f t="shared" si="10"/>
        <v>-1773</v>
      </c>
      <c r="T30" s="42"/>
      <c r="U30" s="41">
        <f t="shared" si="11"/>
        <v>0</v>
      </c>
      <c r="V30" s="42">
        <f t="shared" si="12"/>
        <v>8204</v>
      </c>
      <c r="W30" s="66">
        <f t="shared" si="13"/>
        <v>-8204</v>
      </c>
    </row>
    <row r="31" spans="1:23" ht="12" customHeight="1" x14ac:dyDescent="0.25">
      <c r="A31" s="25" t="s">
        <v>173</v>
      </c>
      <c r="C31" s="29" t="s">
        <v>174</v>
      </c>
      <c r="D31" s="38"/>
      <c r="E31" s="41">
        <v>0</v>
      </c>
      <c r="F31" s="42">
        <f>ROUND(_xll.HPVAL($A31,F$1,$A$1,G$1,$A$2,$A$3)/1000,0)</f>
        <v>-748</v>
      </c>
      <c r="G31" s="66">
        <f t="shared" si="7"/>
        <v>748</v>
      </c>
      <c r="H31" s="42"/>
      <c r="I31" s="41">
        <v>0</v>
      </c>
      <c r="J31" s="42">
        <f>ROUND(_xll.HPVAL($A31,J$1,$A$1,K$1,$A$2,$A$3)/1000,0)</f>
        <v>-516</v>
      </c>
      <c r="K31" s="66">
        <f t="shared" si="8"/>
        <v>516</v>
      </c>
      <c r="L31" s="42"/>
      <c r="M31" s="41">
        <v>0</v>
      </c>
      <c r="N31" s="42">
        <f>ROUND(_xll.HPVAL($A31,N$1,$A$1,O$1,$A$2,$A$3)/1000,0)</f>
        <v>-517</v>
      </c>
      <c r="O31" s="66">
        <f t="shared" si="9"/>
        <v>517</v>
      </c>
      <c r="P31" s="42"/>
      <c r="Q31" s="41">
        <v>0</v>
      </c>
      <c r="R31" s="42">
        <f>ROUND(_xll.HPVAL($A31,R$1,$A$1,S$1,$A$2,$A$3)/1000,0)</f>
        <v>-517</v>
      </c>
      <c r="S31" s="66">
        <f t="shared" si="10"/>
        <v>517</v>
      </c>
      <c r="T31" s="42"/>
      <c r="U31" s="41">
        <f t="shared" si="11"/>
        <v>0</v>
      </c>
      <c r="V31" s="42">
        <f t="shared" si="12"/>
        <v>-2298</v>
      </c>
      <c r="W31" s="66">
        <f t="shared" si="13"/>
        <v>2298</v>
      </c>
    </row>
    <row r="32" spans="1:23" ht="12" customHeight="1" x14ac:dyDescent="0.25">
      <c r="A32" s="27"/>
      <c r="C32" s="75" t="s">
        <v>3</v>
      </c>
      <c r="D32" s="38"/>
      <c r="E32" s="174">
        <f>SUM(E23:E31)</f>
        <v>0</v>
      </c>
      <c r="F32" s="175">
        <f>SUM(F23:F31)</f>
        <v>34367</v>
      </c>
      <c r="G32" s="177">
        <f>SUM(G23:G31)</f>
        <v>-34367</v>
      </c>
      <c r="H32" s="42"/>
      <c r="I32" s="174">
        <f>SUM(I23:I31)</f>
        <v>0</v>
      </c>
      <c r="J32" s="175">
        <f>SUM(J23:J31)</f>
        <v>56692</v>
      </c>
      <c r="K32" s="177">
        <f>SUM(K23:K31)</f>
        <v>-56692</v>
      </c>
      <c r="L32" s="42"/>
      <c r="M32" s="174">
        <f>SUM(M23:M31)</f>
        <v>0</v>
      </c>
      <c r="N32" s="175">
        <f>SUM(N23:N31)</f>
        <v>61581</v>
      </c>
      <c r="O32" s="177">
        <f>SUM(O23:O31)</f>
        <v>-61581</v>
      </c>
      <c r="P32" s="42"/>
      <c r="Q32" s="174">
        <f>SUM(Q23:Q31)</f>
        <v>0</v>
      </c>
      <c r="R32" s="175">
        <f>SUM(R23:R31)</f>
        <v>93831</v>
      </c>
      <c r="S32" s="177">
        <f>SUM(S23:S31)</f>
        <v>-93831</v>
      </c>
      <c r="T32" s="42"/>
      <c r="U32" s="174">
        <f>SUM(U23:U31)</f>
        <v>0</v>
      </c>
      <c r="V32" s="175">
        <f>SUM(V23:V31)</f>
        <v>246471</v>
      </c>
      <c r="W32" s="177">
        <f>SUM(W23:W31)</f>
        <v>-246471</v>
      </c>
    </row>
    <row r="33" spans="1:23" ht="3" customHeight="1" x14ac:dyDescent="0.25">
      <c r="C33" s="29"/>
      <c r="D33" s="38"/>
      <c r="E33" s="41"/>
      <c r="F33" s="42"/>
      <c r="G33" s="66"/>
      <c r="H33" s="42"/>
      <c r="I33" s="41"/>
      <c r="J33" s="42"/>
      <c r="K33" s="66"/>
      <c r="L33" s="42"/>
      <c r="M33" s="41"/>
      <c r="N33" s="42"/>
      <c r="O33" s="66"/>
      <c r="P33" s="42"/>
      <c r="Q33" s="41"/>
      <c r="R33" s="42"/>
      <c r="S33" s="66"/>
      <c r="T33" s="42"/>
      <c r="U33" s="41"/>
      <c r="V33" s="42"/>
      <c r="W33" s="66"/>
    </row>
    <row r="34" spans="1:23" ht="12" customHeight="1" x14ac:dyDescent="0.25">
      <c r="A34" s="25" t="s">
        <v>49</v>
      </c>
      <c r="C34" s="29" t="s">
        <v>48</v>
      </c>
      <c r="D34" s="38"/>
      <c r="E34" s="41">
        <f>ROUND(_xll.HPVAL($A34,E$1,$A$1,G$1,$A$2,$A$3)/1000,0)</f>
        <v>0</v>
      </c>
      <c r="F34" s="42">
        <f>ROUND(_xll.HPVAL($A34,F$1,$A$1,G$1,$A$2,$A$3)/1000,0)</f>
        <v>-12950</v>
      </c>
      <c r="G34" s="66">
        <f>ROUND(E34-F34,0)</f>
        <v>12950</v>
      </c>
      <c r="H34" s="42"/>
      <c r="I34" s="41">
        <f>ROUND(_xll.HPVAL($A34,I$1,$A$1,K$1,$A$2,$A$3)/1000,0)</f>
        <v>0</v>
      </c>
      <c r="J34" s="42">
        <f>ROUND(_xll.HPVAL($A34,J$1,$A$1,K$1,$A$2,$A$3)/1000,0)</f>
        <v>19064</v>
      </c>
      <c r="K34" s="66">
        <f>ROUND(I34-J34,0)</f>
        <v>-19064</v>
      </c>
      <c r="L34" s="42"/>
      <c r="M34" s="41">
        <f>ROUND(_xll.HPVAL($A34,M$1,$A$1,O$1,$A$2,$A$3)/1000,0)</f>
        <v>0</v>
      </c>
      <c r="N34" s="42">
        <f>ROUND(_xll.HPVAL($A34,N$1,$A$1,O$1,$A$2,$A$3)/1000,0)</f>
        <v>34851</v>
      </c>
      <c r="O34" s="66">
        <f>ROUND(M34-N34,0)</f>
        <v>-34851</v>
      </c>
      <c r="P34" s="42"/>
      <c r="Q34" s="41">
        <f>ROUND(_xll.HPVAL($A34,Q$1,$A$1,S$1,$A$2,$A$3)/1000,0)</f>
        <v>0</v>
      </c>
      <c r="R34" s="42">
        <f>ROUND(_xll.HPVAL($A34,R$1,$A$1,S$1,$A$2,$A$3)/1000,0)</f>
        <v>-26131</v>
      </c>
      <c r="S34" s="66">
        <f>ROUND(Q34-R34,0)</f>
        <v>26131</v>
      </c>
      <c r="T34" s="42"/>
      <c r="U34" s="41">
        <f>E34+I34+M34+Q34</f>
        <v>0</v>
      </c>
      <c r="V34" s="42">
        <f>F34+J34+N34+R34</f>
        <v>14834</v>
      </c>
      <c r="W34" s="66">
        <f>ROUND(U34-V34,0)</f>
        <v>-14834</v>
      </c>
    </row>
    <row r="35" spans="1:23" ht="12" customHeight="1" x14ac:dyDescent="0.25">
      <c r="A35" s="25" t="s">
        <v>52</v>
      </c>
      <c r="C35" s="29" t="s">
        <v>119</v>
      </c>
      <c r="D35" s="38"/>
      <c r="E35" s="41">
        <f>ROUND(_xll.HPVAL($A35,E$1,$A$1,G$1,$A$2,$A$3)/1000,0)</f>
        <v>0</v>
      </c>
      <c r="F35" s="42">
        <f>ROUND(_xll.HPVAL($A35,F$1,$A$1,G$1,$A$2,$A$3)/1000,0)</f>
        <v>-3133</v>
      </c>
      <c r="G35" s="66">
        <f>ROUND(E35-F35,0)</f>
        <v>3133</v>
      </c>
      <c r="H35" s="42"/>
      <c r="I35" s="41">
        <f>ROUND(_xll.HPVAL($A35,I$1,$A$1,K$1,$A$2,$A$3)/1000,0)</f>
        <v>0</v>
      </c>
      <c r="J35" s="42">
        <f>ROUND(_xll.HPVAL($A35,J$1,$A$1,K$1,$A$2,$A$3)/1000,0)</f>
        <v>-3264</v>
      </c>
      <c r="K35" s="66">
        <f>ROUND(I35-J35,0)</f>
        <v>3264</v>
      </c>
      <c r="L35" s="42"/>
      <c r="M35" s="41">
        <f>ROUND(_xll.HPVAL($A35,M$1,$A$1,O$1,$A$2,$A$3)/1000,0)</f>
        <v>0</v>
      </c>
      <c r="N35" s="42">
        <f>ROUND(_xll.HPVAL($A35,N$1,$A$1,O$1,$A$2,$A$3)/1000,0)</f>
        <v>-3377</v>
      </c>
      <c r="O35" s="66">
        <f>ROUND(M35-N35,0)</f>
        <v>3377</v>
      </c>
      <c r="P35" s="42"/>
      <c r="Q35" s="41">
        <f>ROUND(_xll.HPVAL($A35,Q$1,$A$1,S$1,$A$2,$A$3)/1000,0)</f>
        <v>0</v>
      </c>
      <c r="R35" s="42">
        <f>ROUND(_xll.HPVAL($A35,R$1,$A$1,S$1,$A$2,$A$3)/1000,0)</f>
        <v>-3713</v>
      </c>
      <c r="S35" s="66">
        <f>ROUND(Q35-R35,0)</f>
        <v>3713</v>
      </c>
      <c r="T35" s="42"/>
      <c r="U35" s="41">
        <f t="shared" ref="U35:V37" si="14">E35+I35+M35+Q35</f>
        <v>0</v>
      </c>
      <c r="V35" s="42">
        <f t="shared" si="14"/>
        <v>-13487</v>
      </c>
      <c r="W35" s="66">
        <f>ROUND(U35-V35,0)</f>
        <v>13487</v>
      </c>
    </row>
    <row r="36" spans="1:23" ht="12" customHeight="1" x14ac:dyDescent="0.25">
      <c r="A36" s="25" t="s">
        <v>58</v>
      </c>
      <c r="C36" s="29" t="s">
        <v>150</v>
      </c>
      <c r="D36" s="38"/>
      <c r="E36" s="41">
        <f>ROUND(_xll.HPVAL($A36,E$1,$A$1,G$1,$A$2,$A$3)/1000,0)</f>
        <v>0</v>
      </c>
      <c r="F36" s="42">
        <f>ROUND(_xll.HPVAL($A36,F$1,$A$1,G$1,$A$2,$A$3)/1000,0)</f>
        <v>-29334</v>
      </c>
      <c r="G36" s="66">
        <f>ROUND(E36-F36,0)</f>
        <v>29334</v>
      </c>
      <c r="H36" s="42"/>
      <c r="I36" s="41">
        <f>ROUND(_xll.HPVAL($A36,I$1,$A$1,K$1,$A$2,$A$3)/1000,0)</f>
        <v>0</v>
      </c>
      <c r="J36" s="42">
        <f>ROUND(_xll.HPVAL($A36,J$1,$A$1,K$1,$A$2,$A$3)/1000,0)</f>
        <v>-28307</v>
      </c>
      <c r="K36" s="66">
        <f>ROUND(I36-J36,0)</f>
        <v>28307</v>
      </c>
      <c r="L36" s="42"/>
      <c r="M36" s="41">
        <f>ROUND(_xll.HPVAL($A36,M$1,$A$1,O$1,$A$2,$A$3)/1000,0)</f>
        <v>0</v>
      </c>
      <c r="N36" s="42">
        <f>ROUND(_xll.HPVAL($A36,N$1,$A$1,O$1,$A$2,$A$3)/1000,0)</f>
        <v>-28697</v>
      </c>
      <c r="O36" s="66">
        <f>ROUND(M36-N36,0)</f>
        <v>28697</v>
      </c>
      <c r="P36" s="42"/>
      <c r="Q36" s="41">
        <f>ROUND(_xll.HPVAL($A36,Q$1,$A$1,S$1,$A$2,$A$3)/1000,0)</f>
        <v>0</v>
      </c>
      <c r="R36" s="42">
        <f>ROUND(_xll.HPVAL($A36,R$1,$A$1,S$1,$A$2,$A$3)/1000,0)</f>
        <v>-30341</v>
      </c>
      <c r="S36" s="66">
        <f>ROUND(Q36-R36,0)</f>
        <v>30341</v>
      </c>
      <c r="T36" s="42"/>
      <c r="U36" s="41">
        <f t="shared" si="14"/>
        <v>0</v>
      </c>
      <c r="V36" s="42">
        <f t="shared" si="14"/>
        <v>-116679</v>
      </c>
      <c r="W36" s="66">
        <f>ROUND(U36-V36,0)</f>
        <v>116679</v>
      </c>
    </row>
    <row r="37" spans="1:23" ht="12" customHeight="1" x14ac:dyDescent="0.25">
      <c r="A37" s="25" t="s">
        <v>59</v>
      </c>
      <c r="C37" s="29" t="s">
        <v>151</v>
      </c>
      <c r="D37" s="38"/>
      <c r="E37" s="41">
        <f>ROUND(_xll.HPVAL($A37,E$1,$A$1,G$1,$A$2,$A$3)/1000,0)</f>
        <v>0</v>
      </c>
      <c r="F37" s="42">
        <f>ROUND(_xll.HPVAL($A37,F$1,$A$1,G$1,$A$2,$A$3)/1000,0)</f>
        <v>3266</v>
      </c>
      <c r="G37" s="66">
        <f>ROUND(E37-F37,0)</f>
        <v>-3266</v>
      </c>
      <c r="H37" s="42"/>
      <c r="I37" s="41">
        <f>ROUND(_xll.HPVAL($A37,I$1,$A$1,K$1,$A$2,$A$3)/1000,0)</f>
        <v>0</v>
      </c>
      <c r="J37" s="42">
        <f>ROUND(_xll.HPVAL($A37,J$1,$A$1,K$1,$A$2,$A$3)/1000,0)</f>
        <v>3592</v>
      </c>
      <c r="K37" s="66">
        <f>ROUND(I37-J37,0)</f>
        <v>-3592</v>
      </c>
      <c r="L37" s="42"/>
      <c r="M37" s="41">
        <f>ROUND(_xll.HPVAL($A37,M$1,$A$1,O$1,$A$2,$A$3)/1000,0)</f>
        <v>0</v>
      </c>
      <c r="N37" s="42">
        <f>ROUND(_xll.HPVAL($A37,N$1,$A$1,O$1,$A$2,$A$3)/1000,0)</f>
        <v>3443</v>
      </c>
      <c r="O37" s="66">
        <f>ROUND(M37-N37,0)</f>
        <v>-3443</v>
      </c>
      <c r="P37" s="42"/>
      <c r="Q37" s="41">
        <f>ROUND(_xll.HPVAL($A37,Q$1,$A$1,S$1,$A$2,$A$3)/1000,0)</f>
        <v>0</v>
      </c>
      <c r="R37" s="42">
        <f>ROUND(_xll.HPVAL($A37,R$1,$A$1,S$1,$A$2,$A$3)/1000,0)</f>
        <v>3504</v>
      </c>
      <c r="S37" s="66">
        <f>ROUND(Q37-R37,0)</f>
        <v>-3504</v>
      </c>
      <c r="T37" s="42"/>
      <c r="U37" s="41">
        <f t="shared" si="14"/>
        <v>0</v>
      </c>
      <c r="V37" s="42">
        <f t="shared" si="14"/>
        <v>13805</v>
      </c>
      <c r="W37" s="66">
        <f>ROUND(U37-V37,0)</f>
        <v>-13805</v>
      </c>
    </row>
    <row r="38" spans="1:23" ht="12" customHeight="1" x14ac:dyDescent="0.25">
      <c r="C38" s="75" t="s">
        <v>143</v>
      </c>
      <c r="D38" s="38"/>
      <c r="E38" s="174">
        <f>SUM(E34:E37)</f>
        <v>0</v>
      </c>
      <c r="F38" s="175">
        <f>SUM(F34:F37)</f>
        <v>-42151</v>
      </c>
      <c r="G38" s="177">
        <f>SUM(G34:G37)</f>
        <v>42151</v>
      </c>
      <c r="H38" s="42"/>
      <c r="I38" s="174">
        <f>SUM(I34:I37)</f>
        <v>0</v>
      </c>
      <c r="J38" s="175">
        <f>SUM(J34:J37)</f>
        <v>-8915</v>
      </c>
      <c r="K38" s="177">
        <f>SUM(K34:K37)</f>
        <v>8915</v>
      </c>
      <c r="L38" s="42"/>
      <c r="M38" s="174">
        <f>SUM(M34:M37)</f>
        <v>0</v>
      </c>
      <c r="N38" s="175">
        <f>SUM(N34:N37)</f>
        <v>6220</v>
      </c>
      <c r="O38" s="177">
        <f>SUM(O34:O37)</f>
        <v>-6220</v>
      </c>
      <c r="P38" s="42"/>
      <c r="Q38" s="174">
        <f>SUM(Q34:Q37)</f>
        <v>0</v>
      </c>
      <c r="R38" s="175">
        <f>SUM(R34:R37)</f>
        <v>-56681</v>
      </c>
      <c r="S38" s="177">
        <f>SUM(S34:S37)</f>
        <v>56681</v>
      </c>
      <c r="T38" s="42"/>
      <c r="U38" s="174">
        <f>SUM(U34:U37)</f>
        <v>0</v>
      </c>
      <c r="V38" s="175">
        <f>SUM(V34:V37)</f>
        <v>-101527</v>
      </c>
      <c r="W38" s="177">
        <f>SUM(W34:W37)</f>
        <v>101527</v>
      </c>
    </row>
    <row r="39" spans="1:23" ht="3" customHeight="1" x14ac:dyDescent="0.25">
      <c r="C39" s="29"/>
      <c r="D39" s="38"/>
      <c r="E39" s="41"/>
      <c r="F39" s="42"/>
      <c r="G39" s="66"/>
      <c r="H39" s="42"/>
      <c r="I39" s="41"/>
      <c r="J39" s="42"/>
      <c r="K39" s="66"/>
      <c r="L39" s="42"/>
      <c r="M39" s="41"/>
      <c r="N39" s="42"/>
      <c r="O39" s="66"/>
      <c r="P39" s="42"/>
      <c r="Q39" s="41"/>
      <c r="R39" s="42"/>
      <c r="S39" s="66"/>
      <c r="T39" s="42"/>
      <c r="U39" s="41"/>
      <c r="V39" s="42"/>
      <c r="W39" s="66"/>
    </row>
    <row r="40" spans="1:23" ht="12" customHeight="1" x14ac:dyDescent="0.25">
      <c r="A40" s="25" t="s">
        <v>56</v>
      </c>
      <c r="C40" s="29" t="s">
        <v>15</v>
      </c>
      <c r="D40" s="38"/>
      <c r="E40" s="41">
        <f>ROUND(_xll.HPVAL($A40,E$1,$A$1,G$1,$A$2,$A$3)/1000,0)</f>
        <v>0</v>
      </c>
      <c r="F40" s="42">
        <f>ROUND(_xll.HPVAL($A40,F$1,$A$1,G$1,$A$2,$A$3)/1000,0)</f>
        <v>12081</v>
      </c>
      <c r="G40" s="66">
        <f>ROUND(E40-F40,0)</f>
        <v>-12081</v>
      </c>
      <c r="H40" s="42"/>
      <c r="I40" s="41">
        <f>ROUND(_xll.HPVAL($A40,I$1,$A$1,K$1,$A$2,$A$3)/1000,0)</f>
        <v>0</v>
      </c>
      <c r="J40" s="42">
        <f>ROUND(_xll.HPVAL($A40,J$1,$A$1,K$1,$A$2,$A$3)/1000,0)</f>
        <v>11600</v>
      </c>
      <c r="K40" s="66">
        <f>ROUND(I40-J40,0)</f>
        <v>-11600</v>
      </c>
      <c r="L40" s="42"/>
      <c r="M40" s="41">
        <f>ROUND(_xll.HPVAL($A40,M$1,$A$1,O$1,$A$2,$A$3)/1000,0)</f>
        <v>0</v>
      </c>
      <c r="N40" s="42">
        <f>ROUND(_xll.HPVAL($A40,N$1,$A$1,O$1,$A$2,$A$3)/1000,0)</f>
        <v>11297</v>
      </c>
      <c r="O40" s="66">
        <f>ROUND(M40-N40,0)</f>
        <v>-11297</v>
      </c>
      <c r="P40" s="42"/>
      <c r="Q40" s="41">
        <f>ROUND(_xll.HPVAL($A40,Q$1,$A$1,S$1,$A$2,$A$3)/1000,0)</f>
        <v>0</v>
      </c>
      <c r="R40" s="42">
        <f>ROUND(_xll.HPVAL($A40,R$1,$A$1,S$1,$A$2,$A$3)/1000,0)</f>
        <v>11694</v>
      </c>
      <c r="S40" s="66">
        <f>ROUND(Q40-R40,0)</f>
        <v>-11694</v>
      </c>
      <c r="T40" s="42"/>
      <c r="U40" s="41">
        <f t="shared" ref="U40:V42" si="15">E40+I40+M40+Q40</f>
        <v>0</v>
      </c>
      <c r="V40" s="42">
        <f t="shared" si="15"/>
        <v>46672</v>
      </c>
      <c r="W40" s="66">
        <f>ROUND(U40-V40,0)</f>
        <v>-46672</v>
      </c>
    </row>
    <row r="41" spans="1:23" ht="12" customHeight="1" x14ac:dyDescent="0.25">
      <c r="A41" s="25" t="s">
        <v>57</v>
      </c>
      <c r="C41" s="29" t="s">
        <v>1</v>
      </c>
      <c r="D41" s="38"/>
      <c r="E41" s="41">
        <f>ROUND(_xll.HPVAL($A41,E$1,$A$1,G$1,$A$2,$A$3)/1000,0)</f>
        <v>0</v>
      </c>
      <c r="F41" s="42">
        <f>ROUND(_xll.HPVAL($A41,F$1,$A$1,G$1,$A$2,$A$3)/1000,0)</f>
        <v>-39</v>
      </c>
      <c r="G41" s="66">
        <f>ROUND(E41-F41,0)</f>
        <v>39</v>
      </c>
      <c r="H41" s="42"/>
      <c r="I41" s="41">
        <f>ROUND(_xll.HPVAL($A41,I$1,$A$1,K$1,$A$2,$A$3)/1000,0)</f>
        <v>0</v>
      </c>
      <c r="J41" s="42">
        <f>ROUND(_xll.HPVAL($A41,J$1,$A$1,K$1,$A$2,$A$3)/1000,0)</f>
        <v>-2576</v>
      </c>
      <c r="K41" s="66">
        <f>ROUND(I41-J41,0)</f>
        <v>2576</v>
      </c>
      <c r="L41" s="42"/>
      <c r="M41" s="41">
        <f>ROUND(_xll.HPVAL($A41,M$1,$A$1,O$1,$A$2,$A$3)/1000,0)</f>
        <v>0</v>
      </c>
      <c r="N41" s="42">
        <f>ROUND(_xll.HPVAL($A41,N$1,$A$1,O$1,$A$2,$A$3)/1000,0)</f>
        <v>-2579</v>
      </c>
      <c r="O41" s="66">
        <f>ROUND(M41-N41,0)</f>
        <v>2579</v>
      </c>
      <c r="P41" s="42"/>
      <c r="Q41" s="41">
        <f>ROUND(_xll.HPVAL($A41,Q$1,$A$1,S$1,$A$2,$A$3)/1000,0)</f>
        <v>0</v>
      </c>
      <c r="R41" s="42">
        <f>ROUND(_xll.HPVAL($A41,R$1,$A$1,S$1,$A$2,$A$3)/1000,0)</f>
        <v>-2726</v>
      </c>
      <c r="S41" s="66">
        <f>ROUND(Q41-R41,0)</f>
        <v>2726</v>
      </c>
      <c r="T41" s="42"/>
      <c r="U41" s="41">
        <f t="shared" si="15"/>
        <v>0</v>
      </c>
      <c r="V41" s="42">
        <f t="shared" si="15"/>
        <v>-7920</v>
      </c>
      <c r="W41" s="66">
        <f>ROUND(U41-V41,0)</f>
        <v>7920</v>
      </c>
    </row>
    <row r="42" spans="1:23" ht="12" customHeight="1" x14ac:dyDescent="0.25">
      <c r="A42" s="25" t="s">
        <v>131</v>
      </c>
      <c r="C42" s="29" t="s">
        <v>129</v>
      </c>
      <c r="D42" s="38"/>
      <c r="E42" s="41">
        <f>ROUND(_xll.HPVAL($A42,E$1,$A$1,G$1,$A$2,$A$3)/1000,0)</f>
        <v>0</v>
      </c>
      <c r="F42" s="42">
        <f>ROUND(_xll.HPVAL($A42,F$1,$A$1,G$1,$A$2,$A$3)/1000,0)</f>
        <v>-960</v>
      </c>
      <c r="G42" s="66">
        <f>ROUND(E42-F42,0)</f>
        <v>960</v>
      </c>
      <c r="H42" s="42"/>
      <c r="I42" s="41">
        <f>ROUND(_xll.HPVAL($A42,I$1,$A$1,K$1,$A$2,$A$3)/1000,0)</f>
        <v>0</v>
      </c>
      <c r="J42" s="42">
        <f>ROUND(_xll.HPVAL($A42,J$1,$A$1,K$1,$A$2,$A$3)/1000,0)</f>
        <v>-797</v>
      </c>
      <c r="K42" s="66">
        <f>ROUND(I42-J42,0)</f>
        <v>797</v>
      </c>
      <c r="L42" s="42"/>
      <c r="M42" s="41">
        <f>ROUND(_xll.HPVAL($A42,M$1,$A$1,O$1,$A$2,$A$3)/1000,0)</f>
        <v>0</v>
      </c>
      <c r="N42" s="42">
        <f>ROUND(_xll.HPVAL($A42,N$1,$A$1,O$1,$A$2,$A$3)/1000,0)</f>
        <v>-797</v>
      </c>
      <c r="O42" s="66">
        <f>ROUND(M42-N42,0)</f>
        <v>797</v>
      </c>
      <c r="P42" s="42"/>
      <c r="Q42" s="41">
        <f>ROUND(_xll.HPVAL($A42,Q$1,$A$1,S$1,$A$2,$A$3)/1000,0)</f>
        <v>0</v>
      </c>
      <c r="R42" s="42">
        <f>ROUND(_xll.HPVAL($A42,R$1,$A$1,S$1,$A$2,$A$3)/1000,0)</f>
        <v>-797</v>
      </c>
      <c r="S42" s="66">
        <f>ROUND(Q42-R42,0)</f>
        <v>797</v>
      </c>
      <c r="T42" s="42"/>
      <c r="U42" s="41">
        <f t="shared" si="15"/>
        <v>0</v>
      </c>
      <c r="V42" s="42">
        <f t="shared" si="15"/>
        <v>-3351</v>
      </c>
      <c r="W42" s="66">
        <f>ROUND(U42-V42,0)</f>
        <v>3351</v>
      </c>
    </row>
    <row r="43" spans="1:23" ht="12" customHeight="1" x14ac:dyDescent="0.25">
      <c r="C43" s="75" t="s">
        <v>144</v>
      </c>
      <c r="D43" s="38"/>
      <c r="E43" s="174">
        <f>SUM(E40:E42)</f>
        <v>0</v>
      </c>
      <c r="F43" s="175">
        <f>SUM(F40:F42)</f>
        <v>11082</v>
      </c>
      <c r="G43" s="177">
        <f>SUM(G40:G42)</f>
        <v>-11082</v>
      </c>
      <c r="H43" s="42"/>
      <c r="I43" s="174">
        <f>SUM(I40:I42)</f>
        <v>0</v>
      </c>
      <c r="J43" s="175">
        <f>SUM(J40:J42)</f>
        <v>8227</v>
      </c>
      <c r="K43" s="177">
        <f>SUM(K40:K42)</f>
        <v>-8227</v>
      </c>
      <c r="L43" s="42"/>
      <c r="M43" s="174">
        <f>SUM(M40:M42)</f>
        <v>0</v>
      </c>
      <c r="N43" s="175">
        <f>SUM(N40:N42)</f>
        <v>7921</v>
      </c>
      <c r="O43" s="177">
        <f>SUM(O40:O42)</f>
        <v>-7921</v>
      </c>
      <c r="P43" s="42"/>
      <c r="Q43" s="174">
        <f>SUM(Q40:Q42)</f>
        <v>0</v>
      </c>
      <c r="R43" s="175">
        <f>SUM(R40:R42)</f>
        <v>8171</v>
      </c>
      <c r="S43" s="177">
        <f>SUM(S40:S42)</f>
        <v>-8171</v>
      </c>
      <c r="T43" s="42"/>
      <c r="U43" s="174">
        <f>SUM(U40:U42)</f>
        <v>0</v>
      </c>
      <c r="V43" s="175">
        <f>SUM(V40:V42)</f>
        <v>35401</v>
      </c>
      <c r="W43" s="177">
        <f>SUM(W40:W42)</f>
        <v>-35401</v>
      </c>
    </row>
    <row r="44" spans="1:23" ht="3" customHeight="1" x14ac:dyDescent="0.25">
      <c r="C44" s="29"/>
      <c r="D44" s="38"/>
      <c r="E44" s="41"/>
      <c r="F44" s="42"/>
      <c r="G44" s="66"/>
      <c r="H44" s="42"/>
      <c r="I44" s="41"/>
      <c r="J44" s="42"/>
      <c r="K44" s="66"/>
      <c r="L44" s="42"/>
      <c r="M44" s="41"/>
      <c r="N44" s="42"/>
      <c r="O44" s="66"/>
      <c r="P44" s="42"/>
      <c r="Q44" s="41"/>
      <c r="R44" s="42"/>
      <c r="S44" s="66"/>
      <c r="T44" s="42"/>
      <c r="U44" s="41"/>
      <c r="V44" s="42"/>
      <c r="W44" s="66"/>
    </row>
    <row r="45" spans="1:23" ht="12" customHeight="1" x14ac:dyDescent="0.25">
      <c r="A45" s="25" t="s">
        <v>139</v>
      </c>
      <c r="C45" s="29" t="s">
        <v>14</v>
      </c>
      <c r="D45" s="38"/>
      <c r="E45" s="41">
        <f>ROUND(_xll.HPVAL($A45,E$1,$A$1,G$1,$A$2,$A$3)/1000,0)</f>
        <v>0</v>
      </c>
      <c r="F45" s="42">
        <f>ROUND(_xll.HPVAL($A45,F$1,$A$1,G$1,$A$2,$A$3)/1000,0)+ROUND(_xll.HPVAL($A49,F$1,$A$1,G$1,$A$2,$A$3)/1000,0)-ROUND(_xll.HPVAL($A53,F$1,$A$1,G$1,$A$2,$A$3)/1000,0)</f>
        <v>-6347</v>
      </c>
      <c r="G45" s="66">
        <f>ROUND(E45-F45,0)</f>
        <v>6347</v>
      </c>
      <c r="H45" s="42"/>
      <c r="I45" s="41">
        <f>ROUND(_xll.HPVAL($A45,I$1,$A$1,K$1,$A$2,$A$3)/1000,0)</f>
        <v>0</v>
      </c>
      <c r="J45" s="42">
        <f>ROUND(_xll.HPVAL($A45,J$1,$A$1,K$1,$A$2,$A$3)/1000,0)+ROUND(_xll.HPVAL($A49,J$1,$A$1,K$1,$A$2,$A$3)/1000,0)-ROUND(_xll.HPVAL($A53,J$1,$A$1,K$1,$A$2,$A$3)/1000,0)</f>
        <v>-6226</v>
      </c>
      <c r="K45" s="66">
        <f>ROUND(I45-J45,0)</f>
        <v>6226</v>
      </c>
      <c r="L45" s="42"/>
      <c r="M45" s="41">
        <f>ROUND(_xll.HPVAL($A45,M$1,$A$1,O$1,$A$2,$A$3)/1000,0)</f>
        <v>0</v>
      </c>
      <c r="N45" s="42">
        <f>ROUND(_xll.HPVAL($A45,N$1,$A$1,O$1,$A$2,$A$3)/1000,0)+ROUND(_xll.HPVAL($A49,N$1,$A$1,O$1,$A$2,$A$3)/1000,0)-ROUND(_xll.HPVAL($A53,N$1,$A$1,O$1,$A$2,$A$3)/1000,0)</f>
        <v>-6347</v>
      </c>
      <c r="O45" s="66">
        <f>ROUND(M45-N45,0)</f>
        <v>6347</v>
      </c>
      <c r="P45" s="42"/>
      <c r="Q45" s="41">
        <f>ROUND(_xll.HPVAL($A45,Q$1,$A$1,S$1,$A$2,$A$3)/1000,0)</f>
        <v>0</v>
      </c>
      <c r="R45" s="42">
        <f>ROUND(_xll.HPVAL($A45,R$1,$A$1,S$1,$A$2,$A$3)/1000,0)+ROUND(_xll.HPVAL($A49,R$1,$A$1,S$1,$A$2,$A$3)/1000,0)-ROUND(_xll.HPVAL($A53,R$1,$A$1,S$1,$A$2,$A$3)/1000,0)</f>
        <v>-6095</v>
      </c>
      <c r="S45" s="66">
        <f>ROUND(Q45-R45,0)</f>
        <v>6095</v>
      </c>
      <c r="T45" s="42"/>
      <c r="U45" s="41">
        <f>E45+I45+M45+Q45</f>
        <v>0</v>
      </c>
      <c r="V45" s="42">
        <f>F45+J45+N45+R45</f>
        <v>-25015</v>
      </c>
      <c r="W45" s="66">
        <f>ROUND(U45-V45,0)</f>
        <v>25015</v>
      </c>
    </row>
    <row r="46" spans="1:23" ht="3" customHeight="1" x14ac:dyDescent="0.25">
      <c r="C46" s="29"/>
      <c r="D46" s="38"/>
      <c r="E46" s="41"/>
      <c r="F46" s="42"/>
      <c r="G46" s="66"/>
      <c r="H46" s="42"/>
      <c r="I46" s="41"/>
      <c r="J46" s="42"/>
      <c r="K46" s="66"/>
      <c r="L46" s="42"/>
      <c r="M46" s="41"/>
      <c r="N46" s="42"/>
      <c r="O46" s="66"/>
      <c r="P46" s="42"/>
      <c r="Q46" s="41"/>
      <c r="R46" s="42"/>
      <c r="S46" s="66"/>
      <c r="T46" s="42"/>
      <c r="U46" s="41"/>
      <c r="V46" s="42"/>
      <c r="W46" s="66"/>
    </row>
    <row r="47" spans="1:23" ht="12" customHeight="1" x14ac:dyDescent="0.25">
      <c r="A47" s="25" t="s">
        <v>62</v>
      </c>
      <c r="C47" s="29" t="s">
        <v>13</v>
      </c>
      <c r="D47" s="38"/>
      <c r="E47" s="41">
        <f>ROUND(_xll.HPVAL($A47,E$1,$A$1,G$1,$A$2,$A$3)/1000,0)</f>
        <v>0</v>
      </c>
      <c r="F47" s="42">
        <f>ROUND(_xll.HPVAL($A47,F$1,$A$1,G$1,$A$2,$A$3)/1000,0)-F57</f>
        <v>-6113</v>
      </c>
      <c r="G47" s="66">
        <f>ROUND(E47-F47,0)</f>
        <v>6113</v>
      </c>
      <c r="H47" s="42"/>
      <c r="I47" s="41">
        <f>ROUND(_xll.HPVAL($A47,I$1,$A$1,K$1,$A$2,$A$3)/1000,0)</f>
        <v>0</v>
      </c>
      <c r="J47" s="42">
        <f>ROUND(_xll.HPVAL($A47,J$1,$A$1,K$1,$A$2,$A$3)/1000,0)-J57</f>
        <v>-5619</v>
      </c>
      <c r="K47" s="66">
        <f>ROUND(I47-J47,0)</f>
        <v>5619</v>
      </c>
      <c r="L47" s="42"/>
      <c r="M47" s="41">
        <f>ROUND(_xll.HPVAL($A47,M$1,$A$1,O$1,$A$2,$A$3)/1000,0)</f>
        <v>0</v>
      </c>
      <c r="N47" s="42">
        <f>ROUND(_xll.HPVAL($A47,N$1,$A$1,O$1,$A$2,$A$3)/1000,0)-N57</f>
        <v>-5520</v>
      </c>
      <c r="O47" s="66">
        <f>ROUND(M47-N47,0)</f>
        <v>5520</v>
      </c>
      <c r="P47" s="42"/>
      <c r="Q47" s="41">
        <f>ROUND(_xll.HPVAL($A47,Q$1,$A$1,S$1,$A$2,$A$3)/1000,0)</f>
        <v>0</v>
      </c>
      <c r="R47" s="42">
        <f>ROUND(_xll.HPVAL($A47,R$1,$A$1,S$1,$A$2,$A$3)/1000,0)-R57</f>
        <v>-5439</v>
      </c>
      <c r="S47" s="66">
        <f>ROUND(Q47-R47,0)</f>
        <v>5439</v>
      </c>
      <c r="T47" s="42"/>
      <c r="U47" s="41">
        <f>E47+I47+M47+Q47</f>
        <v>0</v>
      </c>
      <c r="V47" s="42">
        <f>F47+J47+N47+R47</f>
        <v>-22691</v>
      </c>
      <c r="W47" s="66">
        <f>ROUND(U47-V47,0)</f>
        <v>22691</v>
      </c>
    </row>
    <row r="48" spans="1:23" ht="3" customHeight="1" x14ac:dyDescent="0.25">
      <c r="C48" s="29"/>
      <c r="D48" s="38"/>
      <c r="E48" s="41"/>
      <c r="F48" s="42"/>
      <c r="G48" s="66"/>
      <c r="H48" s="42"/>
      <c r="I48" s="41"/>
      <c r="J48" s="42"/>
      <c r="K48" s="66"/>
      <c r="L48" s="42"/>
      <c r="M48" s="41"/>
      <c r="N48" s="42"/>
      <c r="O48" s="66"/>
      <c r="P48" s="42"/>
      <c r="Q48" s="41"/>
      <c r="R48" s="42"/>
      <c r="S48" s="66"/>
      <c r="T48" s="42"/>
      <c r="U48" s="41"/>
      <c r="V48" s="42"/>
      <c r="W48" s="66"/>
    </row>
    <row r="49" spans="1:23" s="69" customFormat="1" ht="12" customHeight="1" x14ac:dyDescent="0.25">
      <c r="A49" s="25" t="s">
        <v>182</v>
      </c>
      <c r="B49" s="68"/>
      <c r="C49" s="75" t="s">
        <v>17</v>
      </c>
      <c r="D49" s="70"/>
      <c r="E49" s="174">
        <f>SUM(E43:E47)+E21+E32+E38</f>
        <v>0</v>
      </c>
      <c r="F49" s="175">
        <f>SUM(F43:F47)+F21+F32+F38</f>
        <v>104042</v>
      </c>
      <c r="G49" s="177">
        <f>SUM(G43:G47)+G21+G32+G38</f>
        <v>-104042</v>
      </c>
      <c r="H49" s="67"/>
      <c r="I49" s="174">
        <f>SUM(I43:I47)+I21+I32+I38</f>
        <v>0</v>
      </c>
      <c r="J49" s="175">
        <f>SUM(J43:J47)+J21+J32+J38</f>
        <v>159833</v>
      </c>
      <c r="K49" s="177">
        <f>SUM(K43:K47)+K21+K32+K38</f>
        <v>-159833</v>
      </c>
      <c r="L49" s="67"/>
      <c r="M49" s="174">
        <f>SUM(M43:M47)+M21+M32+M38</f>
        <v>0</v>
      </c>
      <c r="N49" s="175">
        <f>SUM(N43:N47)+N21+N32+N38</f>
        <v>178847</v>
      </c>
      <c r="O49" s="177">
        <f>SUM(O43:O47)+O21+O32+O38</f>
        <v>-178847</v>
      </c>
      <c r="P49" s="67"/>
      <c r="Q49" s="174">
        <f>SUM(Q43:Q47)+Q21+Q32+Q38</f>
        <v>0</v>
      </c>
      <c r="R49" s="175">
        <f>SUM(R43:R47)+R21+R32+R38</f>
        <v>147655</v>
      </c>
      <c r="S49" s="177">
        <f>SUM(S43:S47)+S21+S32+S38</f>
        <v>-147655</v>
      </c>
      <c r="T49" s="67"/>
      <c r="U49" s="174">
        <f>SUM(U43:U47)+U21+U32+U38</f>
        <v>0</v>
      </c>
      <c r="V49" s="175">
        <f>SUM(V43:V47)+V21+V32+V38</f>
        <v>590377</v>
      </c>
      <c r="W49" s="177">
        <f>SUM(W43:W47)+W21+W32+W38</f>
        <v>-590377</v>
      </c>
    </row>
    <row r="50" spans="1:23" ht="3" customHeight="1" x14ac:dyDescent="0.25">
      <c r="C50" s="29"/>
      <c r="D50" s="38"/>
      <c r="E50" s="41"/>
      <c r="F50" s="42"/>
      <c r="G50" s="66"/>
      <c r="H50" s="42"/>
      <c r="I50" s="41"/>
      <c r="J50" s="42"/>
      <c r="K50" s="66"/>
      <c r="L50" s="42"/>
      <c r="M50" s="41"/>
      <c r="N50" s="42"/>
      <c r="O50" s="66"/>
      <c r="P50" s="42"/>
      <c r="Q50" s="41"/>
      <c r="R50" s="42"/>
      <c r="S50" s="66"/>
      <c r="T50" s="42"/>
      <c r="U50" s="41"/>
      <c r="V50" s="42"/>
      <c r="W50" s="66"/>
    </row>
    <row r="51" spans="1:23" ht="12" customHeight="1" x14ac:dyDescent="0.25">
      <c r="A51" s="25" t="s">
        <v>63</v>
      </c>
      <c r="C51" s="29" t="s">
        <v>71</v>
      </c>
      <c r="D51" s="38"/>
      <c r="E51" s="41">
        <f>ROUND(_xll.HPVAL($A51,E$1,$A$1,G$1,$A$2,$A$3)/1000,0)</f>
        <v>0</v>
      </c>
      <c r="F51" s="42">
        <f>ROUND(_xll.HPVAL($A51,F$1,$A$1,G$1,$A$2,$A$3)/1000,0)-ROUND(_xll.HPVAL($A49,F$1,$A$1,G$1,$A$2,$A$3)/1000,0)</f>
        <v>-6362</v>
      </c>
      <c r="G51" s="66">
        <f>ROUND(E51-F51,0)</f>
        <v>6362</v>
      </c>
      <c r="H51" s="42"/>
      <c r="I51" s="41">
        <f>ROUND(_xll.HPVAL($A51,I$1,$A$1,K$1,$A$2,$A$3)/1000,0)</f>
        <v>0</v>
      </c>
      <c r="J51" s="42">
        <f>ROUND(_xll.HPVAL($A51,J$1,$A$1,K$1,$A$2,$A$3)/1000,0)-ROUND(_xll.HPVAL($A49,J$1,$A$1,K$1,$A$2,$A$3)/1000,0)</f>
        <v>-16638</v>
      </c>
      <c r="K51" s="66">
        <f>ROUND(I51-J51,0)</f>
        <v>16638</v>
      </c>
      <c r="L51" s="42"/>
      <c r="M51" s="41">
        <f>ROUND(_xll.HPVAL($A51,M$1,$A$1,O$1,$A$2,$A$3)/1000,0)</f>
        <v>0</v>
      </c>
      <c r="N51" s="42">
        <f>ROUND(_xll.HPVAL($A51,N$1,$A$1,O$1,$A$2,$A$3)/1000,0)-ROUND(_xll.HPVAL($A49,N$1,$A$1,O$1,$A$2,$A$3)/1000,0)</f>
        <v>-18576</v>
      </c>
      <c r="O51" s="66">
        <f>ROUND(M51-N51,0)</f>
        <v>18576</v>
      </c>
      <c r="P51" s="42"/>
      <c r="Q51" s="41">
        <f>ROUND(_xll.HPVAL($A51,Q$1,$A$1,S$1,$A$2,$A$3)/1000,0)</f>
        <v>0</v>
      </c>
      <c r="R51" s="42">
        <f>ROUND(_xll.HPVAL($A51,R$1,$A$1,S$1,$A$2,$A$3)/1000,0)-ROUND(_xll.HPVAL($A49,R$1,$A$1,S$1,$A$2,$A$3)/1000,0)</f>
        <v>-58053</v>
      </c>
      <c r="S51" s="66">
        <f>ROUND(Q51-R51,0)</f>
        <v>58053</v>
      </c>
      <c r="T51" s="42"/>
      <c r="U51" s="41">
        <f>E51+I51+M51+Q51</f>
        <v>0</v>
      </c>
      <c r="V51" s="42">
        <f>F51+J51+N51+R51</f>
        <v>-99629</v>
      </c>
      <c r="W51" s="66">
        <f>ROUND(U51-V51,0)</f>
        <v>99629</v>
      </c>
    </row>
    <row r="52" spans="1:23" ht="3" customHeight="1" x14ac:dyDescent="0.25">
      <c r="C52" s="29"/>
      <c r="D52" s="38"/>
      <c r="E52" s="41"/>
      <c r="F52" s="42"/>
      <c r="G52" s="66"/>
      <c r="H52" s="42"/>
      <c r="I52" s="41"/>
      <c r="J52" s="42"/>
      <c r="K52" s="66"/>
      <c r="L52" s="42"/>
      <c r="M52" s="41"/>
      <c r="N52" s="42"/>
      <c r="O52" s="66"/>
      <c r="P52" s="42"/>
      <c r="Q52" s="41"/>
      <c r="R52" s="42"/>
      <c r="S52" s="66"/>
      <c r="T52" s="42"/>
      <c r="U52" s="41"/>
      <c r="V52" s="42"/>
      <c r="W52" s="66"/>
    </row>
    <row r="53" spans="1:23" ht="12" customHeight="1" x14ac:dyDescent="0.25">
      <c r="A53" s="25" t="s">
        <v>64</v>
      </c>
      <c r="C53" s="29" t="s">
        <v>26</v>
      </c>
      <c r="D53" s="38"/>
      <c r="E53" s="41">
        <f>-ROUND(_xll.HPVAL($A53,E$1,"tot_ops_expenses",G$1,$A$2,$A$3)/1000,0)</f>
        <v>0</v>
      </c>
      <c r="F53" s="42">
        <f>-ROUND(_xll.HPVAL($A53,F$1,"tot_ops_expenses",G$1,$A$2,$A$3)/1000,0)</f>
        <v>-22603</v>
      </c>
      <c r="G53" s="66">
        <f>ROUND(E53-F53,0)</f>
        <v>22603</v>
      </c>
      <c r="H53" s="65"/>
      <c r="I53" s="41">
        <f>-ROUND(_xll.HPVAL($A53,I$1,"tot_ops_expenses",K$1,$A$2,$A$3)/1000,0)</f>
        <v>0</v>
      </c>
      <c r="J53" s="42">
        <f>-ROUND(_xll.HPVAL($A53,J$1,"tot_ops_expenses",K$1,$A$2,$A$3)/1000,0)</f>
        <v>-26684</v>
      </c>
      <c r="K53" s="66">
        <f>ROUND(I53-J53,0)</f>
        <v>26684</v>
      </c>
      <c r="L53" s="65"/>
      <c r="M53" s="41">
        <f>-ROUND(_xll.HPVAL($A53,M$1,"tot_ops_expenses",O$1,$A$2,$A$3)/1000,0)</f>
        <v>0</v>
      </c>
      <c r="N53" s="42">
        <f>-ROUND(_xll.HPVAL($A53,N$1,"tot_ops_expenses",O$1,$A$2,$A$3)/1000,0)</f>
        <v>-26912</v>
      </c>
      <c r="O53" s="66">
        <f>ROUND(M53-N53,0)</f>
        <v>26912</v>
      </c>
      <c r="P53" s="65"/>
      <c r="Q53" s="41">
        <f>-ROUND(_xll.HPVAL($A53,Q$1,"tot_ops_expenses",S$1,$A$2,$A$3)/1000,0)</f>
        <v>0</v>
      </c>
      <c r="R53" s="42">
        <f>-ROUND(_xll.HPVAL($A53,R$1,"tot_ops_expenses",S$1,$A$2,$A$3)/1000,0)</f>
        <v>-29408</v>
      </c>
      <c r="S53" s="66">
        <f>ROUND(Q53-R53,0)</f>
        <v>29408</v>
      </c>
      <c r="T53" s="65"/>
      <c r="U53" s="41">
        <f>E53+I53+M53+Q53</f>
        <v>0</v>
      </c>
      <c r="V53" s="42">
        <f>F53+J53+N53+R53</f>
        <v>-105607</v>
      </c>
      <c r="W53" s="66">
        <f>ROUND(U53-V53,0)</f>
        <v>105607</v>
      </c>
    </row>
    <row r="54" spans="1:23" ht="3" customHeight="1" x14ac:dyDescent="0.25">
      <c r="C54" s="29"/>
      <c r="D54" s="38"/>
      <c r="E54" s="41"/>
      <c r="F54" s="42"/>
      <c r="G54" s="66"/>
      <c r="H54" s="42"/>
      <c r="I54" s="41"/>
      <c r="J54" s="42"/>
      <c r="K54" s="66"/>
      <c r="L54" s="42"/>
      <c r="M54" s="41"/>
      <c r="N54" s="42"/>
      <c r="O54" s="66"/>
      <c r="P54" s="42"/>
      <c r="Q54" s="41"/>
      <c r="R54" s="42"/>
      <c r="S54" s="66"/>
      <c r="T54" s="42"/>
      <c r="U54" s="41"/>
      <c r="V54" s="42"/>
      <c r="W54" s="66"/>
    </row>
    <row r="55" spans="1:23" ht="12" customHeight="1" x14ac:dyDescent="0.25">
      <c r="A55" s="25" t="s">
        <v>64</v>
      </c>
      <c r="C55" s="29" t="s">
        <v>84</v>
      </c>
      <c r="D55" s="38"/>
      <c r="E55" s="41">
        <f>-ROUND(_xll.HPVAL($A55,E$1,"cap_chrg",G$1,$A$2,$A$3)/1000,0)</f>
        <v>0</v>
      </c>
      <c r="F55" s="42">
        <f>-ROUND(_xll.HPVAL($A55,F$1,"cap_chrg",G$1,$A$2,$A$3)/1000,0)</f>
        <v>35387</v>
      </c>
      <c r="G55" s="66">
        <f>ROUND(E55-F55,0)</f>
        <v>-35387</v>
      </c>
      <c r="H55" s="42"/>
      <c r="I55" s="41">
        <f>-ROUND(_xll.HPVAL($A55,I$1,"cap_chrg",K$1,$A$2,$A$3)/1000,0)</f>
        <v>0</v>
      </c>
      <c r="J55" s="42">
        <f>-ROUND(_xll.HPVAL($A55,J$1,"cap_chrg",K$1,$A$2,$A$3)/1000,0)</f>
        <v>38452</v>
      </c>
      <c r="K55" s="66">
        <f>ROUND(I55-J55,0)</f>
        <v>-38452</v>
      </c>
      <c r="L55" s="42"/>
      <c r="M55" s="41">
        <f>-ROUND(_xll.HPVAL($A55,M$1,"cap_chrg",O$1,$A$2,$A$3)/1000,0)</f>
        <v>0</v>
      </c>
      <c r="N55" s="42">
        <f>-ROUND(_xll.HPVAL($A55,N$1,"cap_chrg",O$1,$A$2,$A$3)/1000,0)</f>
        <v>44361</v>
      </c>
      <c r="O55" s="66">
        <f>ROUND(M55-N55,0)</f>
        <v>-44361</v>
      </c>
      <c r="P55" s="42"/>
      <c r="Q55" s="41">
        <f>-ROUND(_xll.HPVAL($A55,Q$1,"cap_chrg",S$1,$A$2,$A$3)/1000,0)</f>
        <v>0</v>
      </c>
      <c r="R55" s="42">
        <f>-ROUND(_xll.HPVAL($A55,R$1,"cap_chrg",S$1,$A$2,$A$3)/1000,0)</f>
        <v>44265</v>
      </c>
      <c r="S55" s="66">
        <f>ROUND(Q55-R55,0)</f>
        <v>-44265</v>
      </c>
      <c r="T55" s="42"/>
      <c r="U55" s="41">
        <f>E55+I55+M55+Q55</f>
        <v>0</v>
      </c>
      <c r="V55" s="42">
        <f>F55+J55+N55+R55</f>
        <v>162465</v>
      </c>
      <c r="W55" s="66">
        <f>ROUND(U55-V55,0)</f>
        <v>-162465</v>
      </c>
    </row>
    <row r="56" spans="1:23" ht="3" customHeight="1" x14ac:dyDescent="0.25">
      <c r="C56" s="29"/>
      <c r="D56" s="38"/>
      <c r="E56" s="41"/>
      <c r="F56" s="42"/>
      <c r="G56" s="66"/>
      <c r="H56" s="42"/>
      <c r="I56" s="41"/>
      <c r="J56" s="42"/>
      <c r="K56" s="66"/>
      <c r="L56" s="42"/>
      <c r="M56" s="41"/>
      <c r="N56" s="42"/>
      <c r="O56" s="66"/>
      <c r="P56" s="42"/>
      <c r="Q56" s="41"/>
      <c r="R56" s="42"/>
      <c r="S56" s="66"/>
      <c r="T56" s="42"/>
      <c r="U56" s="41"/>
      <c r="V56" s="42"/>
      <c r="W56" s="66"/>
    </row>
    <row r="57" spans="1:23" ht="12" customHeight="1" x14ac:dyDescent="0.25">
      <c r="A57" s="25" t="s">
        <v>62</v>
      </c>
      <c r="C57" s="29" t="s">
        <v>27</v>
      </c>
      <c r="D57" s="38"/>
      <c r="E57" s="41"/>
      <c r="F57" s="42">
        <f>ROUND(_xll.HPVAL($A57,F$1,"gross_margin",G$1,$A$2,$A$3)/1000,0)</f>
        <v>32938</v>
      </c>
      <c r="G57" s="66">
        <f>ROUND(E57-F57,0)</f>
        <v>-32938</v>
      </c>
      <c r="H57" s="42"/>
      <c r="I57" s="41"/>
      <c r="J57" s="42">
        <f>ROUND(_xll.HPVAL($A57,J$1,"gross_margin",K$1,$A$2,$A$3)/1000,0)</f>
        <v>32636</v>
      </c>
      <c r="K57" s="66">
        <f>ROUND(I57-J57,0)</f>
        <v>-32636</v>
      </c>
      <c r="L57" s="42"/>
      <c r="M57" s="41"/>
      <c r="N57" s="42">
        <f>ROUND(_xll.HPVAL($A57,N$1,"gross_margin",O$1,$A$2,$A$3)/1000,0)</f>
        <v>32180</v>
      </c>
      <c r="O57" s="66">
        <f>ROUND(M57-N57,0)</f>
        <v>-32180</v>
      </c>
      <c r="P57" s="42"/>
      <c r="Q57" s="41"/>
      <c r="R57" s="42">
        <f>ROUND(_xll.HPVAL($A57,R$1,"gross_margin",S$1,$A$2,$A$3)/1000,0)</f>
        <v>35540</v>
      </c>
      <c r="S57" s="66">
        <f>ROUND(Q57-R57,0)</f>
        <v>-35540</v>
      </c>
      <c r="T57" s="42"/>
      <c r="U57" s="41">
        <f>E57+I57+M57+Q57</f>
        <v>0</v>
      </c>
      <c r="V57" s="42">
        <f>F57+J57+N57+R57</f>
        <v>133294</v>
      </c>
      <c r="W57" s="66">
        <f>ROUND(U57-V57,0)</f>
        <v>-133294</v>
      </c>
    </row>
    <row r="58" spans="1:23" ht="3" customHeight="1" x14ac:dyDescent="0.25">
      <c r="C58" s="29"/>
      <c r="D58" s="38"/>
      <c r="E58" s="41"/>
      <c r="F58" s="42"/>
      <c r="G58" s="66"/>
      <c r="H58" s="42"/>
      <c r="I58" s="41"/>
      <c r="J58" s="42"/>
      <c r="K58" s="66"/>
      <c r="L58" s="42"/>
      <c r="M58" s="41"/>
      <c r="N58" s="42"/>
      <c r="O58" s="66"/>
      <c r="P58" s="42"/>
      <c r="Q58" s="41"/>
      <c r="R58" s="42"/>
      <c r="S58" s="66"/>
      <c r="T58" s="42"/>
      <c r="U58" s="41"/>
      <c r="V58" s="42"/>
      <c r="W58" s="66"/>
    </row>
    <row r="59" spans="1:23" ht="12" customHeight="1" x14ac:dyDescent="0.25">
      <c r="C59" s="75" t="s">
        <v>92</v>
      </c>
      <c r="D59" s="38"/>
      <c r="E59" s="174">
        <f>SUM(E49:E57)</f>
        <v>0</v>
      </c>
      <c r="F59" s="175">
        <f>SUM(F49:F57)</f>
        <v>143402</v>
      </c>
      <c r="G59" s="177">
        <f>SUM(G49:G57)</f>
        <v>-143402</v>
      </c>
      <c r="H59" s="42"/>
      <c r="I59" s="174">
        <f>SUM(I49:I57)</f>
        <v>0</v>
      </c>
      <c r="J59" s="175">
        <f>SUM(J49:J57)</f>
        <v>187599</v>
      </c>
      <c r="K59" s="177">
        <f>SUM(K49:K57)</f>
        <v>-187599</v>
      </c>
      <c r="L59" s="42"/>
      <c r="M59" s="174">
        <f>SUM(M49:M57)</f>
        <v>0</v>
      </c>
      <c r="N59" s="175">
        <f>SUM(N49:N57)</f>
        <v>209900</v>
      </c>
      <c r="O59" s="177">
        <f>SUM(O49:O57)</f>
        <v>-209900</v>
      </c>
      <c r="P59" s="42"/>
      <c r="Q59" s="174">
        <f>SUM(Q49:Q57)</f>
        <v>0</v>
      </c>
      <c r="R59" s="175">
        <f>SUM(R49:R57)</f>
        <v>139999</v>
      </c>
      <c r="S59" s="177">
        <f>SUM(S49:S57)</f>
        <v>-139999</v>
      </c>
      <c r="T59" s="42"/>
      <c r="U59" s="174">
        <f>SUM(U49:U57)</f>
        <v>0</v>
      </c>
      <c r="V59" s="175">
        <f>SUM(V49:V57)</f>
        <v>680900</v>
      </c>
      <c r="W59" s="177">
        <f>SUM(W49:W57)</f>
        <v>-680900</v>
      </c>
    </row>
    <row r="60" spans="1:23" ht="3" customHeight="1" x14ac:dyDescent="0.25">
      <c r="C60" s="29"/>
      <c r="D60" s="38"/>
      <c r="E60" s="41"/>
      <c r="F60" s="42"/>
      <c r="G60" s="66"/>
      <c r="H60" s="42"/>
      <c r="I60" s="41"/>
      <c r="J60" s="42"/>
      <c r="K60" s="66"/>
      <c r="L60" s="42"/>
      <c r="M60" s="41"/>
      <c r="N60" s="42"/>
      <c r="O60" s="66"/>
      <c r="P60" s="42"/>
      <c r="Q60" s="41"/>
      <c r="R60" s="42"/>
      <c r="S60" s="66"/>
      <c r="T60" s="42"/>
      <c r="U60" s="41"/>
      <c r="V60" s="42"/>
      <c r="W60" s="66"/>
    </row>
    <row r="61" spans="1:23" ht="12" customHeight="1" x14ac:dyDescent="0.25">
      <c r="C61" s="29" t="s">
        <v>28</v>
      </c>
      <c r="D61" s="38"/>
      <c r="E61" s="41">
        <v>0</v>
      </c>
      <c r="F61" s="42">
        <v>-12000</v>
      </c>
      <c r="G61" s="66">
        <f>ROUND(E61-F61,0)</f>
        <v>12000</v>
      </c>
      <c r="H61" s="42"/>
      <c r="I61" s="41">
        <v>0</v>
      </c>
      <c r="J61" s="42">
        <v>-8600</v>
      </c>
      <c r="K61" s="66">
        <f>ROUND(I61-J61,0)</f>
        <v>8600</v>
      </c>
      <c r="L61" s="42"/>
      <c r="M61" s="41">
        <v>0</v>
      </c>
      <c r="N61" s="42">
        <v>-18900</v>
      </c>
      <c r="O61" s="66">
        <f>ROUND(M61-N61,0)</f>
        <v>18900</v>
      </c>
      <c r="P61" s="42"/>
      <c r="Q61" s="41">
        <v>0</v>
      </c>
      <c r="R61" s="42">
        <v>-17500</v>
      </c>
      <c r="S61" s="66">
        <f>ROUND(Q61-R61,0)</f>
        <v>17500</v>
      </c>
      <c r="T61" s="42"/>
      <c r="U61" s="41">
        <f>E61+I61+M61+Q61</f>
        <v>0</v>
      </c>
      <c r="V61" s="42">
        <f>F61+J61+N61+R61</f>
        <v>-57000</v>
      </c>
      <c r="W61" s="66">
        <f>ROUND(U61-V61,0)</f>
        <v>57000</v>
      </c>
    </row>
    <row r="62" spans="1:23" ht="3" customHeight="1" x14ac:dyDescent="0.25">
      <c r="C62" s="29"/>
      <c r="D62" s="38"/>
      <c r="E62" s="41"/>
      <c r="F62" s="42"/>
      <c r="G62" s="66"/>
      <c r="H62" s="42"/>
      <c r="I62" s="41"/>
      <c r="J62" s="42"/>
      <c r="K62" s="66"/>
      <c r="L62" s="42"/>
      <c r="M62" s="41"/>
      <c r="N62" s="42"/>
      <c r="O62" s="66"/>
      <c r="P62" s="42"/>
      <c r="Q62" s="41"/>
      <c r="R62" s="42"/>
      <c r="S62" s="66"/>
      <c r="T62" s="42"/>
      <c r="U62" s="41"/>
      <c r="V62" s="42"/>
      <c r="W62" s="66"/>
    </row>
    <row r="63" spans="1:23" ht="12" customHeight="1" x14ac:dyDescent="0.25">
      <c r="C63" s="75" t="s">
        <v>93</v>
      </c>
      <c r="D63" s="38"/>
      <c r="E63" s="125">
        <f>SUM(E59:E61)</f>
        <v>0</v>
      </c>
      <c r="F63" s="126">
        <f>SUM(F59:F61)</f>
        <v>131402</v>
      </c>
      <c r="G63" s="127">
        <f>SUM(G59:G61)</f>
        <v>-131402</v>
      </c>
      <c r="H63" s="42"/>
      <c r="I63" s="125">
        <f>SUM(I59:I61)</f>
        <v>0</v>
      </c>
      <c r="J63" s="126">
        <f>SUM(J59:J61)</f>
        <v>178999</v>
      </c>
      <c r="K63" s="127">
        <f>SUM(K59:K61)</f>
        <v>-178999</v>
      </c>
      <c r="L63" s="42"/>
      <c r="M63" s="125">
        <f>SUM(M59:M61)</f>
        <v>0</v>
      </c>
      <c r="N63" s="126">
        <f>SUM(N59:N61)</f>
        <v>191000</v>
      </c>
      <c r="O63" s="127">
        <f>SUM(O59:O61)</f>
        <v>-191000</v>
      </c>
      <c r="P63" s="42"/>
      <c r="Q63" s="125">
        <f>SUM(Q59:Q61)</f>
        <v>0</v>
      </c>
      <c r="R63" s="126">
        <f>SUM(R59:R61)</f>
        <v>122499</v>
      </c>
      <c r="S63" s="127">
        <f>SUM(S59:S61)</f>
        <v>-122499</v>
      </c>
      <c r="T63" s="42"/>
      <c r="U63" s="125">
        <f>SUM(U59:U61)</f>
        <v>0</v>
      </c>
      <c r="V63" s="126">
        <f>SUM(V59:V61)</f>
        <v>623900</v>
      </c>
      <c r="W63" s="127">
        <f>SUM(W59:W61)</f>
        <v>-623900</v>
      </c>
    </row>
    <row r="64" spans="1:2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49"/>
      <c r="J64" s="50"/>
      <c r="K64" s="51"/>
      <c r="L64" s="42"/>
      <c r="M64" s="49"/>
      <c r="N64" s="50"/>
      <c r="O64" s="51"/>
      <c r="P64" s="42"/>
      <c r="Q64" s="49"/>
      <c r="R64" s="50"/>
      <c r="S64" s="51"/>
      <c r="T64" s="42"/>
      <c r="U64" s="49"/>
      <c r="V64" s="50"/>
      <c r="W64" s="51"/>
    </row>
    <row r="65" spans="3:23" ht="13.5" x14ac:dyDescent="0.25">
      <c r="C65" s="55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3:23" x14ac:dyDescent="0.25"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</row>
    <row r="67" spans="3:23" x14ac:dyDescent="0.25"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</row>
    <row r="68" spans="3:23" x14ac:dyDescent="0.25"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3:23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</row>
    <row r="70" spans="3:23" x14ac:dyDescent="0.25"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</row>
    <row r="71" spans="3:23" x14ac:dyDescent="0.25"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</row>
    <row r="72" spans="3:23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3:23" x14ac:dyDescent="0.25"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</row>
    <row r="74" spans="3:23" x14ac:dyDescent="0.25"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</row>
    <row r="75" spans="3:23" x14ac:dyDescent="0.25"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3:23" x14ac:dyDescent="0.25"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</row>
    <row r="77" spans="3:23" x14ac:dyDescent="0.25"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</row>
    <row r="78" spans="3:23" x14ac:dyDescent="0.25"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3:23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3:23" x14ac:dyDescent="0.25"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</row>
    <row r="81" spans="5:23" x14ac:dyDescent="0.25"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</row>
    <row r="82" spans="5:23" x14ac:dyDescent="0.25"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5:23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</row>
    <row r="84" spans="5:23" x14ac:dyDescent="0.25"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</row>
    <row r="85" spans="5:23" x14ac:dyDescent="0.25"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</row>
    <row r="86" spans="5:23" x14ac:dyDescent="0.25"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5:23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</row>
    <row r="88" spans="5:23" x14ac:dyDescent="0.25"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</row>
    <row r="89" spans="5:23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</sheetData>
  <mergeCells count="8">
    <mergeCell ref="U7:W7"/>
    <mergeCell ref="C3:W3"/>
    <mergeCell ref="C4:W4"/>
    <mergeCell ref="C5:W5"/>
    <mergeCell ref="E7:G7"/>
    <mergeCell ref="I7:K7"/>
    <mergeCell ref="M7:O7"/>
    <mergeCell ref="Q7:S7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170</v>
      </c>
    </row>
    <row r="2" spans="1:19" ht="15.75" x14ac:dyDescent="0.25">
      <c r="A2" s="25" t="s">
        <v>73</v>
      </c>
      <c r="B2" s="240" t="s">
        <v>24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</row>
    <row r="3" spans="1:19" ht="16.5" x14ac:dyDescent="0.3">
      <c r="A3" s="26">
        <v>36586</v>
      </c>
      <c r="B3" s="241" t="s">
        <v>167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</row>
    <row r="4" spans="1:19" ht="13.5" x14ac:dyDescent="0.25">
      <c r="A4" s="25" t="s">
        <v>68</v>
      </c>
      <c r="B4" s="242" t="str">
        <f>Summary!A3</f>
        <v>Results based on Activity through February 18, 2000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</row>
    <row r="5" spans="1:19" ht="3" customHeight="1" x14ac:dyDescent="0.25">
      <c r="B5" s="38"/>
    </row>
    <row r="6" spans="1:19" ht="12.75" customHeight="1" x14ac:dyDescent="0.25">
      <c r="A6" s="25" t="s">
        <v>245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3" t="s">
        <v>272</v>
      </c>
      <c r="R6" s="244"/>
      <c r="S6" s="245"/>
    </row>
    <row r="7" spans="1:19" x14ac:dyDescent="0.25">
      <c r="B7" s="29"/>
      <c r="D7" s="36"/>
      <c r="E7" s="38"/>
      <c r="F7" s="56"/>
      <c r="G7" s="56"/>
      <c r="H7" s="38"/>
      <c r="I7" s="56" t="s">
        <v>123</v>
      </c>
      <c r="J7" s="56" t="s">
        <v>18</v>
      </c>
      <c r="K7" s="56" t="s">
        <v>20</v>
      </c>
      <c r="L7" s="56" t="s">
        <v>21</v>
      </c>
      <c r="M7" s="56" t="s">
        <v>32</v>
      </c>
      <c r="N7" s="57"/>
      <c r="O7" s="58"/>
      <c r="P7" s="58"/>
      <c r="Q7" s="243" t="s">
        <v>271</v>
      </c>
      <c r="R7" s="244"/>
      <c r="S7" s="245"/>
    </row>
    <row r="8" spans="1:19" x14ac:dyDescent="0.25">
      <c r="B8" s="37" t="s">
        <v>23</v>
      </c>
      <c r="D8" s="33" t="s">
        <v>135</v>
      </c>
      <c r="E8" s="34" t="s">
        <v>274</v>
      </c>
      <c r="F8" s="34" t="s">
        <v>269</v>
      </c>
      <c r="G8" s="34" t="s">
        <v>76</v>
      </c>
      <c r="H8" s="34" t="s">
        <v>72</v>
      </c>
      <c r="I8" s="34" t="s">
        <v>32</v>
      </c>
      <c r="J8" s="34" t="s">
        <v>19</v>
      </c>
      <c r="K8" s="34" t="s">
        <v>32</v>
      </c>
      <c r="L8" s="34" t="s">
        <v>32</v>
      </c>
      <c r="M8" s="34" t="s">
        <v>22</v>
      </c>
      <c r="N8" s="35" t="s">
        <v>30</v>
      </c>
      <c r="O8" s="58"/>
      <c r="P8" s="58"/>
      <c r="Q8" s="223" t="s">
        <v>22</v>
      </c>
      <c r="R8" s="180" t="s">
        <v>20</v>
      </c>
      <c r="S8" s="181" t="s">
        <v>30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38</v>
      </c>
      <c r="B10" s="29" t="s">
        <v>5</v>
      </c>
      <c r="D10" s="59">
        <v>34460</v>
      </c>
      <c r="E10" s="60"/>
      <c r="F10" s="60"/>
      <c r="G10" s="60"/>
      <c r="H10" s="60"/>
      <c r="I10" s="133">
        <f>SUM(D10:H10)</f>
        <v>34460</v>
      </c>
      <c r="J10" s="59"/>
      <c r="K10" s="60">
        <f>IF(S10&gt;0,S10,0)</f>
        <v>7152</v>
      </c>
      <c r="L10" s="60">
        <f t="shared" ref="L10:L19" si="0">SUM(I10:K10)</f>
        <v>41612</v>
      </c>
      <c r="M10" s="60">
        <f>ROUND(_xll.HPVAL($A10,$A$1,$A$2,$A$3,$A$4,$A$6)/1000,0)</f>
        <v>41592</v>
      </c>
      <c r="N10" s="86">
        <f>L10-M10</f>
        <v>20</v>
      </c>
      <c r="Q10" s="73">
        <f>M10-Expenses!E9-'CapChrg-AllocExp'!E10</f>
        <v>37837</v>
      </c>
      <c r="R10" s="73">
        <f>I10+J10-Expenses!D9-'CapChrg-AllocExp'!D10</f>
        <v>30685</v>
      </c>
      <c r="S10" s="73">
        <f>Q10-R10</f>
        <v>7152</v>
      </c>
    </row>
    <row r="11" spans="1:19" ht="12" customHeight="1" x14ac:dyDescent="0.25">
      <c r="A11" s="25" t="s">
        <v>175</v>
      </c>
      <c r="B11" s="29" t="s">
        <v>176</v>
      </c>
      <c r="D11" s="41">
        <v>41124</v>
      </c>
      <c r="E11" s="42"/>
      <c r="F11" s="42"/>
      <c r="G11" s="42"/>
      <c r="H11" s="42"/>
      <c r="I11" s="64">
        <f t="shared" ref="I11:I19" si="1">SUM(D11:H11)</f>
        <v>41124</v>
      </c>
      <c r="J11" s="41"/>
      <c r="K11" s="42">
        <f t="shared" ref="K11:K19" si="2">IF(S11&gt;0,S11,0)</f>
        <v>0</v>
      </c>
      <c r="L11" s="42">
        <f t="shared" si="0"/>
        <v>41124</v>
      </c>
      <c r="M11" s="42">
        <f>ROUND(_xll.HPVAL($A11,$A$1,$A$2,$A$3,$A$4,$A$6)/1000,0)</f>
        <v>31680</v>
      </c>
      <c r="N11" s="87">
        <f t="shared" ref="N11:N19" si="3">L11-M11</f>
        <v>9444</v>
      </c>
      <c r="Q11" s="44">
        <f>M11-Expenses!E10-'CapChrg-AllocExp'!E11</f>
        <v>27048</v>
      </c>
      <c r="R11" s="44">
        <f>I11+J11-Expenses!D10-'CapChrg-AllocExp'!D11</f>
        <v>36487</v>
      </c>
      <c r="S11" s="44">
        <f t="shared" ref="S11:S19" si="4">Q11-R11</f>
        <v>-9439</v>
      </c>
    </row>
    <row r="12" spans="1:19" ht="12" customHeight="1" x14ac:dyDescent="0.25">
      <c r="A12" s="25" t="s">
        <v>41</v>
      </c>
      <c r="B12" s="29" t="s">
        <v>258</v>
      </c>
      <c r="D12" s="41">
        <v>13109</v>
      </c>
      <c r="E12" s="42"/>
      <c r="F12" s="42"/>
      <c r="G12" s="42"/>
      <c r="H12" s="42"/>
      <c r="I12" s="64">
        <f>SUM(D12:H12)</f>
        <v>13109</v>
      </c>
      <c r="J12" s="41"/>
      <c r="K12" s="42">
        <f t="shared" si="2"/>
        <v>9334</v>
      </c>
      <c r="L12" s="42">
        <f t="shared" si="0"/>
        <v>22443</v>
      </c>
      <c r="M12" s="42">
        <f>ROUND(_xll.HPVAL($A12,$A$1,"other",$A$3,$A$4,$A$6)/1000,0)</f>
        <v>22366</v>
      </c>
      <c r="N12" s="87">
        <f t="shared" si="3"/>
        <v>77</v>
      </c>
      <c r="Q12" s="44">
        <f>M12-Expenses!E11-'CapChrg-AllocExp'!E12</f>
        <v>21648</v>
      </c>
      <c r="R12" s="44">
        <f>I12+J12-Expenses!D11-'CapChrg-AllocExp'!D12</f>
        <v>12314</v>
      </c>
      <c r="S12" s="44">
        <f t="shared" si="4"/>
        <v>9334</v>
      </c>
    </row>
    <row r="13" spans="1:19" ht="12" customHeight="1" x14ac:dyDescent="0.25">
      <c r="A13" s="25" t="s">
        <v>260</v>
      </c>
      <c r="B13" s="29" t="s">
        <v>259</v>
      </c>
      <c r="D13" s="41">
        <f>1282+13400+1494</f>
        <v>16176</v>
      </c>
      <c r="E13" s="42"/>
      <c r="F13" s="42"/>
      <c r="G13" s="42"/>
      <c r="H13" s="42"/>
      <c r="I13" s="64">
        <f>SUM(D13:H13)</f>
        <v>16176</v>
      </c>
      <c r="J13" s="41"/>
      <c r="K13" s="42">
        <f>IF(S13&gt;0,S13,0)</f>
        <v>0</v>
      </c>
      <c r="L13" s="42">
        <f>SUM(I13:K13)</f>
        <v>16176</v>
      </c>
      <c r="M13" s="42">
        <f>ROUND(_xll.HPVAL($A13,$A$1,$A$2,$A$3,$A$4,$A$6)/1000,0)-M12</f>
        <v>11483</v>
      </c>
      <c r="N13" s="87">
        <f>L13-M13</f>
        <v>4693</v>
      </c>
      <c r="Q13" s="44">
        <f>M13-Expenses!E12-'CapChrg-AllocExp'!E13-'CapChrg-AllocExp'!L13</f>
        <v>9062</v>
      </c>
      <c r="R13" s="44">
        <f>I13+J13-Expenses!D12-'CapChrg-AllocExp'!D13-'CapChrg-AllocExp'!K13</f>
        <v>13682</v>
      </c>
      <c r="S13" s="44">
        <f>Q13-R13</f>
        <v>-4620</v>
      </c>
    </row>
    <row r="14" spans="1:19" ht="12" customHeight="1" x14ac:dyDescent="0.25">
      <c r="A14" s="25" t="s">
        <v>130</v>
      </c>
      <c r="B14" s="29" t="s">
        <v>202</v>
      </c>
      <c r="D14" s="41">
        <v>11269</v>
      </c>
      <c r="E14" s="81">
        <v>1820</v>
      </c>
      <c r="F14" s="81">
        <v>1462</v>
      </c>
      <c r="G14" s="42">
        <f>3147+3147</f>
        <v>6294</v>
      </c>
      <c r="H14" s="42">
        <v>-2820</v>
      </c>
      <c r="I14" s="64">
        <f>SUM(D14:H14)</f>
        <v>18025</v>
      </c>
      <c r="J14" s="41"/>
      <c r="K14" s="42">
        <f t="shared" si="2"/>
        <v>7352</v>
      </c>
      <c r="L14" s="42">
        <f t="shared" si="0"/>
        <v>25377</v>
      </c>
      <c r="M14" s="42">
        <f>ROUND(_xll.HPVAL($A14,$A$1,$A$2,$A$3,$A$4,$A$6)/1000,0)</f>
        <v>23112</v>
      </c>
      <c r="N14" s="87">
        <f t="shared" si="3"/>
        <v>2265</v>
      </c>
      <c r="Q14" s="44">
        <f>M14-Expenses!E13-'CapChrg-AllocExp'!E14</f>
        <v>19970</v>
      </c>
      <c r="R14" s="44">
        <f>I14+J14-Expenses!D13-'CapChrg-AllocExp'!D14</f>
        <v>12618</v>
      </c>
      <c r="S14" s="44">
        <f t="shared" si="4"/>
        <v>7352</v>
      </c>
    </row>
    <row r="15" spans="1:19" ht="12" customHeight="1" x14ac:dyDescent="0.25">
      <c r="A15" s="25" t="s">
        <v>42</v>
      </c>
      <c r="B15" s="29" t="s">
        <v>11</v>
      </c>
      <c r="D15" s="41">
        <v>835</v>
      </c>
      <c r="E15" s="42">
        <v>-129</v>
      </c>
      <c r="F15" s="42">
        <v>31</v>
      </c>
      <c r="G15" s="42"/>
      <c r="H15" s="42"/>
      <c r="I15" s="64">
        <f t="shared" si="1"/>
        <v>737</v>
      </c>
      <c r="J15" s="41"/>
      <c r="K15" s="42">
        <f t="shared" si="2"/>
        <v>13005</v>
      </c>
      <c r="L15" s="42">
        <f t="shared" si="0"/>
        <v>13742</v>
      </c>
      <c r="M15" s="42">
        <f>ROUND(_xll.HPVAL($A15,$A$1,$A$2,$A$3,$A$4,$A$6)/1000,0)</f>
        <v>12747</v>
      </c>
      <c r="N15" s="87">
        <f t="shared" si="3"/>
        <v>995</v>
      </c>
      <c r="Q15" s="44">
        <f>M15-Expenses!E14-'CapChrg-AllocExp'!E15</f>
        <v>9450</v>
      </c>
      <c r="R15" s="44">
        <f>I15+J15-Expenses!D14-'CapChrg-AllocExp'!D15</f>
        <v>-3555</v>
      </c>
      <c r="S15" s="44">
        <f t="shared" si="4"/>
        <v>13005</v>
      </c>
    </row>
    <row r="16" spans="1:19" ht="12" customHeight="1" x14ac:dyDescent="0.25">
      <c r="A16" s="25" t="s">
        <v>44</v>
      </c>
      <c r="B16" s="29" t="s">
        <v>9</v>
      </c>
      <c r="D16" s="41">
        <v>-2394</v>
      </c>
      <c r="E16" s="42"/>
      <c r="F16" s="42"/>
      <c r="G16" s="42"/>
      <c r="H16" s="42"/>
      <c r="I16" s="64">
        <f t="shared" si="1"/>
        <v>-2394</v>
      </c>
      <c r="J16" s="41"/>
      <c r="K16" s="42">
        <f t="shared" si="2"/>
        <v>5813</v>
      </c>
      <c r="L16" s="42">
        <f t="shared" si="0"/>
        <v>3419</v>
      </c>
      <c r="M16" s="42">
        <f>ROUND(_xll.HPVAL($A16,$A$1,$A$2,$A$3,$A$4,$A$6)/1000,0)</f>
        <v>3215</v>
      </c>
      <c r="N16" s="87">
        <f t="shared" si="3"/>
        <v>204</v>
      </c>
      <c r="Q16" s="44">
        <f>M16-Expenses!E15-'CapChrg-AllocExp'!E16</f>
        <v>2186</v>
      </c>
      <c r="R16" s="44">
        <f>I16+J16-Expenses!D15-'CapChrg-AllocExp'!D16</f>
        <v>-3627</v>
      </c>
      <c r="S16" s="44">
        <f t="shared" si="4"/>
        <v>5813</v>
      </c>
    </row>
    <row r="17" spans="1:19" ht="12" customHeight="1" x14ac:dyDescent="0.25">
      <c r="A17" s="25" t="s">
        <v>10</v>
      </c>
      <c r="B17" s="29" t="s">
        <v>177</v>
      </c>
      <c r="D17" s="41">
        <v>923</v>
      </c>
      <c r="E17" s="42"/>
      <c r="F17" s="42"/>
      <c r="G17" s="42"/>
      <c r="H17" s="42"/>
      <c r="I17" s="64">
        <f t="shared" si="1"/>
        <v>923</v>
      </c>
      <c r="J17" s="41"/>
      <c r="K17" s="42">
        <f t="shared" si="2"/>
        <v>0</v>
      </c>
      <c r="L17" s="42">
        <f t="shared" si="0"/>
        <v>923</v>
      </c>
      <c r="M17" s="42">
        <f>ROUND(_xll.HPVAL($A17,$A$1,$A$2,$A$3,$A$4,$A$6)/1000,0)</f>
        <v>750</v>
      </c>
      <c r="N17" s="87">
        <f t="shared" si="3"/>
        <v>173</v>
      </c>
      <c r="Q17" s="44">
        <f>M17-Expenses!E16-'CapChrg-AllocExp'!E17</f>
        <v>646</v>
      </c>
      <c r="R17" s="44">
        <f>I17+J17-Expenses!D16-'CapChrg-AllocExp'!D17</f>
        <v>792</v>
      </c>
      <c r="S17" s="44">
        <f t="shared" si="4"/>
        <v>-146</v>
      </c>
    </row>
    <row r="18" spans="1:19" ht="12" customHeight="1" x14ac:dyDescent="0.25">
      <c r="A18" s="25" t="s">
        <v>125</v>
      </c>
      <c r="B18" s="29" t="s">
        <v>88</v>
      </c>
      <c r="D18" s="41"/>
      <c r="E18" s="42"/>
      <c r="F18" s="42"/>
      <c r="G18" s="42"/>
      <c r="H18" s="42"/>
      <c r="I18" s="64">
        <f t="shared" si="1"/>
        <v>0</v>
      </c>
      <c r="J18" s="41"/>
      <c r="K18" s="42">
        <f t="shared" si="2"/>
        <v>7712</v>
      </c>
      <c r="L18" s="42">
        <f t="shared" si="0"/>
        <v>7712</v>
      </c>
      <c r="M18" s="42">
        <f>ROUND(_xll.HPVAL($A18,$A$1,$A$2,$A$3,$A$4,$A$6)/1000,0)</f>
        <v>7712</v>
      </c>
      <c r="N18" s="87">
        <f t="shared" si="3"/>
        <v>0</v>
      </c>
      <c r="Q18" s="44">
        <f>M18-Expenses!E17-'CapChrg-AllocExp'!E18</f>
        <v>6495</v>
      </c>
      <c r="R18" s="44">
        <f>I18+J18-Expenses!D17-'CapChrg-AllocExp'!D18</f>
        <v>-1217</v>
      </c>
      <c r="S18" s="44">
        <f t="shared" si="4"/>
        <v>7712</v>
      </c>
    </row>
    <row r="19" spans="1:19" ht="12" customHeight="1" x14ac:dyDescent="0.25">
      <c r="A19" s="25" t="s">
        <v>45</v>
      </c>
      <c r="B19" s="29" t="s">
        <v>4</v>
      </c>
      <c r="D19" s="41">
        <v>-738</v>
      </c>
      <c r="E19" s="42"/>
      <c r="F19" s="42"/>
      <c r="G19" s="42"/>
      <c r="H19" s="42"/>
      <c r="I19" s="64">
        <f t="shared" si="1"/>
        <v>-738</v>
      </c>
      <c r="J19" s="41"/>
      <c r="K19" s="42">
        <f t="shared" si="2"/>
        <v>5986</v>
      </c>
      <c r="L19" s="42">
        <f t="shared" si="0"/>
        <v>5248</v>
      </c>
      <c r="M19" s="42">
        <f>ROUND(_xll.HPVAL($A19,$A$1,$A$2,$A$3,$A$4,$A$6)/1000,0)</f>
        <v>5248</v>
      </c>
      <c r="N19" s="87">
        <f t="shared" si="3"/>
        <v>0</v>
      </c>
      <c r="Q19" s="44">
        <f>M19-Expenses!E18-'CapChrg-AllocExp'!E19</f>
        <v>5079</v>
      </c>
      <c r="R19" s="44">
        <f>I19+J19-Expenses!D18-'CapChrg-AllocExp'!D19</f>
        <v>-907</v>
      </c>
      <c r="S19" s="44">
        <f t="shared" si="4"/>
        <v>5986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6" t="s">
        <v>12</v>
      </c>
      <c r="C21" s="121"/>
      <c r="D21" s="129">
        <f>SUM(D10:D19)</f>
        <v>114764</v>
      </c>
      <c r="E21" s="130">
        <f t="shared" ref="E21:N21" si="5">SUM(E10:E19)</f>
        <v>1691</v>
      </c>
      <c r="F21" s="130">
        <f t="shared" si="5"/>
        <v>1493</v>
      </c>
      <c r="G21" s="130">
        <f t="shared" si="5"/>
        <v>6294</v>
      </c>
      <c r="H21" s="130">
        <f t="shared" si="5"/>
        <v>-2820</v>
      </c>
      <c r="I21" s="129">
        <f t="shared" si="5"/>
        <v>121422</v>
      </c>
      <c r="J21" s="129">
        <f t="shared" si="5"/>
        <v>0</v>
      </c>
      <c r="K21" s="130">
        <f t="shared" si="5"/>
        <v>56354</v>
      </c>
      <c r="L21" s="130">
        <f t="shared" si="5"/>
        <v>177776</v>
      </c>
      <c r="M21" s="130">
        <f t="shared" si="5"/>
        <v>159905</v>
      </c>
      <c r="N21" s="132">
        <f t="shared" si="5"/>
        <v>17871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46</v>
      </c>
      <c r="B23" s="29" t="s">
        <v>145</v>
      </c>
      <c r="D23" s="41"/>
      <c r="E23" s="42"/>
      <c r="F23" s="42"/>
      <c r="G23" s="42"/>
      <c r="H23" s="42"/>
      <c r="I23" s="64">
        <f t="shared" ref="I23:I31" si="6">SUM(D23:H23)</f>
        <v>0</v>
      </c>
      <c r="J23" s="41">
        <f>Greensheet!M20</f>
        <v>7700</v>
      </c>
      <c r="K23" s="42"/>
      <c r="L23" s="42">
        <f t="shared" ref="L23:L31" si="7">SUM(I23:K23)</f>
        <v>7700</v>
      </c>
      <c r="M23" s="42">
        <f>ROUND(_xll.HPVAL($A23,$A$1,$A$2,$A$3,$A$4,$A$6)/1000,0)</f>
        <v>14243</v>
      </c>
      <c r="N23" s="87">
        <f t="shared" ref="N23:N31" si="8">L23-M23</f>
        <v>-6543</v>
      </c>
      <c r="Q23" s="165">
        <f>M23-Expenses!E21-'CapChrg-AllocExp'!E22</f>
        <v>10820</v>
      </c>
      <c r="R23" s="165">
        <f>I23+J23-Expenses!D21-'CapChrg-AllocExp'!D22</f>
        <v>4277</v>
      </c>
      <c r="S23" s="44">
        <f t="shared" ref="S23:S31" si="9">Q23-R23</f>
        <v>6543</v>
      </c>
    </row>
    <row r="24" spans="1:19" ht="12" customHeight="1" x14ac:dyDescent="0.25">
      <c r="A24" s="25" t="s">
        <v>53</v>
      </c>
      <c r="B24" s="29" t="s">
        <v>146</v>
      </c>
      <c r="D24" s="41"/>
      <c r="E24" s="42">
        <v>2900</v>
      </c>
      <c r="F24" s="42">
        <v>823</v>
      </c>
      <c r="G24" s="42"/>
      <c r="H24" s="42"/>
      <c r="I24" s="64">
        <f t="shared" si="6"/>
        <v>3723</v>
      </c>
      <c r="J24" s="41">
        <f>Greensheet!M44</f>
        <v>0</v>
      </c>
      <c r="K24" s="42"/>
      <c r="L24" s="42">
        <f t="shared" si="7"/>
        <v>3723</v>
      </c>
      <c r="M24" s="42">
        <f>ROUND(_xll.HPVAL($A24,$A$1,$A$2,$A$3,$A$4,$A$6)/1000,0)</f>
        <v>13235</v>
      </c>
      <c r="N24" s="87">
        <f t="shared" si="8"/>
        <v>-9512</v>
      </c>
      <c r="Q24" s="44">
        <f>M24-Expenses!E22-'CapChrg-AllocExp'!E23</f>
        <v>7643</v>
      </c>
      <c r="R24" s="44">
        <f>I24+J24-Expenses!D22-'CapChrg-AllocExp'!D23</f>
        <v>-2472</v>
      </c>
      <c r="S24" s="44">
        <f t="shared" si="9"/>
        <v>10115</v>
      </c>
    </row>
    <row r="25" spans="1:19" ht="12" customHeight="1" x14ac:dyDescent="0.25">
      <c r="A25" s="25" t="s">
        <v>50</v>
      </c>
      <c r="B25" s="29" t="s">
        <v>147</v>
      </c>
      <c r="D25" s="41">
        <f>3084-292</f>
        <v>2792</v>
      </c>
      <c r="E25" s="42">
        <v>12</v>
      </c>
      <c r="F25" s="42">
        <v>178</v>
      </c>
      <c r="G25" s="42"/>
      <c r="H25" s="42"/>
      <c r="I25" s="64">
        <f t="shared" si="6"/>
        <v>2982</v>
      </c>
      <c r="J25" s="41">
        <f>Greensheet!M34</f>
        <v>50060</v>
      </c>
      <c r="K25" s="42"/>
      <c r="L25" s="42">
        <f t="shared" si="7"/>
        <v>53042</v>
      </c>
      <c r="M25" s="42">
        <f>ROUND(_xll.HPVAL($A25,$A$1,$A$2,$A$3,$A$4,$A$6)/1000,0)</f>
        <v>14164</v>
      </c>
      <c r="N25" s="87">
        <f t="shared" si="8"/>
        <v>38878</v>
      </c>
      <c r="Q25" s="44">
        <f>M25-Expenses!E23-'CapChrg-AllocExp'!E24</f>
        <v>9867</v>
      </c>
      <c r="R25" s="44">
        <f>I25+J25-Expenses!D23-'CapChrg-AllocExp'!D24</f>
        <v>49688</v>
      </c>
      <c r="S25" s="44">
        <f t="shared" si="9"/>
        <v>-39821</v>
      </c>
    </row>
    <row r="26" spans="1:19" ht="12" customHeight="1" x14ac:dyDescent="0.25">
      <c r="A26" s="25" t="s">
        <v>47</v>
      </c>
      <c r="B26" s="29" t="s">
        <v>148</v>
      </c>
      <c r="D26" s="41"/>
      <c r="E26" s="42"/>
      <c r="F26" s="42">
        <v>1</v>
      </c>
      <c r="G26" s="42"/>
      <c r="H26" s="42"/>
      <c r="I26" s="64">
        <f t="shared" si="6"/>
        <v>1</v>
      </c>
      <c r="J26" s="41">
        <f>Greensheet!M39</f>
        <v>5000</v>
      </c>
      <c r="K26" s="42"/>
      <c r="L26" s="42">
        <f t="shared" si="7"/>
        <v>5001</v>
      </c>
      <c r="M26" s="42">
        <f>ROUND(_xll.HPVAL($A26,$A$1,$A$2,$A$3,$A$4,$A$6)/1000,0)</f>
        <v>2757</v>
      </c>
      <c r="N26" s="87">
        <f t="shared" si="8"/>
        <v>2244</v>
      </c>
      <c r="Q26" s="44">
        <f>M26-Expenses!E24-'CapChrg-AllocExp'!E25</f>
        <v>-312</v>
      </c>
      <c r="R26" s="44">
        <f>I26+J26-Expenses!D24-'CapChrg-AllocExp'!D25</f>
        <v>2384</v>
      </c>
      <c r="S26" s="44">
        <f t="shared" si="9"/>
        <v>-2696</v>
      </c>
    </row>
    <row r="27" spans="1:19" ht="12" customHeight="1" x14ac:dyDescent="0.25">
      <c r="A27" s="25" t="s">
        <v>171</v>
      </c>
      <c r="B27" s="29" t="s">
        <v>172</v>
      </c>
      <c r="D27" s="41"/>
      <c r="E27" s="81"/>
      <c r="F27" s="81"/>
      <c r="G27" s="42"/>
      <c r="H27" s="42"/>
      <c r="I27" s="64">
        <f t="shared" si="6"/>
        <v>0</v>
      </c>
      <c r="J27" s="41"/>
      <c r="K27" s="42"/>
      <c r="L27" s="42">
        <f t="shared" si="7"/>
        <v>0</v>
      </c>
      <c r="M27" s="42">
        <f>ROUND(_xll.HPVAL($A27,$A$1,$A$2,$A$3,$A$4,$A$6)/1000,0)</f>
        <v>6477</v>
      </c>
      <c r="N27" s="87">
        <f t="shared" si="8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9"/>
        <v>6477</v>
      </c>
    </row>
    <row r="28" spans="1:19" ht="12" customHeight="1" x14ac:dyDescent="0.25">
      <c r="A28" s="25" t="s">
        <v>54</v>
      </c>
      <c r="B28" s="29" t="s">
        <v>149</v>
      </c>
      <c r="D28" s="41"/>
      <c r="E28" s="81">
        <v>10260</v>
      </c>
      <c r="F28" s="81">
        <v>1676</v>
      </c>
      <c r="G28" s="42"/>
      <c r="H28" s="42"/>
      <c r="I28" s="64">
        <f t="shared" si="6"/>
        <v>11936</v>
      </c>
      <c r="J28" s="41">
        <f>Greensheet!M49</f>
        <v>23</v>
      </c>
      <c r="K28" s="42"/>
      <c r="L28" s="42">
        <f t="shared" si="7"/>
        <v>11959</v>
      </c>
      <c r="M28" s="42">
        <f>ROUND(_xll.HPVAL($A28,$A$1,$A$2,$A$3,$A$4,$A$6)/1000,0)</f>
        <v>15084</v>
      </c>
      <c r="N28" s="87">
        <f t="shared" si="8"/>
        <v>-3125</v>
      </c>
      <c r="Q28" s="44">
        <f>M28-Expenses!E26-'CapChrg-AllocExp'!E27</f>
        <v>6287</v>
      </c>
      <c r="R28" s="44">
        <f>I28+J28-Expenses!D26-'CapChrg-AllocExp'!D27</f>
        <v>5246</v>
      </c>
      <c r="S28" s="44">
        <f t="shared" si="9"/>
        <v>1041</v>
      </c>
    </row>
    <row r="29" spans="1:19" ht="12" customHeight="1" x14ac:dyDescent="0.25">
      <c r="A29" s="25" t="s">
        <v>55</v>
      </c>
      <c r="B29" s="29" t="s">
        <v>312</v>
      </c>
      <c r="D29" s="41"/>
      <c r="E29" s="81">
        <v>-15184</v>
      </c>
      <c r="F29" s="81">
        <v>354</v>
      </c>
      <c r="G29" s="42"/>
      <c r="H29" s="42"/>
      <c r="I29" s="64">
        <f t="shared" si="6"/>
        <v>-14830</v>
      </c>
      <c r="J29" s="41"/>
      <c r="K29" s="42">
        <v>-3000</v>
      </c>
      <c r="L29" s="42">
        <f t="shared" si="7"/>
        <v>-17830</v>
      </c>
      <c r="M29" s="42">
        <f>ROUND(_xll.HPVAL($A29,$A$1,$A$2,$A$3,$A$4,$A$6)/1000,0)</f>
        <v>6007</v>
      </c>
      <c r="N29" s="87">
        <f t="shared" si="8"/>
        <v>-23837</v>
      </c>
      <c r="Q29" s="44">
        <f>M29-Expenses!E27-'CapChrg-AllocExp'!E28</f>
        <v>2785</v>
      </c>
      <c r="R29" s="44">
        <f>I29+J29-Expenses!D27-'CapChrg-AllocExp'!D28</f>
        <v>-16643</v>
      </c>
      <c r="S29" s="44">
        <f t="shared" si="9"/>
        <v>19428</v>
      </c>
    </row>
    <row r="30" spans="1:19" ht="12" customHeight="1" x14ac:dyDescent="0.25">
      <c r="A30" s="25" t="s">
        <v>51</v>
      </c>
      <c r="B30" s="29" t="s">
        <v>2</v>
      </c>
      <c r="D30" s="41"/>
      <c r="E30" s="42"/>
      <c r="F30" s="42"/>
      <c r="G30" s="42"/>
      <c r="H30" s="42"/>
      <c r="I30" s="64">
        <f t="shared" si="6"/>
        <v>0</v>
      </c>
      <c r="J30" s="41">
        <f>Greensheet!M25</f>
        <v>1000</v>
      </c>
      <c r="K30" s="42"/>
      <c r="L30" s="42">
        <f t="shared" si="7"/>
        <v>1000</v>
      </c>
      <c r="M30" s="42">
        <f>ROUND(_xll.HPVAL($A30,$A$1,$A$2,$A$3,$A$4,$A$6)/1000,0)</f>
        <v>4656</v>
      </c>
      <c r="N30" s="87">
        <f t="shared" si="8"/>
        <v>-3656</v>
      </c>
      <c r="Q30" s="44">
        <f>M30-Expenses!E28-'CapChrg-AllocExp'!E29</f>
        <v>2819</v>
      </c>
      <c r="R30" s="44">
        <f>I30+J30-Expenses!D28-'CapChrg-AllocExp'!D29</f>
        <v>-733</v>
      </c>
      <c r="S30" s="44">
        <f t="shared" si="9"/>
        <v>3552</v>
      </c>
    </row>
    <row r="31" spans="1:19" ht="12" customHeight="1" x14ac:dyDescent="0.25">
      <c r="A31" s="25" t="s">
        <v>173</v>
      </c>
      <c r="B31" s="29" t="s">
        <v>174</v>
      </c>
      <c r="D31" s="41"/>
      <c r="E31" s="42"/>
      <c r="F31" s="42"/>
      <c r="G31" s="42"/>
      <c r="H31" s="42"/>
      <c r="I31" s="64">
        <f t="shared" si="6"/>
        <v>0</v>
      </c>
      <c r="J31" s="41"/>
      <c r="K31" s="42"/>
      <c r="L31" s="42">
        <f t="shared" si="7"/>
        <v>0</v>
      </c>
      <c r="M31" s="42">
        <f>ROUND(_xll.HPVAL($A31,$A$1,$A$2,$A$3,$A$4,$A$6)/1000,0)</f>
        <v>0</v>
      </c>
      <c r="N31" s="87">
        <f t="shared" si="8"/>
        <v>0</v>
      </c>
      <c r="Q31" s="44">
        <f>M31-Expenses!E29-'CapChrg-AllocExp'!E30</f>
        <v>-416</v>
      </c>
      <c r="R31" s="44">
        <f>I31+J31-Expenses!D29-'CapChrg-AllocExp'!D30</f>
        <v>-416</v>
      </c>
      <c r="S31" s="44">
        <f t="shared" si="9"/>
        <v>0</v>
      </c>
    </row>
    <row r="32" spans="1:19" ht="3" customHeight="1" x14ac:dyDescent="0.25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5">
      <c r="B33" s="136" t="s">
        <v>3</v>
      </c>
      <c r="C33" s="121"/>
      <c r="D33" s="129">
        <f>SUM(D23:D31)</f>
        <v>2792</v>
      </c>
      <c r="E33" s="130">
        <f t="shared" ref="E33:N33" si="10">SUM(E23:E31)</f>
        <v>-2012</v>
      </c>
      <c r="F33" s="130">
        <f t="shared" si="10"/>
        <v>3032</v>
      </c>
      <c r="G33" s="130">
        <f t="shared" si="10"/>
        <v>0</v>
      </c>
      <c r="H33" s="130">
        <f t="shared" si="10"/>
        <v>0</v>
      </c>
      <c r="I33" s="129">
        <f t="shared" si="10"/>
        <v>3812</v>
      </c>
      <c r="J33" s="129">
        <f t="shared" si="10"/>
        <v>63783</v>
      </c>
      <c r="K33" s="130">
        <f t="shared" si="10"/>
        <v>-3000</v>
      </c>
      <c r="L33" s="130">
        <f t="shared" si="10"/>
        <v>64595</v>
      </c>
      <c r="M33" s="130">
        <f t="shared" si="10"/>
        <v>76623</v>
      </c>
      <c r="N33" s="132">
        <f t="shared" si="10"/>
        <v>-12028</v>
      </c>
    </row>
    <row r="34" spans="1:19" ht="3" customHeight="1" x14ac:dyDescent="0.25">
      <c r="B34" s="29"/>
      <c r="D34" s="41"/>
      <c r="E34" s="42"/>
      <c r="F34" s="42"/>
      <c r="G34" s="42"/>
      <c r="H34" s="42"/>
      <c r="I34" s="64"/>
      <c r="J34" s="41"/>
      <c r="K34" s="42"/>
      <c r="L34" s="42"/>
      <c r="M34" s="42"/>
      <c r="N34" s="87"/>
    </row>
    <row r="35" spans="1:19" ht="12" customHeight="1" x14ac:dyDescent="0.25">
      <c r="A35" s="25" t="s">
        <v>49</v>
      </c>
      <c r="B35" s="29" t="s">
        <v>48</v>
      </c>
      <c r="D35" s="41">
        <v>-2186</v>
      </c>
      <c r="E35" s="42"/>
      <c r="F35" s="42"/>
      <c r="G35" s="42"/>
      <c r="H35" s="42"/>
      <c r="I35" s="64">
        <f>SUM(D35:H35)</f>
        <v>-2186</v>
      </c>
      <c r="J35" s="41"/>
      <c r="K35" s="42">
        <v>20000</v>
      </c>
      <c r="L35" s="42">
        <f>SUM(I35:K35)</f>
        <v>17814</v>
      </c>
      <c r="M35" s="42">
        <f>ROUND(_xll.HPVAL($A35,$A$1,$A$2,$A$3,$A$4,$A$6)/1000,0)+Expenses!E58</f>
        <v>-1729</v>
      </c>
      <c r="N35" s="87">
        <f>L35-M35</f>
        <v>19543</v>
      </c>
      <c r="Q35" s="165">
        <f>M35-Expenses!E58-Expenses!E32-'CapChrg-AllocExp'!E33</f>
        <v>-14790</v>
      </c>
      <c r="R35" s="165">
        <f>I35+J35-Expenses!D58-Expenses!D32-'CapChrg-AllocExp'!D33</f>
        <v>-15873</v>
      </c>
      <c r="S35" s="44">
        <f>Q35-R35</f>
        <v>1083</v>
      </c>
    </row>
    <row r="36" spans="1:19" ht="12" customHeight="1" x14ac:dyDescent="0.25">
      <c r="A36" s="25" t="s">
        <v>52</v>
      </c>
      <c r="B36" s="29" t="s">
        <v>119</v>
      </c>
      <c r="D36" s="41"/>
      <c r="E36" s="42"/>
      <c r="F36" s="81"/>
      <c r="G36" s="42"/>
      <c r="H36" s="42"/>
      <c r="I36" s="64">
        <f>SUM(D36:H36)</f>
        <v>0</v>
      </c>
      <c r="J36" s="41">
        <f>Greensheet!M55</f>
        <v>10000</v>
      </c>
      <c r="K36" s="42">
        <f>3986</f>
        <v>3986</v>
      </c>
      <c r="L36" s="42">
        <f>SUM(I36:K36)</f>
        <v>13986</v>
      </c>
      <c r="M36" s="42">
        <f>ROUND(_xll.HPVAL($A36,$A$1,$A$2,$A$3,$A$4,$A$6)/1000,0)</f>
        <v>12234</v>
      </c>
      <c r="N36" s="87">
        <f>L36-M36</f>
        <v>1752</v>
      </c>
      <c r="Q36" s="44">
        <f>M36-Expenses!E33-'CapChrg-AllocExp'!E34</f>
        <v>4987</v>
      </c>
      <c r="R36" s="44">
        <f>I36+J36-Expenses!D33-'CapChrg-AllocExp'!D34</f>
        <v>5537</v>
      </c>
      <c r="S36" s="44">
        <f>Q36-R36</f>
        <v>-550</v>
      </c>
    </row>
    <row r="37" spans="1:19" ht="12" customHeight="1" x14ac:dyDescent="0.25">
      <c r="A37" s="25" t="s">
        <v>58</v>
      </c>
      <c r="B37" s="29" t="s">
        <v>150</v>
      </c>
      <c r="D37" s="41"/>
      <c r="E37" s="42"/>
      <c r="F37" s="42"/>
      <c r="G37" s="42">
        <f>2431+7657</f>
        <v>10088</v>
      </c>
      <c r="H37" s="42"/>
      <c r="I37" s="64">
        <f>SUM(D37:H37)</f>
        <v>10088</v>
      </c>
      <c r="J37" s="41">
        <f>Greensheet!M70</f>
        <v>5593</v>
      </c>
      <c r="K37" s="42">
        <v>9791</v>
      </c>
      <c r="L37" s="42">
        <f>SUM(I37:K37)</f>
        <v>25472</v>
      </c>
      <c r="M37" s="42">
        <f>ROUND(_xll.HPVAL($A37,$A$1,$A$2,$A$3,$A$4,$A$6)/1000,0)+Expenses!E59</f>
        <v>38095</v>
      </c>
      <c r="N37" s="87">
        <f>L37-M37</f>
        <v>-12623</v>
      </c>
      <c r="Q37" s="44">
        <f>M37-Expenses!E59-Expenses!E34-'CapChrg-AllocExp'!E35</f>
        <v>-23174</v>
      </c>
      <c r="R37" s="44">
        <f>I37+J37-Expenses!D59-Expenses!D34-'CapChrg-AllocExp'!D35</f>
        <v>-33042</v>
      </c>
      <c r="S37" s="44">
        <f>Q37-R37</f>
        <v>9868</v>
      </c>
    </row>
    <row r="38" spans="1:19" ht="12" customHeight="1" x14ac:dyDescent="0.25">
      <c r="A38" s="25" t="s">
        <v>59</v>
      </c>
      <c r="B38" s="29" t="s">
        <v>151</v>
      </c>
      <c r="D38" s="41">
        <f>3299+705+102+4392</f>
        <v>8498</v>
      </c>
      <c r="E38" s="42"/>
      <c r="F38" s="42"/>
      <c r="G38" s="42"/>
      <c r="H38" s="42"/>
      <c r="I38" s="64">
        <f>SUM(D38:H38)</f>
        <v>8498</v>
      </c>
      <c r="J38" s="41"/>
      <c r="K38" s="42">
        <f>IF(S38&gt;0,S38,0)</f>
        <v>0</v>
      </c>
      <c r="L38" s="42">
        <f>SUM(I38:K38)</f>
        <v>8498</v>
      </c>
      <c r="M38" s="42">
        <f>ROUND(_xll.HPVAL($A38,$A$1,$A$2,$A$3,$A$4,$A$6)/1000,0)</f>
        <v>7436</v>
      </c>
      <c r="N38" s="87">
        <f>L38-M38</f>
        <v>1062</v>
      </c>
      <c r="Q38" s="44">
        <f>M38-Expenses!E35-'CapChrg-AllocExp'!E36</f>
        <v>6691</v>
      </c>
      <c r="R38" s="44">
        <f>I38+J38-Expenses!D35-'CapChrg-AllocExp'!D36</f>
        <v>7769</v>
      </c>
      <c r="S38" s="44">
        <f>Q38-R38</f>
        <v>-1078</v>
      </c>
    </row>
    <row r="39" spans="1:19" ht="3" customHeight="1" x14ac:dyDescent="0.25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5">
      <c r="B40" s="136" t="s">
        <v>143</v>
      </c>
      <c r="C40" s="121"/>
      <c r="D40" s="129">
        <f>SUM(D35:D38)</f>
        <v>6312</v>
      </c>
      <c r="E40" s="130">
        <f t="shared" ref="E40:N40" si="11">SUM(E35:E38)</f>
        <v>0</v>
      </c>
      <c r="F40" s="130">
        <f t="shared" si="11"/>
        <v>0</v>
      </c>
      <c r="G40" s="130">
        <f t="shared" si="11"/>
        <v>10088</v>
      </c>
      <c r="H40" s="130">
        <f t="shared" si="11"/>
        <v>0</v>
      </c>
      <c r="I40" s="129">
        <f t="shared" si="11"/>
        <v>16400</v>
      </c>
      <c r="J40" s="129">
        <f t="shared" si="11"/>
        <v>15593</v>
      </c>
      <c r="K40" s="130">
        <f t="shared" si="11"/>
        <v>33777</v>
      </c>
      <c r="L40" s="130">
        <f t="shared" si="11"/>
        <v>65770</v>
      </c>
      <c r="M40" s="130">
        <f t="shared" si="11"/>
        <v>56036</v>
      </c>
      <c r="N40" s="132">
        <f t="shared" si="11"/>
        <v>9734</v>
      </c>
    </row>
    <row r="41" spans="1:19" ht="3" customHeight="1" x14ac:dyDescent="0.25">
      <c r="B41" s="29"/>
      <c r="D41" s="41"/>
      <c r="E41" s="42"/>
      <c r="F41" s="42"/>
      <c r="G41" s="42"/>
      <c r="H41" s="42"/>
      <c r="I41" s="64"/>
      <c r="J41" s="41"/>
      <c r="K41" s="42"/>
      <c r="L41" s="42"/>
      <c r="M41" s="42"/>
      <c r="N41" s="87"/>
    </row>
    <row r="42" spans="1:19" ht="12" customHeight="1" x14ac:dyDescent="0.25">
      <c r="A42" s="25" t="s">
        <v>56</v>
      </c>
      <c r="B42" s="29" t="s">
        <v>15</v>
      </c>
      <c r="D42" s="41"/>
      <c r="E42" s="81">
        <v>8448</v>
      </c>
      <c r="F42" s="81">
        <v>2860</v>
      </c>
      <c r="G42" s="42"/>
      <c r="H42" s="42"/>
      <c r="I42" s="64">
        <f>SUM(D42:H42)</f>
        <v>11308</v>
      </c>
      <c r="J42" s="41">
        <f>Greensheet!M74</f>
        <v>0</v>
      </c>
      <c r="K42" s="42"/>
      <c r="L42" s="42">
        <f>SUM(I42:K42)</f>
        <v>11308</v>
      </c>
      <c r="M42" s="42">
        <f>ROUND(_xll.HPVAL($A42,$A$1,$A$2,$A$3,$A$4,$A$6)/1000,0)</f>
        <v>15379</v>
      </c>
      <c r="N42" s="87">
        <f>L42-M42</f>
        <v>-4071</v>
      </c>
      <c r="Q42" s="165">
        <f>M42-Expenses!E38-'CapChrg-AllocExp'!E39</f>
        <v>13099</v>
      </c>
      <c r="R42" s="165">
        <f>I42+J42-Expenses!D38-'CapChrg-AllocExp'!D39</f>
        <v>9548</v>
      </c>
      <c r="S42" s="44">
        <f>Q42-R42</f>
        <v>3551</v>
      </c>
    </row>
    <row r="43" spans="1:19" ht="12" customHeight="1" x14ac:dyDescent="0.25">
      <c r="A43" s="25" t="s">
        <v>57</v>
      </c>
      <c r="B43" s="29" t="s">
        <v>1</v>
      </c>
      <c r="D43" s="41"/>
      <c r="E43" s="81">
        <v>2032</v>
      </c>
      <c r="F43" s="81">
        <v>596</v>
      </c>
      <c r="G43" s="42"/>
      <c r="H43" s="42"/>
      <c r="I43" s="64">
        <f>SUM(D43:H43)</f>
        <v>2628</v>
      </c>
      <c r="J43" s="41"/>
      <c r="K43" s="42">
        <v>-4000</v>
      </c>
      <c r="L43" s="42">
        <f>SUM(I43:K43)</f>
        <v>-1372</v>
      </c>
      <c r="M43" s="42">
        <f>ROUND(_xll.HPVAL($A43,$A$1,$A$2,$A$3,$A$4,$A$6)/1000,0)</f>
        <v>3570</v>
      </c>
      <c r="N43" s="87">
        <f>L43-M43</f>
        <v>-4942</v>
      </c>
      <c r="Q43" s="165">
        <f>M43-Expenses!E39-'CapChrg-AllocExp'!E40</f>
        <v>1924</v>
      </c>
      <c r="R43" s="165">
        <f>I43+J43-Expenses!D39-'CapChrg-AllocExp'!D40</f>
        <v>909</v>
      </c>
      <c r="S43" s="44">
        <f>Q43-R43</f>
        <v>1015</v>
      </c>
    </row>
    <row r="44" spans="1:19" ht="12" hidden="1" customHeight="1" x14ac:dyDescent="0.25">
      <c r="A44" s="25" t="s">
        <v>131</v>
      </c>
      <c r="B44" s="29" t="s">
        <v>129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0</v>
      </c>
      <c r="N44" s="87">
        <f>L44-M44</f>
        <v>0</v>
      </c>
      <c r="S44" s="44">
        <f>Q44-R44</f>
        <v>0</v>
      </c>
    </row>
    <row r="45" spans="1:19" ht="3" customHeight="1" x14ac:dyDescent="0.25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6"/>
    </row>
    <row r="46" spans="1:19" s="120" customFormat="1" ht="12" customHeight="1" x14ac:dyDescent="0.25">
      <c r="B46" s="136" t="s">
        <v>144</v>
      </c>
      <c r="C46" s="121"/>
      <c r="D46" s="129">
        <f>SUM(D42:D44)</f>
        <v>0</v>
      </c>
      <c r="E46" s="130">
        <f t="shared" ref="E46:N46" si="12">SUM(E42:E44)</f>
        <v>10480</v>
      </c>
      <c r="F46" s="130">
        <f t="shared" si="12"/>
        <v>3456</v>
      </c>
      <c r="G46" s="130">
        <f t="shared" si="12"/>
        <v>0</v>
      </c>
      <c r="H46" s="130">
        <f t="shared" si="12"/>
        <v>0</v>
      </c>
      <c r="I46" s="129">
        <f t="shared" si="12"/>
        <v>13936</v>
      </c>
      <c r="J46" s="129">
        <f t="shared" si="12"/>
        <v>0</v>
      </c>
      <c r="K46" s="130">
        <f t="shared" si="12"/>
        <v>-4000</v>
      </c>
      <c r="L46" s="130">
        <f t="shared" si="12"/>
        <v>9936</v>
      </c>
      <c r="M46" s="130">
        <f t="shared" si="12"/>
        <v>18949</v>
      </c>
      <c r="N46" s="132">
        <f t="shared" si="12"/>
        <v>-9013</v>
      </c>
    </row>
    <row r="47" spans="1:19" ht="3" customHeight="1" x14ac:dyDescent="0.25">
      <c r="B47" s="29"/>
      <c r="D47" s="134"/>
      <c r="E47" s="81"/>
      <c r="F47" s="81"/>
      <c r="G47" s="81"/>
      <c r="H47" s="81"/>
      <c r="I47" s="135"/>
      <c r="J47" s="134"/>
      <c r="K47" s="81"/>
      <c r="L47" s="81"/>
      <c r="M47" s="81"/>
      <c r="N47" s="157"/>
    </row>
    <row r="48" spans="1:19" ht="12" customHeight="1" x14ac:dyDescent="0.25">
      <c r="A48" s="25" t="s">
        <v>139</v>
      </c>
      <c r="B48" s="29" t="s">
        <v>14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>
        <f>ROUND(_xll.HPVAL($A48,$A$1,$A$2,$A$3,$A$4,$A$6)/1000,0)</f>
        <v>2500</v>
      </c>
      <c r="N48" s="87">
        <f>L48-M48</f>
        <v>-2500</v>
      </c>
      <c r="Q48" s="165">
        <f>M48-Expenses!E43-'CapChrg-AllocExp'!E44</f>
        <v>-3488</v>
      </c>
      <c r="R48" s="165">
        <f>I48+J48-Expenses!D43-'CapChrg-AllocExp'!D44</f>
        <v>-5988</v>
      </c>
      <c r="S48" s="44">
        <f>Q48-R48</f>
        <v>2500</v>
      </c>
    </row>
    <row r="49" spans="1:19" ht="3" customHeight="1" x14ac:dyDescent="0.25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5">
      <c r="A50" s="25" t="s">
        <v>62</v>
      </c>
      <c r="B50" s="29" t="s">
        <v>13</v>
      </c>
      <c r="D50" s="41"/>
      <c r="E50" s="42"/>
      <c r="F50" s="42"/>
      <c r="G50" s="42"/>
      <c r="H50" s="42"/>
      <c r="I50" s="64">
        <f>SUM(D50:H50)</f>
        <v>0</v>
      </c>
      <c r="J50" s="41"/>
      <c r="K50" s="42">
        <f>IF(S50&gt;0,S50,0)</f>
        <v>0</v>
      </c>
      <c r="L50" s="42">
        <f>SUM(I50:K50)</f>
        <v>0</v>
      </c>
      <c r="M50" s="42"/>
      <c r="N50" s="87">
        <f>L50-M50</f>
        <v>0</v>
      </c>
      <c r="Q50" s="44">
        <f>M50-Expenses!E45-'CapChrg-AllocExp'!E46</f>
        <v>-2682</v>
      </c>
      <c r="R50" s="44">
        <f>I50+J50-Expenses!D45-'CapChrg-AllocExp'!D46</f>
        <v>-2682</v>
      </c>
      <c r="S50" s="44">
        <f>Q50-R50</f>
        <v>0</v>
      </c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6"/>
    </row>
    <row r="52" spans="1:19" ht="12" customHeight="1" x14ac:dyDescent="0.25">
      <c r="A52" s="25" t="s">
        <v>64</v>
      </c>
      <c r="B52" s="29" t="s">
        <v>26</v>
      </c>
      <c r="D52" s="41"/>
      <c r="E52" s="42"/>
      <c r="F52" s="42"/>
      <c r="G52" s="42"/>
      <c r="H52" s="42"/>
      <c r="I52" s="64">
        <f>SUM(D52:H52)</f>
        <v>0</v>
      </c>
      <c r="J52" s="41"/>
      <c r="K52" s="42">
        <v>-12932</v>
      </c>
      <c r="L52" s="42">
        <f>SUM(I52:K52)</f>
        <v>-12932</v>
      </c>
      <c r="M52" s="42">
        <f>ROUND(_xll.HPVAL($A52,$A$1,$A$2,$A$3,$A$4,$A$6)/1000,0)</f>
        <v>-10795</v>
      </c>
      <c r="N52" s="87">
        <f>L52-M52</f>
        <v>-2137</v>
      </c>
      <c r="S52" s="44"/>
    </row>
    <row r="53" spans="1:19" ht="3" customHeight="1" x14ac:dyDescent="0.25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6"/>
    </row>
    <row r="54" spans="1:19" ht="12" customHeight="1" x14ac:dyDescent="0.25">
      <c r="B54" s="29" t="s">
        <v>27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v>33128</v>
      </c>
      <c r="N54" s="87">
        <f>L54-M54</f>
        <v>-33128</v>
      </c>
      <c r="S54" s="44"/>
    </row>
    <row r="55" spans="1:19" ht="3" customHeight="1" x14ac:dyDescent="0.25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25">
      <c r="B56" s="75" t="s">
        <v>21</v>
      </c>
      <c r="D56" s="125">
        <f t="shared" ref="D56:N56" si="13">SUM(D46:D54)+D40+D33+D21</f>
        <v>123868</v>
      </c>
      <c r="E56" s="126">
        <f t="shared" si="13"/>
        <v>10159</v>
      </c>
      <c r="F56" s="126">
        <f t="shared" si="13"/>
        <v>7981</v>
      </c>
      <c r="G56" s="126">
        <f t="shared" si="13"/>
        <v>16382</v>
      </c>
      <c r="H56" s="126">
        <f t="shared" si="13"/>
        <v>-2820</v>
      </c>
      <c r="I56" s="125">
        <f t="shared" si="13"/>
        <v>155570</v>
      </c>
      <c r="J56" s="125">
        <f t="shared" si="13"/>
        <v>79376</v>
      </c>
      <c r="K56" s="126">
        <f t="shared" si="13"/>
        <v>70199</v>
      </c>
      <c r="L56" s="126">
        <f t="shared" si="13"/>
        <v>305145</v>
      </c>
      <c r="M56" s="126">
        <f t="shared" si="13"/>
        <v>336346</v>
      </c>
      <c r="N56" s="128">
        <f t="shared" si="13"/>
        <v>-31201</v>
      </c>
    </row>
    <row r="57" spans="1:19" ht="3" customHeight="1" x14ac:dyDescent="0.25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8"/>
    </row>
    <row r="58" spans="1:19" x14ac:dyDescent="0.25">
      <c r="B58" s="27" t="s">
        <v>283</v>
      </c>
      <c r="C58" s="170"/>
      <c r="D58" s="44">
        <f>-4062-4187</f>
        <v>-8249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>
        <f>SUM(D56:D58)</f>
        <v>115619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5">
      <c r="B63" s="216" t="s">
        <v>252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5">
      <c r="B64" s="27" t="s">
        <v>5</v>
      </c>
      <c r="D64" s="44">
        <f>D10+D14+D19+D37+D38</f>
        <v>53489</v>
      </c>
    </row>
    <row r="65" spans="2:4" x14ac:dyDescent="0.25">
      <c r="B65" s="27" t="s">
        <v>253</v>
      </c>
      <c r="D65" s="44">
        <f>D15+D16+D17+D25</f>
        <v>2156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7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4" ht="16.5" x14ac:dyDescent="0.3">
      <c r="A2" s="241" t="s">
        <v>167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</row>
    <row r="3" spans="1:14" ht="13.5" x14ac:dyDescent="0.25">
      <c r="A3" s="242" t="s">
        <v>87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123</v>
      </c>
      <c r="I6" s="56" t="s">
        <v>18</v>
      </c>
      <c r="J6" s="56" t="s">
        <v>20</v>
      </c>
      <c r="K6" s="57" t="s">
        <v>21</v>
      </c>
      <c r="L6" s="58"/>
      <c r="M6" s="58"/>
      <c r="N6" s="58"/>
    </row>
    <row r="7" spans="1:14" x14ac:dyDescent="0.25">
      <c r="A7" s="37" t="s">
        <v>23</v>
      </c>
      <c r="C7" s="33" t="s">
        <v>135</v>
      </c>
      <c r="D7" s="34" t="s">
        <v>274</v>
      </c>
      <c r="E7" s="34" t="s">
        <v>269</v>
      </c>
      <c r="F7" s="34" t="s">
        <v>76</v>
      </c>
      <c r="G7" s="34" t="s">
        <v>72</v>
      </c>
      <c r="H7" s="34" t="s">
        <v>32</v>
      </c>
      <c r="I7" s="34" t="s">
        <v>19</v>
      </c>
      <c r="J7" s="34" t="s">
        <v>32</v>
      </c>
      <c r="K7" s="35" t="s">
        <v>32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61"/>
    </row>
    <row r="9" spans="1:14" ht="12" customHeight="1" x14ac:dyDescent="0.25">
      <c r="A9" s="29" t="s">
        <v>5</v>
      </c>
      <c r="C9" s="59">
        <f>GrossMargin!D10-[1]GrossMargin!D10</f>
        <v>6362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33">
        <f t="shared" ref="H9:H18" si="0">SUM(C9:G9)</f>
        <v>6362</v>
      </c>
      <c r="I9" s="59">
        <f>GrossMargin!J10-[1]GrossMargin!J10</f>
        <v>0</v>
      </c>
      <c r="J9" s="60">
        <f>GrossMargin!K10-[1]GrossMargin!K10</f>
        <v>-6362</v>
      </c>
      <c r="K9" s="88">
        <f t="shared" ref="K9:K18" si="1">SUM(H9:J9)</f>
        <v>0</v>
      </c>
    </row>
    <row r="10" spans="1:14" ht="12" customHeight="1" x14ac:dyDescent="0.25">
      <c r="A10" s="29" t="s">
        <v>176</v>
      </c>
      <c r="C10" s="41">
        <f>GrossMargin!D11-[1]GrossMargin!D11</f>
        <v>16378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16378</v>
      </c>
      <c r="I10" s="41">
        <f>GrossMargin!J11-[1]GrossMargin!J11</f>
        <v>0</v>
      </c>
      <c r="J10" s="42">
        <f>GrossMargin!K11-[1]GrossMargin!K11</f>
        <v>-6939</v>
      </c>
      <c r="K10" s="66">
        <f t="shared" si="1"/>
        <v>9439</v>
      </c>
    </row>
    <row r="11" spans="1:14" ht="12" customHeight="1" x14ac:dyDescent="0.25">
      <c r="A11" s="29" t="s">
        <v>258</v>
      </c>
      <c r="C11" s="41">
        <f>GrossMargin!D12-[1]GrossMargin!D12</f>
        <v>2088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2088</v>
      </c>
      <c r="I11" s="41">
        <f>GrossMargin!J12-[1]GrossMargin!J12</f>
        <v>0</v>
      </c>
      <c r="J11" s="42">
        <f>GrossMargin!K12-[1]GrossMargin!K12</f>
        <v>-2053</v>
      </c>
      <c r="K11" s="66">
        <f t="shared" si="1"/>
        <v>35</v>
      </c>
    </row>
    <row r="12" spans="1:14" ht="12" customHeight="1" x14ac:dyDescent="0.25">
      <c r="A12" s="29" t="s">
        <v>259</v>
      </c>
      <c r="C12" s="41">
        <f>GrossMargin!D13-[1]GrossMargin!D13</f>
        <v>7701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7701</v>
      </c>
      <c r="I12" s="41">
        <f>GrossMargin!J13-[1]GrossMargin!J13</f>
        <v>0</v>
      </c>
      <c r="J12" s="42">
        <f>GrossMargin!K13-[1]GrossMargin!K13</f>
        <v>-3015</v>
      </c>
      <c r="K12" s="66">
        <f>SUM(H12:J12)</f>
        <v>4686</v>
      </c>
    </row>
    <row r="13" spans="1:14" ht="12" customHeight="1" x14ac:dyDescent="0.25">
      <c r="A13" s="29" t="s">
        <v>202</v>
      </c>
      <c r="C13" s="41">
        <f>GrossMargin!D14-[1]GrossMargin!D14</f>
        <v>4864</v>
      </c>
      <c r="D13" s="42">
        <f>GrossMargin!E14-[1]GrossMargin!E14</f>
        <v>244</v>
      </c>
      <c r="E13" s="81">
        <f>GrossMargin!F14-[1]GrossMargin!F14</f>
        <v>-50</v>
      </c>
      <c r="F13" s="42">
        <f>GrossMargin!G14-[1]GrossMargin!G14</f>
        <v>264</v>
      </c>
      <c r="G13" s="42">
        <f>GrossMargin!H14-[1]GrossMargin!H14</f>
        <v>0</v>
      </c>
      <c r="H13" s="64">
        <f t="shared" si="0"/>
        <v>5322</v>
      </c>
      <c r="I13" s="41">
        <f>GrossMargin!J14-[1]GrossMargin!J14</f>
        <v>0</v>
      </c>
      <c r="J13" s="42">
        <f>GrossMargin!K14-[1]GrossMargin!K14</f>
        <v>-5322</v>
      </c>
      <c r="K13" s="66">
        <f t="shared" si="1"/>
        <v>0</v>
      </c>
    </row>
    <row r="14" spans="1:14" ht="12" customHeight="1" x14ac:dyDescent="0.25">
      <c r="A14" s="29" t="s">
        <v>11</v>
      </c>
      <c r="C14" s="41">
        <f>GrossMargin!D15-[1]GrossMargin!D15</f>
        <v>-182</v>
      </c>
      <c r="D14" s="42">
        <f>GrossMargin!E15-[1]GrossMargin!E15</f>
        <v>11</v>
      </c>
      <c r="E14" s="42">
        <f>GrossMargin!F15-[1]GrossMargin!F15</f>
        <v>-7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-178</v>
      </c>
      <c r="I14" s="41">
        <f>GrossMargin!J15-[1]GrossMargin!J15</f>
        <v>0</v>
      </c>
      <c r="J14" s="42">
        <f>GrossMargin!K15-[1]GrossMargin!K15</f>
        <v>909</v>
      </c>
      <c r="K14" s="66">
        <f t="shared" si="1"/>
        <v>731</v>
      </c>
    </row>
    <row r="15" spans="1:14" ht="12" customHeight="1" x14ac:dyDescent="0.25">
      <c r="A15" s="29" t="s">
        <v>9</v>
      </c>
      <c r="C15" s="41">
        <f>GrossMargin!D16-[1]GrossMargin!D16</f>
        <v>44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44</v>
      </c>
      <c r="I15" s="41">
        <f>GrossMargin!J16-[1]GrossMargin!J16</f>
        <v>0</v>
      </c>
      <c r="J15" s="42">
        <f>GrossMargin!K16-[1]GrossMargin!K16</f>
        <v>-39</v>
      </c>
      <c r="K15" s="66">
        <f t="shared" si="1"/>
        <v>5</v>
      </c>
    </row>
    <row r="16" spans="1:14" ht="12" customHeight="1" x14ac:dyDescent="0.25">
      <c r="A16" s="29" t="s">
        <v>177</v>
      </c>
      <c r="C16" s="41">
        <f>GrossMargin!D17-[1]GrossMargin!D17</f>
        <v>-444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-444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-444</v>
      </c>
    </row>
    <row r="17" spans="1:11" ht="12" customHeight="1" x14ac:dyDescent="0.25">
      <c r="A17" s="29" t="s">
        <v>88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5">
      <c r="A18" s="29" t="s">
        <v>4</v>
      </c>
      <c r="C18" s="41">
        <f>GrossMargin!D19-[1]GrossMargin!D19</f>
        <v>295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295</v>
      </c>
      <c r="I18" s="41">
        <f>GrossMargin!J19-[1]GrossMargin!J19</f>
        <v>0</v>
      </c>
      <c r="J18" s="42">
        <f>GrossMargin!K19-[1]GrossMargin!K19</f>
        <v>-295</v>
      </c>
      <c r="K18" s="66">
        <f t="shared" si="1"/>
        <v>0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6" t="s">
        <v>12</v>
      </c>
      <c r="B20" s="121"/>
      <c r="C20" s="129">
        <f t="shared" ref="C20:K20" si="2">SUM(C9:C18)</f>
        <v>37106</v>
      </c>
      <c r="D20" s="130">
        <f t="shared" si="2"/>
        <v>255</v>
      </c>
      <c r="E20" s="130">
        <f t="shared" si="2"/>
        <v>-57</v>
      </c>
      <c r="F20" s="130">
        <f t="shared" si="2"/>
        <v>264</v>
      </c>
      <c r="G20" s="130">
        <f t="shared" si="2"/>
        <v>0</v>
      </c>
      <c r="H20" s="129">
        <f t="shared" si="2"/>
        <v>37568</v>
      </c>
      <c r="I20" s="129">
        <f t="shared" si="2"/>
        <v>0</v>
      </c>
      <c r="J20" s="130">
        <f t="shared" si="2"/>
        <v>-23116</v>
      </c>
      <c r="K20" s="131">
        <f t="shared" si="2"/>
        <v>14452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145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>
        <f>GrossMargin!J23-[1]GrossMargin!J23</f>
        <v>1700</v>
      </c>
      <c r="J22" s="42">
        <f>GrossMargin!K23-[1]GrossMargin!K23</f>
        <v>-8243</v>
      </c>
      <c r="K22" s="66">
        <f>SUM(H22:J22)</f>
        <v>-6543</v>
      </c>
    </row>
    <row r="23" spans="1:11" ht="12" customHeight="1" x14ac:dyDescent="0.25">
      <c r="A23" s="29" t="s">
        <v>146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>SUM(C23:G23)</f>
        <v>0</v>
      </c>
      <c r="I23" s="41">
        <f>GrossMargin!J24-[1]GrossMargin!J24</f>
        <v>0</v>
      </c>
      <c r="J23" s="42">
        <f>GrossMargin!K24-[1]GrossMargin!K24</f>
        <v>-10115</v>
      </c>
      <c r="K23" s="66">
        <f>SUM(H23:J23)</f>
        <v>-10115</v>
      </c>
    </row>
    <row r="24" spans="1:11" ht="12" customHeight="1" x14ac:dyDescent="0.25">
      <c r="A24" s="29" t="s">
        <v>147</v>
      </c>
      <c r="C24" s="41">
        <f>GrossMargin!D25-[1]GrossMargin!D25</f>
        <v>167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>SUM(C24:G24)</f>
        <v>167</v>
      </c>
      <c r="I24" s="41">
        <f>GrossMargin!J25-[1]GrossMargin!J25</f>
        <v>39930</v>
      </c>
      <c r="J24" s="42">
        <f>GrossMargin!K25-[1]GrossMargin!K25</f>
        <v>-276</v>
      </c>
      <c r="K24" s="66">
        <f>SUM(H24:J24)</f>
        <v>39821</v>
      </c>
    </row>
    <row r="25" spans="1:11" ht="12" customHeight="1" x14ac:dyDescent="0.25">
      <c r="A25" s="29" t="s">
        <v>148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>SUM(C25:G25)</f>
        <v>0</v>
      </c>
      <c r="I25" s="41">
        <f>GrossMargin!J26-[1]GrossMargin!J26</f>
        <v>5000</v>
      </c>
      <c r="J25" s="42">
        <f>GrossMargin!K26-[1]GrossMargin!K26</f>
        <v>-2304</v>
      </c>
      <c r="K25" s="66">
        <f>SUM(H25:J25)</f>
        <v>2696</v>
      </c>
    </row>
    <row r="26" spans="1:11" ht="12" customHeight="1" x14ac:dyDescent="0.25">
      <c r="A26" s="29" t="s">
        <v>172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/>
      <c r="I26" s="41">
        <f>GrossMargin!J27-[1]GrossMargin!J27</f>
        <v>0</v>
      </c>
      <c r="J26" s="42">
        <f>GrossMargin!K27-[1]GrossMargin!K27</f>
        <v>-6477</v>
      </c>
      <c r="K26" s="66"/>
    </row>
    <row r="27" spans="1:11" ht="12" customHeight="1" x14ac:dyDescent="0.25">
      <c r="A27" s="29" t="s">
        <v>149</v>
      </c>
      <c r="C27" s="41">
        <f>GrossMargin!D28-[1]GrossMargin!D28</f>
        <v>0</v>
      </c>
      <c r="D27" s="42">
        <f>GrossMargin!E28-[1]GrossMargin!E28</f>
        <v>4084</v>
      </c>
      <c r="E27" s="81">
        <f>GrossMargin!F28-[1]GrossMargin!F28</f>
        <v>-153</v>
      </c>
      <c r="F27" s="42">
        <f>GrossMargin!G28-[1]GrossMargin!G28</f>
        <v>0</v>
      </c>
      <c r="G27" s="42">
        <f>GrossMargin!H28-[1]GrossMargin!H28</f>
        <v>0</v>
      </c>
      <c r="H27" s="64">
        <f>SUM(C27:G27)</f>
        <v>3931</v>
      </c>
      <c r="I27" s="41">
        <f>GrossMargin!J28-[1]GrossMargin!J28</f>
        <v>0</v>
      </c>
      <c r="J27" s="42">
        <f>GrossMargin!K28-[1]GrossMargin!K28</f>
        <v>-5273</v>
      </c>
      <c r="K27" s="66">
        <f>SUM(H27:J27)</f>
        <v>-1342</v>
      </c>
    </row>
    <row r="28" spans="1:11" ht="12" customHeight="1" x14ac:dyDescent="0.25">
      <c r="A28" s="29" t="s">
        <v>312</v>
      </c>
      <c r="C28" s="41">
        <f>GrossMargin!D29-[1]GrossMargin!D29</f>
        <v>0</v>
      </c>
      <c r="D28" s="42">
        <f>GrossMargin!E29-[1]GrossMargin!E29</f>
        <v>2022</v>
      </c>
      <c r="E28" s="81">
        <f>GrossMargin!F29-[1]GrossMargin!F29</f>
        <v>-113</v>
      </c>
      <c r="F28" s="42">
        <f>GrossMargin!G29-[1]GrossMargin!G29</f>
        <v>0</v>
      </c>
      <c r="G28" s="42">
        <f>GrossMargin!H29-[1]GrossMargin!H29</f>
        <v>0</v>
      </c>
      <c r="H28" s="64">
        <f>SUM(C28:G28)</f>
        <v>1909</v>
      </c>
      <c r="I28" s="41">
        <f>GrossMargin!J29-[1]GrossMargin!J29</f>
        <v>0</v>
      </c>
      <c r="J28" s="42">
        <f>GrossMargin!K29-[1]GrossMargin!K29</f>
        <v>-24338</v>
      </c>
      <c r="K28" s="66">
        <f>SUM(H28:J28)</f>
        <v>-22429</v>
      </c>
    </row>
    <row r="29" spans="1:11" ht="12" customHeight="1" x14ac:dyDescent="0.25">
      <c r="A29" s="29" t="s">
        <v>2</v>
      </c>
      <c r="C29" s="41">
        <f>GrossMargin!D30-[1]GrossMargin!D30</f>
        <v>0</v>
      </c>
      <c r="D29" s="42">
        <f>GrossMargin!E30-[1]GrossMargin!E30</f>
        <v>0</v>
      </c>
      <c r="E29" s="42">
        <f>GrossMargin!F30-[1]GrossMargin!F30</f>
        <v>0</v>
      </c>
      <c r="F29" s="42">
        <f>GrossMargin!G30-[1]GrossMargin!G30</f>
        <v>0</v>
      </c>
      <c r="G29" s="42">
        <f>GrossMargin!H30-[1]GrossMargin!H30</f>
        <v>0</v>
      </c>
      <c r="H29" s="64">
        <f>SUM(C29:G29)</f>
        <v>0</v>
      </c>
      <c r="I29" s="41">
        <f>GrossMargin!J30-[1]GrossMargin!J30</f>
        <v>1000</v>
      </c>
      <c r="J29" s="42">
        <f>GrossMargin!K30-[1]GrossMargin!K30</f>
        <v>-4770</v>
      </c>
      <c r="K29" s="66">
        <f>SUM(H29:J29)</f>
        <v>-3770</v>
      </c>
    </row>
    <row r="30" spans="1:11" ht="12" customHeight="1" x14ac:dyDescent="0.25">
      <c r="A30" s="29" t="s">
        <v>174</v>
      </c>
      <c r="C30" s="41">
        <f>GrossMargin!D31-[1]GrossMargin!D31</f>
        <v>0</v>
      </c>
      <c r="D30" s="42">
        <f>GrossMargin!E31-[1]GrossMargin!E31</f>
        <v>0</v>
      </c>
      <c r="E30" s="42">
        <f>GrossMargin!F31-[1]GrossMargin!F31</f>
        <v>0</v>
      </c>
      <c r="F30" s="42">
        <f>GrossMargin!G31-[1]GrossMargin!G31</f>
        <v>0</v>
      </c>
      <c r="G30" s="42">
        <f>GrossMargin!H31-[1]GrossMargin!H31</f>
        <v>0</v>
      </c>
      <c r="H30" s="64">
        <f>SUM(C30:G30)</f>
        <v>0</v>
      </c>
      <c r="I30" s="41">
        <f>GrossMargin!J31-[1]GrossMargin!J31</f>
        <v>0</v>
      </c>
      <c r="J30" s="42">
        <f>GrossMargin!K31-[1]GrossMargin!K31</f>
        <v>0</v>
      </c>
      <c r="K30" s="66">
        <f>SUM(H30:J30)</f>
        <v>0</v>
      </c>
    </row>
    <row r="31" spans="1:11" ht="3" customHeight="1" x14ac:dyDescent="0.25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5">
      <c r="A32" s="136" t="s">
        <v>3</v>
      </c>
      <c r="B32" s="121"/>
      <c r="C32" s="129">
        <f>SUM(C22:C30)</f>
        <v>167</v>
      </c>
      <c r="D32" s="130">
        <f t="shared" ref="D32:K32" si="3">SUM(D22:D30)</f>
        <v>6106</v>
      </c>
      <c r="E32" s="130">
        <f t="shared" si="3"/>
        <v>-266</v>
      </c>
      <c r="F32" s="130">
        <f t="shared" si="3"/>
        <v>0</v>
      </c>
      <c r="G32" s="130">
        <f t="shared" si="3"/>
        <v>0</v>
      </c>
      <c r="H32" s="129">
        <f t="shared" si="3"/>
        <v>6007</v>
      </c>
      <c r="I32" s="129">
        <f t="shared" si="3"/>
        <v>47630</v>
      </c>
      <c r="J32" s="130">
        <f t="shared" si="3"/>
        <v>-61796</v>
      </c>
      <c r="K32" s="131">
        <f t="shared" si="3"/>
        <v>-1682</v>
      </c>
    </row>
    <row r="33" spans="1:11" ht="3" customHeight="1" x14ac:dyDescent="0.25">
      <c r="A33" s="29"/>
      <c r="C33" s="41"/>
      <c r="D33" s="42"/>
      <c r="E33" s="42"/>
      <c r="F33" s="42"/>
      <c r="G33" s="42"/>
      <c r="H33" s="64"/>
      <c r="I33" s="41"/>
      <c r="J33" s="42"/>
      <c r="K33" s="43"/>
    </row>
    <row r="34" spans="1:11" ht="12" customHeight="1" x14ac:dyDescent="0.25">
      <c r="A34" s="29" t="s">
        <v>48</v>
      </c>
      <c r="C34" s="41">
        <f>GrossMargin!D35-[1]GrossMargin!D35</f>
        <v>-620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-620</v>
      </c>
      <c r="I34" s="41">
        <f>GrossMargin!J35-[1]GrossMargin!J35</f>
        <v>0</v>
      </c>
      <c r="J34" s="42">
        <f>GrossMargin!K35-[1]GrossMargin!K35</f>
        <v>21670</v>
      </c>
      <c r="K34" s="66">
        <f>SUM(H34:J34)</f>
        <v>21050</v>
      </c>
    </row>
    <row r="35" spans="1:11" ht="12" customHeight="1" x14ac:dyDescent="0.25">
      <c r="A35" s="29" t="s">
        <v>119</v>
      </c>
      <c r="C35" s="41">
        <f>GrossMargin!D36-[1]GrossMargin!D36</f>
        <v>0</v>
      </c>
      <c r="D35" s="42">
        <f>GrossMargin!E36-[1]GrossMargin!E36</f>
        <v>0</v>
      </c>
      <c r="E35" s="81">
        <f>GrossMargin!F36-[1]GrossMargin!F36</f>
        <v>0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0</v>
      </c>
      <c r="I35" s="41">
        <f>GrossMargin!J36-[1]GrossMargin!J36</f>
        <v>10000</v>
      </c>
      <c r="J35" s="42">
        <f>GrossMargin!K36-[1]GrossMargin!K36</f>
        <v>-5464</v>
      </c>
      <c r="K35" s="66">
        <f>SUM(H35:J35)</f>
        <v>4536</v>
      </c>
    </row>
    <row r="36" spans="1:11" ht="12" customHeight="1" x14ac:dyDescent="0.25">
      <c r="A36" s="29" t="s">
        <v>150</v>
      </c>
      <c r="C36" s="41">
        <f>GrossMargin!D37-[1]GrossMargin!D37</f>
        <v>0</v>
      </c>
      <c r="D36" s="42">
        <f>GrossMargin!E37-[1]GrossMargin!E37</f>
        <v>0</v>
      </c>
      <c r="E36" s="42">
        <f>GrossMargin!F37-[1]GrossMargin!F37</f>
        <v>0</v>
      </c>
      <c r="F36" s="42">
        <f>GrossMargin!G37-[1]GrossMargin!G37</f>
        <v>-787</v>
      </c>
      <c r="G36" s="42">
        <f>GrossMargin!H37-[1]GrossMargin!H37</f>
        <v>0</v>
      </c>
      <c r="H36" s="64">
        <f>SUM(C36:G36)</f>
        <v>-787</v>
      </c>
      <c r="I36" s="41">
        <f>GrossMargin!J37-[1]GrossMargin!J37</f>
        <v>17</v>
      </c>
      <c r="J36" s="42">
        <f>GrossMargin!K37-[1]GrossMargin!K37</f>
        <v>-4967</v>
      </c>
      <c r="K36" s="66">
        <f>SUM(H36:J36)</f>
        <v>-5737</v>
      </c>
    </row>
    <row r="37" spans="1:11" ht="12" customHeight="1" x14ac:dyDescent="0.25">
      <c r="A37" s="29" t="s">
        <v>151</v>
      </c>
      <c r="C37" s="41">
        <f>GrossMargin!D38-[1]GrossMargin!D38</f>
        <v>899</v>
      </c>
      <c r="D37" s="42">
        <f>GrossMargin!E38-[1]GrossMargin!E38</f>
        <v>0</v>
      </c>
      <c r="E37" s="42">
        <f>GrossMargin!F38-[1]GrossMargin!F38</f>
        <v>0</v>
      </c>
      <c r="F37" s="42">
        <f>GrossMargin!G38-[1]GrossMargin!G38</f>
        <v>0</v>
      </c>
      <c r="G37" s="42">
        <f>GrossMargin!H38-[1]GrossMargin!H38</f>
        <v>0</v>
      </c>
      <c r="H37" s="64">
        <f>SUM(C37:G37)</f>
        <v>899</v>
      </c>
      <c r="I37" s="41">
        <f>GrossMargin!J38-[1]GrossMargin!J38</f>
        <v>0</v>
      </c>
      <c r="J37" s="42">
        <f>GrossMargin!K38-[1]GrossMargin!K38</f>
        <v>0</v>
      </c>
      <c r="K37" s="66">
        <f>SUM(H37:J37)</f>
        <v>899</v>
      </c>
    </row>
    <row r="38" spans="1:11" ht="3" customHeight="1" x14ac:dyDescent="0.25">
      <c r="A38" s="45"/>
      <c r="C38" s="46"/>
      <c r="D38" s="47"/>
      <c r="E38" s="47"/>
      <c r="F38" s="47"/>
      <c r="G38" s="47"/>
      <c r="H38" s="46"/>
      <c r="I38" s="46"/>
      <c r="J38" s="47"/>
      <c r="K38" s="162"/>
    </row>
    <row r="39" spans="1:11" s="120" customFormat="1" ht="12" customHeight="1" x14ac:dyDescent="0.25">
      <c r="A39" s="136" t="s">
        <v>143</v>
      </c>
      <c r="B39" s="121"/>
      <c r="C39" s="129">
        <f>SUM(C34:C37)</f>
        <v>279</v>
      </c>
      <c r="D39" s="130">
        <f t="shared" ref="D39:K39" si="4">SUM(D34:D37)</f>
        <v>0</v>
      </c>
      <c r="E39" s="130">
        <f t="shared" si="4"/>
        <v>0</v>
      </c>
      <c r="F39" s="130">
        <f t="shared" si="4"/>
        <v>-787</v>
      </c>
      <c r="G39" s="130">
        <f t="shared" si="4"/>
        <v>0</v>
      </c>
      <c r="H39" s="129">
        <f t="shared" si="4"/>
        <v>-508</v>
      </c>
      <c r="I39" s="129">
        <f t="shared" si="4"/>
        <v>10017</v>
      </c>
      <c r="J39" s="130">
        <f t="shared" si="4"/>
        <v>11239</v>
      </c>
      <c r="K39" s="131">
        <f t="shared" si="4"/>
        <v>20748</v>
      </c>
    </row>
    <row r="40" spans="1:11" ht="3" customHeight="1" x14ac:dyDescent="0.25">
      <c r="A40" s="29"/>
      <c r="C40" s="134"/>
      <c r="D40" s="81"/>
      <c r="E40" s="81"/>
      <c r="F40" s="81"/>
      <c r="G40" s="81"/>
      <c r="H40" s="135"/>
      <c r="I40" s="134"/>
      <c r="J40" s="81"/>
      <c r="K40" s="163"/>
    </row>
    <row r="41" spans="1:11" ht="12" customHeight="1" x14ac:dyDescent="0.25">
      <c r="A41" s="29" t="s">
        <v>15</v>
      </c>
      <c r="C41" s="41">
        <f>GrossMargin!D42-[1]GrossMargin!D42</f>
        <v>0</v>
      </c>
      <c r="D41" s="42">
        <f>GrossMargin!E42-[1]GrossMargin!E42</f>
        <v>-295</v>
      </c>
      <c r="E41" s="81">
        <f>GrossMargin!F42-[1]GrossMargin!F42</f>
        <v>2285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1990</v>
      </c>
      <c r="I41" s="41">
        <f>GrossMargin!J42-[1]GrossMargin!J42</f>
        <v>-2300</v>
      </c>
      <c r="J41" s="42">
        <f>GrossMargin!K42-[1]GrossMargin!K42</f>
        <v>-2958</v>
      </c>
      <c r="K41" s="66">
        <f>SUM(H41:J41)</f>
        <v>-3268</v>
      </c>
    </row>
    <row r="42" spans="1:11" ht="12" customHeight="1" x14ac:dyDescent="0.25">
      <c r="A42" s="29" t="s">
        <v>1</v>
      </c>
      <c r="C42" s="41">
        <f>GrossMargin!D43-[1]GrossMargin!D43</f>
        <v>0</v>
      </c>
      <c r="D42" s="42">
        <f>GrossMargin!E43-[1]GrossMargin!E43</f>
        <v>1341</v>
      </c>
      <c r="E42" s="81">
        <f>GrossMargin!F43-[1]GrossMargin!F43</f>
        <v>-1631</v>
      </c>
      <c r="F42" s="42">
        <f>GrossMargin!G43-[1]GrossMargin!G43</f>
        <v>0</v>
      </c>
      <c r="G42" s="42">
        <f>GrossMargin!H43-[1]GrossMargin!H43</f>
        <v>0</v>
      </c>
      <c r="H42" s="64">
        <f>SUM(C42:G42)</f>
        <v>-290</v>
      </c>
      <c r="I42" s="41">
        <f>GrossMargin!J43-[1]GrossMargin!J43</f>
        <v>0</v>
      </c>
      <c r="J42" s="42">
        <f>GrossMargin!K43-[1]GrossMargin!K43</f>
        <v>-4725</v>
      </c>
      <c r="K42" s="66">
        <f>SUM(H42:J42)</f>
        <v>-5015</v>
      </c>
    </row>
    <row r="43" spans="1:11" ht="12" hidden="1" customHeight="1" x14ac:dyDescent="0.25">
      <c r="A43" s="29" t="s">
        <v>129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62"/>
    </row>
    <row r="45" spans="1:11" s="120" customFormat="1" ht="12" customHeight="1" x14ac:dyDescent="0.25">
      <c r="A45" s="136" t="s">
        <v>144</v>
      </c>
      <c r="B45" s="121"/>
      <c r="C45" s="129">
        <f t="shared" ref="C45:K45" si="5">SUM(C41:C43)</f>
        <v>0</v>
      </c>
      <c r="D45" s="130">
        <f t="shared" si="5"/>
        <v>1046</v>
      </c>
      <c r="E45" s="130">
        <f t="shared" si="5"/>
        <v>654</v>
      </c>
      <c r="F45" s="130">
        <f t="shared" si="5"/>
        <v>0</v>
      </c>
      <c r="G45" s="130">
        <f t="shared" si="5"/>
        <v>0</v>
      </c>
      <c r="H45" s="129">
        <f t="shared" si="5"/>
        <v>1700</v>
      </c>
      <c r="I45" s="129">
        <f t="shared" si="5"/>
        <v>-2300</v>
      </c>
      <c r="J45" s="130">
        <f t="shared" si="5"/>
        <v>-7683</v>
      </c>
      <c r="K45" s="131">
        <f t="shared" si="5"/>
        <v>-8283</v>
      </c>
    </row>
    <row r="46" spans="1:11" ht="3" customHeight="1" x14ac:dyDescent="0.25">
      <c r="A46" s="29"/>
      <c r="C46" s="134"/>
      <c r="D46" s="81"/>
      <c r="E46" s="81"/>
      <c r="F46" s="81"/>
      <c r="G46" s="81"/>
      <c r="H46" s="135"/>
      <c r="I46" s="134"/>
      <c r="J46" s="81"/>
      <c r="K46" s="163"/>
    </row>
    <row r="47" spans="1:11" ht="12" customHeight="1" x14ac:dyDescent="0.25">
      <c r="A47" s="29" t="s">
        <v>14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-2500</v>
      </c>
      <c r="K47" s="66">
        <f>SUM(H47:J47)</f>
        <v>-2500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5">
      <c r="A49" s="29" t="s">
        <v>13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4"/>
    </row>
    <row r="51" spans="1:14" ht="12" customHeight="1" x14ac:dyDescent="0.25">
      <c r="A51" s="29" t="s">
        <v>26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0</v>
      </c>
    </row>
    <row r="52" spans="1:14" ht="3" customHeight="1" x14ac:dyDescent="0.25">
      <c r="A52" s="76"/>
      <c r="C52" s="77"/>
      <c r="D52" s="67"/>
      <c r="E52" s="67"/>
      <c r="F52" s="67"/>
      <c r="G52" s="67"/>
      <c r="H52" s="46"/>
      <c r="I52" s="77"/>
      <c r="J52" s="67"/>
      <c r="K52" s="164"/>
    </row>
    <row r="53" spans="1:14" ht="12" customHeight="1" x14ac:dyDescent="0.25">
      <c r="A53" s="29" t="s">
        <v>27</v>
      </c>
      <c r="C53" s="41">
        <f>GrossMargin!D54-[1]GrossMargin!D54</f>
        <v>0</v>
      </c>
      <c r="D53" s="42">
        <f>GrossMargin!E54-[1]GrossMargin!E54</f>
        <v>0</v>
      </c>
      <c r="E53" s="42">
        <f>GrossMargin!F54-[1]GrossMargin!F54</f>
        <v>0</v>
      </c>
      <c r="F53" s="42">
        <f>GrossMargin!G54-[1]GrossMargin!G54</f>
        <v>0</v>
      </c>
      <c r="G53" s="42">
        <f>GrossMargin!H54-[1]GrossMargin!H54</f>
        <v>0</v>
      </c>
      <c r="H53" s="64">
        <f>SUM(C53:G53)</f>
        <v>0</v>
      </c>
      <c r="I53" s="41">
        <f>GrossMargin!J54-[1]GrossMargin!J54</f>
        <v>0</v>
      </c>
      <c r="J53" s="42">
        <f>GrossMargin!K54-[1]GrossMargin!K54</f>
        <v>-33680</v>
      </c>
      <c r="K53" s="66">
        <f>SUM(H53:J53)</f>
        <v>-33680</v>
      </c>
    </row>
    <row r="54" spans="1:14" ht="3" customHeight="1" x14ac:dyDescent="0.25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25">
      <c r="A55" s="75" t="s">
        <v>21</v>
      </c>
      <c r="C55" s="125">
        <f t="shared" ref="C55:K55" si="6">SUM(C45:C53)+C20+C32+C39</f>
        <v>37552</v>
      </c>
      <c r="D55" s="126">
        <f t="shared" si="6"/>
        <v>7407</v>
      </c>
      <c r="E55" s="126">
        <f t="shared" si="6"/>
        <v>331</v>
      </c>
      <c r="F55" s="126">
        <f t="shared" si="6"/>
        <v>-523</v>
      </c>
      <c r="G55" s="126">
        <f t="shared" si="6"/>
        <v>0</v>
      </c>
      <c r="H55" s="125">
        <f t="shared" si="6"/>
        <v>44767</v>
      </c>
      <c r="I55" s="125">
        <f t="shared" si="6"/>
        <v>55347</v>
      </c>
      <c r="J55" s="126">
        <f t="shared" si="6"/>
        <v>-117536</v>
      </c>
      <c r="K55" s="127">
        <f t="shared" si="6"/>
        <v>-10945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27" t="s">
        <v>283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hidden="1" x14ac:dyDescent="0.25">
      <c r="C58" s="44"/>
      <c r="D58" s="74"/>
      <c r="E58" s="173" t="s">
        <v>133</v>
      </c>
      <c r="F58" s="40" t="s">
        <v>278</v>
      </c>
      <c r="G58" s="200"/>
      <c r="H58" s="200" t="s">
        <v>162</v>
      </c>
      <c r="I58" s="171">
        <v>132</v>
      </c>
      <c r="J58" s="42"/>
      <c r="K58" s="44"/>
      <c r="L58" s="38"/>
      <c r="M58" s="226"/>
      <c r="N58" s="38"/>
    </row>
    <row r="59" spans="1:14" hidden="1" x14ac:dyDescent="0.25">
      <c r="C59" s="44"/>
      <c r="D59" s="49"/>
      <c r="E59" s="235"/>
      <c r="F59" s="53" t="s">
        <v>280</v>
      </c>
      <c r="G59" s="236"/>
      <c r="H59" s="236" t="s">
        <v>162</v>
      </c>
      <c r="I59" s="51">
        <v>100</v>
      </c>
      <c r="J59" s="42"/>
      <c r="K59" s="44"/>
      <c r="L59" s="38"/>
      <c r="M59" s="226"/>
      <c r="N59" s="38"/>
    </row>
    <row r="60" spans="1:14" hidden="1" x14ac:dyDescent="0.25">
      <c r="C60" s="44"/>
      <c r="D60" s="227"/>
      <c r="E60" s="228" t="s">
        <v>189</v>
      </c>
      <c r="F60" s="187"/>
      <c r="G60" s="213"/>
      <c r="H60" s="214"/>
      <c r="I60" s="215"/>
      <c r="J60" s="42"/>
      <c r="K60" s="44"/>
      <c r="L60" s="38"/>
      <c r="M60" s="226"/>
      <c r="N60" s="38"/>
    </row>
    <row r="61" spans="1:14" hidden="1" x14ac:dyDescent="0.25">
      <c r="C61" s="44"/>
      <c r="D61" s="227"/>
      <c r="E61" s="228" t="s">
        <v>132</v>
      </c>
      <c r="F61" s="213" t="s">
        <v>248</v>
      </c>
      <c r="G61" s="213"/>
      <c r="H61" s="214" t="s">
        <v>275</v>
      </c>
      <c r="I61" s="215">
        <v>-800</v>
      </c>
      <c r="J61" s="42"/>
      <c r="K61" s="44"/>
      <c r="L61" s="38"/>
      <c r="M61" s="226"/>
      <c r="N61" s="38"/>
    </row>
    <row r="62" spans="1:14" hidden="1" x14ac:dyDescent="0.25">
      <c r="D62" s="39"/>
      <c r="E62" s="173" t="s">
        <v>134</v>
      </c>
      <c r="F62" s="27" t="s">
        <v>264</v>
      </c>
      <c r="G62" s="229"/>
      <c r="H62" s="229" t="s">
        <v>162</v>
      </c>
      <c r="I62" s="171">
        <v>-100</v>
      </c>
      <c r="J62" s="38"/>
      <c r="L62" s="38"/>
      <c r="M62" s="226"/>
      <c r="N62" s="38"/>
    </row>
    <row r="63" spans="1:14" hidden="1" x14ac:dyDescent="0.25">
      <c r="D63" s="36"/>
      <c r="E63" s="234"/>
      <c r="F63" s="27" t="s">
        <v>268</v>
      </c>
      <c r="G63" s="237"/>
      <c r="H63" s="237" t="s">
        <v>162</v>
      </c>
      <c r="I63" s="43">
        <v>-115</v>
      </c>
      <c r="J63" s="38"/>
      <c r="L63" s="38"/>
      <c r="M63" s="226"/>
      <c r="N63" s="38"/>
    </row>
    <row r="64" spans="1:14" ht="4.5" hidden="1" customHeight="1" x14ac:dyDescent="0.25">
      <c r="D64" s="52"/>
      <c r="E64" s="54"/>
      <c r="F64" s="53"/>
      <c r="G64" s="53"/>
      <c r="H64" s="53"/>
      <c r="I64" s="51"/>
      <c r="J64" s="38"/>
      <c r="L64" s="38"/>
      <c r="M64" s="226"/>
      <c r="N64" s="38"/>
    </row>
    <row r="65" spans="1:14" ht="13.5" hidden="1" thickBot="1" x14ac:dyDescent="0.3">
      <c r="I65" s="172">
        <f>SUM(I58:I64)</f>
        <v>-783</v>
      </c>
      <c r="J65" s="170" t="str">
        <f>IF(I65=I55,"","error")</f>
        <v>error</v>
      </c>
      <c r="L65" s="38"/>
      <c r="M65" s="38"/>
      <c r="N65" s="38"/>
    </row>
    <row r="80" spans="1:14" x14ac:dyDescent="0.25">
      <c r="A80" s="27" t="s">
        <v>210</v>
      </c>
      <c r="C80" s="73">
        <f>C9+C13+C18+C36+C37</f>
        <v>12420</v>
      </c>
    </row>
    <row r="81" spans="1:3" x14ac:dyDescent="0.25">
      <c r="A81" s="27" t="s">
        <v>211</v>
      </c>
      <c r="C81" s="44">
        <f>C10</f>
        <v>16378</v>
      </c>
    </row>
    <row r="82" spans="1:3" x14ac:dyDescent="0.25">
      <c r="A82" s="27" t="s">
        <v>48</v>
      </c>
      <c r="C82" s="44">
        <f>C34</f>
        <v>-620</v>
      </c>
    </row>
    <row r="83" spans="1:3" x14ac:dyDescent="0.25">
      <c r="A83" s="27" t="s">
        <v>282</v>
      </c>
      <c r="C83" s="44">
        <f>C11</f>
        <v>2088</v>
      </c>
    </row>
    <row r="84" spans="1:3" x14ac:dyDescent="0.25">
      <c r="A84" s="27" t="s">
        <v>212</v>
      </c>
      <c r="C84" s="44">
        <f>C12</f>
        <v>7701</v>
      </c>
    </row>
    <row r="85" spans="1:3" x14ac:dyDescent="0.25">
      <c r="A85" s="27" t="s">
        <v>253</v>
      </c>
      <c r="C85" s="44">
        <f>C14+C15+C16+C24</f>
        <v>-415</v>
      </c>
    </row>
    <row r="86" spans="1:3" ht="13.5" thickBot="1" x14ac:dyDescent="0.3">
      <c r="C86" s="238">
        <f>SUM(C80:C85)</f>
        <v>37552</v>
      </c>
    </row>
    <row r="87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170</v>
      </c>
    </row>
    <row r="2" spans="1:37" ht="15.75" x14ac:dyDescent="0.25">
      <c r="A2" s="23" t="s">
        <v>77</v>
      </c>
      <c r="B2" s="252" t="s">
        <v>24</v>
      </c>
      <c r="C2" s="252"/>
      <c r="D2" s="252"/>
      <c r="E2" s="252"/>
      <c r="F2" s="252"/>
      <c r="G2" s="252"/>
      <c r="H2" s="252"/>
      <c r="I2" s="252"/>
      <c r="J2" s="252"/>
      <c r="K2" s="252"/>
    </row>
    <row r="3" spans="1:37" ht="15" x14ac:dyDescent="0.25">
      <c r="A3" s="24">
        <v>36586</v>
      </c>
      <c r="B3" s="253" t="s">
        <v>257</v>
      </c>
      <c r="C3" s="253"/>
      <c r="D3" s="253"/>
      <c r="E3" s="253"/>
      <c r="F3" s="253"/>
      <c r="G3" s="253"/>
      <c r="H3" s="253"/>
      <c r="I3" s="253"/>
      <c r="J3" s="253"/>
      <c r="K3" s="253"/>
    </row>
    <row r="4" spans="1:37" x14ac:dyDescent="0.2">
      <c r="A4" s="23" t="s">
        <v>68</v>
      </c>
      <c r="B4" s="254" t="str">
        <f>Summary!A3</f>
        <v>Results based on Activity through February 18, 2000</v>
      </c>
      <c r="C4" s="254"/>
      <c r="D4" s="254"/>
      <c r="E4" s="254"/>
      <c r="F4" s="254"/>
      <c r="G4" s="254"/>
      <c r="H4" s="254"/>
      <c r="I4" s="254"/>
      <c r="J4" s="254"/>
      <c r="K4" s="254"/>
    </row>
    <row r="5" spans="1:37" ht="3" customHeight="1" x14ac:dyDescent="0.2"/>
    <row r="6" spans="1:37" x14ac:dyDescent="0.2">
      <c r="A6" s="23" t="s">
        <v>245</v>
      </c>
      <c r="B6" s="6"/>
      <c r="D6" s="249" t="s">
        <v>74</v>
      </c>
      <c r="E6" s="250"/>
      <c r="F6" s="251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23</v>
      </c>
      <c r="D7" s="16" t="s">
        <v>20</v>
      </c>
      <c r="E7" s="17" t="s">
        <v>22</v>
      </c>
      <c r="F7" s="18" t="s">
        <v>30</v>
      </c>
      <c r="G7" s="1"/>
      <c r="H7" s="246" t="s">
        <v>122</v>
      </c>
      <c r="I7" s="247"/>
      <c r="J7" s="247"/>
      <c r="K7" s="24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38</v>
      </c>
      <c r="B9" s="7" t="s">
        <v>5</v>
      </c>
      <c r="D9" s="62">
        <f>E9+20</f>
        <v>3775</v>
      </c>
      <c r="E9" s="63">
        <f>ROUND(_xll.HPVAL($A9,$A$1,$A$2,$A$3,$A$4,$A$6)/1000,0)</f>
        <v>3755</v>
      </c>
      <c r="F9" s="152">
        <f>E9-D9</f>
        <v>-20</v>
      </c>
      <c r="G9" s="5"/>
      <c r="H9" s="4" t="s">
        <v>234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175</v>
      </c>
      <c r="B10" s="7" t="s">
        <v>176</v>
      </c>
      <c r="D10" s="20">
        <f>E10+5</f>
        <v>4637</v>
      </c>
      <c r="E10" s="12">
        <f>ROUND(_xll.HPVAL($A10,$A$1,$A$2,$A$3,$A$4,$A$6)/1000,0)</f>
        <v>4632</v>
      </c>
      <c r="F10" s="153">
        <f t="shared" ref="F10:F18" si="0">E10-D10</f>
        <v>-5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41</v>
      </c>
      <c r="B11" s="7" t="s">
        <v>258</v>
      </c>
      <c r="D11" s="20">
        <f>795</f>
        <v>795</v>
      </c>
      <c r="E11" s="12">
        <f>ROUND(_xll.HPVAL($A11,$A$1,$A$2,$A$3,$A$4,$A$6)*0.8755/1000,0)</f>
        <v>718</v>
      </c>
      <c r="F11" s="153">
        <f t="shared" si="0"/>
        <v>-77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260</v>
      </c>
      <c r="B12" s="7" t="s">
        <v>259</v>
      </c>
      <c r="D12" s="20">
        <f>1286+132</f>
        <v>1418</v>
      </c>
      <c r="E12" s="12">
        <f>ROUND(_xll.HPVAL($A12,$A$1,$A$2,$A$3,$A$4,$A$6)/1000,0)-E11</f>
        <v>1345</v>
      </c>
      <c r="F12" s="153">
        <f>E12-D12</f>
        <v>-73</v>
      </c>
      <c r="G12" s="5"/>
      <c r="H12" s="4" t="s">
        <v>284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60</v>
      </c>
      <c r="B13" s="7" t="s">
        <v>202</v>
      </c>
      <c r="C13" s="72"/>
      <c r="D13" s="20">
        <f>E13+2434</f>
        <v>5200</v>
      </c>
      <c r="E13" s="12">
        <f>ROUND(_xll.HPVAL($A13,$A$1,$A$2,$A$3,$A$4,$A$6)/1000,0)</f>
        <v>2766</v>
      </c>
      <c r="F13" s="153">
        <f>E13-D13</f>
        <v>-2434</v>
      </c>
      <c r="G13" s="5"/>
      <c r="H13" s="4" t="s">
        <v>236</v>
      </c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42</v>
      </c>
      <c r="B14" s="7" t="s">
        <v>11</v>
      </c>
      <c r="D14" s="20">
        <v>3674</v>
      </c>
      <c r="E14" s="12">
        <f>ROUND(_xll.HPVAL($A14,$A$1,$A$2,$A$3,$A$4,$A$6)/1000,0)</f>
        <v>2644</v>
      </c>
      <c r="F14" s="153">
        <f t="shared" si="0"/>
        <v>-1030</v>
      </c>
      <c r="G14" s="5"/>
      <c r="H14" s="4" t="s">
        <v>285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44</v>
      </c>
      <c r="B15" s="7" t="s">
        <v>9</v>
      </c>
      <c r="D15" s="20">
        <v>1233</v>
      </c>
      <c r="E15" s="12">
        <f>ROUND(_xll.HPVAL($A15,$A$1,$A$2,$A$3,$A$4,$A$6)/1000,0)</f>
        <v>1029</v>
      </c>
      <c r="F15" s="153">
        <f t="shared" si="0"/>
        <v>-204</v>
      </c>
      <c r="G15" s="5"/>
      <c r="H15" s="4" t="s">
        <v>284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10</v>
      </c>
      <c r="B16" s="7" t="s">
        <v>177</v>
      </c>
      <c r="D16" s="20">
        <v>131</v>
      </c>
      <c r="E16" s="12">
        <f>ROUND(_xll.HPVAL($A16,$A$1,$A$2,$A$3,$A$4,$A$6)/1000,0)</f>
        <v>104</v>
      </c>
      <c r="F16" s="153">
        <f t="shared" si="0"/>
        <v>-27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125</v>
      </c>
      <c r="B17" s="7" t="s">
        <v>88</v>
      </c>
      <c r="D17" s="20">
        <f>E17</f>
        <v>1217</v>
      </c>
      <c r="E17" s="12">
        <f>ROUND(_xll.HPVAL($A17,$A$1,$A$2,$A$3,$A$4,$A$6)/1000,0)</f>
        <v>1217</v>
      </c>
      <c r="F17" s="15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45</v>
      </c>
      <c r="B18" s="7" t="s">
        <v>4</v>
      </c>
      <c r="D18" s="20">
        <f>E18</f>
        <v>169</v>
      </c>
      <c r="E18" s="12">
        <f>ROUND(_xll.HPVAL($A18,$A$1,$A$2,$A$3,$A$4,$A$6)/1000,0)</f>
        <v>169</v>
      </c>
      <c r="F18" s="153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5" t="s">
        <v>12</v>
      </c>
      <c r="C19" s="144"/>
      <c r="D19" s="150">
        <f>SUM(D9:D18)</f>
        <v>22249</v>
      </c>
      <c r="E19" s="151">
        <f>SUM(E9:E18)</f>
        <v>18379</v>
      </c>
      <c r="F19" s="143">
        <f>SUM(F9:F18)</f>
        <v>-3870</v>
      </c>
      <c r="G19" s="146"/>
      <c r="H19" s="147"/>
      <c r="I19" s="148"/>
      <c r="J19" s="148"/>
      <c r="K19" s="14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5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46</v>
      </c>
      <c r="B21" s="7" t="s">
        <v>145</v>
      </c>
      <c r="D21" s="20">
        <f t="shared" ref="D21:D29" si="1">E21</f>
        <v>3423</v>
      </c>
      <c r="E21" s="12">
        <f>ROUND(_xll.HPVAL($A21,$A$1,$A$2,$A$3,$A$4,$A$6)/1000,0)</f>
        <v>3423</v>
      </c>
      <c r="F21" s="153">
        <f t="shared" ref="F21:F29" si="2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53</v>
      </c>
      <c r="B22" s="7" t="s">
        <v>146</v>
      </c>
      <c r="D22" s="20">
        <f t="shared" si="1"/>
        <v>4818</v>
      </c>
      <c r="E22" s="12">
        <f>ROUND(_xll.HPVAL($A22,$A$1,$A$2,$A$3,$A$4,$A$6)/1000,0)</f>
        <v>4818</v>
      </c>
      <c r="F22" s="153">
        <f t="shared" si="2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50</v>
      </c>
      <c r="B23" s="7" t="s">
        <v>147</v>
      </c>
      <c r="D23" s="20">
        <f t="shared" si="1"/>
        <v>3069</v>
      </c>
      <c r="E23" s="12">
        <f>ROUND(_xll.HPVAL($A23,$A$1,$A$2,$A$3,$A$4,$A$6)/1000,0)</f>
        <v>3069</v>
      </c>
      <c r="F23" s="153">
        <f t="shared" si="2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47</v>
      </c>
      <c r="B24" s="7" t="s">
        <v>148</v>
      </c>
      <c r="D24" s="20">
        <f t="shared" si="1"/>
        <v>2541</v>
      </c>
      <c r="E24" s="12">
        <f>ROUND(_xll.HPVAL($A24,$A$1,$A$2,$A$3,$A$4,$A$6)/1000,0)</f>
        <v>2541</v>
      </c>
      <c r="F24" s="153">
        <f t="shared" si="2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171</v>
      </c>
      <c r="B25" s="7" t="s">
        <v>172</v>
      </c>
      <c r="D25" s="20">
        <f t="shared" si="1"/>
        <v>1900</v>
      </c>
      <c r="E25" s="12">
        <f>ROUND(_xll.HPVAL($A25,$A$1,$A$2,$A$3,$A$4,$A$6)/1000,0)</f>
        <v>1900</v>
      </c>
      <c r="F25" s="153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54</v>
      </c>
      <c r="B26" s="7" t="s">
        <v>149</v>
      </c>
      <c r="D26" s="20">
        <v>1017</v>
      </c>
      <c r="E26" s="12">
        <f>ROUND(_xll.HPVAL($A26,$A$1,$A$2,$A$3,$A$4,$A$6)/1000,0)</f>
        <v>897</v>
      </c>
      <c r="F26" s="153">
        <f t="shared" si="2"/>
        <v>-120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55</v>
      </c>
      <c r="B27" s="7" t="s">
        <v>312</v>
      </c>
      <c r="D27" s="20">
        <f>E27+58</f>
        <v>505</v>
      </c>
      <c r="E27" s="12">
        <f>ROUND(_xll.HPVAL($A27,$A$1,$A$2,$A$3,$A$4,$A$6)/1000,0)</f>
        <v>447</v>
      </c>
      <c r="F27" s="153">
        <f t="shared" si="2"/>
        <v>-58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51</v>
      </c>
      <c r="B28" s="7" t="s">
        <v>2</v>
      </c>
      <c r="D28" s="20">
        <f>E28-104</f>
        <v>1733</v>
      </c>
      <c r="E28" s="12">
        <f>ROUND(_xll.HPVAL($A28,$A$1,$A$2,$A$3,$A$4,$A$6)/1000,0)</f>
        <v>1837</v>
      </c>
      <c r="F28" s="153">
        <f t="shared" si="2"/>
        <v>104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173</v>
      </c>
      <c r="B29" s="7" t="s">
        <v>174</v>
      </c>
      <c r="D29" s="20">
        <f t="shared" si="1"/>
        <v>416</v>
      </c>
      <c r="E29" s="12">
        <f>ROUND(_xll.HPVAL($A29,$A$1,$A$2,$A$3,$A$4,$A$6)/1000,0)</f>
        <v>416</v>
      </c>
      <c r="F29" s="153">
        <f t="shared" si="2"/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B30" s="145" t="s">
        <v>3</v>
      </c>
      <c r="C30" s="144"/>
      <c r="D30" s="150">
        <f>SUM(D21:D29)</f>
        <v>19422</v>
      </c>
      <c r="E30" s="151">
        <f>SUM(E21:E29)</f>
        <v>19348</v>
      </c>
      <c r="F30" s="143">
        <f>SUM(F21:F29)</f>
        <v>-74</v>
      </c>
      <c r="G30" s="146"/>
      <c r="H30" s="147"/>
      <c r="I30" s="148"/>
      <c r="J30" s="148"/>
      <c r="K30" s="14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5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49</v>
      </c>
      <c r="B32" s="7" t="s">
        <v>48</v>
      </c>
      <c r="D32" s="20">
        <f>E32</f>
        <v>726</v>
      </c>
      <c r="E32" s="12">
        <f>ROUND(_xll.HPVAL($A32,$A$1,$A$2,$A$3,$A$4,$A$6)/1000,0)</f>
        <v>726</v>
      </c>
      <c r="F32" s="153">
        <f>E32-D32</f>
        <v>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52</v>
      </c>
      <c r="B33" s="7" t="s">
        <v>119</v>
      </c>
      <c r="D33" s="20">
        <f>E33+24+116</f>
        <v>1224</v>
      </c>
      <c r="E33" s="12">
        <f>ROUND(_xll.HPVAL($A33,$A$1,$A$2,$A$3,$A$4,$A$6)/1000,0)</f>
        <v>1084</v>
      </c>
      <c r="F33" s="153">
        <f>E33-D33</f>
        <v>-140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58</v>
      </c>
      <c r="B34" s="7" t="s">
        <v>150</v>
      </c>
      <c r="C34" s="72"/>
      <c r="D34" s="20">
        <f>E34-35+28</f>
        <v>4288</v>
      </c>
      <c r="E34" s="12">
        <f>ROUND(_xll.HPVAL($A34,$A$1,$A$2,$A$3,$A$4,$A$6)/1000,0)</f>
        <v>4295</v>
      </c>
      <c r="F34" s="153">
        <f>E34-D34</f>
        <v>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59</v>
      </c>
      <c r="B35" s="7" t="s">
        <v>151</v>
      </c>
      <c r="C35" s="72"/>
      <c r="D35" s="20">
        <f>E35-16</f>
        <v>729</v>
      </c>
      <c r="E35" s="12">
        <f>ROUND(_xll.HPVAL($A35,$A$1,$A$2,$A$3,$A$4,$A$6)/1000,0)</f>
        <v>745</v>
      </c>
      <c r="F35" s="153">
        <f>E35-D35</f>
        <v>16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B36" s="145" t="s">
        <v>143</v>
      </c>
      <c r="C36" s="144"/>
      <c r="D36" s="150">
        <f>SUM(D32:D35)</f>
        <v>6967</v>
      </c>
      <c r="E36" s="151">
        <f>SUM(E32:E35)</f>
        <v>6850</v>
      </c>
      <c r="F36" s="143">
        <f>SUM(F32:F35)</f>
        <v>-117</v>
      </c>
      <c r="G36" s="146"/>
      <c r="H36" s="147"/>
      <c r="I36" s="148"/>
      <c r="J36" s="148"/>
      <c r="K36" s="14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3" customHeight="1" x14ac:dyDescent="0.2">
      <c r="B37" s="7"/>
      <c r="D37" s="20"/>
      <c r="E37" s="12"/>
      <c r="F37" s="153"/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56</v>
      </c>
      <c r="B38" s="7" t="s">
        <v>15</v>
      </c>
      <c r="D38" s="20">
        <f>E38+9</f>
        <v>744</v>
      </c>
      <c r="E38" s="12">
        <f>ROUND(_xll.HPVAL($A38,$A$1,$A$2,$A$3,$A$4,$A$6)/1000,0)</f>
        <v>735</v>
      </c>
      <c r="F38" s="153">
        <f>E38-D38</f>
        <v>-9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57</v>
      </c>
      <c r="B39" s="7" t="s">
        <v>1</v>
      </c>
      <c r="D39" s="20">
        <f>E39-165+37</f>
        <v>242</v>
      </c>
      <c r="E39" s="12">
        <f>ROUND(_xll.HPVAL($A39,$A$1,$A$2,$A$3,$A$4,$A$6)/1000,0)</f>
        <v>370</v>
      </c>
      <c r="F39" s="153">
        <f>E39-D39</f>
        <v>128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131</v>
      </c>
      <c r="B40" s="7" t="s">
        <v>129</v>
      </c>
      <c r="D40" s="20">
        <f>E40</f>
        <v>0</v>
      </c>
      <c r="E40" s="12"/>
      <c r="F40" s="153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B41" s="145" t="s">
        <v>144</v>
      </c>
      <c r="C41" s="144"/>
      <c r="D41" s="150">
        <f>SUM(D38:D40)</f>
        <v>986</v>
      </c>
      <c r="E41" s="151">
        <f>SUM(E38:E40)</f>
        <v>1105</v>
      </c>
      <c r="F41" s="143">
        <f>SUM(F38:F40)</f>
        <v>119</v>
      </c>
      <c r="G41" s="146"/>
      <c r="H41" s="147"/>
      <c r="I41" s="148"/>
      <c r="J41" s="148"/>
      <c r="K41" s="1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5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139</v>
      </c>
      <c r="B43" s="7" t="s">
        <v>14</v>
      </c>
      <c r="C43" s="72"/>
      <c r="D43" s="20">
        <f>E43</f>
        <v>5988</v>
      </c>
      <c r="E43" s="12">
        <f>ROUND(_xll.HPVAL($A43,$A$1,$A$2,$A$3,$A$4,$A$6)/1000,0)</f>
        <v>5988</v>
      </c>
      <c r="F43" s="153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C44" s="72"/>
      <c r="D44" s="20"/>
      <c r="E44" s="12"/>
      <c r="F44" s="15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62</v>
      </c>
      <c r="B45" s="7" t="s">
        <v>13</v>
      </c>
      <c r="C45" s="72"/>
      <c r="D45" s="20">
        <f>E45</f>
        <v>2682</v>
      </c>
      <c r="E45" s="12">
        <f>ROUND(_xll.HPVAL($A45,$A$1,$A$2,$A$3,$A$4,$A$6)/1000,0)</f>
        <v>2682</v>
      </c>
      <c r="F45" s="153">
        <f>E45-D45</f>
        <v>0</v>
      </c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5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4" customFormat="1" ht="11.25" customHeight="1" x14ac:dyDescent="0.2">
      <c r="A47" s="23"/>
      <c r="B47" s="145" t="s">
        <v>17</v>
      </c>
      <c r="D47" s="150">
        <f>SUM(D41:D45)+D19+D30+D36</f>
        <v>58294</v>
      </c>
      <c r="E47" s="151">
        <f>SUM(E41:E45)+E19+E30+E36</f>
        <v>54352</v>
      </c>
      <c r="F47" s="143">
        <f>SUM(F41:F45)+F19+F30+F36</f>
        <v>-3942</v>
      </c>
      <c r="G47" s="146"/>
      <c r="H47" s="147"/>
      <c r="I47" s="148"/>
      <c r="J47" s="148"/>
      <c r="K47" s="149"/>
    </row>
    <row r="48" spans="1:37" ht="3" customHeight="1" x14ac:dyDescent="0.2">
      <c r="B48" s="7"/>
      <c r="D48" s="20"/>
      <c r="E48" s="12"/>
      <c r="F48" s="15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63</v>
      </c>
      <c r="B49" s="7" t="s">
        <v>71</v>
      </c>
      <c r="C49" s="72"/>
      <c r="D49" s="20">
        <f>E49</f>
        <v>63340</v>
      </c>
      <c r="E49" s="12">
        <f>ROUND(_xll.HPVAL($A49,$A$1,$A$2,$A$3,$A$4,$A$6)/1000,0)</f>
        <v>63340</v>
      </c>
      <c r="F49" s="15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5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64</v>
      </c>
      <c r="B51" s="7" t="s">
        <v>26</v>
      </c>
      <c r="C51" s="72"/>
      <c r="D51" s="20">
        <v>23647</v>
      </c>
      <c r="E51" s="12">
        <f>ROUND(_xll.HPVAL($A51,$A$1,$A$2,$A$3,$A$4,$A$6)/1000,0)</f>
        <v>22603</v>
      </c>
      <c r="F51" s="153">
        <f>E51-D51</f>
        <v>-1044</v>
      </c>
      <c r="G51" s="5"/>
      <c r="H51" s="4" t="s">
        <v>235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5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4" customFormat="1" ht="11.25" customHeight="1" x14ac:dyDescent="0.2">
      <c r="B53" s="145" t="s">
        <v>21</v>
      </c>
      <c r="D53" s="138">
        <f>D47+D49+D51</f>
        <v>145281</v>
      </c>
      <c r="E53" s="139">
        <f>E47+E49+E51</f>
        <v>140295</v>
      </c>
      <c r="F53" s="140">
        <f>F47+F49+F51</f>
        <v>-4986</v>
      </c>
      <c r="G53" s="146"/>
      <c r="H53" s="147"/>
      <c r="I53" s="148"/>
      <c r="J53" s="148"/>
      <c r="K53" s="14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10" customFormat="1" ht="3" customHeight="1" x14ac:dyDescent="0.2">
      <c r="A55" s="198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249" t="s">
        <v>256</v>
      </c>
      <c r="E56" s="250"/>
      <c r="F56" s="251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218" t="s">
        <v>23</v>
      </c>
      <c r="D57" s="16" t="s">
        <v>20</v>
      </c>
      <c r="E57" s="17" t="s">
        <v>22</v>
      </c>
      <c r="F57" s="18" t="s">
        <v>30</v>
      </c>
      <c r="G57" s="1"/>
      <c r="H57" s="246" t="s">
        <v>122</v>
      </c>
      <c r="I57" s="247"/>
      <c r="J57" s="247"/>
      <c r="K57" s="2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48</v>
      </c>
      <c r="D58" s="221">
        <f>4187+2527</f>
        <v>6714</v>
      </c>
      <c r="E58" s="222">
        <v>6605</v>
      </c>
      <c r="F58" s="219">
        <f>E58-D58</f>
        <v>-109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19" t="s">
        <v>150</v>
      </c>
      <c r="D59" s="21">
        <v>36193</v>
      </c>
      <c r="E59" s="15">
        <v>46048</v>
      </c>
      <c r="F59" s="220">
        <f>E59-D59</f>
        <v>9855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170</v>
      </c>
    </row>
    <row r="2" spans="1:20" ht="15.75" x14ac:dyDescent="0.25">
      <c r="A2" s="23" t="s">
        <v>78</v>
      </c>
      <c r="B2" s="252" t="s">
        <v>24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</row>
    <row r="3" spans="1:20" ht="15" x14ac:dyDescent="0.25">
      <c r="A3" s="23" t="s">
        <v>79</v>
      </c>
      <c r="B3" s="253" t="s">
        <v>168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</row>
    <row r="4" spans="1:20" x14ac:dyDescent="0.2">
      <c r="A4" s="24">
        <v>36586</v>
      </c>
      <c r="B4" s="254" t="str">
        <f>Summary!A3</f>
        <v>Results based on Activity through February 18, 2000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</row>
    <row r="5" spans="1:20" ht="3" customHeight="1" x14ac:dyDescent="0.2">
      <c r="A5" s="23" t="s">
        <v>68</v>
      </c>
    </row>
    <row r="6" spans="1:20" x14ac:dyDescent="0.2">
      <c r="A6" s="23" t="s">
        <v>245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46" t="s">
        <v>80</v>
      </c>
      <c r="E7" s="247"/>
      <c r="F7" s="247"/>
      <c r="G7" s="247"/>
      <c r="H7" s="247"/>
      <c r="I7" s="248"/>
      <c r="J7" s="1"/>
      <c r="K7" s="246" t="s">
        <v>82</v>
      </c>
      <c r="L7" s="247"/>
      <c r="M7" s="247"/>
      <c r="N7" s="247"/>
      <c r="O7" s="247"/>
      <c r="P7" s="248"/>
      <c r="Q7" s="1"/>
      <c r="R7" s="1"/>
      <c r="S7" s="1"/>
      <c r="T7" s="1"/>
    </row>
    <row r="8" spans="1:20" x14ac:dyDescent="0.2">
      <c r="B8" s="8" t="s">
        <v>23</v>
      </c>
      <c r="D8" s="16" t="s">
        <v>20</v>
      </c>
      <c r="E8" s="17" t="s">
        <v>22</v>
      </c>
      <c r="F8" s="18" t="s">
        <v>30</v>
      </c>
      <c r="G8" s="249" t="s">
        <v>81</v>
      </c>
      <c r="H8" s="250"/>
      <c r="I8" s="251"/>
      <c r="J8" s="1"/>
      <c r="K8" s="16" t="s">
        <v>20</v>
      </c>
      <c r="L8" s="17" t="s">
        <v>22</v>
      </c>
      <c r="M8" s="18" t="s">
        <v>30</v>
      </c>
      <c r="N8" s="249" t="s">
        <v>81</v>
      </c>
      <c r="O8" s="250"/>
      <c r="P8" s="251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38</v>
      </c>
      <c r="B10" s="7" t="s">
        <v>5</v>
      </c>
      <c r="D10" s="62">
        <f>E10</f>
        <v>0</v>
      </c>
      <c r="E10" s="63">
        <f>ROUND(_xll.HPVAL($A10,$A$1,$A$2,$A$4,$A$5,$A$6)/1000,0)</f>
        <v>0</v>
      </c>
      <c r="F10" s="154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175</v>
      </c>
      <c r="B11" s="7" t="s">
        <v>176</v>
      </c>
      <c r="D11" s="20">
        <f t="shared" ref="D11:D19" si="0">E11</f>
        <v>0</v>
      </c>
      <c r="E11" s="12">
        <f>ROUND(_xll.HPVAL($A11,$A$1,$A$2,$A$4,$A$5,$A$6)/1000,0)</f>
        <v>0</v>
      </c>
      <c r="F11" s="155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</f>
        <v>5588</v>
      </c>
      <c r="M11" s="15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41</v>
      </c>
      <c r="B12" s="7" t="s">
        <v>258</v>
      </c>
      <c r="D12" s="20">
        <f t="shared" si="0"/>
        <v>0</v>
      </c>
      <c r="E12" s="12">
        <f>ROUND(_xll.HPVAL($A12,$A$1,$A$2,$A$4,$A$5,$A$6)/1000,0)</f>
        <v>0</v>
      </c>
      <c r="F12" s="155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5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43</v>
      </c>
      <c r="B13" s="7" t="s">
        <v>259</v>
      </c>
      <c r="D13" s="20">
        <f>E13</f>
        <v>0</v>
      </c>
      <c r="E13" s="12">
        <f>ROUND(_xll.HPVAL($A13,$A$1,$A$2,$A$4,$A$5,$A$6)/1000,0)</f>
        <v>0</v>
      </c>
      <c r="F13" s="155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60</v>
      </c>
      <c r="B14" s="7" t="s">
        <v>202</v>
      </c>
      <c r="C14" s="72"/>
      <c r="D14" s="20">
        <v>207</v>
      </c>
      <c r="E14" s="12">
        <f>ROUND(_xll.HPVAL($A14,$A$1,$A$2,$A$4,$A$5,$A$6)/1000,0)</f>
        <v>376</v>
      </c>
      <c r="F14" s="155">
        <f>E14-D14</f>
        <v>169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42</v>
      </c>
      <c r="B15" s="7" t="s">
        <v>11</v>
      </c>
      <c r="D15" s="20">
        <v>618</v>
      </c>
      <c r="E15" s="12">
        <f>ROUND(_xll.HPVAL($A15,$A$1,$A$2,$A$4,$A$5,$A$6)/1000,0)</f>
        <v>653</v>
      </c>
      <c r="F15" s="155">
        <f t="shared" si="1"/>
        <v>35</v>
      </c>
      <c r="G15" s="2" t="s">
        <v>299</v>
      </c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44</v>
      </c>
      <c r="B16" s="7" t="s">
        <v>9</v>
      </c>
      <c r="D16" s="20">
        <f t="shared" si="0"/>
        <v>0</v>
      </c>
      <c r="E16" s="12">
        <f>ROUND(_xll.HPVAL($A16,$A$1,$A$2,$A$4,$A$5,$A$6)/1000,0)</f>
        <v>0</v>
      </c>
      <c r="F16" s="155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10</v>
      </c>
      <c r="B17" s="7" t="s">
        <v>177</v>
      </c>
      <c r="D17" s="20">
        <f t="shared" si="0"/>
        <v>0</v>
      </c>
      <c r="E17" s="12">
        <f>ROUND(_xll.HPVAL($A17,$A$1,$A$2,$A$4,$A$5,$A$6)/1000,0)</f>
        <v>0</v>
      </c>
      <c r="F17" s="155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125</v>
      </c>
      <c r="B18" s="7" t="s">
        <v>88</v>
      </c>
      <c r="D18" s="20">
        <f t="shared" si="0"/>
        <v>0</v>
      </c>
      <c r="E18" s="12">
        <f>ROUND(_xll.HPVAL($A18,$A$1,$A$2,$A$4,$A$5,$A$6)/1000,0)</f>
        <v>0</v>
      </c>
      <c r="F18" s="155">
        <f t="shared" si="1"/>
        <v>0</v>
      </c>
      <c r="G18" s="2"/>
      <c r="H18" s="2"/>
      <c r="I18" s="3"/>
      <c r="J18" s="1"/>
      <c r="K18" s="20">
        <f t="shared" si="2"/>
        <v>0</v>
      </c>
      <c r="L18" s="12">
        <f>ROUND(_xll.HPVAL($A18,$A$1,$A$3,$A$4,$A$5,$A$6)/1000,0)</f>
        <v>0</v>
      </c>
      <c r="M18" s="15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45</v>
      </c>
      <c r="B19" s="7" t="s">
        <v>4</v>
      </c>
      <c r="D19" s="20">
        <f t="shared" si="0"/>
        <v>0</v>
      </c>
      <c r="E19" s="12">
        <f>ROUND(_xll.HPVAL($A19,$A$1,$A$2,$A$4,$A$5,$A$6)/1000,0)</f>
        <v>0</v>
      </c>
      <c r="F19" s="155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5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5" t="s">
        <v>121</v>
      </c>
      <c r="C20" s="144"/>
      <c r="D20" s="150">
        <f>SUM(D10:D19)</f>
        <v>825</v>
      </c>
      <c r="E20" s="151">
        <f>SUM(E10:E19)</f>
        <v>1029</v>
      </c>
      <c r="F20" s="151">
        <f>SUM(F10:F19)</f>
        <v>204</v>
      </c>
      <c r="G20" s="148"/>
      <c r="H20" s="148"/>
      <c r="I20" s="149"/>
      <c r="J20" s="144"/>
      <c r="K20" s="150">
        <f>SUM(K10:K19)</f>
        <v>24723</v>
      </c>
      <c r="L20" s="151">
        <f>SUM(L10:L19)</f>
        <v>24723</v>
      </c>
      <c r="M20" s="151">
        <f>SUM(M10:M19)</f>
        <v>0</v>
      </c>
      <c r="N20" s="148"/>
      <c r="O20" s="148"/>
      <c r="P20" s="149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5"/>
      <c r="G21" s="2"/>
      <c r="H21" s="2"/>
      <c r="I21" s="3"/>
      <c r="J21" s="1"/>
      <c r="K21" s="20"/>
      <c r="L21" s="12"/>
      <c r="M21" s="155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46</v>
      </c>
      <c r="B22" s="7" t="s">
        <v>145</v>
      </c>
      <c r="D22" s="20">
        <f t="shared" ref="D22:D30" si="4">E22</f>
        <v>0</v>
      </c>
      <c r="E22" s="12">
        <f>ROUND(_xll.HPVAL($A22,$A$1,$A$2,$A$4,$A$5,$A$6)/1000,0)</f>
        <v>0</v>
      </c>
      <c r="F22" s="155">
        <f t="shared" ref="F22:F30" si="5">E22-D22</f>
        <v>0</v>
      </c>
      <c r="G22" s="2"/>
      <c r="H22" s="2"/>
      <c r="I22" s="3"/>
      <c r="J22" s="1"/>
      <c r="K22" s="20">
        <f t="shared" ref="K22:K30" si="6">L22</f>
        <v>3140</v>
      </c>
      <c r="L22" s="12">
        <f>ROUND(_xll.HPVAL($A22,$A$1,$A$3,$A$4,$A$5,$A$6)/1000,0)</f>
        <v>3140</v>
      </c>
      <c r="M22" s="155">
        <f t="shared" ref="M22:M30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53</v>
      </c>
      <c r="B23" s="7" t="s">
        <v>146</v>
      </c>
      <c r="D23" s="20">
        <v>1377</v>
      </c>
      <c r="E23" s="12">
        <f>ROUND(_xll.HPVAL($A23,$A$1,$A$2,$A$4,$A$5,$A$6)/1000,0)</f>
        <v>774</v>
      </c>
      <c r="F23" s="155">
        <f t="shared" si="5"/>
        <v>-603</v>
      </c>
      <c r="G23" s="2" t="s">
        <v>300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5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50</v>
      </c>
      <c r="B24" s="7" t="s">
        <v>147</v>
      </c>
      <c r="D24" s="20">
        <v>285</v>
      </c>
      <c r="E24" s="12">
        <f>ROUND(_xll.HPVAL($A24,$A$1,$A$2,$A$4,$A$5,$A$6)/1000,0)</f>
        <v>1228</v>
      </c>
      <c r="F24" s="155">
        <f t="shared" si="5"/>
        <v>943</v>
      </c>
      <c r="G24" s="198" t="s">
        <v>301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5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47</v>
      </c>
      <c r="B25" s="7" t="s">
        <v>148</v>
      </c>
      <c r="D25" s="20">
        <v>76</v>
      </c>
      <c r="E25" s="12">
        <f>ROUND(_xll.HPVAL($A25,$A$1,$A$2,$A$4,$A$5,$A$6)/1000,0)</f>
        <v>528</v>
      </c>
      <c r="F25" s="155">
        <f t="shared" si="5"/>
        <v>452</v>
      </c>
      <c r="G25" s="2" t="s">
        <v>302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5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171</v>
      </c>
      <c r="B26" s="7" t="s">
        <v>172</v>
      </c>
      <c r="D26" s="20">
        <f t="shared" si="4"/>
        <v>0</v>
      </c>
      <c r="E26" s="12">
        <f>ROUND(_xll.HPVAL($A26,$A$1,$A$2,$A$4,$A$5,$A$6)/1000,0)</f>
        <v>0</v>
      </c>
      <c r="F26" s="155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5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54</v>
      </c>
      <c r="B27" s="7" t="s">
        <v>149</v>
      </c>
      <c r="D27" s="20">
        <v>5696</v>
      </c>
      <c r="E27" s="12">
        <f>ROUND(_xll.HPVAL($A27,$A$1,$A$2,$A$4,$A$5,$A$6)/1000,0)</f>
        <v>7900</v>
      </c>
      <c r="F27" s="155">
        <f t="shared" si="5"/>
        <v>2204</v>
      </c>
      <c r="G27" s="199" t="s">
        <v>303</v>
      </c>
      <c r="H27" s="2"/>
      <c r="I27" s="3"/>
      <c r="J27" s="1"/>
      <c r="K27" s="20">
        <f t="shared" si="6"/>
        <v>1778</v>
      </c>
      <c r="L27" s="12">
        <f>ROUND(_xll.HPVAL($A27,$A$1,$A$3,$A$4,$A$5,$A$6)/1000,0)</f>
        <v>1778</v>
      </c>
      <c r="M27" s="155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55</v>
      </c>
      <c r="B28" s="7" t="s">
        <v>312</v>
      </c>
      <c r="D28" s="20">
        <v>1308</v>
      </c>
      <c r="E28" s="12">
        <f>ROUND(_xll.HPVAL($A28,$A$1,$A$2,$A$4,$A$5,$A$6)/1000,0)</f>
        <v>2775</v>
      </c>
      <c r="F28" s="155">
        <f t="shared" si="5"/>
        <v>1467</v>
      </c>
      <c r="G28" s="198" t="s">
        <v>304</v>
      </c>
      <c r="H28" s="2"/>
      <c r="I28" s="3"/>
      <c r="J28" s="1"/>
      <c r="K28" s="20">
        <f t="shared" si="6"/>
        <v>850</v>
      </c>
      <c r="L28" s="12">
        <f>ROUND(_xll.HPVAL($A28,$A$1,$A$3,$A$4,$A$5,$A$6)/1000,0)</f>
        <v>850</v>
      </c>
      <c r="M28" s="155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51</v>
      </c>
      <c r="B29" s="7" t="s">
        <v>2</v>
      </c>
      <c r="D29" s="20">
        <f t="shared" si="4"/>
        <v>0</v>
      </c>
      <c r="E29" s="12">
        <f>ROUND(_xll.HPVAL($A29,$A$1,$A$2,$A$4,$A$5,$A$6)/1000,0)</f>
        <v>0</v>
      </c>
      <c r="F29" s="155">
        <f t="shared" si="5"/>
        <v>0</v>
      </c>
      <c r="G29" s="2"/>
      <c r="H29" s="2"/>
      <c r="I29" s="3"/>
      <c r="J29" s="1"/>
      <c r="K29" s="20">
        <f t="shared" si="6"/>
        <v>619</v>
      </c>
      <c r="L29" s="12">
        <f>ROUND(_xll.HPVAL($A29,$A$1,$A$3,$A$4,$A$5,$A$6)/1000,0)</f>
        <v>619</v>
      </c>
      <c r="M29" s="155">
        <f t="shared" si="7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173</v>
      </c>
      <c r="B30" s="7" t="s">
        <v>174</v>
      </c>
      <c r="D30" s="20">
        <f t="shared" si="4"/>
        <v>0</v>
      </c>
      <c r="E30" s="12">
        <f>ROUND(_xll.HPVAL($A30,$A$1,$A$2,$A$4,$A$5,$A$6)/1000,0)</f>
        <v>0</v>
      </c>
      <c r="F30" s="155">
        <f t="shared" si="5"/>
        <v>0</v>
      </c>
      <c r="G30" s="2"/>
      <c r="H30" s="2"/>
      <c r="I30" s="3"/>
      <c r="J30" s="1"/>
      <c r="K30" s="20">
        <f t="shared" si="6"/>
        <v>332</v>
      </c>
      <c r="L30" s="12">
        <f>ROUND(_xll.HPVAL($A30,$A$1,$A$3,$A$4,$A$5,$A$6)/1000,0)</f>
        <v>332</v>
      </c>
      <c r="M30" s="155">
        <f t="shared" si="7"/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B31" s="145" t="s">
        <v>3</v>
      </c>
      <c r="C31" s="144"/>
      <c r="D31" s="150">
        <f>SUM(D22:D30)</f>
        <v>8742</v>
      </c>
      <c r="E31" s="151">
        <f>SUM(E22:E30)</f>
        <v>13205</v>
      </c>
      <c r="F31" s="151">
        <f>SUM(F22:F30)</f>
        <v>4463</v>
      </c>
      <c r="G31" s="148"/>
      <c r="H31" s="148"/>
      <c r="I31" s="149"/>
      <c r="J31" s="144"/>
      <c r="K31" s="150">
        <f>SUM(K22:K30)</f>
        <v>12266</v>
      </c>
      <c r="L31" s="151">
        <f>SUM(L22:L30)</f>
        <v>12266</v>
      </c>
      <c r="M31" s="151">
        <f>SUM(M22:M30)</f>
        <v>0</v>
      </c>
      <c r="N31" s="148"/>
      <c r="O31" s="148"/>
      <c r="P31" s="149"/>
      <c r="Q31" s="1"/>
      <c r="R31" s="1"/>
      <c r="S31" s="1"/>
      <c r="T31" s="1"/>
    </row>
    <row r="32" spans="1:20" ht="3" customHeight="1" x14ac:dyDescent="0.2">
      <c r="B32" s="7"/>
      <c r="D32" s="20"/>
      <c r="E32" s="12"/>
      <c r="F32" s="155"/>
      <c r="G32" s="2"/>
      <c r="H32" s="2"/>
      <c r="I32" s="3"/>
      <c r="J32" s="1"/>
      <c r="K32" s="20"/>
      <c r="L32" s="12"/>
      <c r="M32" s="155"/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49</v>
      </c>
      <c r="B33" s="7" t="s">
        <v>48</v>
      </c>
      <c r="D33" s="20">
        <f>4062+2185</f>
        <v>6247</v>
      </c>
      <c r="E33" s="12">
        <f>ROUND(_xll.HPVAL($A33,$A$1,$A$2,$A$4,$A$5,$A$6)/1000,0)</f>
        <v>5730</v>
      </c>
      <c r="F33" s="155">
        <f>E33-D33</f>
        <v>-517</v>
      </c>
      <c r="G33" s="2"/>
      <c r="H33" s="2"/>
      <c r="I33" s="3"/>
      <c r="J33" s="1"/>
      <c r="K33" s="20">
        <f>L33</f>
        <v>535</v>
      </c>
      <c r="L33" s="12">
        <f>ROUND(_xll.HPVAL($A33,$A$1,$A$3,$A$4,$A$5,$A$6)/1000,0)</f>
        <v>535</v>
      </c>
      <c r="M33" s="15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52</v>
      </c>
      <c r="B34" s="7" t="s">
        <v>119</v>
      </c>
      <c r="D34" s="20">
        <v>3239</v>
      </c>
      <c r="E34" s="12">
        <f>ROUND(_xll.HPVAL($A34,$A$1,$A$2,$A$4,$A$5,$A$6)/1000,0)</f>
        <v>6163</v>
      </c>
      <c r="F34" s="155">
        <f>E34-D34</f>
        <v>2924</v>
      </c>
      <c r="G34" s="2" t="s">
        <v>307</v>
      </c>
      <c r="H34" s="2"/>
      <c r="I34" s="3"/>
      <c r="J34" s="1"/>
      <c r="K34" s="20">
        <f>L34</f>
        <v>663</v>
      </c>
      <c r="L34" s="12">
        <f>ROUND(_xll.HPVAL($A34,$A$1,$A$3,$A$4,$A$5,$A$6)/1000,0)</f>
        <v>663</v>
      </c>
      <c r="M34" s="15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58</v>
      </c>
      <c r="B35" s="7" t="s">
        <v>150</v>
      </c>
      <c r="C35" s="72"/>
      <c r="D35" s="20">
        <v>8242</v>
      </c>
      <c r="E35" s="12">
        <f>ROUND(_xll.HPVAL($A35,$A$1,$A$2,$A$4,$A$5,$A$6)/1000,0)</f>
        <v>10926</v>
      </c>
      <c r="F35" s="155">
        <f>E35-D35</f>
        <v>2684</v>
      </c>
      <c r="G35" s="2" t="s">
        <v>308</v>
      </c>
      <c r="H35" s="2"/>
      <c r="I35" s="3"/>
      <c r="J35" s="1"/>
      <c r="K35" s="20">
        <f>L35</f>
        <v>7201</v>
      </c>
      <c r="L35" s="12">
        <f>ROUND(_xll.HPVAL($A35,$A$1,$A$3,$A$4,$A$5,$A$6)/1000,0)</f>
        <v>7201</v>
      </c>
      <c r="M35" s="15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59</v>
      </c>
      <c r="B36" s="7" t="s">
        <v>151</v>
      </c>
      <c r="C36" s="72"/>
      <c r="D36" s="20">
        <f>E36</f>
        <v>0</v>
      </c>
      <c r="E36" s="12">
        <f>ROUND(_xll.HPVAL($A36,$A$1,$A$2,$A$4,$A$5,$A$6)/1000,0)</f>
        <v>0</v>
      </c>
      <c r="F36" s="155">
        <f>E36-D36</f>
        <v>0</v>
      </c>
      <c r="G36" s="2"/>
      <c r="H36" s="2"/>
      <c r="I36" s="3"/>
      <c r="J36" s="1"/>
      <c r="K36" s="20">
        <f>L36</f>
        <v>2610</v>
      </c>
      <c r="L36" s="12">
        <f>ROUND(_xll.HPVAL($A36,$A$1,$A$3,$A$4,$A$5,$A$6)/1000,0)</f>
        <v>2610</v>
      </c>
      <c r="M36" s="15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B37" s="145" t="s">
        <v>143</v>
      </c>
      <c r="C37" s="144"/>
      <c r="D37" s="150">
        <f>SUM(D33:D36)</f>
        <v>17728</v>
      </c>
      <c r="E37" s="151">
        <f>SUM(E33:E36)</f>
        <v>22819</v>
      </c>
      <c r="F37" s="151">
        <f>SUM(F33:F36)</f>
        <v>5091</v>
      </c>
      <c r="G37" s="148"/>
      <c r="H37" s="148"/>
      <c r="I37" s="149"/>
      <c r="J37" s="144"/>
      <c r="K37" s="150">
        <f>SUM(K33:K36)</f>
        <v>11009</v>
      </c>
      <c r="L37" s="151">
        <f>SUM(L33:L36)</f>
        <v>11009</v>
      </c>
      <c r="M37" s="151">
        <f>SUM(M33:M36)</f>
        <v>0</v>
      </c>
      <c r="N37" s="148"/>
      <c r="O37" s="148"/>
      <c r="P37" s="149"/>
      <c r="Q37" s="1"/>
      <c r="R37" s="1"/>
      <c r="S37" s="1"/>
      <c r="T37" s="1"/>
    </row>
    <row r="38" spans="1:20" ht="3" customHeight="1" x14ac:dyDescent="0.2">
      <c r="B38" s="7"/>
      <c r="D38" s="20"/>
      <c r="E38" s="12"/>
      <c r="F38" s="155"/>
      <c r="G38" s="2"/>
      <c r="H38" s="2"/>
      <c r="I38" s="3"/>
      <c r="J38" s="1"/>
      <c r="K38" s="20"/>
      <c r="L38" s="12"/>
      <c r="M38" s="155"/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56</v>
      </c>
      <c r="B39" s="7" t="s">
        <v>15</v>
      </c>
      <c r="D39" s="20">
        <v>1016</v>
      </c>
      <c r="E39" s="12">
        <f>ROUND(_xll.HPVAL($A39,$A$1,$A$2,$A$4,$A$5,$A$6)/1000,0)</f>
        <v>1545</v>
      </c>
      <c r="F39" s="155">
        <f>E39-D39</f>
        <v>529</v>
      </c>
      <c r="G39" s="2" t="s">
        <v>305</v>
      </c>
      <c r="H39" s="2"/>
      <c r="I39" s="3"/>
      <c r="J39" s="1"/>
      <c r="K39" s="20">
        <f>L39</f>
        <v>924</v>
      </c>
      <c r="L39" s="12">
        <f>ROUND(_xll.HPVAL($A39,$A$1,$A$3,$A$4,$A$5,$A$6)/1000,0)</f>
        <v>924</v>
      </c>
      <c r="M39" s="15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57</v>
      </c>
      <c r="B40" s="7" t="s">
        <v>1</v>
      </c>
      <c r="D40" s="20">
        <v>1477</v>
      </c>
      <c r="E40" s="12">
        <f>ROUND(_xll.HPVAL($A40,$A$1,$A$2,$A$4,$A$5,$A$6)/1000,0)</f>
        <v>1276</v>
      </c>
      <c r="F40" s="155">
        <f>E40-D40</f>
        <v>-201</v>
      </c>
      <c r="G40" s="2" t="s">
        <v>306</v>
      </c>
      <c r="H40" s="2"/>
      <c r="I40" s="3"/>
      <c r="J40" s="1"/>
      <c r="K40" s="20">
        <f>L40</f>
        <v>671</v>
      </c>
      <c r="L40" s="12">
        <f>ROUND(_xll.HPVAL($A40,$A$1,$A$3,$A$4,$A$5,$A$6)/1000,0)</f>
        <v>671</v>
      </c>
      <c r="M40" s="15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131</v>
      </c>
      <c r="B41" s="7" t="s">
        <v>129</v>
      </c>
      <c r="D41" s="20"/>
      <c r="E41" s="12"/>
      <c r="F41" s="155"/>
      <c r="G41" s="2"/>
      <c r="H41" s="2"/>
      <c r="I41" s="3"/>
      <c r="J41" s="1"/>
      <c r="K41" s="20">
        <f>L41</f>
        <v>0</v>
      </c>
      <c r="L41" s="12"/>
      <c r="M41" s="15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145" t="s">
        <v>144</v>
      </c>
      <c r="C42" s="144"/>
      <c r="D42" s="150">
        <f>SUM(D39:D41)</f>
        <v>2493</v>
      </c>
      <c r="E42" s="151">
        <f>SUM(E39:E41)</f>
        <v>2821</v>
      </c>
      <c r="F42" s="151">
        <f>SUM(F39:F41)</f>
        <v>328</v>
      </c>
      <c r="G42" s="148"/>
      <c r="H42" s="148"/>
      <c r="I42" s="149"/>
      <c r="J42" s="144"/>
      <c r="K42" s="150">
        <f>SUM(K39:K41)</f>
        <v>1595</v>
      </c>
      <c r="L42" s="151">
        <f>SUM(L39:L41)</f>
        <v>1595</v>
      </c>
      <c r="M42" s="151">
        <f>SUM(M39:M41)</f>
        <v>0</v>
      </c>
      <c r="N42" s="148"/>
      <c r="O42" s="148"/>
      <c r="P42" s="149"/>
      <c r="Q42" s="1"/>
      <c r="R42" s="1"/>
      <c r="S42" s="1"/>
      <c r="T42" s="1"/>
    </row>
    <row r="43" spans="1:20" ht="3" customHeight="1" x14ac:dyDescent="0.2">
      <c r="B43" s="7"/>
      <c r="D43" s="20"/>
      <c r="E43" s="12"/>
      <c r="F43" s="155"/>
      <c r="G43" s="2"/>
      <c r="H43" s="2"/>
      <c r="I43" s="3"/>
      <c r="J43" s="1"/>
      <c r="K43" s="20"/>
      <c r="L43" s="12"/>
      <c r="M43" s="15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139</v>
      </c>
      <c r="B44" s="7" t="s">
        <v>14</v>
      </c>
      <c r="C44" s="72"/>
      <c r="D44" s="20">
        <f>E44</f>
        <v>0</v>
      </c>
      <c r="E44" s="12">
        <f>ROUND(_xll.HPVAL($A44,$A$1,$A$2,$A$4,$A$5,$A$6)/1000,0)</f>
        <v>0</v>
      </c>
      <c r="F44" s="155">
        <f>E44-D44</f>
        <v>0</v>
      </c>
      <c r="G44" s="2"/>
      <c r="H44" s="2"/>
      <c r="I44" s="3"/>
      <c r="J44" s="1"/>
      <c r="K44" s="20">
        <f>L44</f>
        <v>2526</v>
      </c>
      <c r="L44" s="12">
        <f>ROUND(_xll.HPVAL($A44,$A$1,$A$3,$A$4,$A$5,$A$6)/1000,0)</f>
        <v>2526</v>
      </c>
      <c r="M44" s="155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5"/>
      <c r="G45" s="2"/>
      <c r="H45" s="2"/>
      <c r="I45" s="3"/>
      <c r="J45" s="1"/>
      <c r="K45" s="20"/>
      <c r="L45" s="12"/>
      <c r="M45" s="15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A46" s="23" t="s">
        <v>62</v>
      </c>
      <c r="B46" s="7" t="s">
        <v>13</v>
      </c>
      <c r="C46" s="72"/>
      <c r="D46" s="20">
        <f>E46</f>
        <v>0</v>
      </c>
      <c r="E46" s="12">
        <f>ROUND(_xll.HPVAL($A46,$A$1,$A$2,$A$4,$A$5,$A$6)/1000,0)</f>
        <v>0</v>
      </c>
      <c r="F46" s="155">
        <f>E46-D46</f>
        <v>0</v>
      </c>
      <c r="G46" s="2"/>
      <c r="H46" s="2"/>
      <c r="I46" s="3"/>
      <c r="J46" s="1"/>
      <c r="K46" s="20">
        <f>L46</f>
        <v>4222</v>
      </c>
      <c r="L46" s="12">
        <f>ROUND(_xll.HPVAL($A46,$A$1,$A$3,$A$4,$A$5,$A$6)/1000,0)</f>
        <v>4222</v>
      </c>
      <c r="M46" s="155">
        <f>ROUND(L46-K46,0)</f>
        <v>0</v>
      </c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C47" s="72"/>
      <c r="D47" s="20"/>
      <c r="E47" s="12"/>
      <c r="F47" s="155"/>
      <c r="G47" s="2"/>
      <c r="H47" s="2"/>
      <c r="I47" s="3"/>
      <c r="J47" s="1"/>
      <c r="K47" s="20"/>
      <c r="L47" s="12"/>
      <c r="M47" s="15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B48" s="7" t="s">
        <v>84</v>
      </c>
      <c r="C48" s="72"/>
      <c r="D48" s="20">
        <f>-SUM(D42:D46,D20,D31,D37)</f>
        <v>-29788</v>
      </c>
      <c r="E48" s="12">
        <f>-SUM(E42:E46,E20,E31,E37)</f>
        <v>-39874</v>
      </c>
      <c r="F48" s="155">
        <f>E48-D48</f>
        <v>-10086</v>
      </c>
      <c r="G48" s="2"/>
      <c r="H48" s="2"/>
      <c r="I48" s="3"/>
      <c r="J48" s="1"/>
      <c r="K48" s="20">
        <f>L48</f>
        <v>0</v>
      </c>
      <c r="L48" s="12"/>
      <c r="M48" s="155"/>
      <c r="N48" s="2"/>
      <c r="O48" s="2"/>
      <c r="P48" s="3"/>
      <c r="Q48" s="1"/>
      <c r="R48" s="1"/>
      <c r="S48" s="1"/>
      <c r="T48" s="1"/>
    </row>
    <row r="49" spans="1:20" ht="3" customHeight="1" x14ac:dyDescent="0.2">
      <c r="B49" s="7"/>
      <c r="D49" s="20"/>
      <c r="E49" s="12"/>
      <c r="F49" s="155"/>
      <c r="G49" s="2"/>
      <c r="H49" s="2"/>
      <c r="I49" s="3"/>
      <c r="J49" s="1"/>
      <c r="K49" s="20"/>
      <c r="L49" s="12"/>
      <c r="M49" s="155"/>
      <c r="N49" s="2"/>
      <c r="O49" s="2"/>
      <c r="P49" s="3"/>
      <c r="Q49" s="1"/>
      <c r="R49" s="1"/>
      <c r="S49" s="1"/>
      <c r="T49" s="1"/>
    </row>
    <row r="50" spans="1:20" s="144" customFormat="1" ht="11.25" customHeight="1" x14ac:dyDescent="0.2">
      <c r="B50" s="145" t="s">
        <v>17</v>
      </c>
      <c r="D50" s="150">
        <f>SUM(D42:D48)+D37+D31+D20</f>
        <v>0</v>
      </c>
      <c r="E50" s="151">
        <f>SUM(E42:E48)+E37+E31+E20</f>
        <v>0</v>
      </c>
      <c r="F50" s="151">
        <f>SUM(F42:F48)+F37+F31+F20</f>
        <v>0</v>
      </c>
      <c r="G50" s="148"/>
      <c r="H50" s="148"/>
      <c r="I50" s="149"/>
      <c r="K50" s="150">
        <f>SUM(K42:K48)+K37+K31+K20</f>
        <v>56341</v>
      </c>
      <c r="L50" s="151">
        <f>SUM(L42:L48)+L37+L31+L20</f>
        <v>56341</v>
      </c>
      <c r="M50" s="151">
        <f>SUM(M42:M48)+M37+M31+M20</f>
        <v>0</v>
      </c>
      <c r="N50" s="148"/>
      <c r="O50" s="148"/>
      <c r="P50" s="149"/>
    </row>
    <row r="51" spans="1:20" ht="3" customHeight="1" x14ac:dyDescent="0.2">
      <c r="B51" s="7"/>
      <c r="D51" s="20"/>
      <c r="E51" s="12"/>
      <c r="F51" s="155"/>
      <c r="G51" s="2"/>
      <c r="H51" s="2"/>
      <c r="I51" s="3"/>
      <c r="J51" s="1"/>
      <c r="K51" s="20"/>
      <c r="L51" s="12"/>
      <c r="M51" s="15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A52" s="23" t="s">
        <v>63</v>
      </c>
      <c r="B52" s="7" t="s">
        <v>71</v>
      </c>
      <c r="C52" s="72"/>
      <c r="D52" s="20">
        <f>E52</f>
        <v>0</v>
      </c>
      <c r="E52" s="12">
        <f>_xll.HPVAL($A52,$A$1,$A$2,$A$4,$A$5,$A$6)/1000</f>
        <v>0</v>
      </c>
      <c r="F52" s="155">
        <f>E52-D52</f>
        <v>0</v>
      </c>
      <c r="G52" s="2"/>
      <c r="H52" s="2"/>
      <c r="I52" s="3"/>
      <c r="J52" s="1"/>
      <c r="K52" s="20">
        <f>-K50</f>
        <v>-56341</v>
      </c>
      <c r="L52" s="12">
        <f>ROUND(_xll.HPVAL($A52,$A$1,$A$3,$A$4,$A$5,$A$6)/1000,0)-1</f>
        <v>-56341</v>
      </c>
      <c r="M52" s="15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55"/>
      <c r="G53" s="2"/>
      <c r="H53" s="2"/>
      <c r="I53" s="3"/>
      <c r="J53" s="1"/>
      <c r="K53" s="20"/>
      <c r="L53" s="12"/>
      <c r="M53" s="155"/>
      <c r="N53" s="2"/>
      <c r="O53" s="2"/>
      <c r="P53" s="3"/>
      <c r="Q53" s="1"/>
      <c r="R53" s="1"/>
      <c r="S53" s="1"/>
      <c r="T53" s="1"/>
    </row>
    <row r="54" spans="1:20" s="144" customFormat="1" ht="11.25" customHeight="1" x14ac:dyDescent="0.2">
      <c r="B54" s="145" t="s">
        <v>21</v>
      </c>
      <c r="D54" s="138">
        <f>D52+D50</f>
        <v>0</v>
      </c>
      <c r="E54" s="139">
        <f>E52+E50</f>
        <v>0</v>
      </c>
      <c r="F54" s="139">
        <f>F52+F50</f>
        <v>0</v>
      </c>
      <c r="G54" s="148"/>
      <c r="H54" s="148"/>
      <c r="I54" s="149"/>
      <c r="K54" s="138">
        <f>K52+K50</f>
        <v>0</v>
      </c>
      <c r="L54" s="139">
        <f>L52+L50</f>
        <v>0</v>
      </c>
      <c r="M54" s="139">
        <f>M52+M50</f>
        <v>0</v>
      </c>
      <c r="N54" s="148"/>
      <c r="O54" s="148"/>
      <c r="P54" s="14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6"/>
  <sheetViews>
    <sheetView workbookViewId="0"/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94</v>
      </c>
    </row>
    <row r="2" spans="1:8" ht="18" x14ac:dyDescent="0.25">
      <c r="A2" s="89" t="str">
        <f>+Summary!A3</f>
        <v>Results based on Activity through February 18, 2000</v>
      </c>
    </row>
    <row r="3" spans="1:8" ht="31.5" customHeight="1" x14ac:dyDescent="0.2"/>
    <row r="4" spans="1:8" ht="13.5" thickBot="1" x14ac:dyDescent="0.25">
      <c r="D4" s="90" t="s">
        <v>86</v>
      </c>
      <c r="F4" s="90" t="s">
        <v>22</v>
      </c>
      <c r="H4" s="90" t="s">
        <v>30</v>
      </c>
    </row>
    <row r="6" spans="1:8" ht="15.75" x14ac:dyDescent="0.25">
      <c r="A6" s="91" t="s">
        <v>95</v>
      </c>
      <c r="B6" s="72"/>
      <c r="C6" s="72"/>
      <c r="D6" s="92">
        <f>ROUND(GrossMargin!I56/1000,1)</f>
        <v>155.6</v>
      </c>
      <c r="E6" s="72"/>
      <c r="F6" s="72"/>
      <c r="G6" s="72"/>
      <c r="H6" s="72"/>
    </row>
    <row r="7" spans="1:8" ht="15.75" x14ac:dyDescent="0.25">
      <c r="A7" s="91" t="s">
        <v>96</v>
      </c>
      <c r="B7" s="72"/>
      <c r="C7" s="72"/>
      <c r="D7" s="93">
        <f>ROUND(GrossMargin!J56/1000,1)</f>
        <v>79.400000000000006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235</v>
      </c>
      <c r="E8" s="82"/>
      <c r="F8" s="84">
        <f>ROUND(GrossMargin!M56/1000,1)</f>
        <v>336.3</v>
      </c>
      <c r="G8" s="82"/>
      <c r="H8" s="84">
        <f>+D8-F8</f>
        <v>-101.30000000000001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97</v>
      </c>
      <c r="B10" s="72"/>
      <c r="C10" s="72"/>
      <c r="D10" s="83"/>
      <c r="E10" s="72"/>
      <c r="F10" s="72"/>
      <c r="G10" s="72"/>
      <c r="H10" s="72"/>
    </row>
    <row r="11" spans="1:8" x14ac:dyDescent="0.2">
      <c r="A11" s="94"/>
      <c r="B11" s="72" t="s">
        <v>98</v>
      </c>
      <c r="C11" s="72"/>
      <c r="D11" s="95" t="e">
        <f>ROUND((GrossMargin!K21-GrossMargin!#REF!-GrossMargin!K12)/1000,1)</f>
        <v>#REF!</v>
      </c>
      <c r="E11" s="72"/>
      <c r="F11" s="96"/>
      <c r="G11" s="72"/>
      <c r="H11" s="72"/>
    </row>
    <row r="12" spans="1:8" x14ac:dyDescent="0.2">
      <c r="A12" s="94"/>
      <c r="B12" s="72" t="s">
        <v>99</v>
      </c>
      <c r="C12" s="72"/>
      <c r="D12" s="95">
        <f>ROUND(GrossMargin!K12/1000,1)</f>
        <v>9.3000000000000007</v>
      </c>
      <c r="E12" s="72"/>
      <c r="F12" s="96"/>
      <c r="G12" s="72"/>
      <c r="H12" s="72"/>
    </row>
    <row r="13" spans="1:8" x14ac:dyDescent="0.2">
      <c r="A13" s="85"/>
      <c r="B13" s="72" t="s">
        <v>108</v>
      </c>
      <c r="C13" s="72"/>
      <c r="D13" s="95" t="e">
        <f>ROUND(GrossMargin!#REF!/1000,1)</f>
        <v>#REF!</v>
      </c>
      <c r="E13" s="72"/>
      <c r="F13" s="72"/>
      <c r="G13" s="72"/>
      <c r="H13" s="72"/>
    </row>
    <row r="14" spans="1:8" x14ac:dyDescent="0.2">
      <c r="A14" s="85"/>
      <c r="B14" s="72" t="s">
        <v>88</v>
      </c>
      <c r="C14" s="72"/>
      <c r="D14" s="95" t="e">
        <f>ROUND(GrossMargin!#REF!/1000,1)</f>
        <v>#REF!</v>
      </c>
      <c r="E14" s="72"/>
      <c r="F14" s="72"/>
      <c r="G14" s="72"/>
      <c r="H14" s="72"/>
    </row>
    <row r="15" spans="1:8" x14ac:dyDescent="0.2">
      <c r="A15" s="85"/>
      <c r="B15" s="72" t="s">
        <v>111</v>
      </c>
      <c r="C15" s="72"/>
      <c r="D15" s="95" t="e">
        <f>ROUND(GrossMargin!#REF!/1000,1)</f>
        <v>#REF!</v>
      </c>
      <c r="E15" s="72"/>
      <c r="F15" s="72"/>
      <c r="G15" s="72"/>
      <c r="H15" s="72"/>
    </row>
    <row r="16" spans="1:8" x14ac:dyDescent="0.2">
      <c r="A16" s="85"/>
      <c r="B16" s="72" t="s">
        <v>112</v>
      </c>
      <c r="C16" s="72"/>
      <c r="D16" s="95" t="e">
        <f>ROUND(GrossMargin!#REF!/1000,1)</f>
        <v>#REF!</v>
      </c>
      <c r="E16" s="72"/>
      <c r="F16" s="72"/>
      <c r="G16" s="72"/>
      <c r="H16" s="72"/>
    </row>
    <row r="17" spans="1:8" x14ac:dyDescent="0.2">
      <c r="A17" s="85"/>
      <c r="B17" s="72" t="s">
        <v>109</v>
      </c>
      <c r="C17" s="72"/>
      <c r="D17" s="97">
        <f>ROUND(GrossMargin!K35/1000,1)</f>
        <v>20</v>
      </c>
      <c r="E17" s="72"/>
      <c r="F17" s="72"/>
      <c r="G17" s="72"/>
      <c r="H17" s="72"/>
    </row>
    <row r="18" spans="1:8" ht="15.75" x14ac:dyDescent="0.25">
      <c r="A18" s="85"/>
      <c r="B18" s="72"/>
      <c r="C18" s="72"/>
      <c r="D18" s="83" t="e">
        <f>SUM(D11:D17)</f>
        <v>#REF!</v>
      </c>
      <c r="E18" s="72"/>
      <c r="F18" s="72"/>
      <c r="G18" s="72"/>
      <c r="H18" s="72"/>
    </row>
    <row r="19" spans="1:8" ht="15.75" x14ac:dyDescent="0.25">
      <c r="A19" s="85"/>
      <c r="B19" s="72"/>
      <c r="C19" s="72"/>
      <c r="D19" s="83"/>
      <c r="E19" s="72"/>
      <c r="F19" s="72"/>
      <c r="G19" s="72"/>
      <c r="H19" s="72"/>
    </row>
    <row r="20" spans="1:8" ht="15.75" x14ac:dyDescent="0.25">
      <c r="A20" s="91" t="s">
        <v>100</v>
      </c>
      <c r="F20" s="98"/>
    </row>
    <row r="21" spans="1:8" x14ac:dyDescent="0.2">
      <c r="B21" t="s">
        <v>101</v>
      </c>
      <c r="D21" s="99">
        <f>-ROUND((Expenses!D47+Expenses!D49)/1000,1)</f>
        <v>-121.6</v>
      </c>
      <c r="E21" s="100"/>
      <c r="F21" s="100">
        <f>-ROUND((Expenses!E47+Expenses!E49)/1000,1)</f>
        <v>-117.7</v>
      </c>
      <c r="H21" s="101">
        <f>+D21-F21</f>
        <v>-3.8999999999999915</v>
      </c>
    </row>
    <row r="22" spans="1:8" x14ac:dyDescent="0.2">
      <c r="B22" t="s">
        <v>102</v>
      </c>
      <c r="D22" s="99">
        <f>-ROUND((Expenses!D51-Summary!C59)/1000,1)</f>
        <v>-23.6</v>
      </c>
      <c r="F22" s="98">
        <f>-ROUND((Expenses!E51-Summary!D59)/1000,1)</f>
        <v>-34.6</v>
      </c>
      <c r="H22" s="101">
        <f>+D22-F22</f>
        <v>11</v>
      </c>
    </row>
    <row r="23" spans="1:8" ht="15.75" x14ac:dyDescent="0.25">
      <c r="D23" s="102">
        <f>SUM(D21:D22)</f>
        <v>-145.19999999999999</v>
      </c>
      <c r="F23" s="102">
        <f>SUM(F21:F22)</f>
        <v>-152.30000000000001</v>
      </c>
      <c r="H23" s="102">
        <f>SUM(H21:H22)</f>
        <v>7.1000000000000085</v>
      </c>
    </row>
    <row r="24" spans="1:8" ht="15.75" x14ac:dyDescent="0.25">
      <c r="D24" s="103"/>
      <c r="F24" s="103"/>
      <c r="H24" s="103"/>
    </row>
    <row r="25" spans="1:8" ht="15.75" x14ac:dyDescent="0.25">
      <c r="A25" s="91" t="s">
        <v>103</v>
      </c>
      <c r="B25" s="91"/>
      <c r="C25" s="91"/>
      <c r="D25" s="103" t="e">
        <f>+D8+D18+D23</f>
        <v>#REF!</v>
      </c>
      <c r="E25" s="91"/>
      <c r="F25" s="103">
        <f>+F8+F23</f>
        <v>184</v>
      </c>
      <c r="G25" s="91"/>
      <c r="H25" s="103">
        <f>+H8+H23</f>
        <v>-94.2</v>
      </c>
    </row>
    <row r="26" spans="1:8" ht="15.75" x14ac:dyDescent="0.25">
      <c r="D26" s="103"/>
      <c r="F26" s="103"/>
      <c r="H26" s="103"/>
    </row>
    <row r="27" spans="1:8" ht="15.75" x14ac:dyDescent="0.25">
      <c r="A27" s="91" t="s">
        <v>104</v>
      </c>
      <c r="F27" s="85"/>
    </row>
    <row r="28" spans="1:8" x14ac:dyDescent="0.2">
      <c r="A28" s="85"/>
      <c r="B28" s="72" t="s">
        <v>110</v>
      </c>
      <c r="C28" s="72"/>
      <c r="D28" s="99" t="e">
        <f>ROUND(GrossMargin!#REF!/1000,1)</f>
        <v>#REF!</v>
      </c>
      <c r="E28" s="72"/>
      <c r="F28" s="85"/>
      <c r="G28" s="72"/>
      <c r="H28" s="72"/>
    </row>
    <row r="29" spans="1:8" x14ac:dyDescent="0.2">
      <c r="A29" s="85"/>
      <c r="B29" s="72" t="s">
        <v>113</v>
      </c>
      <c r="C29" s="72"/>
      <c r="D29" s="104" t="e">
        <f>ROUND(GrossMargin!#REF!/1000,1)</f>
        <v>#REF!</v>
      </c>
      <c r="E29" s="72"/>
      <c r="F29" s="85"/>
      <c r="G29" s="72"/>
      <c r="H29" s="72"/>
    </row>
    <row r="30" spans="1:8" x14ac:dyDescent="0.2">
      <c r="A30" s="85"/>
      <c r="B30" s="72" t="s">
        <v>114</v>
      </c>
      <c r="C30" s="72"/>
      <c r="D30" s="104">
        <f>ROUND(GrossMargin!K23/1000,1)</f>
        <v>0</v>
      </c>
      <c r="E30" s="72"/>
      <c r="F30" s="85"/>
      <c r="G30" s="72"/>
      <c r="H30" s="72"/>
    </row>
    <row r="31" spans="1:8" x14ac:dyDescent="0.2">
      <c r="A31" s="85"/>
      <c r="B31" s="72" t="s">
        <v>115</v>
      </c>
      <c r="C31" s="72"/>
      <c r="D31" s="104" t="e">
        <f>ROUND(GrossMargin!#REF!/1000,1)</f>
        <v>#REF!</v>
      </c>
      <c r="E31" s="72"/>
      <c r="F31" s="85"/>
      <c r="G31" s="72"/>
      <c r="H31" s="72"/>
    </row>
    <row r="32" spans="1:8" x14ac:dyDescent="0.2">
      <c r="A32" s="85"/>
      <c r="B32" s="72" t="s">
        <v>116</v>
      </c>
      <c r="C32" s="72"/>
      <c r="D32" s="104">
        <f>ROUND(GrossMargin!K42/1000, 1)</f>
        <v>0</v>
      </c>
      <c r="E32" s="72"/>
      <c r="F32" s="85"/>
      <c r="G32" s="72"/>
      <c r="H32" s="72"/>
    </row>
    <row r="33" spans="1:8" x14ac:dyDescent="0.2">
      <c r="A33" s="85"/>
      <c r="B33" s="72" t="s">
        <v>118</v>
      </c>
      <c r="C33" s="72"/>
      <c r="D33" s="104" t="e">
        <f>ROUND(GrossMargin!#REF!/1000,10)</f>
        <v>#REF!</v>
      </c>
      <c r="E33" s="72"/>
      <c r="F33" s="85"/>
      <c r="G33" s="72"/>
      <c r="H33" s="72"/>
    </row>
    <row r="34" spans="1:8" x14ac:dyDescent="0.2">
      <c r="A34" s="72"/>
      <c r="B34" s="72" t="s">
        <v>117</v>
      </c>
      <c r="C34" s="72"/>
      <c r="D34" s="105" t="e">
        <f>ROUND((GrossMargin!#REF!+GrossMargin!#REF!)/1000,1)</f>
        <v>#REF!</v>
      </c>
      <c r="E34" s="72"/>
      <c r="F34" s="106"/>
      <c r="G34" s="72"/>
      <c r="H34" s="72"/>
    </row>
    <row r="35" spans="1:8" ht="15.75" x14ac:dyDescent="0.25">
      <c r="A35" s="85"/>
      <c r="B35" s="72"/>
      <c r="C35" s="107"/>
      <c r="D35" s="108" t="e">
        <f>SUM(D28:D34)</f>
        <v>#REF!</v>
      </c>
      <c r="E35" s="72"/>
      <c r="F35" s="108"/>
      <c r="G35" s="72"/>
      <c r="H35" s="72"/>
    </row>
    <row r="36" spans="1:8" x14ac:dyDescent="0.2">
      <c r="A36" s="72"/>
      <c r="B36" s="72"/>
      <c r="C36" s="72"/>
      <c r="D36" s="109"/>
      <c r="E36" s="72"/>
      <c r="F36" s="85"/>
      <c r="G36" s="72"/>
      <c r="H36" s="72"/>
    </row>
    <row r="37" spans="1:8" ht="15.75" x14ac:dyDescent="0.25">
      <c r="A37" s="91" t="s">
        <v>105</v>
      </c>
      <c r="D37" s="98"/>
      <c r="F37" s="85"/>
    </row>
    <row r="38" spans="1:8" x14ac:dyDescent="0.2">
      <c r="A38" s="85"/>
      <c r="B38" s="110"/>
      <c r="C38" s="110"/>
      <c r="D38" s="111"/>
      <c r="E38" s="72"/>
      <c r="F38" s="85"/>
      <c r="G38" s="72"/>
      <c r="H38" s="72"/>
    </row>
    <row r="39" spans="1:8" ht="15.75" x14ac:dyDescent="0.25">
      <c r="B39" s="110"/>
      <c r="C39" s="110"/>
      <c r="D39" s="108">
        <f>SUM(D38:D38)</f>
        <v>0</v>
      </c>
    </row>
    <row r="40" spans="1:8" ht="15.75" x14ac:dyDescent="0.25">
      <c r="B40" s="110"/>
      <c r="C40" s="110"/>
      <c r="D40" s="108"/>
    </row>
    <row r="41" spans="1:8" ht="15.75" x14ac:dyDescent="0.25">
      <c r="A41" s="91" t="s">
        <v>106</v>
      </c>
      <c r="B41" s="110"/>
      <c r="C41" s="110"/>
      <c r="D41" s="108"/>
    </row>
    <row r="42" spans="1:8" x14ac:dyDescent="0.2">
      <c r="B42" s="110"/>
      <c r="C42" s="110"/>
      <c r="D42" s="111"/>
    </row>
    <row r="43" spans="1:8" ht="15.75" x14ac:dyDescent="0.25">
      <c r="B43" s="110"/>
      <c r="C43" s="110"/>
      <c r="D43" s="83">
        <f>SUM(D42:D42)</f>
        <v>0</v>
      </c>
    </row>
    <row r="44" spans="1:8" x14ac:dyDescent="0.2">
      <c r="B44" s="110"/>
      <c r="C44" s="110"/>
      <c r="D44" s="112"/>
    </row>
    <row r="45" spans="1:8" ht="16.5" thickBot="1" x14ac:dyDescent="0.3">
      <c r="A45" s="91" t="s">
        <v>107</v>
      </c>
      <c r="B45" s="113"/>
      <c r="C45" s="114"/>
      <c r="D45" s="115" t="e">
        <f>+D25+D35+D43</f>
        <v>#REF!</v>
      </c>
      <c r="E45" s="116"/>
      <c r="F45" s="115">
        <f>+F25</f>
        <v>184</v>
      </c>
      <c r="G45" s="116"/>
      <c r="H45" s="115" t="e">
        <f>+D45-F45</f>
        <v>#REF!</v>
      </c>
    </row>
    <row r="46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Greensheet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Upside Downside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2000-02-22T15:00:00Z</cp:lastPrinted>
  <dcterms:created xsi:type="dcterms:W3CDTF">1999-10-18T12:36:30Z</dcterms:created>
  <dcterms:modified xsi:type="dcterms:W3CDTF">2023-09-19T15:03:17Z</dcterms:modified>
</cp:coreProperties>
</file>