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753001-930E-49A7-B3A0-C410CBE102EC}" xr6:coauthVersionLast="47" xr6:coauthVersionMax="47" xr10:uidLastSave="{00000000-0000-0000-0000-000000000000}"/>
  <bookViews>
    <workbookView xWindow="-120" yWindow="-120" windowWidth="38640" windowHeight="15720" firstSheet="4" activeTab="4"/>
  </bookViews>
  <sheets>
    <sheet name="Associate&amp;Analyst" sheetId="17" state="hidden" r:id="rId1"/>
    <sheet name="Global Functions-Finance" sheetId="18" state="hidden" r:id="rId2"/>
    <sheet name="Risk Assessment &amp; Control" sheetId="16" state="hidden" r:id="rId3"/>
    <sheet name="Corp Accounting" sheetId="20" state="hidden" r:id="rId4"/>
    <sheet name="CORP PUBLIC AFFAIRS" sheetId="21" r:id="rId5"/>
    <sheet name="Corp HR &amp; Comm Rel" sheetId="19" state="hidden" r:id="rId6"/>
    <sheet name="Corp Legal" sheetId="22" state="hidden" r:id="rId7"/>
    <sheet name="Office of the Chairman" sheetId="1" state="hidden" r:id="rId8"/>
    <sheet name="Carib-ME-04-15" sheetId="15" state="hidden" r:id="rId9"/>
  </sheets>
  <definedNames>
    <definedName name="_xlnm.Print_Area" localSheetId="0">'Associate&amp;Analyst'!$A$1:$P$25</definedName>
    <definedName name="_xlnm.Print_Area" localSheetId="8">'Carib-ME-04-15'!$A$1:$P$41</definedName>
    <definedName name="_xlnm.Print_Area" localSheetId="3">'Corp Accounting'!$A$1:$P$37</definedName>
    <definedName name="_xlnm.Print_Area" localSheetId="5">'Corp HR &amp; Comm Rel'!$A$1:$P$37</definedName>
    <definedName name="_xlnm.Print_Area" localSheetId="6">'Corp Legal'!$A$1:$P$28</definedName>
    <definedName name="_xlnm.Print_Area" localSheetId="4">'CORP PUBLIC AFFAIRS'!$A$1:$P$49</definedName>
    <definedName name="_xlnm.Print_Area" localSheetId="1">'Global Functions-Finance'!$A$1:$P$34</definedName>
    <definedName name="_xlnm.Print_Area" localSheetId="7">'Office of the Chairman'!$A$1:$P$31</definedName>
    <definedName name="_xlnm.Print_Area" localSheetId="2">'Risk Assessment &amp; Control'!$A$1:$P$28</definedName>
    <definedName name="_xlnm.Print_Titles" localSheetId="0">'Associate&amp;Analyst'!$1:$4</definedName>
    <definedName name="_xlnm.Print_Titles" localSheetId="8">'Carib-ME-04-15'!$1:$4</definedName>
    <definedName name="_xlnm.Print_Titles" localSheetId="3">'Corp Accounting'!$1:$4</definedName>
    <definedName name="_xlnm.Print_Titles" localSheetId="5">'Corp HR &amp; Comm Rel'!$1:$4</definedName>
    <definedName name="_xlnm.Print_Titles" localSheetId="6">'Corp Legal'!$1:$4</definedName>
    <definedName name="_xlnm.Print_Titles" localSheetId="4">'CORP PUBLIC AFFAIRS'!$1:$4</definedName>
    <definedName name="_xlnm.Print_Titles" localSheetId="1">'Global Functions-Finance'!$1:$4</definedName>
    <definedName name="_xlnm.Print_Titles" localSheetId="7">'Office of the Chairman'!$1:$4</definedName>
    <definedName name="_xlnm.Print_Titles" localSheetId="2">'Risk Assessment &amp; Control'!$1:$4</definedName>
  </definedNames>
  <calcPr calcId="0" fullCalcOnLoad="1"/>
</workbook>
</file>

<file path=xl/calcChain.xml><?xml version="1.0" encoding="utf-8"?>
<calcChain xmlns="http://schemas.openxmlformats.org/spreadsheetml/2006/main">
  <c r="G4" i="17" l="1"/>
  <c r="H4" i="17"/>
  <c r="I4" i="17"/>
  <c r="F5" i="17"/>
  <c r="H5" i="17"/>
  <c r="I5" i="17"/>
  <c r="J5" i="17"/>
  <c r="K5" i="17"/>
  <c r="L5" i="17"/>
  <c r="M5" i="17"/>
  <c r="O5" i="17"/>
  <c r="P5" i="17"/>
  <c r="F6" i="17"/>
  <c r="H6" i="17"/>
  <c r="I6" i="17"/>
  <c r="J6" i="17"/>
  <c r="K6" i="17"/>
  <c r="L6" i="17"/>
  <c r="M6" i="17"/>
  <c r="O6" i="17"/>
  <c r="P6" i="17"/>
  <c r="F8" i="17"/>
  <c r="H8" i="17"/>
  <c r="I8" i="17"/>
  <c r="J8" i="17"/>
  <c r="K8" i="17"/>
  <c r="L8" i="17"/>
  <c r="M8" i="17"/>
  <c r="O8" i="17"/>
  <c r="P8" i="17"/>
  <c r="F9" i="17"/>
  <c r="H9" i="17"/>
  <c r="I9" i="17"/>
  <c r="J9" i="17"/>
  <c r="K9" i="17"/>
  <c r="L9" i="17"/>
  <c r="M9" i="17"/>
  <c r="O9" i="17"/>
  <c r="P9" i="17"/>
  <c r="F11" i="17"/>
  <c r="H11" i="17"/>
  <c r="I11" i="17"/>
  <c r="J11" i="17"/>
  <c r="K11" i="17"/>
  <c r="L11" i="17"/>
  <c r="M11" i="17"/>
  <c r="O11" i="17"/>
  <c r="P11" i="17"/>
  <c r="F12" i="17"/>
  <c r="H12" i="17"/>
  <c r="I12" i="17"/>
  <c r="J12" i="17"/>
  <c r="K12" i="17"/>
  <c r="L12" i="17"/>
  <c r="M12" i="17"/>
  <c r="O12" i="17"/>
  <c r="P12" i="17"/>
  <c r="F14" i="17"/>
  <c r="H14" i="17"/>
  <c r="I14" i="17"/>
  <c r="J14" i="17"/>
  <c r="K14" i="17"/>
  <c r="L14" i="17"/>
  <c r="M14" i="17"/>
  <c r="O14" i="17"/>
  <c r="P14" i="17"/>
  <c r="F15" i="17"/>
  <c r="H15" i="17"/>
  <c r="I15" i="17"/>
  <c r="J15" i="17"/>
  <c r="K15" i="17"/>
  <c r="L15" i="17"/>
  <c r="M15" i="17"/>
  <c r="O15" i="17"/>
  <c r="P15" i="17"/>
  <c r="F17" i="17"/>
  <c r="H17" i="17"/>
  <c r="I17" i="17"/>
  <c r="J17" i="17"/>
  <c r="K17" i="17"/>
  <c r="L17" i="17"/>
  <c r="M17" i="17"/>
  <c r="O17" i="17"/>
  <c r="P17" i="17"/>
  <c r="F18" i="17"/>
  <c r="H18" i="17"/>
  <c r="I18" i="17"/>
  <c r="J18" i="17"/>
  <c r="K18" i="17"/>
  <c r="L18" i="17"/>
  <c r="M18" i="17"/>
  <c r="O18" i="17"/>
  <c r="P18" i="17"/>
  <c r="B22" i="17"/>
  <c r="G22" i="17"/>
  <c r="G23" i="17"/>
  <c r="G4" i="15"/>
  <c r="H4" i="15"/>
  <c r="I4" i="15"/>
  <c r="F5" i="15"/>
  <c r="H5" i="15"/>
  <c r="I5" i="15"/>
  <c r="J5" i="15"/>
  <c r="K5" i="15"/>
  <c r="L5" i="15"/>
  <c r="M5" i="15"/>
  <c r="O5" i="15"/>
  <c r="P5" i="15"/>
  <c r="F6" i="15"/>
  <c r="H6" i="15"/>
  <c r="I6" i="15"/>
  <c r="J6" i="15"/>
  <c r="K6" i="15"/>
  <c r="L6" i="15"/>
  <c r="M6" i="15"/>
  <c r="O6" i="15"/>
  <c r="P6" i="15"/>
  <c r="F8" i="15"/>
  <c r="H8" i="15"/>
  <c r="I8" i="15"/>
  <c r="J8" i="15"/>
  <c r="K8" i="15"/>
  <c r="L8" i="15"/>
  <c r="M8" i="15"/>
  <c r="O8" i="15"/>
  <c r="P8" i="15"/>
  <c r="F9" i="15"/>
  <c r="H9" i="15"/>
  <c r="I9" i="15"/>
  <c r="J9" i="15"/>
  <c r="K9" i="15"/>
  <c r="L9" i="15"/>
  <c r="M9" i="15"/>
  <c r="O9" i="15"/>
  <c r="P9" i="15"/>
  <c r="F11" i="15"/>
  <c r="H11" i="15"/>
  <c r="I11" i="15"/>
  <c r="J11" i="15"/>
  <c r="K11" i="15"/>
  <c r="L11" i="15"/>
  <c r="M11" i="15"/>
  <c r="O11" i="15"/>
  <c r="P11" i="15"/>
  <c r="F12" i="15"/>
  <c r="H12" i="15"/>
  <c r="I12" i="15"/>
  <c r="J12" i="15"/>
  <c r="K12" i="15"/>
  <c r="L12" i="15"/>
  <c r="M12" i="15"/>
  <c r="O12" i="15"/>
  <c r="P12" i="15"/>
  <c r="F14" i="15"/>
  <c r="H14" i="15"/>
  <c r="I14" i="15"/>
  <c r="J14" i="15"/>
  <c r="K14" i="15"/>
  <c r="L14" i="15"/>
  <c r="M14" i="15"/>
  <c r="O14" i="15"/>
  <c r="P14" i="15"/>
  <c r="F15" i="15"/>
  <c r="H15" i="15"/>
  <c r="I15" i="15"/>
  <c r="J15" i="15"/>
  <c r="K15" i="15"/>
  <c r="L15" i="15"/>
  <c r="M15" i="15"/>
  <c r="O15" i="15"/>
  <c r="P15" i="15"/>
  <c r="F17" i="15"/>
  <c r="H17" i="15"/>
  <c r="I17" i="15"/>
  <c r="J17" i="15"/>
  <c r="K17" i="15"/>
  <c r="L17" i="15"/>
  <c r="M17" i="15"/>
  <c r="O17" i="15"/>
  <c r="P17" i="15"/>
  <c r="F18" i="15"/>
  <c r="H18" i="15"/>
  <c r="I18" i="15"/>
  <c r="J18" i="15"/>
  <c r="K18" i="15"/>
  <c r="L18" i="15"/>
  <c r="M18" i="15"/>
  <c r="O18" i="15"/>
  <c r="P18" i="15"/>
  <c r="F20" i="15"/>
  <c r="H20" i="15"/>
  <c r="I20" i="15"/>
  <c r="J20" i="15"/>
  <c r="K20" i="15"/>
  <c r="L20" i="15"/>
  <c r="M20" i="15"/>
  <c r="O20" i="15"/>
  <c r="P20" i="15"/>
  <c r="F21" i="15"/>
  <c r="H21" i="15"/>
  <c r="I21" i="15"/>
  <c r="J21" i="15"/>
  <c r="K21" i="15"/>
  <c r="L21" i="15"/>
  <c r="M21" i="15"/>
  <c r="O21" i="15"/>
  <c r="P21" i="15"/>
  <c r="F23" i="15"/>
  <c r="H23" i="15"/>
  <c r="I23" i="15"/>
  <c r="J23" i="15"/>
  <c r="K23" i="15"/>
  <c r="L23" i="15"/>
  <c r="M23" i="15"/>
  <c r="O23" i="15"/>
  <c r="P23" i="15"/>
  <c r="F24" i="15"/>
  <c r="H24" i="15"/>
  <c r="I24" i="15"/>
  <c r="J24" i="15"/>
  <c r="K24" i="15"/>
  <c r="L24" i="15"/>
  <c r="M24" i="15"/>
  <c r="O24" i="15"/>
  <c r="P24" i="15"/>
  <c r="F26" i="15"/>
  <c r="H26" i="15"/>
  <c r="I26" i="15"/>
  <c r="J26" i="15"/>
  <c r="K26" i="15"/>
  <c r="L26" i="15"/>
  <c r="M26" i="15"/>
  <c r="O26" i="15"/>
  <c r="P26" i="15"/>
  <c r="F27" i="15"/>
  <c r="H27" i="15"/>
  <c r="I27" i="15"/>
  <c r="J27" i="15"/>
  <c r="K27" i="15"/>
  <c r="L27" i="15"/>
  <c r="M27" i="15"/>
  <c r="O27" i="15"/>
  <c r="P27" i="15"/>
  <c r="F29" i="15"/>
  <c r="H29" i="15"/>
  <c r="I29" i="15"/>
  <c r="J29" i="15"/>
  <c r="K29" i="15"/>
  <c r="L29" i="15"/>
  <c r="M29" i="15"/>
  <c r="O29" i="15"/>
  <c r="P29" i="15"/>
  <c r="F30" i="15"/>
  <c r="H30" i="15"/>
  <c r="I30" i="15"/>
  <c r="J30" i="15"/>
  <c r="K30" i="15"/>
  <c r="L30" i="15"/>
  <c r="M30" i="15"/>
  <c r="O30" i="15"/>
  <c r="P30" i="15"/>
  <c r="F32" i="15"/>
  <c r="H32" i="15"/>
  <c r="I32" i="15"/>
  <c r="J32" i="15"/>
  <c r="K32" i="15"/>
  <c r="L32" i="15"/>
  <c r="M32" i="15"/>
  <c r="O32" i="15"/>
  <c r="P32" i="15"/>
  <c r="F33" i="15"/>
  <c r="H33" i="15"/>
  <c r="I33" i="15"/>
  <c r="J33" i="15"/>
  <c r="K33" i="15"/>
  <c r="L33" i="15"/>
  <c r="M33" i="15"/>
  <c r="O33" i="15"/>
  <c r="P33" i="15"/>
  <c r="F35" i="15"/>
  <c r="H35" i="15"/>
  <c r="I35" i="15"/>
  <c r="J35" i="15"/>
  <c r="K35" i="15"/>
  <c r="L35" i="15"/>
  <c r="M35" i="15"/>
  <c r="O35" i="15"/>
  <c r="P35" i="15"/>
  <c r="F36" i="15"/>
  <c r="H36" i="15"/>
  <c r="I36" i="15"/>
  <c r="J36" i="15"/>
  <c r="K36" i="15"/>
  <c r="L36" i="15"/>
  <c r="M36" i="15"/>
  <c r="O36" i="15"/>
  <c r="P36" i="15"/>
  <c r="B38" i="15"/>
  <c r="G38" i="15"/>
  <c r="G39" i="15"/>
  <c r="G4" i="20"/>
  <c r="H4" i="20"/>
  <c r="I4" i="20"/>
  <c r="F5" i="20"/>
  <c r="H5" i="20"/>
  <c r="I5" i="20"/>
  <c r="J5" i="20"/>
  <c r="K5" i="20"/>
  <c r="L5" i="20"/>
  <c r="M5" i="20"/>
  <c r="O5" i="20"/>
  <c r="P5" i="20"/>
  <c r="F6" i="20"/>
  <c r="H6" i="20"/>
  <c r="I6" i="20"/>
  <c r="J6" i="20"/>
  <c r="K6" i="20"/>
  <c r="L6" i="20"/>
  <c r="M6" i="20"/>
  <c r="O6" i="20"/>
  <c r="P6" i="20"/>
  <c r="F8" i="20"/>
  <c r="H8" i="20"/>
  <c r="I8" i="20"/>
  <c r="J8" i="20"/>
  <c r="K8" i="20"/>
  <c r="L8" i="20"/>
  <c r="M8" i="20"/>
  <c r="O8" i="20"/>
  <c r="P8" i="20"/>
  <c r="F9" i="20"/>
  <c r="H9" i="20"/>
  <c r="I9" i="20"/>
  <c r="J9" i="20"/>
  <c r="K9" i="20"/>
  <c r="L9" i="20"/>
  <c r="M9" i="20"/>
  <c r="O9" i="20"/>
  <c r="P9" i="20"/>
  <c r="F11" i="20"/>
  <c r="H11" i="20"/>
  <c r="I11" i="20"/>
  <c r="J11" i="20"/>
  <c r="K11" i="20"/>
  <c r="L11" i="20"/>
  <c r="M11" i="20"/>
  <c r="O11" i="20"/>
  <c r="P11" i="20"/>
  <c r="F12" i="20"/>
  <c r="H12" i="20"/>
  <c r="I12" i="20"/>
  <c r="J12" i="20"/>
  <c r="K12" i="20"/>
  <c r="L12" i="20"/>
  <c r="M12" i="20"/>
  <c r="O12" i="20"/>
  <c r="P12" i="20"/>
  <c r="F14" i="20"/>
  <c r="H14" i="20"/>
  <c r="I14" i="20"/>
  <c r="J14" i="20"/>
  <c r="K14" i="20"/>
  <c r="L14" i="20"/>
  <c r="M14" i="20"/>
  <c r="O14" i="20"/>
  <c r="P14" i="20"/>
  <c r="F15" i="20"/>
  <c r="H15" i="20"/>
  <c r="I15" i="20"/>
  <c r="J15" i="20"/>
  <c r="K15" i="20"/>
  <c r="L15" i="20"/>
  <c r="M15" i="20"/>
  <c r="O15" i="20"/>
  <c r="P15" i="20"/>
  <c r="F17" i="20"/>
  <c r="H17" i="20"/>
  <c r="I17" i="20"/>
  <c r="J17" i="20"/>
  <c r="K17" i="20"/>
  <c r="L17" i="20"/>
  <c r="M17" i="20"/>
  <c r="O17" i="20"/>
  <c r="P17" i="20"/>
  <c r="F18" i="20"/>
  <c r="H18" i="20"/>
  <c r="I18" i="20"/>
  <c r="J18" i="20"/>
  <c r="K18" i="20"/>
  <c r="L18" i="20"/>
  <c r="M18" i="20"/>
  <c r="O18" i="20"/>
  <c r="P18" i="20"/>
  <c r="F20" i="20"/>
  <c r="H20" i="20"/>
  <c r="I20" i="20"/>
  <c r="J20" i="20"/>
  <c r="K20" i="20"/>
  <c r="L20" i="20"/>
  <c r="M20" i="20"/>
  <c r="O20" i="20"/>
  <c r="P20" i="20"/>
  <c r="F21" i="20"/>
  <c r="H21" i="20"/>
  <c r="I21" i="20"/>
  <c r="J21" i="20"/>
  <c r="K21" i="20"/>
  <c r="L21" i="20"/>
  <c r="M21" i="20"/>
  <c r="O21" i="20"/>
  <c r="P21" i="20"/>
  <c r="F23" i="20"/>
  <c r="H23" i="20"/>
  <c r="I23" i="20"/>
  <c r="J23" i="20"/>
  <c r="K23" i="20"/>
  <c r="L23" i="20"/>
  <c r="M23" i="20"/>
  <c r="O23" i="20"/>
  <c r="P23" i="20"/>
  <c r="F24" i="20"/>
  <c r="H24" i="20"/>
  <c r="I24" i="20"/>
  <c r="J24" i="20"/>
  <c r="K24" i="20"/>
  <c r="L24" i="20"/>
  <c r="M24" i="20"/>
  <c r="O24" i="20"/>
  <c r="P24" i="20"/>
  <c r="F26" i="20"/>
  <c r="H26" i="20"/>
  <c r="I26" i="20"/>
  <c r="J26" i="20"/>
  <c r="K26" i="20"/>
  <c r="L26" i="20"/>
  <c r="M26" i="20"/>
  <c r="O26" i="20"/>
  <c r="P26" i="20"/>
  <c r="F27" i="20"/>
  <c r="H27" i="20"/>
  <c r="I27" i="20"/>
  <c r="J27" i="20"/>
  <c r="K27" i="20"/>
  <c r="L27" i="20"/>
  <c r="M27" i="20"/>
  <c r="O27" i="20"/>
  <c r="P27" i="20"/>
  <c r="F29" i="20"/>
  <c r="H29" i="20"/>
  <c r="I29" i="20"/>
  <c r="J29" i="20"/>
  <c r="K29" i="20"/>
  <c r="L29" i="20"/>
  <c r="M29" i="20"/>
  <c r="O29" i="20"/>
  <c r="P29" i="20"/>
  <c r="F30" i="20"/>
  <c r="H30" i="20"/>
  <c r="I30" i="20"/>
  <c r="J30" i="20"/>
  <c r="K30" i="20"/>
  <c r="L30" i="20"/>
  <c r="M30" i="20"/>
  <c r="O30" i="20"/>
  <c r="P30" i="20"/>
  <c r="B34" i="20"/>
  <c r="G34" i="20"/>
  <c r="G35" i="20"/>
  <c r="G4" i="19"/>
  <c r="H4" i="19"/>
  <c r="I4" i="19"/>
  <c r="F5" i="19"/>
  <c r="H5" i="19"/>
  <c r="I5" i="19"/>
  <c r="J5" i="19"/>
  <c r="K5" i="19"/>
  <c r="L5" i="19"/>
  <c r="M5" i="19"/>
  <c r="O5" i="19"/>
  <c r="P5" i="19"/>
  <c r="F6" i="19"/>
  <c r="H6" i="19"/>
  <c r="I6" i="19"/>
  <c r="J6" i="19"/>
  <c r="K6" i="19"/>
  <c r="L6" i="19"/>
  <c r="M6" i="19"/>
  <c r="O6" i="19"/>
  <c r="P6" i="19"/>
  <c r="F8" i="19"/>
  <c r="H8" i="19"/>
  <c r="I8" i="19"/>
  <c r="J8" i="19"/>
  <c r="K8" i="19"/>
  <c r="L8" i="19"/>
  <c r="M8" i="19"/>
  <c r="O8" i="19"/>
  <c r="P8" i="19"/>
  <c r="F9" i="19"/>
  <c r="H9" i="19"/>
  <c r="I9" i="19"/>
  <c r="J9" i="19"/>
  <c r="K9" i="19"/>
  <c r="L9" i="19"/>
  <c r="M9" i="19"/>
  <c r="O9" i="19"/>
  <c r="P9" i="19"/>
  <c r="F11" i="19"/>
  <c r="H11" i="19"/>
  <c r="I11" i="19"/>
  <c r="J11" i="19"/>
  <c r="K11" i="19"/>
  <c r="L11" i="19"/>
  <c r="M11" i="19"/>
  <c r="O11" i="19"/>
  <c r="P11" i="19"/>
  <c r="F12" i="19"/>
  <c r="H12" i="19"/>
  <c r="I12" i="19"/>
  <c r="J12" i="19"/>
  <c r="K12" i="19"/>
  <c r="L12" i="19"/>
  <c r="M12" i="19"/>
  <c r="O12" i="19"/>
  <c r="P12" i="19"/>
  <c r="F14" i="19"/>
  <c r="H14" i="19"/>
  <c r="I14" i="19"/>
  <c r="J14" i="19"/>
  <c r="K14" i="19"/>
  <c r="L14" i="19"/>
  <c r="M14" i="19"/>
  <c r="O14" i="19"/>
  <c r="P14" i="19"/>
  <c r="F15" i="19"/>
  <c r="H15" i="19"/>
  <c r="I15" i="19"/>
  <c r="J15" i="19"/>
  <c r="K15" i="19"/>
  <c r="L15" i="19"/>
  <c r="M15" i="19"/>
  <c r="O15" i="19"/>
  <c r="P15" i="19"/>
  <c r="F17" i="19"/>
  <c r="H17" i="19"/>
  <c r="I17" i="19"/>
  <c r="J17" i="19"/>
  <c r="K17" i="19"/>
  <c r="L17" i="19"/>
  <c r="M17" i="19"/>
  <c r="O17" i="19"/>
  <c r="P17" i="19"/>
  <c r="F18" i="19"/>
  <c r="H18" i="19"/>
  <c r="I18" i="19"/>
  <c r="J18" i="19"/>
  <c r="K18" i="19"/>
  <c r="L18" i="19"/>
  <c r="M18" i="19"/>
  <c r="O18" i="19"/>
  <c r="P18" i="19"/>
  <c r="F20" i="19"/>
  <c r="H20" i="19"/>
  <c r="I20" i="19"/>
  <c r="J20" i="19"/>
  <c r="K20" i="19"/>
  <c r="L20" i="19"/>
  <c r="M20" i="19"/>
  <c r="O20" i="19"/>
  <c r="P20" i="19"/>
  <c r="F21" i="19"/>
  <c r="H21" i="19"/>
  <c r="I21" i="19"/>
  <c r="J21" i="19"/>
  <c r="K21" i="19"/>
  <c r="L21" i="19"/>
  <c r="M21" i="19"/>
  <c r="O21" i="19"/>
  <c r="P21" i="19"/>
  <c r="F23" i="19"/>
  <c r="H23" i="19"/>
  <c r="I23" i="19"/>
  <c r="J23" i="19"/>
  <c r="K23" i="19"/>
  <c r="L23" i="19"/>
  <c r="M23" i="19"/>
  <c r="O23" i="19"/>
  <c r="P23" i="19"/>
  <c r="F24" i="19"/>
  <c r="H24" i="19"/>
  <c r="I24" i="19"/>
  <c r="J24" i="19"/>
  <c r="K24" i="19"/>
  <c r="L24" i="19"/>
  <c r="M24" i="19"/>
  <c r="O24" i="19"/>
  <c r="P24" i="19"/>
  <c r="F26" i="19"/>
  <c r="H26" i="19"/>
  <c r="I26" i="19"/>
  <c r="J26" i="19"/>
  <c r="K26" i="19"/>
  <c r="L26" i="19"/>
  <c r="M26" i="19"/>
  <c r="O26" i="19"/>
  <c r="P26" i="19"/>
  <c r="F27" i="19"/>
  <c r="H27" i="19"/>
  <c r="I27" i="19"/>
  <c r="J27" i="19"/>
  <c r="K27" i="19"/>
  <c r="L27" i="19"/>
  <c r="M27" i="19"/>
  <c r="O27" i="19"/>
  <c r="P27" i="19"/>
  <c r="F29" i="19"/>
  <c r="H29" i="19"/>
  <c r="I29" i="19"/>
  <c r="J29" i="19"/>
  <c r="K29" i="19"/>
  <c r="L29" i="19"/>
  <c r="M29" i="19"/>
  <c r="O29" i="19"/>
  <c r="P29" i="19"/>
  <c r="F30" i="19"/>
  <c r="H30" i="19"/>
  <c r="I30" i="19"/>
  <c r="J30" i="19"/>
  <c r="K30" i="19"/>
  <c r="L30" i="19"/>
  <c r="M30" i="19"/>
  <c r="O30" i="19"/>
  <c r="P30" i="19"/>
  <c r="B34" i="19"/>
  <c r="G34" i="19"/>
  <c r="G35" i="19"/>
  <c r="G4" i="22"/>
  <c r="H4" i="22"/>
  <c r="I4" i="22"/>
  <c r="F5" i="22"/>
  <c r="H5" i="22"/>
  <c r="I5" i="22"/>
  <c r="J5" i="22"/>
  <c r="K5" i="22"/>
  <c r="L5" i="22"/>
  <c r="M5" i="22"/>
  <c r="O5" i="22"/>
  <c r="P5" i="22"/>
  <c r="F6" i="22"/>
  <c r="H6" i="22"/>
  <c r="I6" i="22"/>
  <c r="J6" i="22"/>
  <c r="K6" i="22"/>
  <c r="L6" i="22"/>
  <c r="M6" i="22"/>
  <c r="O6" i="22"/>
  <c r="P6" i="22"/>
  <c r="F8" i="22"/>
  <c r="H8" i="22"/>
  <c r="I8" i="22"/>
  <c r="J8" i="22"/>
  <c r="K8" i="22"/>
  <c r="L8" i="22"/>
  <c r="M8" i="22"/>
  <c r="O8" i="22"/>
  <c r="P8" i="22"/>
  <c r="F9" i="22"/>
  <c r="H9" i="22"/>
  <c r="I9" i="22"/>
  <c r="J9" i="22"/>
  <c r="K9" i="22"/>
  <c r="L9" i="22"/>
  <c r="M9" i="22"/>
  <c r="O9" i="22"/>
  <c r="P9" i="22"/>
  <c r="F11" i="22"/>
  <c r="H11" i="22"/>
  <c r="I11" i="22"/>
  <c r="J11" i="22"/>
  <c r="K11" i="22"/>
  <c r="L11" i="22"/>
  <c r="M11" i="22"/>
  <c r="O11" i="22"/>
  <c r="P11" i="22"/>
  <c r="F12" i="22"/>
  <c r="H12" i="22"/>
  <c r="I12" i="22"/>
  <c r="J12" i="22"/>
  <c r="K12" i="22"/>
  <c r="L12" i="22"/>
  <c r="M12" i="22"/>
  <c r="O12" i="22"/>
  <c r="P12" i="22"/>
  <c r="F14" i="22"/>
  <c r="H14" i="22"/>
  <c r="I14" i="22"/>
  <c r="J14" i="22"/>
  <c r="K14" i="22"/>
  <c r="L14" i="22"/>
  <c r="M14" i="22"/>
  <c r="O14" i="22"/>
  <c r="P14" i="22"/>
  <c r="F15" i="22"/>
  <c r="H15" i="22"/>
  <c r="I15" i="22"/>
  <c r="J15" i="22"/>
  <c r="K15" i="22"/>
  <c r="L15" i="22"/>
  <c r="M15" i="22"/>
  <c r="O15" i="22"/>
  <c r="P15" i="22"/>
  <c r="F17" i="22"/>
  <c r="H17" i="22"/>
  <c r="I17" i="22"/>
  <c r="J17" i="22"/>
  <c r="K17" i="22"/>
  <c r="L17" i="22"/>
  <c r="M17" i="22"/>
  <c r="O17" i="22"/>
  <c r="P17" i="22"/>
  <c r="F18" i="22"/>
  <c r="H18" i="22"/>
  <c r="I18" i="22"/>
  <c r="J18" i="22"/>
  <c r="K18" i="22"/>
  <c r="L18" i="22"/>
  <c r="M18" i="22"/>
  <c r="O18" i="22"/>
  <c r="P18" i="22"/>
  <c r="F20" i="22"/>
  <c r="H20" i="22"/>
  <c r="I20" i="22"/>
  <c r="J20" i="22"/>
  <c r="K20" i="22"/>
  <c r="L20" i="22"/>
  <c r="M20" i="22"/>
  <c r="O20" i="22"/>
  <c r="P20" i="22"/>
  <c r="F21" i="22"/>
  <c r="H21" i="22"/>
  <c r="I21" i="22"/>
  <c r="J21" i="22"/>
  <c r="K21" i="22"/>
  <c r="L21" i="22"/>
  <c r="M21" i="22"/>
  <c r="O21" i="22"/>
  <c r="P21" i="22"/>
  <c r="B25" i="22"/>
  <c r="G25" i="22"/>
  <c r="G26" i="22"/>
  <c r="G4" i="21"/>
  <c r="H4" i="21"/>
  <c r="I4" i="21"/>
  <c r="F5" i="21"/>
  <c r="H5" i="21"/>
  <c r="I5" i="21"/>
  <c r="J5" i="21"/>
  <c r="K5" i="21"/>
  <c r="L5" i="21"/>
  <c r="M5" i="21"/>
  <c r="O5" i="21"/>
  <c r="P5" i="21"/>
  <c r="F6" i="21"/>
  <c r="H6" i="21"/>
  <c r="I6" i="21"/>
  <c r="J6" i="21"/>
  <c r="K6" i="21"/>
  <c r="L6" i="21"/>
  <c r="M6" i="21"/>
  <c r="O6" i="21"/>
  <c r="P6" i="21"/>
  <c r="F8" i="21"/>
  <c r="H8" i="21"/>
  <c r="I8" i="21"/>
  <c r="J8" i="21"/>
  <c r="K8" i="21"/>
  <c r="L8" i="21"/>
  <c r="M8" i="21"/>
  <c r="O8" i="21"/>
  <c r="P8" i="21"/>
  <c r="F9" i="21"/>
  <c r="H9" i="21"/>
  <c r="I9" i="21"/>
  <c r="J9" i="21"/>
  <c r="K9" i="21"/>
  <c r="L9" i="21"/>
  <c r="M9" i="21"/>
  <c r="O9" i="21"/>
  <c r="P9" i="21"/>
  <c r="F11" i="21"/>
  <c r="H11" i="21"/>
  <c r="I11" i="21"/>
  <c r="J11" i="21"/>
  <c r="K11" i="21"/>
  <c r="L11" i="21"/>
  <c r="M11" i="21"/>
  <c r="O11" i="21"/>
  <c r="P11" i="21"/>
  <c r="F12" i="21"/>
  <c r="H12" i="21"/>
  <c r="I12" i="21"/>
  <c r="J12" i="21"/>
  <c r="K12" i="21"/>
  <c r="L12" i="21"/>
  <c r="M12" i="21"/>
  <c r="O12" i="21"/>
  <c r="P12" i="21"/>
  <c r="F14" i="21"/>
  <c r="H14" i="21"/>
  <c r="I14" i="21"/>
  <c r="J14" i="21"/>
  <c r="K14" i="21"/>
  <c r="L14" i="21"/>
  <c r="M14" i="21"/>
  <c r="O14" i="21"/>
  <c r="P14" i="21"/>
  <c r="F15" i="21"/>
  <c r="H15" i="21"/>
  <c r="I15" i="21"/>
  <c r="J15" i="21"/>
  <c r="K15" i="21"/>
  <c r="L15" i="21"/>
  <c r="M15" i="21"/>
  <c r="O15" i="21"/>
  <c r="P15" i="21"/>
  <c r="F17" i="21"/>
  <c r="H17" i="21"/>
  <c r="I17" i="21"/>
  <c r="J17" i="21"/>
  <c r="K17" i="21"/>
  <c r="L17" i="21"/>
  <c r="M17" i="21"/>
  <c r="O17" i="21"/>
  <c r="P17" i="21"/>
  <c r="F18" i="21"/>
  <c r="H18" i="21"/>
  <c r="I18" i="21"/>
  <c r="J18" i="21"/>
  <c r="K18" i="21"/>
  <c r="L18" i="21"/>
  <c r="M18" i="21"/>
  <c r="O18" i="21"/>
  <c r="P18" i="21"/>
  <c r="F20" i="21"/>
  <c r="H20" i="21"/>
  <c r="I20" i="21"/>
  <c r="J20" i="21"/>
  <c r="K20" i="21"/>
  <c r="L20" i="21"/>
  <c r="M20" i="21"/>
  <c r="O20" i="21"/>
  <c r="P20" i="21"/>
  <c r="F21" i="21"/>
  <c r="H21" i="21"/>
  <c r="I21" i="21"/>
  <c r="J21" i="21"/>
  <c r="K21" i="21"/>
  <c r="L21" i="21"/>
  <c r="M21" i="21"/>
  <c r="O21" i="21"/>
  <c r="P21" i="21"/>
  <c r="F23" i="21"/>
  <c r="H23" i="21"/>
  <c r="I23" i="21"/>
  <c r="J23" i="21"/>
  <c r="K23" i="21"/>
  <c r="L23" i="21"/>
  <c r="M23" i="21"/>
  <c r="O23" i="21"/>
  <c r="P23" i="21"/>
  <c r="F24" i="21"/>
  <c r="H24" i="21"/>
  <c r="I24" i="21"/>
  <c r="J24" i="21"/>
  <c r="K24" i="21"/>
  <c r="L24" i="21"/>
  <c r="M24" i="21"/>
  <c r="O24" i="21"/>
  <c r="P24" i="21"/>
  <c r="F26" i="21"/>
  <c r="H26" i="21"/>
  <c r="I26" i="21"/>
  <c r="J26" i="21"/>
  <c r="K26" i="21"/>
  <c r="L26" i="21"/>
  <c r="M26" i="21"/>
  <c r="O26" i="21"/>
  <c r="P26" i="21"/>
  <c r="F27" i="21"/>
  <c r="H27" i="21"/>
  <c r="I27" i="21"/>
  <c r="J27" i="21"/>
  <c r="K27" i="21"/>
  <c r="L27" i="21"/>
  <c r="M27" i="21"/>
  <c r="O27" i="21"/>
  <c r="P27" i="21"/>
  <c r="F29" i="21"/>
  <c r="H29" i="21"/>
  <c r="I29" i="21"/>
  <c r="J29" i="21"/>
  <c r="K29" i="21"/>
  <c r="L29" i="21"/>
  <c r="M29" i="21"/>
  <c r="O29" i="21"/>
  <c r="P29" i="21"/>
  <c r="F30" i="21"/>
  <c r="H30" i="21"/>
  <c r="I30" i="21"/>
  <c r="J30" i="21"/>
  <c r="K30" i="21"/>
  <c r="L30" i="21"/>
  <c r="M30" i="21"/>
  <c r="O30" i="21"/>
  <c r="P30" i="21"/>
  <c r="F32" i="21"/>
  <c r="H32" i="21"/>
  <c r="I32" i="21"/>
  <c r="J32" i="21"/>
  <c r="K32" i="21"/>
  <c r="L32" i="21"/>
  <c r="M32" i="21"/>
  <c r="O32" i="21"/>
  <c r="P32" i="21"/>
  <c r="F33" i="21"/>
  <c r="H33" i="21"/>
  <c r="I33" i="21"/>
  <c r="J33" i="21"/>
  <c r="K33" i="21"/>
  <c r="L33" i="21"/>
  <c r="M33" i="21"/>
  <c r="O33" i="21"/>
  <c r="P33" i="21"/>
  <c r="F35" i="21"/>
  <c r="H35" i="21"/>
  <c r="I35" i="21"/>
  <c r="J35" i="21"/>
  <c r="K35" i="21"/>
  <c r="L35" i="21"/>
  <c r="M35" i="21"/>
  <c r="O35" i="21"/>
  <c r="P35" i="21"/>
  <c r="F36" i="21"/>
  <c r="H36" i="21"/>
  <c r="I36" i="21"/>
  <c r="J36" i="21"/>
  <c r="K36" i="21"/>
  <c r="L36" i="21"/>
  <c r="M36" i="21"/>
  <c r="O36" i="21"/>
  <c r="P36" i="21"/>
  <c r="F38" i="21"/>
  <c r="H38" i="21"/>
  <c r="I38" i="21"/>
  <c r="J38" i="21"/>
  <c r="K38" i="21"/>
  <c r="L38" i="21"/>
  <c r="M38" i="21"/>
  <c r="O38" i="21"/>
  <c r="P38" i="21"/>
  <c r="F39" i="21"/>
  <c r="H39" i="21"/>
  <c r="I39" i="21"/>
  <c r="J39" i="21"/>
  <c r="K39" i="21"/>
  <c r="L39" i="21"/>
  <c r="M39" i="21"/>
  <c r="O39" i="21"/>
  <c r="P39" i="21"/>
  <c r="F41" i="21"/>
  <c r="H41" i="21"/>
  <c r="I41" i="21"/>
  <c r="J41" i="21"/>
  <c r="K41" i="21"/>
  <c r="L41" i="21"/>
  <c r="M41" i="21"/>
  <c r="O41" i="21"/>
  <c r="P41" i="21"/>
  <c r="F42" i="21"/>
  <c r="H42" i="21"/>
  <c r="I42" i="21"/>
  <c r="J42" i="21"/>
  <c r="K42" i="21"/>
  <c r="L42" i="21"/>
  <c r="M42" i="21"/>
  <c r="O42" i="21"/>
  <c r="P42" i="21"/>
  <c r="B46" i="21"/>
  <c r="G46" i="21"/>
  <c r="G47" i="21"/>
  <c r="G4" i="18"/>
  <c r="H4" i="18"/>
  <c r="I4" i="18"/>
  <c r="F5" i="18"/>
  <c r="H5" i="18"/>
  <c r="I5" i="18"/>
  <c r="J5" i="18"/>
  <c r="K5" i="18"/>
  <c r="L5" i="18"/>
  <c r="M5" i="18"/>
  <c r="O5" i="18"/>
  <c r="P5" i="18"/>
  <c r="F6" i="18"/>
  <c r="H6" i="18"/>
  <c r="I6" i="18"/>
  <c r="J6" i="18"/>
  <c r="K6" i="18"/>
  <c r="L6" i="18"/>
  <c r="M6" i="18"/>
  <c r="O6" i="18"/>
  <c r="P6" i="18"/>
  <c r="F8" i="18"/>
  <c r="H8" i="18"/>
  <c r="I8" i="18"/>
  <c r="J8" i="18"/>
  <c r="K8" i="18"/>
  <c r="L8" i="18"/>
  <c r="M8" i="18"/>
  <c r="O8" i="18"/>
  <c r="P8" i="18"/>
  <c r="F9" i="18"/>
  <c r="H9" i="18"/>
  <c r="I9" i="18"/>
  <c r="J9" i="18"/>
  <c r="K9" i="18"/>
  <c r="L9" i="18"/>
  <c r="M9" i="18"/>
  <c r="O9" i="18"/>
  <c r="P9" i="18"/>
  <c r="F11" i="18"/>
  <c r="H11" i="18"/>
  <c r="I11" i="18"/>
  <c r="J11" i="18"/>
  <c r="K11" i="18"/>
  <c r="L11" i="18"/>
  <c r="M11" i="18"/>
  <c r="O11" i="18"/>
  <c r="P11" i="18"/>
  <c r="F12" i="18"/>
  <c r="H12" i="18"/>
  <c r="I12" i="18"/>
  <c r="J12" i="18"/>
  <c r="K12" i="18"/>
  <c r="L12" i="18"/>
  <c r="M12" i="18"/>
  <c r="O12" i="18"/>
  <c r="P12" i="18"/>
  <c r="F14" i="18"/>
  <c r="H14" i="18"/>
  <c r="I14" i="18"/>
  <c r="J14" i="18"/>
  <c r="K14" i="18"/>
  <c r="L14" i="18"/>
  <c r="M14" i="18"/>
  <c r="O14" i="18"/>
  <c r="P14" i="18"/>
  <c r="F15" i="18"/>
  <c r="H15" i="18"/>
  <c r="I15" i="18"/>
  <c r="J15" i="18"/>
  <c r="K15" i="18"/>
  <c r="L15" i="18"/>
  <c r="M15" i="18"/>
  <c r="O15" i="18"/>
  <c r="P15" i="18"/>
  <c r="F17" i="18"/>
  <c r="H17" i="18"/>
  <c r="I17" i="18"/>
  <c r="J17" i="18"/>
  <c r="K17" i="18"/>
  <c r="L17" i="18"/>
  <c r="M17" i="18"/>
  <c r="O17" i="18"/>
  <c r="P17" i="18"/>
  <c r="F18" i="18"/>
  <c r="H18" i="18"/>
  <c r="I18" i="18"/>
  <c r="J18" i="18"/>
  <c r="K18" i="18"/>
  <c r="L18" i="18"/>
  <c r="M18" i="18"/>
  <c r="O18" i="18"/>
  <c r="P18" i="18"/>
  <c r="F20" i="18"/>
  <c r="H20" i="18"/>
  <c r="I20" i="18"/>
  <c r="J20" i="18"/>
  <c r="K20" i="18"/>
  <c r="L20" i="18"/>
  <c r="M20" i="18"/>
  <c r="O20" i="18"/>
  <c r="P20" i="18"/>
  <c r="F21" i="18"/>
  <c r="H21" i="18"/>
  <c r="I21" i="18"/>
  <c r="J21" i="18"/>
  <c r="K21" i="18"/>
  <c r="L21" i="18"/>
  <c r="M21" i="18"/>
  <c r="O21" i="18"/>
  <c r="P21" i="18"/>
  <c r="F23" i="18"/>
  <c r="H23" i="18"/>
  <c r="I23" i="18"/>
  <c r="J23" i="18"/>
  <c r="K23" i="18"/>
  <c r="L23" i="18"/>
  <c r="M23" i="18"/>
  <c r="O23" i="18"/>
  <c r="P23" i="18"/>
  <c r="F24" i="18"/>
  <c r="H24" i="18"/>
  <c r="I24" i="18"/>
  <c r="J24" i="18"/>
  <c r="K24" i="18"/>
  <c r="L24" i="18"/>
  <c r="M24" i="18"/>
  <c r="O24" i="18"/>
  <c r="P24" i="18"/>
  <c r="F26" i="18"/>
  <c r="H26" i="18"/>
  <c r="I26" i="18"/>
  <c r="J26" i="18"/>
  <c r="K26" i="18"/>
  <c r="L26" i="18"/>
  <c r="M26" i="18"/>
  <c r="O26" i="18"/>
  <c r="P26" i="18"/>
  <c r="F27" i="18"/>
  <c r="H27" i="18"/>
  <c r="I27" i="18"/>
  <c r="J27" i="18"/>
  <c r="K27" i="18"/>
  <c r="L27" i="18"/>
  <c r="M27" i="18"/>
  <c r="O27" i="18"/>
  <c r="P27" i="18"/>
  <c r="B31" i="18"/>
  <c r="G31" i="18"/>
  <c r="G32" i="18"/>
  <c r="G4" i="1"/>
  <c r="H4" i="1"/>
  <c r="I4" i="1"/>
  <c r="F5" i="1"/>
  <c r="H5" i="1"/>
  <c r="I5" i="1"/>
  <c r="J5" i="1"/>
  <c r="K5" i="1"/>
  <c r="L5" i="1"/>
  <c r="M5" i="1"/>
  <c r="O5" i="1"/>
  <c r="P5" i="1"/>
  <c r="F6" i="1"/>
  <c r="H6" i="1"/>
  <c r="I6" i="1"/>
  <c r="J6" i="1"/>
  <c r="K6" i="1"/>
  <c r="L6" i="1"/>
  <c r="M6" i="1"/>
  <c r="O6" i="1"/>
  <c r="P6" i="1"/>
  <c r="F8" i="1"/>
  <c r="H8" i="1"/>
  <c r="I8" i="1"/>
  <c r="J8" i="1"/>
  <c r="K8" i="1"/>
  <c r="L8" i="1"/>
  <c r="M8" i="1"/>
  <c r="O8" i="1"/>
  <c r="P8" i="1"/>
  <c r="F9" i="1"/>
  <c r="H9" i="1"/>
  <c r="I9" i="1"/>
  <c r="J9" i="1"/>
  <c r="K9" i="1"/>
  <c r="L9" i="1"/>
  <c r="M9" i="1"/>
  <c r="O9" i="1"/>
  <c r="P9" i="1"/>
  <c r="F11" i="1"/>
  <c r="H11" i="1"/>
  <c r="I11" i="1"/>
  <c r="J11" i="1"/>
  <c r="K11" i="1"/>
  <c r="L11" i="1"/>
  <c r="M11" i="1"/>
  <c r="O11" i="1"/>
  <c r="P11" i="1"/>
  <c r="F12" i="1"/>
  <c r="H12" i="1"/>
  <c r="I12" i="1"/>
  <c r="J12" i="1"/>
  <c r="K12" i="1"/>
  <c r="L12" i="1"/>
  <c r="M12" i="1"/>
  <c r="O12" i="1"/>
  <c r="P12" i="1"/>
  <c r="F14" i="1"/>
  <c r="H14" i="1"/>
  <c r="I14" i="1"/>
  <c r="J14" i="1"/>
  <c r="K14" i="1"/>
  <c r="L14" i="1"/>
  <c r="M14" i="1"/>
  <c r="O14" i="1"/>
  <c r="P14" i="1"/>
  <c r="F15" i="1"/>
  <c r="H15" i="1"/>
  <c r="I15" i="1"/>
  <c r="J15" i="1"/>
  <c r="K15" i="1"/>
  <c r="L15" i="1"/>
  <c r="M15" i="1"/>
  <c r="O15" i="1"/>
  <c r="P15" i="1"/>
  <c r="F17" i="1"/>
  <c r="H17" i="1"/>
  <c r="I17" i="1"/>
  <c r="J17" i="1"/>
  <c r="K17" i="1"/>
  <c r="L17" i="1"/>
  <c r="M17" i="1"/>
  <c r="O17" i="1"/>
  <c r="P17" i="1"/>
  <c r="F18" i="1"/>
  <c r="H18" i="1"/>
  <c r="I18" i="1"/>
  <c r="J18" i="1"/>
  <c r="K18" i="1"/>
  <c r="L18" i="1"/>
  <c r="M18" i="1"/>
  <c r="O18" i="1"/>
  <c r="P18" i="1"/>
  <c r="F20" i="1"/>
  <c r="H20" i="1"/>
  <c r="I20" i="1"/>
  <c r="J20" i="1"/>
  <c r="K20" i="1"/>
  <c r="L20" i="1"/>
  <c r="M20" i="1"/>
  <c r="O20" i="1"/>
  <c r="P20" i="1"/>
  <c r="F21" i="1"/>
  <c r="H21" i="1"/>
  <c r="I21" i="1"/>
  <c r="J21" i="1"/>
  <c r="K21" i="1"/>
  <c r="L21" i="1"/>
  <c r="M21" i="1"/>
  <c r="O21" i="1"/>
  <c r="P21" i="1"/>
  <c r="F23" i="1"/>
  <c r="H23" i="1"/>
  <c r="I23" i="1"/>
  <c r="J23" i="1"/>
  <c r="K23" i="1"/>
  <c r="L23" i="1"/>
  <c r="M23" i="1"/>
  <c r="O23" i="1"/>
  <c r="P23" i="1"/>
  <c r="F24" i="1"/>
  <c r="H24" i="1"/>
  <c r="I24" i="1"/>
  <c r="J24" i="1"/>
  <c r="K24" i="1"/>
  <c r="L24" i="1"/>
  <c r="M24" i="1"/>
  <c r="O24" i="1"/>
  <c r="P24" i="1"/>
  <c r="B28" i="1"/>
  <c r="G28" i="1"/>
  <c r="G29" i="1"/>
  <c r="G4" i="16"/>
  <c r="H4" i="16"/>
  <c r="I4" i="16"/>
  <c r="F5" i="16"/>
  <c r="H5" i="16"/>
  <c r="I5" i="16"/>
  <c r="J5" i="16"/>
  <c r="K5" i="16"/>
  <c r="L5" i="16"/>
  <c r="M5" i="16"/>
  <c r="O5" i="16"/>
  <c r="P5" i="16"/>
  <c r="F6" i="16"/>
  <c r="H6" i="16"/>
  <c r="I6" i="16"/>
  <c r="J6" i="16"/>
  <c r="K6" i="16"/>
  <c r="L6" i="16"/>
  <c r="M6" i="16"/>
  <c r="O6" i="16"/>
  <c r="P6" i="16"/>
  <c r="F8" i="16"/>
  <c r="H8" i="16"/>
  <c r="I8" i="16"/>
  <c r="J8" i="16"/>
  <c r="K8" i="16"/>
  <c r="L8" i="16"/>
  <c r="M8" i="16"/>
  <c r="O8" i="16"/>
  <c r="P8" i="16"/>
  <c r="F9" i="16"/>
  <c r="H9" i="16"/>
  <c r="I9" i="16"/>
  <c r="J9" i="16"/>
  <c r="K9" i="16"/>
  <c r="L9" i="16"/>
  <c r="M9" i="16"/>
  <c r="O9" i="16"/>
  <c r="P9" i="16"/>
  <c r="F11" i="16"/>
  <c r="H11" i="16"/>
  <c r="I11" i="16"/>
  <c r="J11" i="16"/>
  <c r="K11" i="16"/>
  <c r="L11" i="16"/>
  <c r="M11" i="16"/>
  <c r="O11" i="16"/>
  <c r="P11" i="16"/>
  <c r="F12" i="16"/>
  <c r="H12" i="16"/>
  <c r="I12" i="16"/>
  <c r="J12" i="16"/>
  <c r="K12" i="16"/>
  <c r="L12" i="16"/>
  <c r="M12" i="16"/>
  <c r="O12" i="16"/>
  <c r="P12" i="16"/>
  <c r="F14" i="16"/>
  <c r="H14" i="16"/>
  <c r="I14" i="16"/>
  <c r="J14" i="16"/>
  <c r="K14" i="16"/>
  <c r="L14" i="16"/>
  <c r="M14" i="16"/>
  <c r="O14" i="16"/>
  <c r="P14" i="16"/>
  <c r="F15" i="16"/>
  <c r="H15" i="16"/>
  <c r="I15" i="16"/>
  <c r="J15" i="16"/>
  <c r="K15" i="16"/>
  <c r="L15" i="16"/>
  <c r="M15" i="16"/>
  <c r="O15" i="16"/>
  <c r="P15" i="16"/>
  <c r="F17" i="16"/>
  <c r="H17" i="16"/>
  <c r="I17" i="16"/>
  <c r="J17" i="16"/>
  <c r="K17" i="16"/>
  <c r="L17" i="16"/>
  <c r="M17" i="16"/>
  <c r="O17" i="16"/>
  <c r="P17" i="16"/>
  <c r="F18" i="16"/>
  <c r="H18" i="16"/>
  <c r="I18" i="16"/>
  <c r="J18" i="16"/>
  <c r="K18" i="16"/>
  <c r="L18" i="16"/>
  <c r="M18" i="16"/>
  <c r="O18" i="16"/>
  <c r="P18" i="16"/>
  <c r="F20" i="16"/>
  <c r="H20" i="16"/>
  <c r="I20" i="16"/>
  <c r="J20" i="16"/>
  <c r="K20" i="16"/>
  <c r="L20" i="16"/>
  <c r="M20" i="16"/>
  <c r="O20" i="16"/>
  <c r="P20" i="16"/>
  <c r="F21" i="16"/>
  <c r="H21" i="16"/>
  <c r="I21" i="16"/>
  <c r="J21" i="16"/>
  <c r="K21" i="16"/>
  <c r="L21" i="16"/>
  <c r="M21" i="16"/>
  <c r="O21" i="16"/>
  <c r="P21" i="16"/>
  <c r="B25" i="16"/>
  <c r="G25" i="16"/>
  <c r="G26" i="16"/>
</calcChain>
</file>

<file path=xl/sharedStrings.xml><?xml version="1.0" encoding="utf-8"?>
<sst xmlns="http://schemas.openxmlformats.org/spreadsheetml/2006/main" count="636" uniqueCount="63">
  <si>
    <t>Total</t>
  </si>
  <si>
    <t>Percent</t>
  </si>
  <si>
    <t>Deficiency</t>
  </si>
  <si>
    <t>Staff #</t>
  </si>
  <si>
    <t>of Staff</t>
  </si>
  <si>
    <t>Staff</t>
  </si>
  <si>
    <t>in #'s</t>
  </si>
  <si>
    <t>at</t>
  </si>
  <si>
    <t>Mix</t>
  </si>
  <si>
    <t xml:space="preserve">Mix </t>
  </si>
  <si>
    <t>as of</t>
  </si>
  <si>
    <t>Needed</t>
  </si>
  <si>
    <t>Upper Level Manager</t>
  </si>
  <si>
    <t>Female</t>
  </si>
  <si>
    <t>Tot Min</t>
  </si>
  <si>
    <t>Mid Level Manager</t>
  </si>
  <si>
    <t>Lower Level Manager</t>
  </si>
  <si>
    <t>Upper Professional</t>
  </si>
  <si>
    <t>Engineer</t>
  </si>
  <si>
    <t>Legal</t>
  </si>
  <si>
    <t>Mid Level Clerical</t>
  </si>
  <si>
    <t>Lower Level Clerical</t>
  </si>
  <si>
    <t>of Goal?</t>
  </si>
  <si>
    <t>80% Rule</t>
  </si>
  <si>
    <t>using</t>
  </si>
  <si>
    <t>Within 80%</t>
  </si>
  <si>
    <t>STAFF</t>
  </si>
  <si>
    <t># NEEDED</t>
  </si>
  <si>
    <t>Is There</t>
  </si>
  <si>
    <t>Under-</t>
  </si>
  <si>
    <t>utilization?</t>
  </si>
  <si>
    <t>Percent of</t>
  </si>
  <si>
    <t>Staff Mix</t>
  </si>
  <si>
    <t>Needed Using</t>
  </si>
  <si>
    <t>STAFF #</t>
  </si>
  <si>
    <t>NEEDED</t>
  </si>
  <si>
    <t>IN WHOLE</t>
  </si>
  <si>
    <t>PERSONS</t>
  </si>
  <si>
    <t>GREATER</t>
  </si>
  <si>
    <t>THAN A</t>
  </si>
  <si>
    <t>WHOLE</t>
  </si>
  <si>
    <t>PERSON?</t>
  </si>
  <si>
    <t>Financial</t>
  </si>
  <si>
    <t>Sales Professional</t>
  </si>
  <si>
    <t>Clerical</t>
  </si>
  <si>
    <t>Total Employees</t>
  </si>
  <si>
    <t>Total Fem</t>
  </si>
  <si>
    <t>Total Min</t>
  </si>
  <si>
    <t>Upper Level Clerical</t>
  </si>
  <si>
    <t>Senior Level Manager</t>
  </si>
  <si>
    <t>Professional</t>
  </si>
  <si>
    <t>Engineer/Nat Scientist</t>
  </si>
  <si>
    <t>Associates</t>
  </si>
  <si>
    <t>Analysts</t>
  </si>
  <si>
    <t>Sales</t>
  </si>
  <si>
    <t>Lower Professional</t>
  </si>
  <si>
    <t>IT Professional</t>
  </si>
  <si>
    <t>Upper Financial</t>
  </si>
  <si>
    <t>Lower Financial</t>
  </si>
  <si>
    <t>Aircraft Pilots</t>
  </si>
  <si>
    <t>Technicians</t>
  </si>
  <si>
    <t>Skilled Craft Workers</t>
  </si>
  <si>
    <t>Laborers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</si>
</sst>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\(0.00\)"/>
  </numFmts>
  <fonts count="4" x14ac:knownFonts="1">
    <font>
      <sz val="10"/>
      <name val="MS Sans Serif"/>
    </font>
    <font>
      <sz val="13.5"/>
      <name val="Arial Narrow"/>
      <family val="2"/>
    </font>
    <font>
      <sz val="13.5"/>
      <color indexed="8"/>
      <name val="Arial Narrow"/>
      <family val="2"/>
    </font>
    <font>
      <sz val="13.5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 applyBorder="1"/>
    <xf numFmtId="164" fontId="2" fillId="0" borderId="0" xfId="0" applyNumberFormat="1" applyFont="1" applyBorder="1"/>
    <xf numFmtId="2" fontId="2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0" borderId="6" xfId="0" quotePrefix="1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2" fillId="2" borderId="1" xfId="0" applyFont="1" applyFill="1" applyBorder="1"/>
    <xf numFmtId="10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/>
    <xf numFmtId="10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/>
    <xf numFmtId="1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/>
    <xf numFmtId="10" fontId="2" fillId="3" borderId="1" xfId="0" applyNumberFormat="1" applyFont="1" applyFill="1" applyBorder="1"/>
    <xf numFmtId="2" fontId="2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16</v>
      </c>
      <c r="B5" s="65">
        <v>7</v>
      </c>
      <c r="C5" s="65">
        <v>51</v>
      </c>
      <c r="D5" s="56" t="s">
        <v>13</v>
      </c>
      <c r="E5" s="57">
        <v>0.35899999999999999</v>
      </c>
      <c r="F5" s="58">
        <f>B5*E5</f>
        <v>2.5129999999999999</v>
      </c>
      <c r="G5" s="59">
        <v>6</v>
      </c>
      <c r="H5" s="57">
        <f>(G5/B5)</f>
        <v>0.8571428571428571</v>
      </c>
      <c r="I5" s="60">
        <f>(E5*B5-G5)</f>
        <v>-3.4870000000000001</v>
      </c>
      <c r="J5" s="61" t="str">
        <f>IF(SUM(I5)&gt;0,"YES","NO")</f>
        <v>NO</v>
      </c>
      <c r="K5" s="57">
        <f>E5*0.8</f>
        <v>0.28720000000000001</v>
      </c>
      <c r="L5" s="58">
        <f>K5*B5</f>
        <v>2.0104000000000002</v>
      </c>
      <c r="M5" s="58">
        <f>L5-G5</f>
        <v>-3.9895999999999998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25">
      <c r="A6" s="17"/>
      <c r="B6" s="18"/>
      <c r="C6" s="18"/>
      <c r="D6" s="2" t="s">
        <v>14</v>
      </c>
      <c r="E6" s="3">
        <v>0.17699999999999999</v>
      </c>
      <c r="F6" s="34">
        <f>B5*E6</f>
        <v>1.2389999999999999</v>
      </c>
      <c r="G6" s="45">
        <v>2</v>
      </c>
      <c r="H6" s="3">
        <f>(G6/B5)</f>
        <v>0.2857142857142857</v>
      </c>
      <c r="I6" s="1">
        <f>(E6*B5-G6)</f>
        <v>-0.76100000000000012</v>
      </c>
      <c r="J6" s="37" t="str">
        <f>IF(SUM(I6)&gt;0,"YES","NO")</f>
        <v>NO</v>
      </c>
      <c r="K6" s="3">
        <f>E6*0.8</f>
        <v>0.1416</v>
      </c>
      <c r="L6" s="34">
        <f>K6*B5</f>
        <v>0.99120000000000008</v>
      </c>
      <c r="M6" s="34">
        <f>L6-G6</f>
        <v>-1.0087999999999999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52</v>
      </c>
      <c r="B8" s="65">
        <v>287</v>
      </c>
      <c r="C8" s="65">
        <v>78</v>
      </c>
      <c r="D8" s="56" t="s">
        <v>13</v>
      </c>
      <c r="E8" s="57">
        <v>0.27179999999999999</v>
      </c>
      <c r="F8" s="58">
        <f>B8*E8</f>
        <v>78.006599999999992</v>
      </c>
      <c r="G8" s="59">
        <v>80</v>
      </c>
      <c r="H8" s="57">
        <f>(G8/B8)</f>
        <v>0.27874564459930312</v>
      </c>
      <c r="I8" s="60">
        <f>(E8*B8-G8)</f>
        <v>-1.9934000000000083</v>
      </c>
      <c r="J8" s="61" t="str">
        <f>IF(SUM(I8)&gt;0,"YES","NO")</f>
        <v>NO</v>
      </c>
      <c r="K8" s="57">
        <f>E8*0.8</f>
        <v>0.21743999999999999</v>
      </c>
      <c r="L8" s="58">
        <f>K8*B8</f>
        <v>62.405279999999998</v>
      </c>
      <c r="M8" s="58">
        <f>L8-G8</f>
        <v>-17.594720000000002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56" t="s">
        <v>14</v>
      </c>
      <c r="E9" s="57">
        <v>0.14099999999999999</v>
      </c>
      <c r="F9" s="58">
        <f>B8*E9</f>
        <v>40.466999999999999</v>
      </c>
      <c r="G9" s="59">
        <v>99</v>
      </c>
      <c r="H9" s="57">
        <f>(G9/B8)</f>
        <v>0.34494773519163763</v>
      </c>
      <c r="I9" s="60">
        <f>(E9*B8-G9)</f>
        <v>-58.533000000000001</v>
      </c>
      <c r="J9" s="61" t="str">
        <f>IF(SUM(I9)&gt;0,"YES","NO")</f>
        <v>NO</v>
      </c>
      <c r="K9" s="57">
        <f>E9*0.8</f>
        <v>0.1128</v>
      </c>
      <c r="L9" s="58">
        <f>K9*B8</f>
        <v>32.373599999999996</v>
      </c>
      <c r="M9" s="58">
        <f>L9-G9</f>
        <v>-66.626400000000004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25">
      <c r="D10" s="17"/>
      <c r="E10" s="20"/>
      <c r="F10" s="35"/>
      <c r="G10" s="46"/>
      <c r="H10" s="20"/>
      <c r="I10" s="21"/>
    </row>
    <row r="11" spans="1:16" x14ac:dyDescent="0.25">
      <c r="A11" s="2" t="s">
        <v>17</v>
      </c>
      <c r="B11" s="16">
        <v>13</v>
      </c>
      <c r="C11" s="16">
        <v>51</v>
      </c>
      <c r="D11" s="56" t="s">
        <v>13</v>
      </c>
      <c r="E11" s="57">
        <v>0.35799999999999998</v>
      </c>
      <c r="F11" s="58">
        <f>B11*E11</f>
        <v>4.6539999999999999</v>
      </c>
      <c r="G11" s="59">
        <v>9</v>
      </c>
      <c r="H11" s="57">
        <f>(G11/B11)</f>
        <v>0.69230769230769229</v>
      </c>
      <c r="I11" s="60">
        <f>(E11*B11-G11)</f>
        <v>-4.3460000000000001</v>
      </c>
      <c r="J11" s="61" t="str">
        <f>IF(SUM(I11)&gt;0,"YES","NO")</f>
        <v>NO</v>
      </c>
      <c r="K11" s="57">
        <f>E11*0.8</f>
        <v>0.28639999999999999</v>
      </c>
      <c r="L11" s="58">
        <f>K11*B11</f>
        <v>3.7231999999999998</v>
      </c>
      <c r="M11" s="58">
        <f>L11-G11</f>
        <v>-5.2767999999999997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0.17399999999999999</v>
      </c>
      <c r="F12" s="58">
        <f>B11*E12</f>
        <v>2.262</v>
      </c>
      <c r="G12" s="59">
        <v>1</v>
      </c>
      <c r="H12" s="57">
        <f>(G12/B11)</f>
        <v>7.6923076923076927E-2</v>
      </c>
      <c r="I12" s="60">
        <f>(E12*B11-G12)</f>
        <v>1.262</v>
      </c>
      <c r="J12" s="61" t="str">
        <f>IF(SUM(I12)&gt;0,"YES","NO")</f>
        <v>YES</v>
      </c>
      <c r="K12" s="57">
        <f>E12*0.8</f>
        <v>0.13919999999999999</v>
      </c>
      <c r="L12" s="58">
        <f>K12*B11</f>
        <v>1.8095999999999999</v>
      </c>
      <c r="M12" s="58">
        <f>L12-G12</f>
        <v>0.80959999999999988</v>
      </c>
      <c r="N12" s="55"/>
      <c r="O12" s="61" t="str">
        <f>IF(SUM(L12)&lt;=G12,"YES","NO")</f>
        <v>NO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53</v>
      </c>
      <c r="B14" s="65">
        <v>267</v>
      </c>
      <c r="C14" s="65">
        <v>51</v>
      </c>
      <c r="D14" s="56" t="s">
        <v>13</v>
      </c>
      <c r="E14" s="63">
        <v>0.28620000000000001</v>
      </c>
      <c r="F14" s="58">
        <f>B14*E14</f>
        <v>76.415400000000005</v>
      </c>
      <c r="G14" s="59">
        <v>86</v>
      </c>
      <c r="H14" s="57">
        <f>(G14/B14)</f>
        <v>0.32209737827715357</v>
      </c>
      <c r="I14" s="60">
        <f>(E14*B14-G14)</f>
        <v>-9.5845999999999947</v>
      </c>
      <c r="J14" s="61" t="str">
        <f>IF(SUM(I14)&gt;0,"YES","NO")</f>
        <v>NO</v>
      </c>
      <c r="K14" s="57">
        <f>E14*0.8</f>
        <v>0.22896000000000002</v>
      </c>
      <c r="L14" s="58">
        <f>K14*B14</f>
        <v>61.132320000000007</v>
      </c>
      <c r="M14" s="58">
        <f>L14-G14</f>
        <v>-24.867679999999993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0.13009999999999999</v>
      </c>
      <c r="F15" s="58">
        <f>B14*E15</f>
        <v>34.736699999999999</v>
      </c>
      <c r="G15" s="59">
        <v>80</v>
      </c>
      <c r="H15" s="57">
        <f>(G15/B14)</f>
        <v>0.29962546816479402</v>
      </c>
      <c r="I15" s="60">
        <f>(E15*B14-G15)</f>
        <v>-45.263300000000001</v>
      </c>
      <c r="J15" s="61" t="str">
        <f>IF(SUM(I15)&gt;0,"YES","NO")</f>
        <v>NO</v>
      </c>
      <c r="K15" s="57">
        <f>E15*0.8</f>
        <v>0.10408000000000001</v>
      </c>
      <c r="L15" s="58">
        <f>K15*B14</f>
        <v>27.789360000000002</v>
      </c>
      <c r="M15" s="58">
        <f>L15-G15</f>
        <v>-52.210639999999998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x14ac:dyDescent="0.25">
      <c r="A17" s="2" t="s">
        <v>44</v>
      </c>
      <c r="B17" s="16">
        <v>11</v>
      </c>
      <c r="C17" s="16">
        <v>51</v>
      </c>
      <c r="D17" s="56" t="s">
        <v>13</v>
      </c>
      <c r="E17" s="57">
        <v>0.93310000000000004</v>
      </c>
      <c r="F17" s="58">
        <f>B17*E17</f>
        <v>10.264100000000001</v>
      </c>
      <c r="G17" s="59">
        <v>10</v>
      </c>
      <c r="H17" s="57">
        <f>(G17/B17)</f>
        <v>0.90909090909090906</v>
      </c>
      <c r="I17" s="60">
        <f>(E17*B17-G17)</f>
        <v>0.26410000000000089</v>
      </c>
      <c r="J17" s="61" t="str">
        <f>IF(SUM(I17)&gt;0,"YES","NO")</f>
        <v>YES</v>
      </c>
      <c r="K17" s="57">
        <f>E17*0.8</f>
        <v>0.74648000000000003</v>
      </c>
      <c r="L17" s="58">
        <f>K17*B17</f>
        <v>8.2112800000000004</v>
      </c>
      <c r="M17" s="58">
        <f>L17-G17</f>
        <v>-1.7887199999999996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x14ac:dyDescent="0.25">
      <c r="A18" s="17"/>
      <c r="B18" s="18"/>
      <c r="C18" s="18"/>
      <c r="D18" s="56" t="s">
        <v>14</v>
      </c>
      <c r="E18" s="57">
        <v>0.31469999999999998</v>
      </c>
      <c r="F18" s="58">
        <f>B17*E18</f>
        <v>3.4616999999999996</v>
      </c>
      <c r="G18" s="59">
        <v>4</v>
      </c>
      <c r="H18" s="57">
        <f>(G18/B17)</f>
        <v>0.36363636363636365</v>
      </c>
      <c r="I18" s="60">
        <f>(E18*B17-G18)</f>
        <v>-0.53830000000000044</v>
      </c>
      <c r="J18" s="61" t="str">
        <f>IF(SUM(I18)&gt;0,"YES","NO")</f>
        <v>NO</v>
      </c>
      <c r="K18" s="57">
        <f>E18*0.8</f>
        <v>0.25175999999999998</v>
      </c>
      <c r="L18" s="58">
        <f>K18*B17</f>
        <v>2.7693599999999998</v>
      </c>
      <c r="M18" s="58">
        <f>L18-G18</f>
        <v>-1.2306400000000002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G20" s="36"/>
      <c r="I20" s="22"/>
    </row>
    <row r="21" spans="1:16" x14ac:dyDescent="0.25">
      <c r="B21" s="4"/>
      <c r="I21" s="22"/>
    </row>
    <row r="22" spans="1:16" x14ac:dyDescent="0.25">
      <c r="A22" s="4" t="s">
        <v>45</v>
      </c>
      <c r="B22" s="6">
        <f>B5+B8+B11+B14+B17</f>
        <v>585</v>
      </c>
      <c r="D22" s="4" t="s">
        <v>46</v>
      </c>
      <c r="G22" s="64">
        <f>G5+G8+G11+G14+G17</f>
        <v>191</v>
      </c>
      <c r="I22" s="22"/>
    </row>
    <row r="23" spans="1:16" x14ac:dyDescent="0.25">
      <c r="D23" s="4" t="s">
        <v>47</v>
      </c>
      <c r="G23" s="64">
        <f>+G6+G9+G12+G15+G18</f>
        <v>186</v>
      </c>
      <c r="I23" s="22"/>
    </row>
    <row r="24" spans="1:16" x14ac:dyDescent="0.25">
      <c r="I24" s="22"/>
    </row>
    <row r="25" spans="1:16" x14ac:dyDescent="0.25">
      <c r="I25" s="22"/>
    </row>
    <row r="26" spans="1:16" x14ac:dyDescent="0.25">
      <c r="I26" s="22"/>
    </row>
    <row r="27" spans="1:16" x14ac:dyDescent="0.25">
      <c r="I27" s="22"/>
    </row>
    <row r="28" spans="1:16" x14ac:dyDescent="0.25">
      <c r="I28" s="22"/>
    </row>
    <row r="29" spans="1:16" x14ac:dyDescent="0.25">
      <c r="I29" s="22"/>
    </row>
    <row r="30" spans="1:16" x14ac:dyDescent="0.25">
      <c r="I30" s="22"/>
    </row>
    <row r="31" spans="1:16" x14ac:dyDescent="0.25">
      <c r="I31" s="22"/>
    </row>
    <row r="32" spans="1:16" x14ac:dyDescent="0.25"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  <row r="50" spans="9:9" x14ac:dyDescent="0.25">
      <c r="I50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 ASSOCIATE &amp; ANALYST PROGRAM
2000 AFFIRMATIVE ACTION PLAN
Utilization Analysis
Analysis Data as of 01/15/00</oddHeader>
    <oddFooter>&amp;Lo:\aap2000\corpinut.xls&amp;R&amp;"Arial,Regular"PAGE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view="pageBreakPreview" zoomScale="65" zoomScaleNormal="75" workbookViewId="0">
      <pane ySplit="4" topLeftCell="A5" activePane="bottomLeft" state="frozen"/>
      <selection pane="bottomLeft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7</v>
      </c>
      <c r="C5" s="65">
        <v>51</v>
      </c>
      <c r="D5" s="56" t="s">
        <v>13</v>
      </c>
      <c r="E5" s="57">
        <v>0.34510000000000002</v>
      </c>
      <c r="F5" s="58">
        <f>B5*E5</f>
        <v>2.4157000000000002</v>
      </c>
      <c r="G5" s="59">
        <v>2</v>
      </c>
      <c r="H5" s="57">
        <f>(G5/B5)</f>
        <v>0.2857142857142857</v>
      </c>
      <c r="I5" s="60">
        <f>(E5*B5-G5)</f>
        <v>0.41570000000000018</v>
      </c>
      <c r="J5" s="61" t="str">
        <f>IF(SUM(I5)&gt;0,"YES","NO")</f>
        <v>YES</v>
      </c>
      <c r="K5" s="57">
        <f>E5*0.8</f>
        <v>0.27608000000000005</v>
      </c>
      <c r="L5" s="58">
        <f>K5*B5</f>
        <v>1.9325600000000003</v>
      </c>
      <c r="M5" s="58">
        <f>L5-G5</f>
        <v>-6.7439999999999722E-2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25">
      <c r="A6" s="17"/>
      <c r="B6" s="18"/>
      <c r="C6" s="18"/>
      <c r="D6" s="2" t="s">
        <v>14</v>
      </c>
      <c r="E6" s="3">
        <v>0.12770000000000001</v>
      </c>
      <c r="F6" s="34">
        <f>B5*E6</f>
        <v>0.89390000000000003</v>
      </c>
      <c r="G6" s="45">
        <v>0</v>
      </c>
      <c r="H6" s="3">
        <f>(G6/B5)</f>
        <v>0</v>
      </c>
      <c r="I6" s="1">
        <f>(E6*B5-G6)</f>
        <v>0.89390000000000003</v>
      </c>
      <c r="J6" s="37" t="str">
        <f>IF(SUM(I6)&gt;0,"YES","NO")</f>
        <v>YES</v>
      </c>
      <c r="K6" s="3">
        <f>E6*0.8</f>
        <v>0.10216000000000001</v>
      </c>
      <c r="L6" s="34">
        <f>K6*B5</f>
        <v>0.71512000000000009</v>
      </c>
      <c r="M6" s="34">
        <f>L6-G6</f>
        <v>0.71512000000000009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8</v>
      </c>
      <c r="C8" s="65">
        <v>78</v>
      </c>
      <c r="D8" s="56" t="s">
        <v>13</v>
      </c>
      <c r="E8" s="57">
        <v>0.31830000000000003</v>
      </c>
      <c r="F8" s="58">
        <f>B8*E8</f>
        <v>2.5464000000000002</v>
      </c>
      <c r="G8" s="59">
        <v>6</v>
      </c>
      <c r="H8" s="57">
        <f>(G8/B8)</f>
        <v>0.75</v>
      </c>
      <c r="I8" s="60">
        <f>(E8*B8-G8)</f>
        <v>-3.4535999999999998</v>
      </c>
      <c r="J8" s="61" t="str">
        <f>IF(SUM(I8)&gt;0,"YES","NO")</f>
        <v>NO</v>
      </c>
      <c r="K8" s="57">
        <f>E8*0.8</f>
        <v>0.25464000000000003</v>
      </c>
      <c r="L8" s="58">
        <f>K8*B8</f>
        <v>2.0371200000000003</v>
      </c>
      <c r="M8" s="58">
        <f>L8-G8</f>
        <v>-3.9628799999999997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56" t="s">
        <v>14</v>
      </c>
      <c r="E9" s="57">
        <v>0.1195</v>
      </c>
      <c r="F9" s="58">
        <f>B8*E9</f>
        <v>0.95599999999999996</v>
      </c>
      <c r="G9" s="59">
        <v>1</v>
      </c>
      <c r="H9" s="57">
        <f>(G9/B8)</f>
        <v>0.125</v>
      </c>
      <c r="I9" s="60">
        <f>(E9*B8-G9)</f>
        <v>-4.4000000000000039E-2</v>
      </c>
      <c r="J9" s="61" t="str">
        <f>IF(SUM(I9)&gt;0,"YES","NO")</f>
        <v>NO</v>
      </c>
      <c r="K9" s="57">
        <f>E9*0.8</f>
        <v>9.5600000000000004E-2</v>
      </c>
      <c r="L9" s="58">
        <f>K9*B8</f>
        <v>0.76480000000000004</v>
      </c>
      <c r="M9" s="58">
        <f>L9-G9</f>
        <v>-0.23519999999999996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25">
      <c r="D10" s="17"/>
      <c r="E10" s="20"/>
      <c r="F10" s="35"/>
      <c r="G10" s="46"/>
      <c r="H10" s="20"/>
      <c r="I10" s="21"/>
    </row>
    <row r="11" spans="1:16" s="66" customFormat="1" x14ac:dyDescent="0.25">
      <c r="A11" s="56" t="s">
        <v>16</v>
      </c>
      <c r="B11" s="65">
        <v>14</v>
      </c>
      <c r="C11" s="65">
        <v>51</v>
      </c>
      <c r="D11" s="56" t="s">
        <v>13</v>
      </c>
      <c r="E11" s="57">
        <v>0.40550000000000003</v>
      </c>
      <c r="F11" s="58">
        <f>B11*E11</f>
        <v>5.6770000000000005</v>
      </c>
      <c r="G11" s="59">
        <v>4</v>
      </c>
      <c r="H11" s="57">
        <f>(G11/B11)</f>
        <v>0.2857142857142857</v>
      </c>
      <c r="I11" s="60">
        <f>(E11*B11-G11)</f>
        <v>1.6770000000000005</v>
      </c>
      <c r="J11" s="61" t="str">
        <f>IF(SUM(I11)&gt;0,"YES","NO")</f>
        <v>YES</v>
      </c>
      <c r="K11" s="57">
        <f>E11*0.8</f>
        <v>0.32440000000000002</v>
      </c>
      <c r="L11" s="58">
        <f>K11*B11</f>
        <v>4.5416000000000007</v>
      </c>
      <c r="M11" s="58">
        <f>L11-G11</f>
        <v>0.54160000000000075</v>
      </c>
      <c r="N11" s="55"/>
      <c r="O11" s="61" t="str">
        <f>IF(SUM(L11)&lt;=G11,"YES","NO")</f>
        <v>NO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0.14729999999999999</v>
      </c>
      <c r="F12" s="58">
        <f>B11*E12</f>
        <v>2.0621999999999998</v>
      </c>
      <c r="G12" s="59">
        <v>3</v>
      </c>
      <c r="H12" s="57">
        <f>(G12/B11)</f>
        <v>0.21428571428571427</v>
      </c>
      <c r="I12" s="60">
        <f>(E12*B11-G12)</f>
        <v>-0.93780000000000019</v>
      </c>
      <c r="J12" s="61" t="str">
        <f>IF(SUM(I12)&gt;0,"YES","NO")</f>
        <v>NO</v>
      </c>
      <c r="K12" s="57">
        <f>E12*0.8</f>
        <v>0.11784</v>
      </c>
      <c r="L12" s="58">
        <f>K12*B11</f>
        <v>1.6497600000000001</v>
      </c>
      <c r="M12" s="58">
        <f>L12-G12</f>
        <v>-1.3502399999999999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50</v>
      </c>
      <c r="B14" s="65">
        <v>19</v>
      </c>
      <c r="C14" s="65">
        <v>51</v>
      </c>
      <c r="D14" s="56" t="s">
        <v>13</v>
      </c>
      <c r="E14" s="63">
        <v>0.33629999999999999</v>
      </c>
      <c r="F14" s="58">
        <f>B14*E14</f>
        <v>6.3896999999999995</v>
      </c>
      <c r="G14" s="59">
        <v>13</v>
      </c>
      <c r="H14" s="57">
        <f>(G14/B14)</f>
        <v>0.68421052631578949</v>
      </c>
      <c r="I14" s="60">
        <f>(E14*B14-G14)</f>
        <v>-6.6103000000000005</v>
      </c>
      <c r="J14" s="61" t="str">
        <f>IF(SUM(I14)&gt;0,"YES","NO")</f>
        <v>NO</v>
      </c>
      <c r="K14" s="57">
        <f>E14*0.8</f>
        <v>0.26904</v>
      </c>
      <c r="L14" s="58">
        <f>K14*B14</f>
        <v>5.1117600000000003</v>
      </c>
      <c r="M14" s="58">
        <f>L14-G14</f>
        <v>-7.8882399999999997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0.16370000000000001</v>
      </c>
      <c r="F15" s="58">
        <f>B14*E15</f>
        <v>3.1103000000000001</v>
      </c>
      <c r="G15" s="59">
        <v>3</v>
      </c>
      <c r="H15" s="57">
        <f>(G15/B14)</f>
        <v>0.15789473684210525</v>
      </c>
      <c r="I15" s="60">
        <f>(E15*B14-G15)</f>
        <v>0.11030000000000006</v>
      </c>
      <c r="J15" s="61" t="str">
        <f>IF(SUM(I15)&gt;0,"YES","NO")</f>
        <v>YES</v>
      </c>
      <c r="K15" s="57">
        <f>E15*0.8</f>
        <v>0.13096000000000002</v>
      </c>
      <c r="L15" s="58">
        <f>K15*B14</f>
        <v>2.4882400000000002</v>
      </c>
      <c r="M15" s="58">
        <f>L15-G15</f>
        <v>-0.51175999999999977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x14ac:dyDescent="0.25">
      <c r="A17" s="2" t="s">
        <v>19</v>
      </c>
      <c r="B17" s="16">
        <v>6</v>
      </c>
      <c r="C17" s="16">
        <v>51</v>
      </c>
      <c r="D17" s="56" t="s">
        <v>13</v>
      </c>
      <c r="E17" s="57">
        <v>0.2681</v>
      </c>
      <c r="F17" s="58">
        <f>B17*E17</f>
        <v>1.6086</v>
      </c>
      <c r="G17" s="59">
        <v>2</v>
      </c>
      <c r="H17" s="57">
        <f>(G17/B17)</f>
        <v>0.33333333333333331</v>
      </c>
      <c r="I17" s="60">
        <f>(E17*B17-G17)</f>
        <v>-0.39139999999999997</v>
      </c>
      <c r="J17" s="61" t="str">
        <f>IF(SUM(I17)&gt;0,"YES","NO")</f>
        <v>NO</v>
      </c>
      <c r="K17" s="57">
        <f>E17*0.8</f>
        <v>0.21448</v>
      </c>
      <c r="L17" s="58">
        <f>K17*B17</f>
        <v>1.28688</v>
      </c>
      <c r="M17" s="58">
        <f>L17-G17</f>
        <v>-0.71311999999999998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9.7799999999999998E-2</v>
      </c>
      <c r="F18" s="58">
        <f>B17*E18</f>
        <v>0.58679999999999999</v>
      </c>
      <c r="G18" s="59">
        <v>0</v>
      </c>
      <c r="H18" s="57">
        <f>(G18/B17)</f>
        <v>0</v>
      </c>
      <c r="I18" s="60">
        <f>(E18*B17-G18)</f>
        <v>0.58679999999999999</v>
      </c>
      <c r="J18" s="61" t="str">
        <f>IF(SUM(I18)&gt;0,"YES","NO")</f>
        <v>YES</v>
      </c>
      <c r="K18" s="57">
        <f>E18*0.8</f>
        <v>7.8240000000000004E-2</v>
      </c>
      <c r="L18" s="58">
        <f>K18*B17</f>
        <v>0.46944000000000002</v>
      </c>
      <c r="M18" s="58">
        <f>L18-G18</f>
        <v>0.46944000000000002</v>
      </c>
      <c r="N18" s="55"/>
      <c r="O18" s="61" t="str">
        <f>IF(SUM(L18)&lt;=G18,"YES","NO")</f>
        <v>NO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54</v>
      </c>
      <c r="B20" s="16">
        <v>10</v>
      </c>
      <c r="C20" s="16">
        <v>51</v>
      </c>
      <c r="D20" s="56" t="s">
        <v>13</v>
      </c>
      <c r="E20" s="57">
        <v>0.21410000000000001</v>
      </c>
      <c r="F20" s="58">
        <f>B20*E20</f>
        <v>2.141</v>
      </c>
      <c r="G20" s="59">
        <v>2</v>
      </c>
      <c r="H20" s="57">
        <f>(G20/B20)</f>
        <v>0.2</v>
      </c>
      <c r="I20" s="60">
        <f>(E20*B20-G20)</f>
        <v>0.14100000000000001</v>
      </c>
      <c r="J20" s="61" t="str">
        <f>IF(SUM(I20)&gt;0,"YES","NO")</f>
        <v>YES</v>
      </c>
      <c r="K20" s="57">
        <f>E20*0.8</f>
        <v>0.17128000000000002</v>
      </c>
      <c r="L20" s="58">
        <f>K20*B20</f>
        <v>1.7128000000000001</v>
      </c>
      <c r="M20" s="58">
        <f>L20-G20</f>
        <v>-0.2871999999999999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25">
      <c r="A21" s="67"/>
      <c r="B21" s="68"/>
      <c r="C21" s="68"/>
      <c r="D21" s="56" t="s">
        <v>14</v>
      </c>
      <c r="E21" s="57">
        <v>0.14199999999999999</v>
      </c>
      <c r="F21" s="58">
        <f>B20*E21</f>
        <v>1.42</v>
      </c>
      <c r="G21" s="59">
        <v>2</v>
      </c>
      <c r="H21" s="57">
        <f>(G21/B20)</f>
        <v>0.2</v>
      </c>
      <c r="I21" s="60">
        <f>(E21*B20-G21)</f>
        <v>-0.58000000000000007</v>
      </c>
      <c r="J21" s="61" t="str">
        <f>IF(SUM(I21)&gt;0,"YES","NO")</f>
        <v>NO</v>
      </c>
      <c r="K21" s="57">
        <f>E21*0.8</f>
        <v>0.11359999999999999</v>
      </c>
      <c r="L21" s="58">
        <f>K21*B20</f>
        <v>1.1359999999999999</v>
      </c>
      <c r="M21" s="58">
        <f>L21-G21</f>
        <v>-0.8640000000000001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48</v>
      </c>
      <c r="B23" s="16">
        <v>13</v>
      </c>
      <c r="C23" s="16">
        <v>51</v>
      </c>
      <c r="D23" s="56" t="s">
        <v>13</v>
      </c>
      <c r="E23" s="57">
        <v>0.93740000000000001</v>
      </c>
      <c r="F23" s="58">
        <f>B23*E23</f>
        <v>12.186199999999999</v>
      </c>
      <c r="G23" s="59">
        <v>13</v>
      </c>
      <c r="H23" s="57">
        <f>(G23/B23)</f>
        <v>1</v>
      </c>
      <c r="I23" s="60">
        <f>(E23*B23-G23)</f>
        <v>-0.81380000000000052</v>
      </c>
      <c r="J23" s="61" t="str">
        <f>IF(SUM(I23)&gt;0,"YES","NO")</f>
        <v>NO</v>
      </c>
      <c r="K23" s="57">
        <f>E23*0.8</f>
        <v>0.74992000000000003</v>
      </c>
      <c r="L23" s="58">
        <f>K23*B23</f>
        <v>9.7489600000000003</v>
      </c>
      <c r="M23" s="58">
        <f>L23-G23</f>
        <v>-3.2510399999999997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25">
      <c r="A24" s="67"/>
      <c r="B24" s="68"/>
      <c r="C24" s="68"/>
      <c r="D24" s="56" t="s">
        <v>14</v>
      </c>
      <c r="E24" s="57">
        <v>0.35420000000000001</v>
      </c>
      <c r="F24" s="58">
        <f>B23*E24</f>
        <v>4.6046000000000005</v>
      </c>
      <c r="G24" s="59">
        <v>4</v>
      </c>
      <c r="H24" s="57">
        <f>(G24/B23)</f>
        <v>0.30769230769230771</v>
      </c>
      <c r="I24" s="60">
        <f>(E24*B23-G24)</f>
        <v>0.60460000000000047</v>
      </c>
      <c r="J24" s="61" t="str">
        <f>IF(SUM(I24)&gt;0,"YES","NO")</f>
        <v>YES</v>
      </c>
      <c r="K24" s="57">
        <f>E24*0.8</f>
        <v>0.28336</v>
      </c>
      <c r="L24" s="58">
        <f>K24*B23</f>
        <v>3.6836799999999998</v>
      </c>
      <c r="M24" s="58">
        <f>L24-G24</f>
        <v>-0.31632000000000016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A26" s="2" t="s">
        <v>44</v>
      </c>
      <c r="B26" s="16">
        <v>10</v>
      </c>
      <c r="C26" s="16">
        <v>51</v>
      </c>
      <c r="D26" s="56" t="s">
        <v>13</v>
      </c>
      <c r="E26" s="57">
        <v>0.88019999999999998</v>
      </c>
      <c r="F26" s="58">
        <f>B26*E26</f>
        <v>8.8019999999999996</v>
      </c>
      <c r="G26" s="59">
        <v>9</v>
      </c>
      <c r="H26" s="57">
        <f>(G26/B26)</f>
        <v>0.9</v>
      </c>
      <c r="I26" s="60">
        <f>(E26*B26-G26)</f>
        <v>-0.1980000000000004</v>
      </c>
      <c r="J26" s="61" t="str">
        <f>IF(SUM(I26)&gt;0,"YES","NO")</f>
        <v>NO</v>
      </c>
      <c r="K26" s="57">
        <f>E26*0.8</f>
        <v>0.70416000000000001</v>
      </c>
      <c r="L26" s="58">
        <f>K26*B26</f>
        <v>7.0415999999999999</v>
      </c>
      <c r="M26" s="58">
        <f>L26-G26</f>
        <v>-1.9584000000000001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25">
      <c r="A27" s="17"/>
      <c r="B27" s="18"/>
      <c r="C27" s="18"/>
      <c r="D27" s="56" t="s">
        <v>14</v>
      </c>
      <c r="E27" s="57">
        <v>0.48499999999999999</v>
      </c>
      <c r="F27" s="58">
        <f>B26*E27</f>
        <v>4.8499999999999996</v>
      </c>
      <c r="G27" s="59">
        <v>8</v>
      </c>
      <c r="H27" s="57">
        <f>(G27/B26)</f>
        <v>0.8</v>
      </c>
      <c r="I27" s="60">
        <f>(E27*B26-G27)</f>
        <v>-3.1500000000000004</v>
      </c>
      <c r="J27" s="61" t="str">
        <f>IF(SUM(I27)&gt;0,"YES","NO")</f>
        <v>NO</v>
      </c>
      <c r="K27" s="57">
        <f>E27*0.8</f>
        <v>0.38800000000000001</v>
      </c>
      <c r="L27" s="58">
        <f>K27*B26</f>
        <v>3.88</v>
      </c>
      <c r="M27" s="58">
        <f>L27-G27</f>
        <v>-4.12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25">
      <c r="G28" s="36"/>
      <c r="I28" s="19"/>
    </row>
    <row r="29" spans="1:16" x14ac:dyDescent="0.25">
      <c r="G29" s="36"/>
      <c r="I29" s="22"/>
    </row>
    <row r="30" spans="1:16" x14ac:dyDescent="0.25">
      <c r="B30" s="4"/>
      <c r="I30" s="22"/>
    </row>
    <row r="31" spans="1:16" x14ac:dyDescent="0.25">
      <c r="A31" s="4" t="s">
        <v>45</v>
      </c>
      <c r="B31" s="6">
        <f>B5+B8+B11+B14+B17+B20+B23+B26</f>
        <v>87</v>
      </c>
      <c r="D31" s="4" t="s">
        <v>46</v>
      </c>
      <c r="G31" s="64">
        <f>G5+G8+G11+G14+G17+G20+G23+G26</f>
        <v>51</v>
      </c>
      <c r="I31" s="22"/>
    </row>
    <row r="32" spans="1:16" x14ac:dyDescent="0.25">
      <c r="D32" s="4" t="s">
        <v>47</v>
      </c>
      <c r="G32" s="64">
        <f>+G6+G9+G12+G15+G18+G21+G24+G27</f>
        <v>21</v>
      </c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&amp;C&amp;"Arial,Regular"&amp;13GLOBAL FUNCTIONS
FINANCE
2000 AFFIRMATIVE ACTION PLAN
Utilization Analysis
Analysis Data as of 01/15/00</oddHeader>
    <oddFooter>&amp;Lo:\aap2000\corpinut.xls&amp;R&amp;"Arial,Regular"PAGE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8</v>
      </c>
      <c r="C5" s="65">
        <v>51</v>
      </c>
      <c r="D5" s="69" t="s">
        <v>13</v>
      </c>
      <c r="E5" s="70">
        <v>0.27300000000000002</v>
      </c>
      <c r="F5" s="71">
        <f>B5*E5</f>
        <v>2.1840000000000002</v>
      </c>
      <c r="G5" s="72">
        <v>0</v>
      </c>
      <c r="H5" s="70">
        <f>(G5/B5)</f>
        <v>0</v>
      </c>
      <c r="I5" s="73">
        <f>(E5*B5-G5)</f>
        <v>2.1840000000000002</v>
      </c>
      <c r="J5" s="74" t="str">
        <f>IF(SUM(I5)&gt;0,"YES","NO")</f>
        <v>YES</v>
      </c>
      <c r="K5" s="70">
        <f>E5*0.8</f>
        <v>0.21840000000000004</v>
      </c>
      <c r="L5" s="71">
        <f>K5*B5</f>
        <v>1.7472000000000003</v>
      </c>
      <c r="M5" s="71">
        <f>L5-G5</f>
        <v>1.7472000000000003</v>
      </c>
      <c r="N5" s="75"/>
      <c r="O5" s="74" t="str">
        <f>IF(SUM(L5)&lt;=G5,"YES","NO")</f>
        <v>NO</v>
      </c>
      <c r="P5" s="76" t="str">
        <f>IF(SUM(M5)&gt;=1,"*"," ")</f>
        <v>*</v>
      </c>
    </row>
    <row r="6" spans="1:16" x14ac:dyDescent="0.25">
      <c r="A6" s="17"/>
      <c r="B6" s="18"/>
      <c r="C6" s="18"/>
      <c r="D6" s="2" t="s">
        <v>14</v>
      </c>
      <c r="E6" s="3">
        <v>0.1236</v>
      </c>
      <c r="F6" s="34">
        <f>B5*E6</f>
        <v>0.98880000000000001</v>
      </c>
      <c r="G6" s="45">
        <v>0</v>
      </c>
      <c r="H6" s="3">
        <f>(G6/B5)</f>
        <v>0</v>
      </c>
      <c r="I6" s="1">
        <f>(E6*B5-G6)</f>
        <v>0.98880000000000001</v>
      </c>
      <c r="J6" s="37" t="str">
        <f>IF(SUM(I6)&gt;0,"YES","NO")</f>
        <v>YES</v>
      </c>
      <c r="K6" s="3">
        <f>E6*0.8</f>
        <v>9.888000000000001E-2</v>
      </c>
      <c r="L6" s="34">
        <f>K6*B5</f>
        <v>0.79104000000000008</v>
      </c>
      <c r="M6" s="34">
        <f>L6-G6</f>
        <v>0.79104000000000008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11</v>
      </c>
      <c r="C8" s="65">
        <v>78</v>
      </c>
      <c r="D8" s="56" t="s">
        <v>13</v>
      </c>
      <c r="E8" s="57">
        <v>0.29089999999999999</v>
      </c>
      <c r="F8" s="58">
        <f>B8*E8</f>
        <v>3.1999</v>
      </c>
      <c r="G8" s="59">
        <v>5</v>
      </c>
      <c r="H8" s="57">
        <f>(G8/B8)</f>
        <v>0.45454545454545453</v>
      </c>
      <c r="I8" s="60">
        <f>(E8*B8-G8)</f>
        <v>-1.8001</v>
      </c>
      <c r="J8" s="61" t="str">
        <f>IF(SUM(I8)&gt;0,"YES","NO")</f>
        <v>NO</v>
      </c>
      <c r="K8" s="57">
        <f>E8*0.8</f>
        <v>0.23272000000000001</v>
      </c>
      <c r="L8" s="58">
        <f>K8*B8</f>
        <v>2.55992</v>
      </c>
      <c r="M8" s="58">
        <f>L8-G8</f>
        <v>-2.44008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56" t="s">
        <v>14</v>
      </c>
      <c r="E9" s="57">
        <v>0.1401</v>
      </c>
      <c r="F9" s="58">
        <f>B8*E9</f>
        <v>1.5411000000000001</v>
      </c>
      <c r="G9" s="59">
        <v>1</v>
      </c>
      <c r="H9" s="57">
        <f>(G9/B8)</f>
        <v>9.0909090909090912E-2</v>
      </c>
      <c r="I9" s="60">
        <f>(E9*B8-G9)</f>
        <v>0.54110000000000014</v>
      </c>
      <c r="J9" s="61" t="str">
        <f>IF(SUM(I9)&gt;0,"YES","NO")</f>
        <v>YES</v>
      </c>
      <c r="K9" s="57">
        <f>E9*0.8</f>
        <v>0.11208000000000001</v>
      </c>
      <c r="L9" s="58">
        <f>K9*B8</f>
        <v>1.2328800000000002</v>
      </c>
      <c r="M9" s="58">
        <f>L9-G9</f>
        <v>0.2328800000000002</v>
      </c>
      <c r="N9" s="55"/>
      <c r="O9" s="61" t="str">
        <f>IF(SUM(L9)&lt;=G9,"YES","NO")</f>
        <v>NO</v>
      </c>
      <c r="P9" s="62" t="str">
        <f>IF(SUM(M9)&gt;=1,"*"," ")</f>
        <v xml:space="preserve"> </v>
      </c>
    </row>
    <row r="10" spans="1:16" x14ac:dyDescent="0.25">
      <c r="D10" s="17"/>
      <c r="E10" s="20"/>
      <c r="F10" s="35"/>
      <c r="G10" s="46"/>
      <c r="H10" s="20"/>
      <c r="I10" s="21"/>
    </row>
    <row r="11" spans="1:16" x14ac:dyDescent="0.25">
      <c r="A11" s="2" t="s">
        <v>16</v>
      </c>
      <c r="B11" s="16">
        <v>17</v>
      </c>
      <c r="C11" s="16">
        <v>51</v>
      </c>
      <c r="D11" s="69" t="s">
        <v>13</v>
      </c>
      <c r="E11" s="70">
        <v>0.29239999999999999</v>
      </c>
      <c r="F11" s="71">
        <f>B11*E11</f>
        <v>4.9707999999999997</v>
      </c>
      <c r="G11" s="72">
        <v>2</v>
      </c>
      <c r="H11" s="70">
        <f>(G11/B11)</f>
        <v>0.11764705882352941</v>
      </c>
      <c r="I11" s="73">
        <f>(E11*B11-G11)</f>
        <v>2.9707999999999997</v>
      </c>
      <c r="J11" s="74" t="str">
        <f>IF(SUM(I11)&gt;0,"YES","NO")</f>
        <v>YES</v>
      </c>
      <c r="K11" s="70">
        <f>E11*0.8</f>
        <v>0.23392000000000002</v>
      </c>
      <c r="L11" s="71">
        <f>K11*B11</f>
        <v>3.9766400000000002</v>
      </c>
      <c r="M11" s="71">
        <f>L11-G11</f>
        <v>1.9766400000000002</v>
      </c>
      <c r="N11" s="75"/>
      <c r="O11" s="74" t="str">
        <f>IF(SUM(L11)&lt;=G11,"YES","NO")</f>
        <v>NO</v>
      </c>
      <c r="P11" s="76" t="str">
        <f>IF(SUM(M11)&gt;=1,"*"," ")</f>
        <v>*</v>
      </c>
    </row>
    <row r="12" spans="1:16" x14ac:dyDescent="0.25">
      <c r="A12" s="17"/>
      <c r="B12" s="18"/>
      <c r="C12" s="18"/>
      <c r="D12" s="56" t="s">
        <v>14</v>
      </c>
      <c r="E12" s="57">
        <v>0.14410000000000001</v>
      </c>
      <c r="F12" s="58">
        <f>B11*E12</f>
        <v>2.4497</v>
      </c>
      <c r="G12" s="59">
        <v>1</v>
      </c>
      <c r="H12" s="57">
        <f>(G12/B11)</f>
        <v>5.8823529411764705E-2</v>
      </c>
      <c r="I12" s="60">
        <f>(E12*B11-G12)</f>
        <v>1.4497</v>
      </c>
      <c r="J12" s="61" t="str">
        <f>IF(SUM(I12)&gt;0,"YES","NO")</f>
        <v>YES</v>
      </c>
      <c r="K12" s="57">
        <f>E12*0.8</f>
        <v>0.11528000000000001</v>
      </c>
      <c r="L12" s="58">
        <f>K12*B11</f>
        <v>1.9597600000000002</v>
      </c>
      <c r="M12" s="58">
        <f>L12-G12</f>
        <v>0.95976000000000017</v>
      </c>
      <c r="N12" s="55"/>
      <c r="O12" s="61" t="str">
        <f>IF(SUM(L12)&lt;=G12,"YES","NO")</f>
        <v>NO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50</v>
      </c>
      <c r="B14" s="65">
        <v>28</v>
      </c>
      <c r="C14" s="65">
        <v>51</v>
      </c>
      <c r="D14" s="56" t="s">
        <v>13</v>
      </c>
      <c r="E14" s="63">
        <v>0.4012</v>
      </c>
      <c r="F14" s="58">
        <f>B14*E14</f>
        <v>11.233599999999999</v>
      </c>
      <c r="G14" s="59">
        <v>17</v>
      </c>
      <c r="H14" s="57">
        <f>(G14/B14)</f>
        <v>0.6071428571428571</v>
      </c>
      <c r="I14" s="60">
        <f>(E14*B14-G14)</f>
        <v>-5.7664000000000009</v>
      </c>
      <c r="J14" s="61" t="str">
        <f>IF(SUM(I14)&gt;0,"YES","NO")</f>
        <v>NO</v>
      </c>
      <c r="K14" s="57">
        <f>E14*0.8</f>
        <v>0.32096000000000002</v>
      </c>
      <c r="L14" s="58">
        <f>K14*B14</f>
        <v>8.9868800000000011</v>
      </c>
      <c r="M14" s="58">
        <f>L14-G14</f>
        <v>-8.0131199999999989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0.18079999999999999</v>
      </c>
      <c r="F15" s="58">
        <f>B14*E15</f>
        <v>5.0623999999999993</v>
      </c>
      <c r="G15" s="59">
        <v>12</v>
      </c>
      <c r="H15" s="57">
        <f>(G15/B14)</f>
        <v>0.42857142857142855</v>
      </c>
      <c r="I15" s="60">
        <f>(E15*B14-G15)</f>
        <v>-6.9376000000000007</v>
      </c>
      <c r="J15" s="61" t="str">
        <f>IF(SUM(I15)&gt;0,"YES","NO")</f>
        <v>NO</v>
      </c>
      <c r="K15" s="57">
        <f>E15*0.8</f>
        <v>0.14463999999999999</v>
      </c>
      <c r="L15" s="58">
        <f>K15*B14</f>
        <v>4.0499200000000002</v>
      </c>
      <c r="M15" s="58">
        <f>L15-G15</f>
        <v>-7.9500799999999998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x14ac:dyDescent="0.25">
      <c r="A17" s="2" t="s">
        <v>51</v>
      </c>
      <c r="B17" s="16">
        <v>15</v>
      </c>
      <c r="C17" s="16">
        <v>51</v>
      </c>
      <c r="D17" s="56" t="s">
        <v>13</v>
      </c>
      <c r="E17" s="57">
        <v>9.9299999999999999E-2</v>
      </c>
      <c r="F17" s="58">
        <f>B17*E17</f>
        <v>1.4895</v>
      </c>
      <c r="G17" s="59">
        <v>4</v>
      </c>
      <c r="H17" s="57">
        <f>(G17/B17)</f>
        <v>0.26666666666666666</v>
      </c>
      <c r="I17" s="60">
        <f>(E17*B17-G17)</f>
        <v>-2.5105</v>
      </c>
      <c r="J17" s="61" t="str">
        <f>IF(SUM(I17)&gt;0,"YES","NO")</f>
        <v>NO</v>
      </c>
      <c r="K17" s="57">
        <f>E17*0.8</f>
        <v>7.9440000000000011E-2</v>
      </c>
      <c r="L17" s="58">
        <f>K17*B17</f>
        <v>1.1916000000000002</v>
      </c>
      <c r="M17" s="58">
        <f>L17-G17</f>
        <v>-2.8083999999999998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x14ac:dyDescent="0.25">
      <c r="A18" s="17"/>
      <c r="B18" s="18"/>
      <c r="C18" s="18"/>
      <c r="D18" s="69" t="s">
        <v>14</v>
      </c>
      <c r="E18" s="70">
        <v>0.1235</v>
      </c>
      <c r="F18" s="71">
        <f>B17*E18</f>
        <v>1.8525</v>
      </c>
      <c r="G18" s="72">
        <v>0</v>
      </c>
      <c r="H18" s="70">
        <f>(G18/B17)</f>
        <v>0</v>
      </c>
      <c r="I18" s="73">
        <f>(E18*B17-G18)</f>
        <v>1.8525</v>
      </c>
      <c r="J18" s="74" t="str">
        <f>IF(SUM(I18)&gt;0,"YES","NO")</f>
        <v>YES</v>
      </c>
      <c r="K18" s="70">
        <f>E18*0.8</f>
        <v>9.8799999999999999E-2</v>
      </c>
      <c r="L18" s="71">
        <f>K18*B17</f>
        <v>1.482</v>
      </c>
      <c r="M18" s="71">
        <f>L18-G18</f>
        <v>1.482</v>
      </c>
      <c r="N18" s="75"/>
      <c r="O18" s="74" t="str">
        <f>IF(SUM(L18)&lt;=G18,"YES","NO")</f>
        <v>NO</v>
      </c>
      <c r="P18" s="76" t="str">
        <f>IF(SUM(M18)&gt;=1,"*"," ")</f>
        <v>*</v>
      </c>
    </row>
    <row r="19" spans="1:16" x14ac:dyDescent="0.25">
      <c r="G19" s="36"/>
      <c r="I19" s="19"/>
    </row>
    <row r="20" spans="1:16" x14ac:dyDescent="0.25">
      <c r="A20" s="2" t="s">
        <v>44</v>
      </c>
      <c r="B20" s="16">
        <v>9</v>
      </c>
      <c r="C20" s="16">
        <v>51</v>
      </c>
      <c r="D20" s="56" t="s">
        <v>13</v>
      </c>
      <c r="E20" s="57">
        <v>0.89959999999999996</v>
      </c>
      <c r="F20" s="58">
        <f>B20*E20</f>
        <v>8.0963999999999992</v>
      </c>
      <c r="G20" s="59">
        <v>9</v>
      </c>
      <c r="H20" s="57">
        <f>(G20/B20)</f>
        <v>1</v>
      </c>
      <c r="I20" s="60">
        <f>(E20*B20-G20)</f>
        <v>-0.90360000000000085</v>
      </c>
      <c r="J20" s="61" t="str">
        <f>IF(SUM(I20)&gt;0,"YES","NO")</f>
        <v>NO</v>
      </c>
      <c r="K20" s="57">
        <f>E20*0.8</f>
        <v>0.71967999999999999</v>
      </c>
      <c r="L20" s="58">
        <f>K20*B20</f>
        <v>6.4771200000000002</v>
      </c>
      <c r="M20" s="58">
        <f>L20-G20</f>
        <v>-2.5228799999999998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x14ac:dyDescent="0.25">
      <c r="A21" s="17"/>
      <c r="B21" s="18"/>
      <c r="C21" s="18"/>
      <c r="D21" s="56" t="s">
        <v>14</v>
      </c>
      <c r="E21" s="57">
        <v>0.27410000000000001</v>
      </c>
      <c r="F21" s="58">
        <f>B20*E21</f>
        <v>2.4668999999999999</v>
      </c>
      <c r="G21" s="59">
        <v>6</v>
      </c>
      <c r="H21" s="57">
        <f>(G21/B20)</f>
        <v>0.66666666666666663</v>
      </c>
      <c r="I21" s="60">
        <f>(E21*B20-G21)</f>
        <v>-3.5331000000000001</v>
      </c>
      <c r="J21" s="61" t="str">
        <f>IF(SUM(I21)&gt;0,"YES","NO")</f>
        <v>NO</v>
      </c>
      <c r="K21" s="57">
        <f>E21*0.8</f>
        <v>0.21928000000000003</v>
      </c>
      <c r="L21" s="58">
        <f>K21*B20</f>
        <v>1.9735200000000002</v>
      </c>
      <c r="M21" s="58">
        <f>L21-G21</f>
        <v>-4.0264799999999994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G23" s="36"/>
      <c r="I23" s="22"/>
    </row>
    <row r="24" spans="1:16" x14ac:dyDescent="0.25">
      <c r="B24" s="4"/>
      <c r="I24" s="22"/>
    </row>
    <row r="25" spans="1:16" x14ac:dyDescent="0.25">
      <c r="A25" s="4" t="s">
        <v>45</v>
      </c>
      <c r="B25" s="6">
        <f>B5+B8+B11+B14+B17+B20</f>
        <v>88</v>
      </c>
      <c r="D25" s="4" t="s">
        <v>46</v>
      </c>
      <c r="G25" s="64">
        <f>G5+G8+G11+G14+G17+G20</f>
        <v>37</v>
      </c>
      <c r="I25" s="22"/>
    </row>
    <row r="26" spans="1:16" x14ac:dyDescent="0.25">
      <c r="D26" s="4" t="s">
        <v>47</v>
      </c>
      <c r="G26" s="64">
        <f>+G6+G9+G12+G15+G18+G21</f>
        <v>20</v>
      </c>
      <c r="I26" s="22"/>
    </row>
    <row r="27" spans="1:16" x14ac:dyDescent="0.25">
      <c r="I27" s="22"/>
    </row>
    <row r="28" spans="1:16" x14ac:dyDescent="0.25">
      <c r="I28" s="22"/>
    </row>
    <row r="29" spans="1:16" x14ac:dyDescent="0.25">
      <c r="I29" s="22"/>
    </row>
    <row r="30" spans="1:16" x14ac:dyDescent="0.25">
      <c r="I30" s="22"/>
    </row>
    <row r="31" spans="1:16" x14ac:dyDescent="0.25">
      <c r="I31" s="22"/>
    </row>
    <row r="32" spans="1:16" x14ac:dyDescent="0.25"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&amp;C&amp;"Arial,Regular"&amp;13CORP/RISK ASSESSMENT &amp; CONTROL
2000 AFFIRMATIVE ACTION PLAN
Utilization Analysis
Analysis Data as of 01/15/00</oddHeader>
    <oddFooter>&amp;Lo:\aap2000\corpinut.xls&amp;R&amp;"Arial,Regular"PAGE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16</v>
      </c>
      <c r="C5" s="65">
        <v>51</v>
      </c>
      <c r="D5" s="69" t="s">
        <v>13</v>
      </c>
      <c r="E5" s="70">
        <v>0.32100000000000001</v>
      </c>
      <c r="F5" s="71">
        <f>B5*E5</f>
        <v>5.1360000000000001</v>
      </c>
      <c r="G5" s="72">
        <v>3</v>
      </c>
      <c r="H5" s="70">
        <f>(G5/B5)</f>
        <v>0.1875</v>
      </c>
      <c r="I5" s="73">
        <f>(E5*B5-G5)</f>
        <v>2.1360000000000001</v>
      </c>
      <c r="J5" s="74" t="str">
        <f>IF(SUM(I5)&gt;0,"YES","NO")</f>
        <v>YES</v>
      </c>
      <c r="K5" s="70">
        <f>E5*0.8</f>
        <v>0.25680000000000003</v>
      </c>
      <c r="L5" s="71">
        <f>K5*B5</f>
        <v>4.1088000000000005</v>
      </c>
      <c r="M5" s="71">
        <f>L5-G5</f>
        <v>1.1088000000000005</v>
      </c>
      <c r="N5" s="75"/>
      <c r="O5" s="74" t="str">
        <f>IF(SUM(L5)&lt;=G5,"YES","NO")</f>
        <v>NO</v>
      </c>
      <c r="P5" s="76" t="str">
        <f>IF(SUM(M5)&gt;=1,"*"," ")</f>
        <v>*</v>
      </c>
    </row>
    <row r="6" spans="1:16" x14ac:dyDescent="0.25">
      <c r="A6" s="17"/>
      <c r="B6" s="18"/>
      <c r="C6" s="18"/>
      <c r="D6" s="69" t="s">
        <v>14</v>
      </c>
      <c r="E6" s="70">
        <v>0.1285</v>
      </c>
      <c r="F6" s="71">
        <f>B5*E6</f>
        <v>2.056</v>
      </c>
      <c r="G6" s="72">
        <v>0</v>
      </c>
      <c r="H6" s="70">
        <f>(G6/B5)</f>
        <v>0</v>
      </c>
      <c r="I6" s="73">
        <f>(E6*B5-G6)</f>
        <v>2.056</v>
      </c>
      <c r="J6" s="74" t="str">
        <f>IF(SUM(I6)&gt;0,"YES","NO")</f>
        <v>YES</v>
      </c>
      <c r="K6" s="70">
        <f>E6*0.8</f>
        <v>0.1028</v>
      </c>
      <c r="L6" s="71">
        <f>K6*B5</f>
        <v>1.6448</v>
      </c>
      <c r="M6" s="71">
        <f>L6-G6</f>
        <v>1.6448</v>
      </c>
      <c r="N6" s="75"/>
      <c r="O6" s="74" t="str">
        <f>IF(SUM(L6)&lt;=G6,"YES","NO")</f>
        <v>NO</v>
      </c>
      <c r="P6" s="76" t="str">
        <f>IF(SUM(M6)&gt;=1,"*"," ")</f>
        <v>*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55</v>
      </c>
      <c r="C8" s="65">
        <v>78</v>
      </c>
      <c r="D8" s="56" t="s">
        <v>13</v>
      </c>
      <c r="E8" s="57">
        <v>0.33279999999999998</v>
      </c>
      <c r="F8" s="58">
        <f>B8*E8</f>
        <v>18.303999999999998</v>
      </c>
      <c r="G8" s="59">
        <v>24</v>
      </c>
      <c r="H8" s="57">
        <f>(G8/B8)</f>
        <v>0.43636363636363634</v>
      </c>
      <c r="I8" s="60">
        <f>(E8*B8-G8)</f>
        <v>-5.6960000000000015</v>
      </c>
      <c r="J8" s="61" t="str">
        <f>IF(SUM(I8)&gt;0,"YES","NO")</f>
        <v>NO</v>
      </c>
      <c r="K8" s="57">
        <f>E8*0.8</f>
        <v>0.26623999999999998</v>
      </c>
      <c r="L8" s="58">
        <f>K8*B8</f>
        <v>14.643199999999998</v>
      </c>
      <c r="M8" s="58">
        <f>L8-G8</f>
        <v>-9.3568000000000016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69" t="s">
        <v>14</v>
      </c>
      <c r="E9" s="70">
        <v>0.13739999999999999</v>
      </c>
      <c r="F9" s="71">
        <f>B8*E9</f>
        <v>7.5569999999999995</v>
      </c>
      <c r="G9" s="72">
        <v>3</v>
      </c>
      <c r="H9" s="70">
        <f>(G9/B8)</f>
        <v>5.4545454545454543E-2</v>
      </c>
      <c r="I9" s="73">
        <f>(E9*B8-G9)</f>
        <v>4.5569999999999995</v>
      </c>
      <c r="J9" s="74" t="str">
        <f>IF(SUM(I9)&gt;0,"YES","NO")</f>
        <v>YES</v>
      </c>
      <c r="K9" s="70">
        <f>E9*0.8</f>
        <v>0.10992</v>
      </c>
      <c r="L9" s="71">
        <f>K9*B8</f>
        <v>6.0456000000000003</v>
      </c>
      <c r="M9" s="71">
        <f>L9-G9</f>
        <v>3.0456000000000003</v>
      </c>
      <c r="N9" s="75"/>
      <c r="O9" s="74" t="str">
        <f>IF(SUM(L9)&lt;=G9,"YES","NO")</f>
        <v>NO</v>
      </c>
      <c r="P9" s="76" t="str">
        <f>IF(SUM(M9)&gt;=1,"*"," ")</f>
        <v>*</v>
      </c>
    </row>
    <row r="10" spans="1:16" x14ac:dyDescent="0.25">
      <c r="D10" s="17"/>
      <c r="E10" s="20"/>
      <c r="F10" s="35"/>
      <c r="G10" s="46"/>
      <c r="H10" s="20"/>
      <c r="I10" s="21"/>
    </row>
    <row r="11" spans="1:16" s="66" customFormat="1" x14ac:dyDescent="0.25">
      <c r="A11" s="56" t="s">
        <v>16</v>
      </c>
      <c r="B11" s="65">
        <v>49</v>
      </c>
      <c r="C11" s="65">
        <v>51</v>
      </c>
      <c r="D11" s="56" t="s">
        <v>13</v>
      </c>
      <c r="E11" s="57">
        <v>0.34329999999999999</v>
      </c>
      <c r="F11" s="58">
        <f>B11*E11</f>
        <v>16.8217</v>
      </c>
      <c r="G11" s="59">
        <v>21</v>
      </c>
      <c r="H11" s="57">
        <f>(G11/B11)</f>
        <v>0.42857142857142855</v>
      </c>
      <c r="I11" s="60">
        <f>(E11*B11-G11)</f>
        <v>-4.1783000000000001</v>
      </c>
      <c r="J11" s="61" t="str">
        <f>IF(SUM(I11)&gt;0,"YES","NO")</f>
        <v>NO</v>
      </c>
      <c r="K11" s="57">
        <f>E11*0.8</f>
        <v>0.27464</v>
      </c>
      <c r="L11" s="58">
        <f>K11*B11</f>
        <v>13.45736</v>
      </c>
      <c r="M11" s="58">
        <f>L11-G11</f>
        <v>-7.5426400000000005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0.15559999999999999</v>
      </c>
      <c r="F12" s="58">
        <f>B11*E12</f>
        <v>7.6243999999999996</v>
      </c>
      <c r="G12" s="59">
        <v>10</v>
      </c>
      <c r="H12" s="57">
        <f>(G12/B11)</f>
        <v>0.20408163265306123</v>
      </c>
      <c r="I12" s="60">
        <f>(E12*B11-G12)</f>
        <v>-2.3756000000000004</v>
      </c>
      <c r="J12" s="61" t="str">
        <f>IF(SUM(I12)&gt;0,"YES","NO")</f>
        <v>NO</v>
      </c>
      <c r="K12" s="57">
        <f>E12*0.8</f>
        <v>0.12447999999999999</v>
      </c>
      <c r="L12" s="58">
        <f>K12*B11</f>
        <v>6.0995200000000001</v>
      </c>
      <c r="M12" s="58">
        <f>L12-G12</f>
        <v>-3.9004799999999999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50</v>
      </c>
      <c r="B14" s="65">
        <v>17</v>
      </c>
      <c r="C14" s="65">
        <v>51</v>
      </c>
      <c r="D14" s="56" t="s">
        <v>13</v>
      </c>
      <c r="E14" s="63">
        <v>0.30409999999999998</v>
      </c>
      <c r="F14" s="58">
        <f>B14*E14</f>
        <v>5.1696999999999997</v>
      </c>
      <c r="G14" s="59">
        <v>10</v>
      </c>
      <c r="H14" s="57">
        <f>(G14/B14)</f>
        <v>0.58823529411764708</v>
      </c>
      <c r="I14" s="60">
        <f>(E14*B14-G14)</f>
        <v>-4.8303000000000003</v>
      </c>
      <c r="J14" s="61" t="str">
        <f>IF(SUM(I14)&gt;0,"YES","NO")</f>
        <v>NO</v>
      </c>
      <c r="K14" s="57">
        <f>E14*0.8</f>
        <v>0.24328</v>
      </c>
      <c r="L14" s="58">
        <f>K14*B14</f>
        <v>4.1357600000000003</v>
      </c>
      <c r="M14" s="58">
        <f>L14-G14</f>
        <v>-5.8642399999999997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0.15479999999999999</v>
      </c>
      <c r="F15" s="58">
        <f>B14*E15</f>
        <v>2.6315999999999997</v>
      </c>
      <c r="G15" s="59">
        <v>6</v>
      </c>
      <c r="H15" s="57">
        <f>(G15/B14)</f>
        <v>0.35294117647058826</v>
      </c>
      <c r="I15" s="60">
        <f>(E15*B14-G15)</f>
        <v>-3.3684000000000003</v>
      </c>
      <c r="J15" s="61" t="str">
        <f>IF(SUM(I15)&gt;0,"YES","NO")</f>
        <v>NO</v>
      </c>
      <c r="K15" s="57">
        <f>E15*0.8</f>
        <v>0.12384000000000001</v>
      </c>
      <c r="L15" s="58">
        <f>K15*B14</f>
        <v>2.10528</v>
      </c>
      <c r="M15" s="58">
        <f>L15-G15</f>
        <v>-3.89472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x14ac:dyDescent="0.25">
      <c r="A17" s="2" t="s">
        <v>56</v>
      </c>
      <c r="B17" s="16">
        <v>32</v>
      </c>
      <c r="C17" s="16">
        <v>51</v>
      </c>
      <c r="D17" s="56" t="s">
        <v>13</v>
      </c>
      <c r="E17" s="57">
        <v>0.28799999999999998</v>
      </c>
      <c r="F17" s="58">
        <f>B17*E17</f>
        <v>9.2159999999999993</v>
      </c>
      <c r="G17" s="59">
        <v>12</v>
      </c>
      <c r="H17" s="57">
        <f>(G17/B17)</f>
        <v>0.375</v>
      </c>
      <c r="I17" s="60">
        <f>(E17*B17-G17)</f>
        <v>-2.7840000000000007</v>
      </c>
      <c r="J17" s="61" t="str">
        <f>IF(SUM(I17)&gt;0,"YES","NO")</f>
        <v>NO</v>
      </c>
      <c r="K17" s="57">
        <f>E17*0.8</f>
        <v>0.23039999999999999</v>
      </c>
      <c r="L17" s="58">
        <f>K17*B17</f>
        <v>7.3727999999999998</v>
      </c>
      <c r="M17" s="58">
        <f>L17-G17</f>
        <v>-4.6272000000000002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0.19889999999999999</v>
      </c>
      <c r="F18" s="58">
        <f>B17*E18</f>
        <v>6.3647999999999998</v>
      </c>
      <c r="G18" s="59">
        <v>9</v>
      </c>
      <c r="H18" s="57">
        <f>(G18/B17)</f>
        <v>0.28125</v>
      </c>
      <c r="I18" s="60">
        <f>(E18*B17-G18)</f>
        <v>-2.6352000000000002</v>
      </c>
      <c r="J18" s="61" t="str">
        <f>IF(SUM(I18)&gt;0,"YES","NO")</f>
        <v>NO</v>
      </c>
      <c r="K18" s="57">
        <f>E18*0.8</f>
        <v>0.15912000000000001</v>
      </c>
      <c r="L18" s="58">
        <f>K18*B17</f>
        <v>5.0918400000000004</v>
      </c>
      <c r="M18" s="58">
        <f>L18-G18</f>
        <v>-3.9081599999999996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57</v>
      </c>
      <c r="B20" s="16">
        <v>55</v>
      </c>
      <c r="C20" s="16">
        <v>51</v>
      </c>
      <c r="D20" s="56" t="s">
        <v>13</v>
      </c>
      <c r="E20" s="57">
        <v>0.41220000000000001</v>
      </c>
      <c r="F20" s="58">
        <f>B20*E20</f>
        <v>22.670999999999999</v>
      </c>
      <c r="G20" s="59">
        <v>25</v>
      </c>
      <c r="H20" s="57">
        <f>(G20/B20)</f>
        <v>0.45454545454545453</v>
      </c>
      <c r="I20" s="60">
        <f>(E20*B20-G20)</f>
        <v>-2.3290000000000006</v>
      </c>
      <c r="J20" s="61" t="str">
        <f>IF(SUM(I20)&gt;0,"YES","NO")</f>
        <v>NO</v>
      </c>
      <c r="K20" s="57">
        <f>E20*0.8</f>
        <v>0.32976000000000005</v>
      </c>
      <c r="L20" s="58">
        <f>K20*B20</f>
        <v>18.136800000000004</v>
      </c>
      <c r="M20" s="58">
        <f>L20-G20</f>
        <v>-6.8631999999999955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25">
      <c r="A21" s="67"/>
      <c r="B21" s="68"/>
      <c r="C21" s="68"/>
      <c r="D21" s="56" t="s">
        <v>14</v>
      </c>
      <c r="E21" s="57">
        <v>0.1898</v>
      </c>
      <c r="F21" s="58">
        <f>B20*E21</f>
        <v>10.439</v>
      </c>
      <c r="G21" s="59">
        <v>22</v>
      </c>
      <c r="H21" s="57">
        <f>(G21/B20)</f>
        <v>0.4</v>
      </c>
      <c r="I21" s="60">
        <f>(E21*B20-G21)</f>
        <v>-11.561</v>
      </c>
      <c r="J21" s="61" t="str">
        <f>IF(SUM(I21)&gt;0,"YES","NO")</f>
        <v>NO</v>
      </c>
      <c r="K21" s="57">
        <f>E21*0.8</f>
        <v>0.15184</v>
      </c>
      <c r="L21" s="58">
        <f>K21*B20</f>
        <v>8.3512000000000004</v>
      </c>
      <c r="M21" s="58">
        <f>L21-G21</f>
        <v>-13.6488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58</v>
      </c>
      <c r="B23" s="16">
        <v>57</v>
      </c>
      <c r="C23" s="16">
        <v>51</v>
      </c>
      <c r="D23" s="56" t="s">
        <v>13</v>
      </c>
      <c r="E23" s="57">
        <v>0.43020000000000003</v>
      </c>
      <c r="F23" s="58">
        <f>B23*E23</f>
        <v>24.5214</v>
      </c>
      <c r="G23" s="59">
        <v>39</v>
      </c>
      <c r="H23" s="57">
        <f>(G23/B23)</f>
        <v>0.68421052631578949</v>
      </c>
      <c r="I23" s="60">
        <f>(E23*B23-G23)</f>
        <v>-14.4786</v>
      </c>
      <c r="J23" s="61" t="str">
        <f>IF(SUM(I23)&gt;0,"YES","NO")</f>
        <v>NO</v>
      </c>
      <c r="K23" s="57">
        <f>E23*0.8</f>
        <v>0.34416000000000002</v>
      </c>
      <c r="L23" s="58">
        <f>K23*B23</f>
        <v>19.61712</v>
      </c>
      <c r="M23" s="58">
        <f>L23-G23</f>
        <v>-19.38288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25">
      <c r="A24" s="67"/>
      <c r="B24" s="68"/>
      <c r="C24" s="68"/>
      <c r="D24" s="56" t="s">
        <v>14</v>
      </c>
      <c r="E24" s="57">
        <v>0.19220000000000001</v>
      </c>
      <c r="F24" s="58">
        <f>B23*E24</f>
        <v>10.955400000000001</v>
      </c>
      <c r="G24" s="59">
        <v>25</v>
      </c>
      <c r="H24" s="57">
        <f>(G24/B23)</f>
        <v>0.43859649122807015</v>
      </c>
      <c r="I24" s="60">
        <f>(E24*B23-G24)</f>
        <v>-14.044599999999999</v>
      </c>
      <c r="J24" s="61" t="str">
        <f>IF(SUM(I24)&gt;0,"YES","NO")</f>
        <v>NO</v>
      </c>
      <c r="K24" s="57">
        <f>E24*0.8</f>
        <v>0.15376000000000001</v>
      </c>
      <c r="L24" s="58">
        <f>K24*B23</f>
        <v>8.7643199999999997</v>
      </c>
      <c r="M24" s="58">
        <f>L24-G24</f>
        <v>-16.235680000000002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A26" s="2" t="s">
        <v>48</v>
      </c>
      <c r="B26" s="16">
        <v>48</v>
      </c>
      <c r="C26" s="16">
        <v>51</v>
      </c>
      <c r="D26" s="56" t="s">
        <v>13</v>
      </c>
      <c r="E26" s="57">
        <v>0.92730000000000001</v>
      </c>
      <c r="F26" s="58">
        <f>B26*E26</f>
        <v>44.510400000000004</v>
      </c>
      <c r="G26" s="59">
        <v>46</v>
      </c>
      <c r="H26" s="57">
        <f>(G26/B26)</f>
        <v>0.95833333333333337</v>
      </c>
      <c r="I26" s="60">
        <f>(E26*B26-G26)</f>
        <v>-1.4895999999999958</v>
      </c>
      <c r="J26" s="61" t="str">
        <f>IF(SUM(I26)&gt;0,"YES","NO")</f>
        <v>NO</v>
      </c>
      <c r="K26" s="57">
        <f>E26*0.8</f>
        <v>0.74184000000000005</v>
      </c>
      <c r="L26" s="58">
        <f>K26*B26</f>
        <v>35.608320000000006</v>
      </c>
      <c r="M26" s="58">
        <f>L26-G26</f>
        <v>-10.391679999999994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25">
      <c r="A27" s="17"/>
      <c r="B27" s="18"/>
      <c r="C27" s="18"/>
      <c r="D27" s="56" t="s">
        <v>14</v>
      </c>
      <c r="E27" s="57">
        <v>0.40329999999999999</v>
      </c>
      <c r="F27" s="58">
        <f>B26*E27</f>
        <v>19.3584</v>
      </c>
      <c r="G27" s="59">
        <v>25</v>
      </c>
      <c r="H27" s="57">
        <f>(G27/B26)</f>
        <v>0.52083333333333337</v>
      </c>
      <c r="I27" s="60">
        <f>(E27*B26-G27)</f>
        <v>-5.6416000000000004</v>
      </c>
      <c r="J27" s="61" t="str">
        <f>IF(SUM(I27)&gt;0,"YES","NO")</f>
        <v>NO</v>
      </c>
      <c r="K27" s="57">
        <f>E27*0.8</f>
        <v>0.32264000000000004</v>
      </c>
      <c r="L27" s="58">
        <f>K27*B26</f>
        <v>15.486720000000002</v>
      </c>
      <c r="M27" s="58">
        <f>L27-G27</f>
        <v>-9.5132799999999982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25">
      <c r="G28" s="36"/>
      <c r="I28" s="19"/>
    </row>
    <row r="29" spans="1:16" x14ac:dyDescent="0.25">
      <c r="A29" s="2" t="s">
        <v>44</v>
      </c>
      <c r="B29" s="16">
        <v>32</v>
      </c>
      <c r="C29" s="16">
        <v>51</v>
      </c>
      <c r="D29" s="56" t="s">
        <v>13</v>
      </c>
      <c r="E29" s="57">
        <v>0.88560000000000005</v>
      </c>
      <c r="F29" s="58">
        <f>B29*E29</f>
        <v>28.339200000000002</v>
      </c>
      <c r="G29" s="59">
        <v>31</v>
      </c>
      <c r="H29" s="57">
        <f>(G29/B29)</f>
        <v>0.96875</v>
      </c>
      <c r="I29" s="60">
        <f>(E29*B29-G29)</f>
        <v>-2.6607999999999983</v>
      </c>
      <c r="J29" s="61" t="str">
        <f>IF(SUM(I29)&gt;0,"YES","NO")</f>
        <v>NO</v>
      </c>
      <c r="K29" s="57">
        <f>E29*0.8</f>
        <v>0.70848000000000011</v>
      </c>
      <c r="L29" s="58">
        <f>K29*B29</f>
        <v>22.671360000000004</v>
      </c>
      <c r="M29" s="58">
        <f>L29-G29</f>
        <v>-8.3286399999999965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x14ac:dyDescent="0.25">
      <c r="A30" s="17"/>
      <c r="B30" s="18"/>
      <c r="C30" s="18"/>
      <c r="D30" s="56" t="s">
        <v>14</v>
      </c>
      <c r="E30" s="57">
        <v>0.3241</v>
      </c>
      <c r="F30" s="58">
        <f>B29*E30</f>
        <v>10.3712</v>
      </c>
      <c r="G30" s="59">
        <v>24</v>
      </c>
      <c r="H30" s="57">
        <f>(G30/B29)</f>
        <v>0.75</v>
      </c>
      <c r="I30" s="60">
        <f>(E30*B29-G30)</f>
        <v>-13.6288</v>
      </c>
      <c r="J30" s="61" t="str">
        <f>IF(SUM(I30)&gt;0,"YES","NO")</f>
        <v>NO</v>
      </c>
      <c r="K30" s="57">
        <f>E30*0.8</f>
        <v>0.25928000000000001</v>
      </c>
      <c r="L30" s="58">
        <f>K30*B29</f>
        <v>8.2969600000000003</v>
      </c>
      <c r="M30" s="58">
        <f>L30-G30</f>
        <v>-15.70304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25">
      <c r="G31" s="36"/>
      <c r="I31" s="19"/>
    </row>
    <row r="32" spans="1:16" x14ac:dyDescent="0.25">
      <c r="G32" s="36"/>
      <c r="I32" s="22"/>
    </row>
    <row r="33" spans="1:9" x14ac:dyDescent="0.25">
      <c r="B33" s="4"/>
      <c r="I33" s="22"/>
    </row>
    <row r="34" spans="1:9" x14ac:dyDescent="0.25">
      <c r="A34" s="4" t="s">
        <v>45</v>
      </c>
      <c r="B34" s="6">
        <f>B5+B8+B11+B14+B17+B20+B23+B26+B29</f>
        <v>361</v>
      </c>
      <c r="D34" s="4" t="s">
        <v>46</v>
      </c>
      <c r="G34" s="64">
        <f>G5+G8+G11+G14+G17+G20+G23+G26+G29</f>
        <v>211</v>
      </c>
      <c r="I34" s="22"/>
    </row>
    <row r="35" spans="1:9" x14ac:dyDescent="0.25">
      <c r="D35" s="4" t="s">
        <v>47</v>
      </c>
      <c r="G35" s="64">
        <f>+G6+G9+G12+G15+G18+G21+G24+G27+G30</f>
        <v>124</v>
      </c>
      <c r="I35" s="22"/>
    </row>
    <row r="36" spans="1:9" x14ac:dyDescent="0.25">
      <c r="I36" s="22"/>
    </row>
    <row r="37" spans="1:9" x14ac:dyDescent="0.25">
      <c r="I37" s="22"/>
    </row>
    <row r="38" spans="1:9" x14ac:dyDescent="0.25">
      <c r="I38" s="22"/>
    </row>
    <row r="39" spans="1:9" x14ac:dyDescent="0.25">
      <c r="I39" s="22"/>
    </row>
    <row r="40" spans="1:9" x14ac:dyDescent="0.25">
      <c r="I40" s="22"/>
    </row>
    <row r="41" spans="1:9" x14ac:dyDescent="0.25">
      <c r="I41" s="22"/>
    </row>
    <row r="42" spans="1:9" x14ac:dyDescent="0.25">
      <c r="I42" s="22"/>
    </row>
    <row r="43" spans="1:9" x14ac:dyDescent="0.25">
      <c r="I43" s="22"/>
    </row>
    <row r="44" spans="1:9" x14ac:dyDescent="0.25">
      <c r="I44" s="22"/>
    </row>
    <row r="45" spans="1:9" x14ac:dyDescent="0.25">
      <c r="I45" s="22"/>
    </row>
    <row r="46" spans="1:9" x14ac:dyDescent="0.25">
      <c r="I46" s="22"/>
    </row>
    <row r="47" spans="1:9" x14ac:dyDescent="0.25">
      <c r="I47" s="22"/>
    </row>
    <row r="48" spans="1:9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  <row r="60" spans="9:9" x14ac:dyDescent="0.25">
      <c r="I60" s="22"/>
    </row>
    <row r="61" spans="9:9" x14ac:dyDescent="0.25">
      <c r="I61" s="22"/>
    </row>
    <row r="62" spans="9:9" x14ac:dyDescent="0.25">
      <c r="I62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ACCOUNTING
2000 AFFIRMATIVE ACTION PLAN
Utilization Analysis
Analysis Data as of 01/15/00</oddHeader>
    <oddFooter>&amp;Lo:\aap2000\corpinut.xls&amp;R&amp;"Arial,Regular"PAGE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showGridLines="0" tabSelected="1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16</v>
      </c>
      <c r="C5" s="65">
        <v>51</v>
      </c>
      <c r="D5" s="56" t="s">
        <v>13</v>
      </c>
      <c r="E5" s="57">
        <v>0.31319999999999998</v>
      </c>
      <c r="F5" s="58">
        <f>B5*E5</f>
        <v>5.0111999999999997</v>
      </c>
      <c r="G5" s="59">
        <v>6</v>
      </c>
      <c r="H5" s="57">
        <f>(G5/B5)</f>
        <v>0.375</v>
      </c>
      <c r="I5" s="60">
        <f>(E5*B5-G5)</f>
        <v>-0.98880000000000035</v>
      </c>
      <c r="J5" s="61" t="str">
        <f>IF(SUM(I5)&gt;0,"YES","NO")</f>
        <v>NO</v>
      </c>
      <c r="K5" s="57">
        <f>E5*0.8</f>
        <v>0.25056</v>
      </c>
      <c r="L5" s="58">
        <f>K5*B5</f>
        <v>4.0089600000000001</v>
      </c>
      <c r="M5" s="58">
        <f>L5-G5</f>
        <v>-1.9910399999999999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25">
      <c r="A6" s="17"/>
      <c r="B6" s="18"/>
      <c r="C6" s="18"/>
      <c r="D6" s="69" t="s">
        <v>14</v>
      </c>
      <c r="E6" s="70">
        <v>0.12609999999999999</v>
      </c>
      <c r="F6" s="71">
        <f>B5*E6</f>
        <v>2.0175999999999998</v>
      </c>
      <c r="G6" s="72">
        <v>0</v>
      </c>
      <c r="H6" s="70">
        <f>(G6/B5)</f>
        <v>0</v>
      </c>
      <c r="I6" s="73">
        <f>(E6*B5-G6)</f>
        <v>2.0175999999999998</v>
      </c>
      <c r="J6" s="74" t="str">
        <f>IF(SUM(I6)&gt;0,"YES","NO")</f>
        <v>YES</v>
      </c>
      <c r="K6" s="70">
        <f>E6*0.8</f>
        <v>0.10088</v>
      </c>
      <c r="L6" s="71">
        <f>K6*B5</f>
        <v>1.61408</v>
      </c>
      <c r="M6" s="71">
        <f>L6-G6</f>
        <v>1.61408</v>
      </c>
      <c r="N6" s="75"/>
      <c r="O6" s="74" t="str">
        <f>IF(SUM(L6)&lt;=G6,"YES","NO")</f>
        <v>NO</v>
      </c>
      <c r="P6" s="76" t="str">
        <f>IF(SUM(M6)&gt;=1,"*"," ")</f>
        <v>*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48</v>
      </c>
      <c r="C8" s="65">
        <v>78</v>
      </c>
      <c r="D8" s="56" t="s">
        <v>13</v>
      </c>
      <c r="E8" s="57">
        <v>0.31590000000000001</v>
      </c>
      <c r="F8" s="58">
        <f>B8*E8</f>
        <v>15.1632</v>
      </c>
      <c r="G8" s="59">
        <v>23</v>
      </c>
      <c r="H8" s="57">
        <f>(G8/B8)</f>
        <v>0.47916666666666669</v>
      </c>
      <c r="I8" s="60">
        <f>(E8*B8-G8)</f>
        <v>-7.8368000000000002</v>
      </c>
      <c r="J8" s="61" t="str">
        <f>IF(SUM(I8)&gt;0,"YES","NO")</f>
        <v>NO</v>
      </c>
      <c r="K8" s="57">
        <f>E8*0.8</f>
        <v>0.25272</v>
      </c>
      <c r="L8" s="58">
        <f>K8*B8</f>
        <v>12.130559999999999</v>
      </c>
      <c r="M8" s="58">
        <f>L8-G8</f>
        <v>-10.869440000000001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69" t="s">
        <v>14</v>
      </c>
      <c r="E9" s="70">
        <v>0.14050000000000001</v>
      </c>
      <c r="F9" s="71">
        <f>B8*E9</f>
        <v>6.7440000000000007</v>
      </c>
      <c r="G9" s="72">
        <v>3</v>
      </c>
      <c r="H9" s="70">
        <f>(G9/B8)</f>
        <v>6.25E-2</v>
      </c>
      <c r="I9" s="73">
        <f>(E9*B8-G9)</f>
        <v>3.7440000000000007</v>
      </c>
      <c r="J9" s="74" t="str">
        <f>IF(SUM(I9)&gt;0,"YES","NO")</f>
        <v>YES</v>
      </c>
      <c r="K9" s="70">
        <f>E9*0.8</f>
        <v>0.11240000000000001</v>
      </c>
      <c r="L9" s="71">
        <f>K9*B8</f>
        <v>5.3952000000000009</v>
      </c>
      <c r="M9" s="71">
        <f>L9-G9</f>
        <v>2.3952000000000009</v>
      </c>
      <c r="N9" s="75"/>
      <c r="O9" s="74" t="str">
        <f>IF(SUM(L9)&lt;=G9,"YES","NO")</f>
        <v>NO</v>
      </c>
      <c r="P9" s="76" t="str">
        <f>IF(SUM(M9)&gt;=1,"*"," ")</f>
        <v>*</v>
      </c>
    </row>
    <row r="10" spans="1:16" x14ac:dyDescent="0.25">
      <c r="D10" s="17"/>
      <c r="E10" s="20"/>
      <c r="F10" s="35"/>
      <c r="G10" s="46"/>
      <c r="H10" s="20"/>
      <c r="I10" s="21"/>
    </row>
    <row r="11" spans="1:16" s="66" customFormat="1" x14ac:dyDescent="0.25">
      <c r="A11" s="56" t="s">
        <v>16</v>
      </c>
      <c r="B11" s="65">
        <v>35</v>
      </c>
      <c r="C11" s="65">
        <v>51</v>
      </c>
      <c r="D11" s="56" t="s">
        <v>13</v>
      </c>
      <c r="E11" s="57">
        <v>0.31509999999999999</v>
      </c>
      <c r="F11" s="58">
        <f>B11*E11</f>
        <v>11.028499999999999</v>
      </c>
      <c r="G11" s="59">
        <v>19</v>
      </c>
      <c r="H11" s="57">
        <f>(G11/B11)</f>
        <v>0.54285714285714282</v>
      </c>
      <c r="I11" s="60">
        <f>(E11*B11-G11)</f>
        <v>-7.9715000000000007</v>
      </c>
      <c r="J11" s="61" t="str">
        <f>IF(SUM(I11)&gt;0,"YES","NO")</f>
        <v>NO</v>
      </c>
      <c r="K11" s="57">
        <f>E11*0.8</f>
        <v>0.25208000000000003</v>
      </c>
      <c r="L11" s="58">
        <f>K11*B11</f>
        <v>8.8228000000000009</v>
      </c>
      <c r="M11" s="58">
        <f>L11-G11</f>
        <v>-10.177199999999999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0.17630000000000001</v>
      </c>
      <c r="F12" s="58">
        <f>B11*E12</f>
        <v>6.1705000000000005</v>
      </c>
      <c r="G12" s="59">
        <v>4</v>
      </c>
      <c r="H12" s="57">
        <f>(G12/B11)</f>
        <v>0.11428571428571428</v>
      </c>
      <c r="I12" s="60">
        <f>(E12*B11-G12)</f>
        <v>2.1705000000000005</v>
      </c>
      <c r="J12" s="61" t="str">
        <f>IF(SUM(I12)&gt;0,"YES","NO")</f>
        <v>YES</v>
      </c>
      <c r="K12" s="57">
        <f>E12*0.8</f>
        <v>0.14104000000000003</v>
      </c>
      <c r="L12" s="58">
        <f>K12*B11</f>
        <v>4.9364000000000008</v>
      </c>
      <c r="M12" s="58">
        <f>L12-G12</f>
        <v>0.93640000000000079</v>
      </c>
      <c r="N12" s="55"/>
      <c r="O12" s="61" t="str">
        <f>IF(SUM(L12)&lt;=G12,"YES","NO")</f>
        <v>NO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17</v>
      </c>
      <c r="B14" s="65">
        <v>12</v>
      </c>
      <c r="C14" s="65">
        <v>51</v>
      </c>
      <c r="D14" s="56" t="s">
        <v>13</v>
      </c>
      <c r="E14" s="63">
        <v>0.27679999999999999</v>
      </c>
      <c r="F14" s="58">
        <f>B14*E14</f>
        <v>3.3216000000000001</v>
      </c>
      <c r="G14" s="59">
        <v>8</v>
      </c>
      <c r="H14" s="57">
        <f>(G14/B14)</f>
        <v>0.66666666666666663</v>
      </c>
      <c r="I14" s="60">
        <f>(E14*B14-G14)</f>
        <v>-4.6783999999999999</v>
      </c>
      <c r="J14" s="61" t="str">
        <f>IF(SUM(I14)&gt;0,"YES","NO")</f>
        <v>NO</v>
      </c>
      <c r="K14" s="57">
        <f>E14*0.8</f>
        <v>0.22144</v>
      </c>
      <c r="L14" s="58">
        <f>K14*B14</f>
        <v>2.6572800000000001</v>
      </c>
      <c r="M14" s="58">
        <f>L14-G14</f>
        <v>-5.3427199999999999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0.2094</v>
      </c>
      <c r="F15" s="58">
        <f>B14*E15</f>
        <v>2.5127999999999999</v>
      </c>
      <c r="G15" s="59">
        <v>2</v>
      </c>
      <c r="H15" s="57">
        <f>(G15/B14)</f>
        <v>0.16666666666666666</v>
      </c>
      <c r="I15" s="60">
        <f>(E15*B14-G15)</f>
        <v>0.51279999999999992</v>
      </c>
      <c r="J15" s="61" t="str">
        <f>IF(SUM(I15)&gt;0,"YES","NO")</f>
        <v>YES</v>
      </c>
      <c r="K15" s="57">
        <f>E15*0.8</f>
        <v>0.16752</v>
      </c>
      <c r="L15" s="58">
        <f>K15*B14</f>
        <v>2.01024</v>
      </c>
      <c r="M15" s="58">
        <f>L15-G15</f>
        <v>1.0240000000000027E-2</v>
      </c>
      <c r="N15" s="55"/>
      <c r="O15" s="61" t="str">
        <f>IF(SUM(L15)&lt;=G15,"YES","NO")</f>
        <v>NO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x14ac:dyDescent="0.25">
      <c r="A17" s="2" t="s">
        <v>55</v>
      </c>
      <c r="B17" s="16">
        <v>20</v>
      </c>
      <c r="C17" s="16">
        <v>51</v>
      </c>
      <c r="D17" s="56" t="s">
        <v>13</v>
      </c>
      <c r="E17" s="57">
        <v>0.57720000000000005</v>
      </c>
      <c r="F17" s="58">
        <f>B17*E17</f>
        <v>11.544</v>
      </c>
      <c r="G17" s="59">
        <v>12</v>
      </c>
      <c r="H17" s="57">
        <f>(G17/B17)</f>
        <v>0.6</v>
      </c>
      <c r="I17" s="60">
        <f>(E17*B17-G17)</f>
        <v>-0.45599999999999952</v>
      </c>
      <c r="J17" s="61" t="str">
        <f>IF(SUM(I17)&gt;0,"YES","NO")</f>
        <v>NO</v>
      </c>
      <c r="K17" s="57">
        <f>E17*0.8</f>
        <v>0.46176000000000006</v>
      </c>
      <c r="L17" s="58">
        <f>K17*B17</f>
        <v>9.2352000000000007</v>
      </c>
      <c r="M17" s="58">
        <f>L17-G17</f>
        <v>-2.7647999999999993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0.28410000000000002</v>
      </c>
      <c r="F18" s="58">
        <f>B17*E18</f>
        <v>5.6820000000000004</v>
      </c>
      <c r="G18" s="59">
        <v>5</v>
      </c>
      <c r="H18" s="57">
        <f>(G18/B17)</f>
        <v>0.25</v>
      </c>
      <c r="I18" s="60">
        <f>(E18*B17-G18)</f>
        <v>0.68200000000000038</v>
      </c>
      <c r="J18" s="61" t="str">
        <f>IF(SUM(I18)&gt;0,"YES","NO")</f>
        <v>YES</v>
      </c>
      <c r="K18" s="57">
        <f>E18*0.8</f>
        <v>0.22728000000000004</v>
      </c>
      <c r="L18" s="58">
        <f>K18*B17</f>
        <v>4.5456000000000003</v>
      </c>
      <c r="M18" s="58">
        <f>L18-G18</f>
        <v>-0.45439999999999969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56</v>
      </c>
      <c r="B20" s="16">
        <v>8</v>
      </c>
      <c r="C20" s="16">
        <v>51</v>
      </c>
      <c r="D20" s="56" t="s">
        <v>13</v>
      </c>
      <c r="E20" s="57">
        <v>0.42309999999999998</v>
      </c>
      <c r="F20" s="58">
        <f>B20*E20</f>
        <v>3.3847999999999998</v>
      </c>
      <c r="G20" s="59">
        <v>5</v>
      </c>
      <c r="H20" s="57">
        <f>(G20/B20)</f>
        <v>0.625</v>
      </c>
      <c r="I20" s="60">
        <f>(E20*B20-G20)</f>
        <v>-1.6152000000000002</v>
      </c>
      <c r="J20" s="61" t="str">
        <f>IF(SUM(I20)&gt;0,"YES","NO")</f>
        <v>NO</v>
      </c>
      <c r="K20" s="57">
        <f>E20*0.8</f>
        <v>0.33848</v>
      </c>
      <c r="L20" s="58">
        <f>K20*B20</f>
        <v>2.70784</v>
      </c>
      <c r="M20" s="58">
        <f>L20-G20</f>
        <v>-2.29216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25">
      <c r="A21" s="67"/>
      <c r="B21" s="68"/>
      <c r="C21" s="68"/>
      <c r="D21" s="56" t="s">
        <v>14</v>
      </c>
      <c r="E21" s="57">
        <v>0.2029</v>
      </c>
      <c r="F21" s="58">
        <f>B20*E21</f>
        <v>1.6232</v>
      </c>
      <c r="G21" s="59">
        <v>2</v>
      </c>
      <c r="H21" s="57">
        <f>(G21/B20)</f>
        <v>0.25</v>
      </c>
      <c r="I21" s="60">
        <f>(E21*B20-G21)</f>
        <v>-0.37680000000000002</v>
      </c>
      <c r="J21" s="61" t="str">
        <f>IF(SUM(I21)&gt;0,"YES","NO")</f>
        <v>NO</v>
      </c>
      <c r="K21" s="57">
        <f>E21*0.8</f>
        <v>0.16232000000000002</v>
      </c>
      <c r="L21" s="58">
        <f>K21*B20</f>
        <v>1.2985600000000002</v>
      </c>
      <c r="M21" s="58">
        <f>L21-G21</f>
        <v>-0.70143999999999984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59</v>
      </c>
      <c r="B23" s="16">
        <v>22</v>
      </c>
      <c r="C23" s="16">
        <v>51</v>
      </c>
      <c r="D23" s="56" t="s">
        <v>13</v>
      </c>
      <c r="E23" s="57">
        <v>2.69E-2</v>
      </c>
      <c r="F23" s="58">
        <f>B23*E23</f>
        <v>0.59179999999999999</v>
      </c>
      <c r="G23" s="59">
        <v>2</v>
      </c>
      <c r="H23" s="57">
        <f>(G23/B23)</f>
        <v>9.0909090909090912E-2</v>
      </c>
      <c r="I23" s="60">
        <f>(E23*B23-G23)</f>
        <v>-1.4081999999999999</v>
      </c>
      <c r="J23" s="61" t="str">
        <f>IF(SUM(I23)&gt;0,"YES","NO")</f>
        <v>NO</v>
      </c>
      <c r="K23" s="57">
        <f>E23*0.8</f>
        <v>2.1520000000000001E-2</v>
      </c>
      <c r="L23" s="58">
        <f>K23*B23</f>
        <v>0.47344000000000003</v>
      </c>
      <c r="M23" s="58">
        <f>L23-G23</f>
        <v>-1.5265599999999999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25">
      <c r="A24" s="67"/>
      <c r="B24" s="68"/>
      <c r="C24" s="68"/>
      <c r="D24" s="56" t="s">
        <v>14</v>
      </c>
      <c r="E24" s="57">
        <v>5.5899999999999998E-2</v>
      </c>
      <c r="F24" s="58">
        <f>B23*E24</f>
        <v>1.2298</v>
      </c>
      <c r="G24" s="59">
        <v>2</v>
      </c>
      <c r="H24" s="57">
        <f>(G24/B23)</f>
        <v>9.0909090909090912E-2</v>
      </c>
      <c r="I24" s="60">
        <f>(E24*B23-G24)</f>
        <v>-0.7702</v>
      </c>
      <c r="J24" s="61" t="str">
        <f>IF(SUM(I24)&gt;0,"YES","NO")</f>
        <v>NO</v>
      </c>
      <c r="K24" s="57">
        <f>E24*0.8</f>
        <v>4.4720000000000003E-2</v>
      </c>
      <c r="L24" s="58">
        <f>K24*B23</f>
        <v>0.98384000000000005</v>
      </c>
      <c r="M24" s="58">
        <f>L24-G24</f>
        <v>-1.01616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A26" s="2" t="s">
        <v>60</v>
      </c>
      <c r="B26" s="16">
        <v>9</v>
      </c>
      <c r="C26" s="16">
        <v>51</v>
      </c>
      <c r="D26" s="56" t="s">
        <v>13</v>
      </c>
      <c r="E26" s="57">
        <v>0.46389999999999998</v>
      </c>
      <c r="F26" s="58">
        <f>B26*E26</f>
        <v>4.1750999999999996</v>
      </c>
      <c r="G26" s="59">
        <v>4</v>
      </c>
      <c r="H26" s="57">
        <f>(G26/B26)</f>
        <v>0.44444444444444442</v>
      </c>
      <c r="I26" s="60">
        <f>(E26*B26-G26)</f>
        <v>0.17509999999999959</v>
      </c>
      <c r="J26" s="61" t="str">
        <f>IF(SUM(I26)&gt;0,"YES","NO")</f>
        <v>YES</v>
      </c>
      <c r="K26" s="57">
        <f>E26*0.8</f>
        <v>0.37112000000000001</v>
      </c>
      <c r="L26" s="58">
        <f>K26*B26</f>
        <v>3.3400799999999999</v>
      </c>
      <c r="M26" s="58">
        <f>L26-G26</f>
        <v>-0.65992000000000006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s="66" customFormat="1" x14ac:dyDescent="0.25">
      <c r="A27" s="67"/>
      <c r="B27" s="68"/>
      <c r="C27" s="68"/>
      <c r="D27" s="56" t="s">
        <v>14</v>
      </c>
      <c r="E27" s="57">
        <v>0.32290000000000002</v>
      </c>
      <c r="F27" s="58">
        <f>B26*E27</f>
        <v>2.9061000000000003</v>
      </c>
      <c r="G27" s="59">
        <v>3</v>
      </c>
      <c r="H27" s="57">
        <f>(G27/B26)</f>
        <v>0.33333333333333331</v>
      </c>
      <c r="I27" s="60">
        <f>(E27*B26-G27)</f>
        <v>-9.389999999999965E-2</v>
      </c>
      <c r="J27" s="61" t="str">
        <f>IF(SUM(I27)&gt;0,"YES","NO")</f>
        <v>NO</v>
      </c>
      <c r="K27" s="57">
        <f>E27*0.8</f>
        <v>0.25832000000000005</v>
      </c>
      <c r="L27" s="58">
        <f>K27*B26</f>
        <v>2.3248800000000003</v>
      </c>
      <c r="M27" s="58">
        <f>L27-G27</f>
        <v>-0.67511999999999972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25">
      <c r="G28" s="36"/>
      <c r="I28" s="19"/>
    </row>
    <row r="29" spans="1:16" x14ac:dyDescent="0.25">
      <c r="A29" s="2" t="s">
        <v>48</v>
      </c>
      <c r="B29" s="16">
        <v>22</v>
      </c>
      <c r="C29" s="16">
        <v>51</v>
      </c>
      <c r="D29" s="56" t="s">
        <v>13</v>
      </c>
      <c r="E29" s="57">
        <v>0.91869999999999996</v>
      </c>
      <c r="F29" s="58">
        <f>B29*E29</f>
        <v>20.211399999999998</v>
      </c>
      <c r="G29" s="59">
        <v>22</v>
      </c>
      <c r="H29" s="57">
        <f>(G29/B29)</f>
        <v>1</v>
      </c>
      <c r="I29" s="60">
        <f>(E29*B29-G29)</f>
        <v>-1.7886000000000024</v>
      </c>
      <c r="J29" s="61" t="str">
        <f>IF(SUM(I29)&gt;0,"YES","NO")</f>
        <v>NO</v>
      </c>
      <c r="K29" s="57">
        <f>E29*0.8</f>
        <v>0.73496000000000006</v>
      </c>
      <c r="L29" s="58">
        <f>K29*B29</f>
        <v>16.169119999999999</v>
      </c>
      <c r="M29" s="58">
        <f>L29-G29</f>
        <v>-5.8308800000000005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s="66" customFormat="1" x14ac:dyDescent="0.25">
      <c r="A30" s="67"/>
      <c r="B30" s="68"/>
      <c r="C30" s="68"/>
      <c r="D30" s="56" t="s">
        <v>14</v>
      </c>
      <c r="E30" s="57">
        <v>0.2777</v>
      </c>
      <c r="F30" s="58">
        <f>B29*E30</f>
        <v>6.1093999999999999</v>
      </c>
      <c r="G30" s="59">
        <v>5</v>
      </c>
      <c r="H30" s="57">
        <f>(G30/B29)</f>
        <v>0.22727272727272727</v>
      </c>
      <c r="I30" s="60">
        <f>(E30*B29-G30)</f>
        <v>1.1093999999999999</v>
      </c>
      <c r="J30" s="61" t="str">
        <f>IF(SUM(I30)&gt;0,"YES","NO")</f>
        <v>YES</v>
      </c>
      <c r="K30" s="57">
        <f>E30*0.8</f>
        <v>0.22216000000000002</v>
      </c>
      <c r="L30" s="58">
        <f>K30*B29</f>
        <v>4.8875200000000003</v>
      </c>
      <c r="M30" s="58">
        <f>L30-G30</f>
        <v>-0.11247999999999969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25">
      <c r="G31" s="36"/>
      <c r="I31" s="19"/>
    </row>
    <row r="32" spans="1:16" x14ac:dyDescent="0.25">
      <c r="A32" s="2" t="s">
        <v>20</v>
      </c>
      <c r="B32" s="16">
        <v>16</v>
      </c>
      <c r="C32" s="16">
        <v>51</v>
      </c>
      <c r="D32" s="56" t="s">
        <v>13</v>
      </c>
      <c r="E32" s="57">
        <v>0.85509999999999997</v>
      </c>
      <c r="F32" s="58">
        <f>B32*E32</f>
        <v>13.6816</v>
      </c>
      <c r="G32" s="59">
        <v>13</v>
      </c>
      <c r="H32" s="57">
        <f>(G32/B32)</f>
        <v>0.8125</v>
      </c>
      <c r="I32" s="60">
        <f>(E32*B32-G32)</f>
        <v>0.68159999999999954</v>
      </c>
      <c r="J32" s="61" t="str">
        <f>IF(SUM(I32)&gt;0,"YES","NO")</f>
        <v>YES</v>
      </c>
      <c r="K32" s="57">
        <f>E32*0.8</f>
        <v>0.68408000000000002</v>
      </c>
      <c r="L32" s="58">
        <f>K32*B32</f>
        <v>10.94528</v>
      </c>
      <c r="M32" s="58">
        <f>L32-G32</f>
        <v>-2.0547199999999997</v>
      </c>
      <c r="N32" s="55"/>
      <c r="O32" s="61" t="str">
        <f>IF(SUM(L32)&lt;=G32,"YES","NO")</f>
        <v>YES</v>
      </c>
      <c r="P32" s="62" t="str">
        <f>IF(SUM(M32)&gt;=1,"*"," ")</f>
        <v xml:space="preserve"> </v>
      </c>
    </row>
    <row r="33" spans="1:16" s="66" customFormat="1" x14ac:dyDescent="0.25">
      <c r="A33" s="67"/>
      <c r="B33" s="68"/>
      <c r="C33" s="68"/>
      <c r="D33" s="56" t="s">
        <v>14</v>
      </c>
      <c r="E33" s="57">
        <v>0.37740000000000001</v>
      </c>
      <c r="F33" s="58">
        <f>B32*E33</f>
        <v>6.0384000000000002</v>
      </c>
      <c r="G33" s="59">
        <v>6</v>
      </c>
      <c r="H33" s="57">
        <f>(G33/B32)</f>
        <v>0.375</v>
      </c>
      <c r="I33" s="60">
        <f>(E33*B32-G33)</f>
        <v>3.8400000000000212E-2</v>
      </c>
      <c r="J33" s="61" t="str">
        <f>IF(SUM(I33)&gt;0,"YES","NO")</f>
        <v>YES</v>
      </c>
      <c r="K33" s="57">
        <f>E33*0.8</f>
        <v>0.30192000000000002</v>
      </c>
      <c r="L33" s="58">
        <f>K33*B32</f>
        <v>4.8307200000000003</v>
      </c>
      <c r="M33" s="58">
        <f>L33-G33</f>
        <v>-1.1692799999999997</v>
      </c>
      <c r="N33" s="55"/>
      <c r="O33" s="61" t="str">
        <f>IF(SUM(L33)&lt;=G33,"YES","NO")</f>
        <v>YES</v>
      </c>
      <c r="P33" s="62" t="str">
        <f>IF(SUM(M33)&gt;=1,"*"," ")</f>
        <v xml:space="preserve"> </v>
      </c>
    </row>
    <row r="34" spans="1:16" x14ac:dyDescent="0.25">
      <c r="G34" s="36"/>
      <c r="I34" s="19"/>
    </row>
    <row r="35" spans="1:16" x14ac:dyDescent="0.25">
      <c r="A35" s="2" t="s">
        <v>21</v>
      </c>
      <c r="B35" s="16">
        <v>17</v>
      </c>
      <c r="C35" s="16">
        <v>51</v>
      </c>
      <c r="D35" s="56" t="s">
        <v>13</v>
      </c>
      <c r="E35" s="57">
        <v>0.7641</v>
      </c>
      <c r="F35" s="58">
        <f>B35*E35</f>
        <v>12.989699999999999</v>
      </c>
      <c r="G35" s="59">
        <v>12</v>
      </c>
      <c r="H35" s="57">
        <f>(G35/B35)</f>
        <v>0.70588235294117652</v>
      </c>
      <c r="I35" s="60">
        <f>(E35*B35-G35)</f>
        <v>0.98969999999999914</v>
      </c>
      <c r="J35" s="61" t="str">
        <f>IF(SUM(I35)&gt;0,"YES","NO")</f>
        <v>YES</v>
      </c>
      <c r="K35" s="57">
        <f>E35*0.8</f>
        <v>0.61128000000000005</v>
      </c>
      <c r="L35" s="58">
        <f>K35*B35</f>
        <v>10.391760000000001</v>
      </c>
      <c r="M35" s="58">
        <f>L35-G35</f>
        <v>-1.6082399999999986</v>
      </c>
      <c r="N35" s="55"/>
      <c r="O35" s="61" t="str">
        <f>IF(SUM(L35)&lt;=G35,"YES","NO")</f>
        <v>YES</v>
      </c>
      <c r="P35" s="62" t="str">
        <f>IF(SUM(M35)&gt;=1,"*"," ")</f>
        <v xml:space="preserve"> </v>
      </c>
    </row>
    <row r="36" spans="1:16" s="66" customFormat="1" x14ac:dyDescent="0.25">
      <c r="A36" s="67"/>
      <c r="B36" s="68"/>
      <c r="C36" s="68"/>
      <c r="D36" s="56" t="s">
        <v>14</v>
      </c>
      <c r="E36" s="57">
        <v>0.40110000000000001</v>
      </c>
      <c r="F36" s="58">
        <f>B35*E36</f>
        <v>6.8186999999999998</v>
      </c>
      <c r="G36" s="59">
        <v>11</v>
      </c>
      <c r="H36" s="57">
        <f>(G36/B35)</f>
        <v>0.6470588235294118</v>
      </c>
      <c r="I36" s="60">
        <f>(E36*B35-G36)</f>
        <v>-4.1813000000000002</v>
      </c>
      <c r="J36" s="61" t="str">
        <f>IF(SUM(I36)&gt;0,"YES","NO")</f>
        <v>NO</v>
      </c>
      <c r="K36" s="57">
        <f>E36*0.8</f>
        <v>0.32088000000000005</v>
      </c>
      <c r="L36" s="58">
        <f>K36*B35</f>
        <v>5.4549600000000007</v>
      </c>
      <c r="M36" s="58">
        <f>L36-G36</f>
        <v>-5.5450399999999993</v>
      </c>
      <c r="N36" s="55"/>
      <c r="O36" s="61" t="str">
        <f>IF(SUM(L36)&lt;=G36,"YES","NO")</f>
        <v>YES</v>
      </c>
      <c r="P36" s="62" t="str">
        <f>IF(SUM(M36)&gt;=1,"*"," ")</f>
        <v xml:space="preserve"> </v>
      </c>
    </row>
    <row r="37" spans="1:16" x14ac:dyDescent="0.25">
      <c r="G37" s="36"/>
      <c r="I37" s="19"/>
    </row>
    <row r="38" spans="1:16" x14ac:dyDescent="0.25">
      <c r="A38" s="2" t="s">
        <v>61</v>
      </c>
      <c r="B38" s="16">
        <v>15</v>
      </c>
      <c r="C38" s="16">
        <v>51</v>
      </c>
      <c r="D38" s="56" t="s">
        <v>13</v>
      </c>
      <c r="E38" s="57">
        <v>1.55E-2</v>
      </c>
      <c r="F38" s="58">
        <f>B38*E38</f>
        <v>0.23249999999999998</v>
      </c>
      <c r="G38" s="59">
        <v>0</v>
      </c>
      <c r="H38" s="57">
        <f>(G38/B38)</f>
        <v>0</v>
      </c>
      <c r="I38" s="60">
        <f>(E38*B38-G38)</f>
        <v>0.23249999999999998</v>
      </c>
      <c r="J38" s="61" t="str">
        <f>IF(SUM(I38)&gt;0,"YES","NO")</f>
        <v>YES</v>
      </c>
      <c r="K38" s="57">
        <f>E38*0.8</f>
        <v>1.2400000000000001E-2</v>
      </c>
      <c r="L38" s="58">
        <f>K38*B38</f>
        <v>0.18600000000000003</v>
      </c>
      <c r="M38" s="58">
        <f>L38-G38</f>
        <v>0.18600000000000003</v>
      </c>
      <c r="N38" s="55"/>
      <c r="O38" s="61" t="str">
        <f>IF(SUM(L38)&lt;=G38,"YES","NO")</f>
        <v>NO</v>
      </c>
      <c r="P38" s="62" t="str">
        <f>IF(SUM(M38)&gt;=1,"*"," ")</f>
        <v xml:space="preserve"> </v>
      </c>
    </row>
    <row r="39" spans="1:16" s="66" customFormat="1" x14ac:dyDescent="0.25">
      <c r="A39" s="67"/>
      <c r="B39" s="68"/>
      <c r="C39" s="68"/>
      <c r="D39" s="69" t="s">
        <v>14</v>
      </c>
      <c r="E39" s="70">
        <v>0.2969</v>
      </c>
      <c r="F39" s="71">
        <f>B38*E39</f>
        <v>4.4535</v>
      </c>
      <c r="G39" s="72">
        <v>2</v>
      </c>
      <c r="H39" s="70">
        <f>(G39/B38)</f>
        <v>0.13333333333333333</v>
      </c>
      <c r="I39" s="73">
        <f>(E39*B38-G39)</f>
        <v>2.4535</v>
      </c>
      <c r="J39" s="74" t="str">
        <f>IF(SUM(I39)&gt;0,"YES","NO")</f>
        <v>YES</v>
      </c>
      <c r="K39" s="70">
        <f>E39*0.8</f>
        <v>0.23752000000000001</v>
      </c>
      <c r="L39" s="71">
        <f>K39*B38</f>
        <v>3.5628000000000002</v>
      </c>
      <c r="M39" s="71">
        <f>L39-G39</f>
        <v>1.5628000000000002</v>
      </c>
      <c r="N39" s="75"/>
      <c r="O39" s="74" t="str">
        <f>IF(SUM(L39)&lt;=G39,"YES","NO")</f>
        <v>NO</v>
      </c>
      <c r="P39" s="76" t="str">
        <f>IF(SUM(M39)&gt;=1,"*"," ")</f>
        <v>*</v>
      </c>
    </row>
    <row r="40" spans="1:16" x14ac:dyDescent="0.25">
      <c r="G40" s="36"/>
      <c r="I40" s="19"/>
    </row>
    <row r="41" spans="1:16" x14ac:dyDescent="0.25">
      <c r="A41" s="2" t="s">
        <v>62</v>
      </c>
      <c r="B41" s="16">
        <v>5</v>
      </c>
      <c r="C41" s="16">
        <v>51</v>
      </c>
      <c r="D41" s="56" t="s">
        <v>13</v>
      </c>
      <c r="E41" s="57">
        <v>0.1111</v>
      </c>
      <c r="F41" s="58">
        <f>B41*E41</f>
        <v>0.55549999999999999</v>
      </c>
      <c r="G41" s="59">
        <v>0</v>
      </c>
      <c r="H41" s="57">
        <f>(G41/B41)</f>
        <v>0</v>
      </c>
      <c r="I41" s="60">
        <f>(E41*B41-G41)</f>
        <v>0.55549999999999999</v>
      </c>
      <c r="J41" s="61" t="str">
        <f>IF(SUM(I41)&gt;0,"YES","NO")</f>
        <v>YES</v>
      </c>
      <c r="K41" s="57">
        <f>E41*0.8</f>
        <v>8.8880000000000015E-2</v>
      </c>
      <c r="L41" s="58">
        <f>K41*B41</f>
        <v>0.44440000000000007</v>
      </c>
      <c r="M41" s="58">
        <f>L41-G41</f>
        <v>0.44440000000000007</v>
      </c>
      <c r="N41" s="55"/>
      <c r="O41" s="61" t="str">
        <f>IF(SUM(L41)&lt;=G41,"YES","NO")</f>
        <v>NO</v>
      </c>
      <c r="P41" s="62" t="str">
        <f>IF(SUM(M41)&gt;=1,"*"," ")</f>
        <v xml:space="preserve"> </v>
      </c>
    </row>
    <row r="42" spans="1:16" x14ac:dyDescent="0.25">
      <c r="A42" s="17"/>
      <c r="B42" s="18"/>
      <c r="C42" s="18"/>
      <c r="D42" s="56" t="s">
        <v>14</v>
      </c>
      <c r="E42" s="57">
        <v>0.55510000000000004</v>
      </c>
      <c r="F42" s="58">
        <f>B41*E42</f>
        <v>2.7755000000000001</v>
      </c>
      <c r="G42" s="59">
        <v>4</v>
      </c>
      <c r="H42" s="57">
        <f>(G42/B41)</f>
        <v>0.8</v>
      </c>
      <c r="I42" s="60">
        <f>(E42*B41-G42)</f>
        <v>-1.2244999999999999</v>
      </c>
      <c r="J42" s="61" t="str">
        <f>IF(SUM(I42)&gt;0,"YES","NO")</f>
        <v>NO</v>
      </c>
      <c r="K42" s="57">
        <f>E42*0.8</f>
        <v>0.44408000000000003</v>
      </c>
      <c r="L42" s="58">
        <f>K42*B41</f>
        <v>2.2204000000000002</v>
      </c>
      <c r="M42" s="58">
        <f>L42-G42</f>
        <v>-1.7795999999999998</v>
      </c>
      <c r="N42" s="55"/>
      <c r="O42" s="61" t="str">
        <f>IF(SUM(L42)&lt;=G42,"YES","NO")</f>
        <v>YES</v>
      </c>
      <c r="P42" s="62" t="str">
        <f>IF(SUM(M42)&gt;=1,"*"," ")</f>
        <v xml:space="preserve"> </v>
      </c>
    </row>
    <row r="43" spans="1:16" x14ac:dyDescent="0.25">
      <c r="G43" s="36"/>
      <c r="I43" s="19"/>
    </row>
    <row r="44" spans="1:16" x14ac:dyDescent="0.25">
      <c r="G44" s="36"/>
      <c r="I44" s="22"/>
    </row>
    <row r="45" spans="1:16" x14ac:dyDescent="0.25">
      <c r="B45" s="4"/>
      <c r="I45" s="22"/>
    </row>
    <row r="46" spans="1:16" x14ac:dyDescent="0.25">
      <c r="A46" s="4" t="s">
        <v>45</v>
      </c>
      <c r="B46" s="6">
        <f>B5+B8+B11+B14+B17+B20+B23+B26+B29+B32+B35+B38+B41</f>
        <v>245</v>
      </c>
      <c r="D46" s="4" t="s">
        <v>46</v>
      </c>
      <c r="G46" s="64">
        <f>G5+G8+G11+G14+G17+G20+G23+G26+G29+G32+G35+G38+G41</f>
        <v>126</v>
      </c>
      <c r="I46" s="22"/>
    </row>
    <row r="47" spans="1:16" x14ac:dyDescent="0.25">
      <c r="D47" s="4" t="s">
        <v>47</v>
      </c>
      <c r="G47" s="64">
        <f>+G6+G9+G12+G15+G18+G21+G24+G27+G30+G33+G36+G39+G42</f>
        <v>49</v>
      </c>
      <c r="I47" s="22"/>
    </row>
    <row r="48" spans="1:16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  <row r="60" spans="9:9" x14ac:dyDescent="0.25">
      <c r="I60" s="22"/>
    </row>
    <row r="61" spans="9:9" x14ac:dyDescent="0.25">
      <c r="I61" s="22"/>
    </row>
    <row r="62" spans="9:9" x14ac:dyDescent="0.25">
      <c r="I62" s="22"/>
    </row>
    <row r="63" spans="9:9" x14ac:dyDescent="0.25">
      <c r="I63" s="22"/>
    </row>
    <row r="64" spans="9:9" x14ac:dyDescent="0.25">
      <c r="I64" s="22"/>
    </row>
    <row r="65" spans="9:9" x14ac:dyDescent="0.25">
      <c r="I65" s="22"/>
    </row>
    <row r="66" spans="9:9" x14ac:dyDescent="0.25">
      <c r="I66" s="22"/>
    </row>
    <row r="67" spans="9:9" x14ac:dyDescent="0.25">
      <c r="I67" s="22"/>
    </row>
    <row r="68" spans="9:9" x14ac:dyDescent="0.25">
      <c r="I68" s="22"/>
    </row>
    <row r="69" spans="9:9" x14ac:dyDescent="0.25">
      <c r="I69" s="22"/>
    </row>
    <row r="70" spans="9:9" x14ac:dyDescent="0.25">
      <c r="I70" s="22"/>
    </row>
    <row r="71" spans="9:9" x14ac:dyDescent="0.25">
      <c r="I71" s="22"/>
    </row>
    <row r="72" spans="9:9" x14ac:dyDescent="0.25">
      <c r="I72" s="22"/>
    </row>
    <row r="73" spans="9:9" x14ac:dyDescent="0.25">
      <c r="I73" s="22"/>
    </row>
    <row r="74" spans="9:9" x14ac:dyDescent="0.25">
      <c r="I74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PUBLIC AFFAIRS &amp; ADMINISTRATION
2000 AFFIRMATIVE ACTION PLAN
Utilization Analysis
Analysis Data as of 01/15/00</oddHeader>
    <oddFooter>&amp;Lo:\aap2000\corpinut.xls&amp;R&amp;"Arial,Regular"PAGE &amp;P OF &amp;N</oddFooter>
  </headerFooter>
  <rowBreaks count="1" manualBreakCount="1">
    <brk id="37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view="pageBreakPreview" zoomScale="65" zoomScaleNormal="75" workbookViewId="0">
      <pane ySplit="4" topLeftCell="A5" activePane="bottomLeft" state="frozen"/>
      <selection pane="bottomLeft" activeCell="A3" sqref="A3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5</v>
      </c>
      <c r="C5" s="65">
        <v>51</v>
      </c>
      <c r="D5" s="56" t="s">
        <v>13</v>
      </c>
      <c r="E5" s="57">
        <v>0.38119999999999998</v>
      </c>
      <c r="F5" s="58">
        <f>B5*E5</f>
        <v>1.9059999999999999</v>
      </c>
      <c r="G5" s="59">
        <v>1</v>
      </c>
      <c r="H5" s="57">
        <f>(G5/B5)</f>
        <v>0.2</v>
      </c>
      <c r="I5" s="60">
        <f>(E5*B5-G5)</f>
        <v>0.90599999999999992</v>
      </c>
      <c r="J5" s="61" t="str">
        <f>IF(SUM(I5)&gt;0,"YES","NO")</f>
        <v>YES</v>
      </c>
      <c r="K5" s="57">
        <f>E5*0.8</f>
        <v>0.30496000000000001</v>
      </c>
      <c r="L5" s="58">
        <f>K5*B5</f>
        <v>1.5247999999999999</v>
      </c>
      <c r="M5" s="58">
        <f>L5-G5</f>
        <v>0.52479999999999993</v>
      </c>
      <c r="N5" s="55"/>
      <c r="O5" s="61" t="str">
        <f>IF(SUM(L5)&lt;=G5,"YES","NO")</f>
        <v>NO</v>
      </c>
      <c r="P5" s="62" t="str">
        <f>IF(SUM(M5)&gt;=1,"*"," ")</f>
        <v xml:space="preserve"> </v>
      </c>
    </row>
    <row r="6" spans="1:16" x14ac:dyDescent="0.25">
      <c r="A6" s="17"/>
      <c r="B6" s="18"/>
      <c r="C6" s="18"/>
      <c r="D6" s="2" t="s">
        <v>14</v>
      </c>
      <c r="E6" s="3">
        <v>0.19239999999999999</v>
      </c>
      <c r="F6" s="34">
        <f>B5*E6</f>
        <v>0.96199999999999997</v>
      </c>
      <c r="G6" s="45">
        <v>1</v>
      </c>
      <c r="H6" s="3">
        <f>(G6/B5)</f>
        <v>0.2</v>
      </c>
      <c r="I6" s="1">
        <f>(E6*B5-G6)</f>
        <v>-3.8000000000000034E-2</v>
      </c>
      <c r="J6" s="37" t="str">
        <f>IF(SUM(I6)&gt;0,"YES","NO")</f>
        <v>NO</v>
      </c>
      <c r="K6" s="3">
        <f>E6*0.8</f>
        <v>0.15392</v>
      </c>
      <c r="L6" s="34">
        <f>K6*B5</f>
        <v>0.76960000000000006</v>
      </c>
      <c r="M6" s="34">
        <f>L6-G6</f>
        <v>-0.23039999999999994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34</v>
      </c>
      <c r="C8" s="65">
        <v>78</v>
      </c>
      <c r="D8" s="56" t="s">
        <v>13</v>
      </c>
      <c r="E8" s="57">
        <v>0.40410000000000001</v>
      </c>
      <c r="F8" s="58">
        <f>B8*E8</f>
        <v>13.7394</v>
      </c>
      <c r="G8" s="59">
        <v>20</v>
      </c>
      <c r="H8" s="57">
        <f>(G8/B8)</f>
        <v>0.58823529411764708</v>
      </c>
      <c r="I8" s="60">
        <f>(E8*B8-G8)</f>
        <v>-6.2606000000000002</v>
      </c>
      <c r="J8" s="61" t="str">
        <f>IF(SUM(I8)&gt;0,"YES","NO")</f>
        <v>NO</v>
      </c>
      <c r="K8" s="57">
        <f>E8*0.8</f>
        <v>0.32328000000000001</v>
      </c>
      <c r="L8" s="58">
        <f>K8*B8</f>
        <v>10.991520000000001</v>
      </c>
      <c r="M8" s="58">
        <f>L8-G8</f>
        <v>-9.0084799999999987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56" t="s">
        <v>14</v>
      </c>
      <c r="E9" s="57">
        <v>0.2205</v>
      </c>
      <c r="F9" s="58">
        <f>B8*E9</f>
        <v>7.4969999999999999</v>
      </c>
      <c r="G9" s="59">
        <v>6</v>
      </c>
      <c r="H9" s="57">
        <f>(G9/B8)</f>
        <v>0.17647058823529413</v>
      </c>
      <c r="I9" s="60">
        <f>(E9*B8-G9)</f>
        <v>1.4969999999999999</v>
      </c>
      <c r="J9" s="61" t="str">
        <f>IF(SUM(I9)&gt;0,"YES","NO")</f>
        <v>YES</v>
      </c>
      <c r="K9" s="57">
        <f>E9*0.8</f>
        <v>0.1764</v>
      </c>
      <c r="L9" s="58">
        <f>K9*B8</f>
        <v>5.9976000000000003</v>
      </c>
      <c r="M9" s="58">
        <f>L9-G9</f>
        <v>-2.3999999999997357E-3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25">
      <c r="D10" s="17"/>
      <c r="E10" s="20"/>
      <c r="F10" s="35"/>
      <c r="G10" s="46"/>
      <c r="H10" s="20"/>
      <c r="I10" s="21"/>
    </row>
    <row r="11" spans="1:16" s="66" customFormat="1" x14ac:dyDescent="0.25">
      <c r="A11" s="56" t="s">
        <v>16</v>
      </c>
      <c r="B11" s="65">
        <v>46</v>
      </c>
      <c r="C11" s="65">
        <v>51</v>
      </c>
      <c r="D11" s="56" t="s">
        <v>13</v>
      </c>
      <c r="E11" s="57">
        <v>0.43480000000000002</v>
      </c>
      <c r="F11" s="58">
        <f>B11*E11</f>
        <v>20.000800000000002</v>
      </c>
      <c r="G11" s="59">
        <v>39</v>
      </c>
      <c r="H11" s="57">
        <f>(G11/B11)</f>
        <v>0.84782608695652173</v>
      </c>
      <c r="I11" s="60">
        <f>(E11*B11-G11)</f>
        <v>-18.999199999999998</v>
      </c>
      <c r="J11" s="61" t="str">
        <f>IF(SUM(I11)&gt;0,"YES","NO")</f>
        <v>NO</v>
      </c>
      <c r="K11" s="57">
        <f>E11*0.8</f>
        <v>0.34784000000000004</v>
      </c>
      <c r="L11" s="58">
        <f>K11*B11</f>
        <v>16.000640000000001</v>
      </c>
      <c r="M11" s="58">
        <f>L11-G11</f>
        <v>-22.999359999999999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0.25290000000000001</v>
      </c>
      <c r="F12" s="58">
        <f>B11*E12</f>
        <v>11.6334</v>
      </c>
      <c r="G12" s="59">
        <v>12</v>
      </c>
      <c r="H12" s="57">
        <f>(G12/B11)</f>
        <v>0.2608695652173913</v>
      </c>
      <c r="I12" s="60">
        <f>(E12*B11-G12)</f>
        <v>-0.36660000000000004</v>
      </c>
      <c r="J12" s="61" t="str">
        <f>IF(SUM(I12)&gt;0,"YES","NO")</f>
        <v>NO</v>
      </c>
      <c r="K12" s="57">
        <f>E12*0.8</f>
        <v>0.20232000000000003</v>
      </c>
      <c r="L12" s="58">
        <f>K12*B11</f>
        <v>9.3067200000000021</v>
      </c>
      <c r="M12" s="58">
        <f>L12-G12</f>
        <v>-2.6932799999999979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G13" s="36"/>
      <c r="I13" s="19"/>
    </row>
    <row r="14" spans="1:16" s="66" customFormat="1" x14ac:dyDescent="0.25">
      <c r="A14" s="56" t="s">
        <v>17</v>
      </c>
      <c r="B14" s="65">
        <v>34</v>
      </c>
      <c r="C14" s="65">
        <v>51</v>
      </c>
      <c r="D14" s="56" t="s">
        <v>13</v>
      </c>
      <c r="E14" s="63">
        <v>0.52780000000000005</v>
      </c>
      <c r="F14" s="58">
        <f>B14*E14</f>
        <v>17.9452</v>
      </c>
      <c r="G14" s="59">
        <v>20</v>
      </c>
      <c r="H14" s="57">
        <f>(G14/B14)</f>
        <v>0.58823529411764708</v>
      </c>
      <c r="I14" s="60">
        <f>(E14*B14-G14)</f>
        <v>-2.0548000000000002</v>
      </c>
      <c r="J14" s="61" t="str">
        <f>IF(SUM(I14)&gt;0,"YES","NO")</f>
        <v>NO</v>
      </c>
      <c r="K14" s="57">
        <f>E14*0.8</f>
        <v>0.42224000000000006</v>
      </c>
      <c r="L14" s="58">
        <f>K14*B14</f>
        <v>14.356160000000003</v>
      </c>
      <c r="M14" s="58">
        <f>L14-G14</f>
        <v>-5.6438399999999973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25">
      <c r="A15" s="67"/>
      <c r="B15" s="68"/>
      <c r="C15" s="68"/>
      <c r="D15" s="56" t="s">
        <v>14</v>
      </c>
      <c r="E15" s="57">
        <v>0.26479999999999998</v>
      </c>
      <c r="F15" s="58">
        <f>B14*E15</f>
        <v>9.0031999999999996</v>
      </c>
      <c r="G15" s="59">
        <v>11</v>
      </c>
      <c r="H15" s="57">
        <f>(G15/B14)</f>
        <v>0.3235294117647059</v>
      </c>
      <c r="I15" s="60">
        <f>(E15*B14-G15)</f>
        <v>-1.9968000000000004</v>
      </c>
      <c r="J15" s="61" t="str">
        <f>IF(SUM(I15)&gt;0,"YES","NO")</f>
        <v>NO</v>
      </c>
      <c r="K15" s="57">
        <f>E15*0.8</f>
        <v>0.21184</v>
      </c>
      <c r="L15" s="58">
        <f>K15*B14</f>
        <v>7.2025600000000001</v>
      </c>
      <c r="M15" s="58">
        <f>L15-G15</f>
        <v>-3.7974399999999999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x14ac:dyDescent="0.25">
      <c r="A17" s="2" t="s">
        <v>55</v>
      </c>
      <c r="B17" s="16">
        <v>61</v>
      </c>
      <c r="C17" s="16">
        <v>51</v>
      </c>
      <c r="D17" s="56" t="s">
        <v>13</v>
      </c>
      <c r="E17" s="57">
        <v>0.63500000000000001</v>
      </c>
      <c r="F17" s="58">
        <f>B17*E17</f>
        <v>38.734999999999999</v>
      </c>
      <c r="G17" s="59">
        <v>54</v>
      </c>
      <c r="H17" s="57">
        <f>(G17/B17)</f>
        <v>0.88524590163934425</v>
      </c>
      <c r="I17" s="60">
        <f>(E17*B17-G17)</f>
        <v>-15.265000000000001</v>
      </c>
      <c r="J17" s="61" t="str">
        <f>IF(SUM(I17)&gt;0,"YES","NO")</f>
        <v>NO</v>
      </c>
      <c r="K17" s="57">
        <f>E17*0.8</f>
        <v>0.50800000000000001</v>
      </c>
      <c r="L17" s="58">
        <f>K17*B17</f>
        <v>30.988</v>
      </c>
      <c r="M17" s="58">
        <f>L17-G17</f>
        <v>-23.012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0.29370000000000002</v>
      </c>
      <c r="F18" s="58">
        <f>B17*E18</f>
        <v>17.915700000000001</v>
      </c>
      <c r="G18" s="59">
        <v>21</v>
      </c>
      <c r="H18" s="57">
        <f>(G18/B17)</f>
        <v>0.34426229508196721</v>
      </c>
      <c r="I18" s="60">
        <f>(E18*B17-G18)</f>
        <v>-3.0842999999999989</v>
      </c>
      <c r="J18" s="61" t="str">
        <f>IF(SUM(I18)&gt;0,"YES","NO")</f>
        <v>NO</v>
      </c>
      <c r="K18" s="57">
        <f>E18*0.8</f>
        <v>0.23496000000000003</v>
      </c>
      <c r="L18" s="58">
        <f>K18*B17</f>
        <v>14.332560000000003</v>
      </c>
      <c r="M18" s="58">
        <f>L18-G18</f>
        <v>-6.6674399999999974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56</v>
      </c>
      <c r="B20" s="16">
        <v>21</v>
      </c>
      <c r="C20" s="16">
        <v>51</v>
      </c>
      <c r="D20" s="56" t="s">
        <v>13</v>
      </c>
      <c r="E20" s="57">
        <v>0.28220000000000001</v>
      </c>
      <c r="F20" s="58">
        <f>B20*E20</f>
        <v>5.9261999999999997</v>
      </c>
      <c r="G20" s="59">
        <v>17</v>
      </c>
      <c r="H20" s="57">
        <f>(G20/B20)</f>
        <v>0.80952380952380953</v>
      </c>
      <c r="I20" s="60">
        <f>(E20*B20-G20)</f>
        <v>-11.0738</v>
      </c>
      <c r="J20" s="61" t="str">
        <f>IF(SUM(I20)&gt;0,"YES","NO")</f>
        <v>NO</v>
      </c>
      <c r="K20" s="57">
        <f>E20*0.8</f>
        <v>0.22576000000000002</v>
      </c>
      <c r="L20" s="58">
        <f>K20*B20</f>
        <v>4.7409600000000003</v>
      </c>
      <c r="M20" s="58">
        <f>L20-G20</f>
        <v>-12.259039999999999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25">
      <c r="A21" s="67"/>
      <c r="B21" s="68"/>
      <c r="C21" s="68"/>
      <c r="D21" s="56" t="s">
        <v>14</v>
      </c>
      <c r="E21" s="57">
        <v>0.19789999999999999</v>
      </c>
      <c r="F21" s="58">
        <f>B20*E21</f>
        <v>4.1558999999999999</v>
      </c>
      <c r="G21" s="59">
        <v>15</v>
      </c>
      <c r="H21" s="57">
        <f>(G21/B20)</f>
        <v>0.7142857142857143</v>
      </c>
      <c r="I21" s="60">
        <f>(E21*B20-G21)</f>
        <v>-10.844100000000001</v>
      </c>
      <c r="J21" s="61" t="str">
        <f>IF(SUM(I21)&gt;0,"YES","NO")</f>
        <v>NO</v>
      </c>
      <c r="K21" s="57">
        <f>E21*0.8</f>
        <v>0.15832000000000002</v>
      </c>
      <c r="L21" s="58">
        <f>K21*B20</f>
        <v>3.3247200000000001</v>
      </c>
      <c r="M21" s="58">
        <f>L21-G21</f>
        <v>-11.675280000000001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48</v>
      </c>
      <c r="B23" s="16">
        <v>24</v>
      </c>
      <c r="C23" s="16">
        <v>51</v>
      </c>
      <c r="D23" s="56" t="s">
        <v>13</v>
      </c>
      <c r="E23" s="57">
        <v>0.93540000000000001</v>
      </c>
      <c r="F23" s="58">
        <f>B23*E23</f>
        <v>22.4496</v>
      </c>
      <c r="G23" s="59">
        <v>23</v>
      </c>
      <c r="H23" s="57">
        <f>(G23/B23)</f>
        <v>0.95833333333333337</v>
      </c>
      <c r="I23" s="60">
        <f>(E23*B23-G23)</f>
        <v>-0.55039999999999978</v>
      </c>
      <c r="J23" s="61" t="str">
        <f>IF(SUM(I23)&gt;0,"YES","NO")</f>
        <v>NO</v>
      </c>
      <c r="K23" s="57">
        <f>E23*0.8</f>
        <v>0.7483200000000001</v>
      </c>
      <c r="L23" s="58">
        <f>K23*B23</f>
        <v>17.959680000000002</v>
      </c>
      <c r="M23" s="58">
        <f>L23-G23</f>
        <v>-5.0403199999999977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25">
      <c r="A24" s="67"/>
      <c r="B24" s="68"/>
      <c r="C24" s="68"/>
      <c r="D24" s="56" t="s">
        <v>14</v>
      </c>
      <c r="E24" s="57">
        <v>0.33229999999999998</v>
      </c>
      <c r="F24" s="58">
        <f>B23*E24</f>
        <v>7.9751999999999992</v>
      </c>
      <c r="G24" s="59">
        <v>8</v>
      </c>
      <c r="H24" s="57">
        <f>(G24/B23)</f>
        <v>0.33333333333333331</v>
      </c>
      <c r="I24" s="60">
        <f>(E24*B23-G24)</f>
        <v>-2.4800000000000821E-2</v>
      </c>
      <c r="J24" s="61" t="str">
        <f>IF(SUM(I24)&gt;0,"YES","NO")</f>
        <v>NO</v>
      </c>
      <c r="K24" s="57">
        <f>E24*0.8</f>
        <v>0.26584000000000002</v>
      </c>
      <c r="L24" s="58">
        <f>K24*B23</f>
        <v>6.3801600000000001</v>
      </c>
      <c r="M24" s="58">
        <f>L24-G24</f>
        <v>-1.6198399999999999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A26" s="2" t="s">
        <v>20</v>
      </c>
      <c r="B26" s="16">
        <v>36</v>
      </c>
      <c r="C26" s="16">
        <v>51</v>
      </c>
      <c r="D26" s="56" t="s">
        <v>13</v>
      </c>
      <c r="E26" s="57">
        <v>0.9204</v>
      </c>
      <c r="F26" s="58">
        <f>B26*E26</f>
        <v>33.134399999999999</v>
      </c>
      <c r="G26" s="59">
        <v>34</v>
      </c>
      <c r="H26" s="57">
        <f>(G26/B26)</f>
        <v>0.94444444444444442</v>
      </c>
      <c r="I26" s="60">
        <f>(E26*B26-G26)</f>
        <v>-0.86560000000000059</v>
      </c>
      <c r="J26" s="61" t="str">
        <f>IF(SUM(I26)&gt;0,"YES","NO")</f>
        <v>NO</v>
      </c>
      <c r="K26" s="57">
        <f>E26*0.8</f>
        <v>0.73632000000000009</v>
      </c>
      <c r="L26" s="58">
        <f>K26*B26</f>
        <v>26.507520000000003</v>
      </c>
      <c r="M26" s="58">
        <f>L26-G26</f>
        <v>-7.4924799999999969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25">
      <c r="A27" s="17"/>
      <c r="B27" s="18"/>
      <c r="C27" s="18"/>
      <c r="D27" s="56" t="s">
        <v>14</v>
      </c>
      <c r="E27" s="57">
        <v>0.46039999999999998</v>
      </c>
      <c r="F27" s="58">
        <f>B26*E27</f>
        <v>16.574400000000001</v>
      </c>
      <c r="G27" s="59">
        <v>19</v>
      </c>
      <c r="H27" s="57">
        <f>(G27/B26)</f>
        <v>0.52777777777777779</v>
      </c>
      <c r="I27" s="60">
        <f>(E27*B26-G27)</f>
        <v>-2.4255999999999993</v>
      </c>
      <c r="J27" s="61" t="str">
        <f>IF(SUM(I27)&gt;0,"YES","NO")</f>
        <v>NO</v>
      </c>
      <c r="K27" s="57">
        <f>E27*0.8</f>
        <v>0.36831999999999998</v>
      </c>
      <c r="L27" s="58">
        <f>K27*B26</f>
        <v>13.259519999999998</v>
      </c>
      <c r="M27" s="58">
        <f>L27-G27</f>
        <v>-5.7404800000000016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25">
      <c r="G28" s="36"/>
      <c r="I28" s="19"/>
    </row>
    <row r="29" spans="1:16" x14ac:dyDescent="0.25">
      <c r="A29" s="2" t="s">
        <v>21</v>
      </c>
      <c r="B29" s="16">
        <v>27</v>
      </c>
      <c r="C29" s="16">
        <v>51</v>
      </c>
      <c r="D29" s="56" t="s">
        <v>13</v>
      </c>
      <c r="E29" s="57">
        <v>0.87939999999999996</v>
      </c>
      <c r="F29" s="58">
        <f>B29*E29</f>
        <v>23.7438</v>
      </c>
      <c r="G29" s="59">
        <v>24</v>
      </c>
      <c r="H29" s="57">
        <f>(G29/B29)</f>
        <v>0.88888888888888884</v>
      </c>
      <c r="I29" s="60">
        <f>(E29*B29-G29)</f>
        <v>-0.25619999999999976</v>
      </c>
      <c r="J29" s="61" t="str">
        <f>IF(SUM(I29)&gt;0,"YES","NO")</f>
        <v>NO</v>
      </c>
      <c r="K29" s="57">
        <f>E29*0.8</f>
        <v>0.70352000000000003</v>
      </c>
      <c r="L29" s="58">
        <f>K29*B29</f>
        <v>18.995039999999999</v>
      </c>
      <c r="M29" s="58">
        <f>L29-G29</f>
        <v>-5.0049600000000005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x14ac:dyDescent="0.25">
      <c r="A30" s="17"/>
      <c r="B30" s="18"/>
      <c r="C30" s="18"/>
      <c r="D30" s="56" t="s">
        <v>14</v>
      </c>
      <c r="E30" s="57">
        <v>0.40350000000000003</v>
      </c>
      <c r="F30" s="58">
        <f>B29*E30</f>
        <v>10.894500000000001</v>
      </c>
      <c r="G30" s="59">
        <v>17</v>
      </c>
      <c r="H30" s="57">
        <f>(G30/B29)</f>
        <v>0.62962962962962965</v>
      </c>
      <c r="I30" s="60">
        <f>(E30*B29-G30)</f>
        <v>-6.1054999999999993</v>
      </c>
      <c r="J30" s="61" t="str">
        <f>IF(SUM(I30)&gt;0,"YES","NO")</f>
        <v>NO</v>
      </c>
      <c r="K30" s="57">
        <f>E30*0.8</f>
        <v>0.32280000000000003</v>
      </c>
      <c r="L30" s="58">
        <f>K30*B29</f>
        <v>8.7156000000000002</v>
      </c>
      <c r="M30" s="58">
        <f>L30-G30</f>
        <v>-8.2843999999999998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25">
      <c r="G31" s="36"/>
      <c r="I31" s="19"/>
    </row>
    <row r="32" spans="1:16" x14ac:dyDescent="0.25">
      <c r="G32" s="36"/>
      <c r="I32" s="22"/>
    </row>
    <row r="33" spans="1:9" x14ac:dyDescent="0.25">
      <c r="B33" s="4"/>
      <c r="I33" s="22"/>
    </row>
    <row r="34" spans="1:9" x14ac:dyDescent="0.25">
      <c r="A34" s="4" t="s">
        <v>45</v>
      </c>
      <c r="B34" s="6">
        <f>B5+B8+B11+B14+B17+B20+B23+B26+B29</f>
        <v>288</v>
      </c>
      <c r="D34" s="4" t="s">
        <v>46</v>
      </c>
      <c r="G34" s="64">
        <f>G5+G8+G11+G14+G17+G20+G23+G26+G29</f>
        <v>232</v>
      </c>
      <c r="I34" s="22"/>
    </row>
    <row r="35" spans="1:9" x14ac:dyDescent="0.25">
      <c r="D35" s="4" t="s">
        <v>47</v>
      </c>
      <c r="G35" s="64">
        <f>+G6+G9+G12+G15+G18+G21+G24+G27+G30</f>
        <v>110</v>
      </c>
      <c r="I35" s="22"/>
    </row>
    <row r="36" spans="1:9" x14ac:dyDescent="0.25">
      <c r="I36" s="22"/>
    </row>
    <row r="37" spans="1:9" x14ac:dyDescent="0.25">
      <c r="I37" s="22"/>
    </row>
    <row r="38" spans="1:9" x14ac:dyDescent="0.25">
      <c r="I38" s="22"/>
    </row>
    <row r="39" spans="1:9" x14ac:dyDescent="0.25">
      <c r="I39" s="22"/>
    </row>
    <row r="40" spans="1:9" x14ac:dyDescent="0.25">
      <c r="I40" s="22"/>
    </row>
    <row r="41" spans="1:9" x14ac:dyDescent="0.25">
      <c r="I41" s="22"/>
    </row>
    <row r="42" spans="1:9" x14ac:dyDescent="0.25">
      <c r="I42" s="22"/>
    </row>
    <row r="43" spans="1:9" x14ac:dyDescent="0.25">
      <c r="I43" s="22"/>
    </row>
    <row r="44" spans="1:9" x14ac:dyDescent="0.25">
      <c r="I44" s="22"/>
    </row>
    <row r="45" spans="1:9" x14ac:dyDescent="0.25">
      <c r="I45" s="22"/>
    </row>
    <row r="46" spans="1:9" x14ac:dyDescent="0.25">
      <c r="I46" s="22"/>
    </row>
    <row r="47" spans="1:9" x14ac:dyDescent="0.25">
      <c r="I47" s="22"/>
    </row>
    <row r="48" spans="1:9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  <row r="60" spans="9:9" x14ac:dyDescent="0.25">
      <c r="I60" s="22"/>
    </row>
    <row r="61" spans="9:9" x14ac:dyDescent="0.25">
      <c r="I61" s="22"/>
    </row>
    <row r="62" spans="9:9" x14ac:dyDescent="0.25">
      <c r="I62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HR &amp; COMM RELATIONS
2000 AFFIRMATIVE ACTION PLAN
Utilization Analysis
Analysis Data as of 01/15/00</oddHeader>
    <oddFooter>&amp;Lo:\aap2000\corpinut.xls&amp;R&amp;"Arial,Regular"PAGE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12</v>
      </c>
      <c r="B5" s="65">
        <v>4</v>
      </c>
      <c r="C5" s="65">
        <v>116</v>
      </c>
      <c r="D5" s="56" t="s">
        <v>13</v>
      </c>
      <c r="E5" s="57">
        <v>0.31859999999999999</v>
      </c>
      <c r="F5" s="58">
        <f>B5*E5</f>
        <v>1.2744</v>
      </c>
      <c r="G5" s="59">
        <v>1</v>
      </c>
      <c r="H5" s="57">
        <f>(G5/B5)</f>
        <v>0.25</v>
      </c>
      <c r="I5" s="60">
        <f>(E5*B5-G5)</f>
        <v>0.27439999999999998</v>
      </c>
      <c r="J5" s="61" t="str">
        <f>IF(SUM(I5)&gt;0,"YES","NO")</f>
        <v>YES</v>
      </c>
      <c r="K5" s="57">
        <f>E5*0.8</f>
        <v>0.25488</v>
      </c>
      <c r="L5" s="58">
        <f>K5*B5</f>
        <v>1.01952</v>
      </c>
      <c r="M5" s="58">
        <f>L5-G5</f>
        <v>1.9519999999999982E-2</v>
      </c>
      <c r="N5" s="55"/>
      <c r="O5" s="61" t="str">
        <f>IF(SUM(L5)&lt;=G5,"YES","NO")</f>
        <v>NO</v>
      </c>
      <c r="P5" s="62" t="str">
        <f>IF(SUM(M5)&gt;=1,"*"," ")</f>
        <v xml:space="preserve"> </v>
      </c>
    </row>
    <row r="6" spans="1:16" x14ac:dyDescent="0.25">
      <c r="A6" s="17"/>
      <c r="B6" s="18"/>
      <c r="C6" s="18"/>
      <c r="D6" s="2" t="s">
        <v>14</v>
      </c>
      <c r="E6" s="3">
        <v>0.11020000000000001</v>
      </c>
      <c r="F6" s="34">
        <f>B5*E6</f>
        <v>0.44080000000000003</v>
      </c>
      <c r="G6" s="45">
        <v>0</v>
      </c>
      <c r="H6" s="57">
        <f>(G6/B5)</f>
        <v>0</v>
      </c>
      <c r="I6" s="1">
        <f>(E6*B5-G6)</f>
        <v>0.44080000000000003</v>
      </c>
      <c r="J6" s="37" t="str">
        <f>IF(SUM(I6)&gt;0,"YES","NO")</f>
        <v>YES</v>
      </c>
      <c r="K6" s="3">
        <f>E6*0.8</f>
        <v>8.8160000000000016E-2</v>
      </c>
      <c r="L6" s="34">
        <f>K6*B5</f>
        <v>0.35264000000000006</v>
      </c>
      <c r="M6" s="34">
        <f>L6-G6</f>
        <v>0.35264000000000006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2</v>
      </c>
      <c r="C8" s="65">
        <v>51</v>
      </c>
      <c r="D8" s="56" t="s">
        <v>13</v>
      </c>
      <c r="E8" s="57">
        <v>0.32540000000000002</v>
      </c>
      <c r="F8" s="58">
        <f>B8*E8</f>
        <v>0.65080000000000005</v>
      </c>
      <c r="G8" s="59">
        <v>2</v>
      </c>
      <c r="H8" s="57">
        <f>(G8/B8)</f>
        <v>1</v>
      </c>
      <c r="I8" s="60">
        <f>(E8*B8-G8)</f>
        <v>-1.3492</v>
      </c>
      <c r="J8" s="61" t="str">
        <f>IF(SUM(I8)&gt;0,"YES","NO")</f>
        <v>NO</v>
      </c>
      <c r="K8" s="57">
        <f>E8*0.8</f>
        <v>0.26032000000000005</v>
      </c>
      <c r="L8" s="58">
        <f>K8*B8</f>
        <v>0.5206400000000001</v>
      </c>
      <c r="M8" s="58">
        <f>L8-G8</f>
        <v>-1.4793599999999998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2" t="s">
        <v>14</v>
      </c>
      <c r="E9" s="3">
        <v>0.16200000000000001</v>
      </c>
      <c r="F9" s="34">
        <f>B8*E9</f>
        <v>0.32400000000000001</v>
      </c>
      <c r="G9" s="45">
        <v>0</v>
      </c>
      <c r="H9" s="3">
        <f>(G9/B8)</f>
        <v>0</v>
      </c>
      <c r="I9" s="1">
        <f>(E9*B8-G9)</f>
        <v>0.32400000000000001</v>
      </c>
      <c r="J9" s="37" t="str">
        <f>IF(SUM(I9)&gt;0,"YES","NO")</f>
        <v>YES</v>
      </c>
      <c r="K9" s="3">
        <f>E9*0.8</f>
        <v>0.12960000000000002</v>
      </c>
      <c r="L9" s="34">
        <f>K9*B8</f>
        <v>0.25920000000000004</v>
      </c>
      <c r="M9" s="34">
        <f>L9-G9</f>
        <v>0.25920000000000004</v>
      </c>
      <c r="O9" s="37" t="str">
        <f>IF(SUM(L9)&lt;=G9,"YES","NO")</f>
        <v>NO</v>
      </c>
      <c r="P9" s="43" t="str">
        <f>IF(SUM(M9)&gt;=1,"*"," ")</f>
        <v xml:space="preserve"> </v>
      </c>
    </row>
    <row r="10" spans="1:16" x14ac:dyDescent="0.25">
      <c r="G10" s="36"/>
      <c r="I10" s="19"/>
    </row>
    <row r="11" spans="1:16" s="66" customFormat="1" x14ac:dyDescent="0.25">
      <c r="A11" s="56" t="s">
        <v>16</v>
      </c>
      <c r="B11" s="65">
        <v>2</v>
      </c>
      <c r="C11" s="65">
        <v>78</v>
      </c>
      <c r="D11" s="56" t="s">
        <v>13</v>
      </c>
      <c r="E11" s="57">
        <v>0.55840000000000001</v>
      </c>
      <c r="F11" s="58">
        <f>B11*E11</f>
        <v>1.1168</v>
      </c>
      <c r="G11" s="59">
        <v>2</v>
      </c>
      <c r="H11" s="57">
        <f>(G11/B11)</f>
        <v>1</v>
      </c>
      <c r="I11" s="60">
        <f>(E11*B11-G11)</f>
        <v>-0.88319999999999999</v>
      </c>
      <c r="J11" s="61" t="str">
        <f>IF(SUM(I11)&gt;0,"YES","NO")</f>
        <v>NO</v>
      </c>
      <c r="K11" s="57">
        <f>E11*0.8</f>
        <v>0.44672000000000001</v>
      </c>
      <c r="L11" s="58">
        <f>K11*B11</f>
        <v>0.89344000000000001</v>
      </c>
      <c r="M11" s="58">
        <f>L11-G11</f>
        <v>-1.10656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0.1966</v>
      </c>
      <c r="F12" s="58">
        <f>B11*E12</f>
        <v>0.39319999999999999</v>
      </c>
      <c r="G12" s="59">
        <v>1</v>
      </c>
      <c r="H12" s="57">
        <f>(G12/B11)</f>
        <v>0.5</v>
      </c>
      <c r="I12" s="60">
        <f>(E12*B11-G12)</f>
        <v>-0.60680000000000001</v>
      </c>
      <c r="J12" s="61" t="str">
        <f>IF(SUM(I12)&gt;0,"YES","NO")</f>
        <v>NO</v>
      </c>
      <c r="K12" s="57">
        <f>E12*0.8</f>
        <v>0.15728</v>
      </c>
      <c r="L12" s="58">
        <f>K12*B11</f>
        <v>0.31456000000000001</v>
      </c>
      <c r="M12" s="58">
        <f>L12-G12</f>
        <v>-0.68544000000000005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D13" s="17"/>
      <c r="E13" s="20"/>
      <c r="F13" s="35"/>
      <c r="G13" s="46"/>
      <c r="H13" s="20"/>
      <c r="I13" s="21"/>
    </row>
    <row r="14" spans="1:16" x14ac:dyDescent="0.25">
      <c r="A14" s="2" t="s">
        <v>50</v>
      </c>
      <c r="B14" s="16">
        <v>26</v>
      </c>
      <c r="C14" s="16">
        <v>51</v>
      </c>
      <c r="D14" s="56" t="s">
        <v>13</v>
      </c>
      <c r="E14" s="57">
        <v>0.49669999999999997</v>
      </c>
      <c r="F14" s="58">
        <f>B14*E14</f>
        <v>12.914199999999999</v>
      </c>
      <c r="G14" s="59">
        <v>22</v>
      </c>
      <c r="H14" s="57">
        <f>(G14/B14)</f>
        <v>0.84615384615384615</v>
      </c>
      <c r="I14" s="60">
        <f>(E14*B14-G14)</f>
        <v>-9.0858000000000008</v>
      </c>
      <c r="J14" s="61" t="str">
        <f>IF(SUM(I14)&gt;0,"YES","NO")</f>
        <v>NO</v>
      </c>
      <c r="K14" s="57">
        <f>E14*0.8</f>
        <v>0.39735999999999999</v>
      </c>
      <c r="L14" s="58">
        <f>K14*B14</f>
        <v>10.33136</v>
      </c>
      <c r="M14" s="58">
        <f>L14-G14</f>
        <v>-11.66864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x14ac:dyDescent="0.25">
      <c r="A15" s="17"/>
      <c r="B15" s="18"/>
      <c r="C15" s="18"/>
      <c r="D15" s="56" t="s">
        <v>14</v>
      </c>
      <c r="E15" s="57">
        <v>0.23810000000000001</v>
      </c>
      <c r="F15" s="58">
        <f>B14*E15</f>
        <v>6.1905999999999999</v>
      </c>
      <c r="G15" s="59">
        <v>8</v>
      </c>
      <c r="H15" s="57">
        <f>(G15/B14)</f>
        <v>0.30769230769230771</v>
      </c>
      <c r="I15" s="60">
        <f>(E15*B14-G15)</f>
        <v>-1.8094000000000001</v>
      </c>
      <c r="J15" s="61" t="str">
        <f>IF(SUM(I15)&gt;0,"YES","NO")</f>
        <v>NO</v>
      </c>
      <c r="K15" s="57">
        <f>E15*0.8</f>
        <v>0.19048000000000001</v>
      </c>
      <c r="L15" s="58">
        <f>K15*B14</f>
        <v>4.9524800000000004</v>
      </c>
      <c r="M15" s="58">
        <f>L15-G15</f>
        <v>-3.0475199999999996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s="66" customFormat="1" x14ac:dyDescent="0.25">
      <c r="A17" s="56" t="s">
        <v>19</v>
      </c>
      <c r="B17" s="65">
        <v>19</v>
      </c>
      <c r="C17" s="65">
        <v>51</v>
      </c>
      <c r="D17" s="56" t="s">
        <v>13</v>
      </c>
      <c r="E17" s="63">
        <v>0.26850000000000002</v>
      </c>
      <c r="F17" s="58">
        <f>B17*E17</f>
        <v>5.1015000000000006</v>
      </c>
      <c r="G17" s="59">
        <v>8</v>
      </c>
      <c r="H17" s="57">
        <f>(G17/B17)</f>
        <v>0.42105263157894735</v>
      </c>
      <c r="I17" s="60">
        <f>(E17*B17-G17)</f>
        <v>-2.8984999999999994</v>
      </c>
      <c r="J17" s="61" t="str">
        <f>IF(SUM(I17)&gt;0,"YES","NO")</f>
        <v>NO</v>
      </c>
      <c r="K17" s="57">
        <f>E17*0.8</f>
        <v>0.21480000000000002</v>
      </c>
      <c r="L17" s="58">
        <f>K17*B17</f>
        <v>4.0811999999999999</v>
      </c>
      <c r="M17" s="58">
        <f>L17-G17</f>
        <v>-3.9188000000000001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9.7600000000000006E-2</v>
      </c>
      <c r="F18" s="58">
        <f>B17*E18</f>
        <v>1.8544</v>
      </c>
      <c r="G18" s="59">
        <v>2</v>
      </c>
      <c r="H18" s="57">
        <f>(G18/B17)</f>
        <v>0.10526315789473684</v>
      </c>
      <c r="I18" s="60">
        <f>(E18*B17-G18)</f>
        <v>-0.14559999999999995</v>
      </c>
      <c r="J18" s="61" t="str">
        <f>IF(SUM(I18)&gt;0,"YES","NO")</f>
        <v>NO</v>
      </c>
      <c r="K18" s="57">
        <f>E18*0.8</f>
        <v>7.8080000000000011E-2</v>
      </c>
      <c r="L18" s="58">
        <f>K18*B17</f>
        <v>1.4835200000000002</v>
      </c>
      <c r="M18" s="58">
        <f>L18-G18</f>
        <v>-0.51647999999999983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44</v>
      </c>
      <c r="B20" s="16">
        <v>21</v>
      </c>
      <c r="C20" s="16">
        <v>51</v>
      </c>
      <c r="D20" s="56" t="s">
        <v>13</v>
      </c>
      <c r="E20" s="57">
        <v>0.89729999999999999</v>
      </c>
      <c r="F20" s="58">
        <f>B20*E20</f>
        <v>18.843299999999999</v>
      </c>
      <c r="G20" s="59">
        <v>18</v>
      </c>
      <c r="H20" s="57">
        <f>(G20/B20)</f>
        <v>0.8571428571428571</v>
      </c>
      <c r="I20" s="60">
        <f>(E20*B20-G20)</f>
        <v>0.84329999999999927</v>
      </c>
      <c r="J20" s="61" t="str">
        <f>IF(SUM(I20)&gt;0,"YES","NO")</f>
        <v>YES</v>
      </c>
      <c r="K20" s="57">
        <f>E20*0.8</f>
        <v>0.71784000000000003</v>
      </c>
      <c r="L20" s="58">
        <f>K20*B20</f>
        <v>15.07464</v>
      </c>
      <c r="M20" s="58">
        <f>L20-G20</f>
        <v>-2.9253599999999995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x14ac:dyDescent="0.25">
      <c r="A21" s="17"/>
      <c r="B21" s="18"/>
      <c r="C21" s="18"/>
      <c r="D21" s="56" t="s">
        <v>14</v>
      </c>
      <c r="E21" s="57">
        <v>0.3523</v>
      </c>
      <c r="F21" s="58">
        <f>B20*E21</f>
        <v>7.3982999999999999</v>
      </c>
      <c r="G21" s="59">
        <v>10</v>
      </c>
      <c r="H21" s="57">
        <f>(G21/B20)</f>
        <v>0.47619047619047616</v>
      </c>
      <c r="I21" s="60">
        <f>(E21*B20-G21)</f>
        <v>-2.6017000000000001</v>
      </c>
      <c r="J21" s="61" t="str">
        <f>IF(SUM(I21)&gt;0,"YES","NO")</f>
        <v>NO</v>
      </c>
      <c r="K21" s="57">
        <f>E21*0.8</f>
        <v>0.28184000000000003</v>
      </c>
      <c r="L21" s="58">
        <f>K21*B20</f>
        <v>5.9186400000000008</v>
      </c>
      <c r="M21" s="58">
        <f>L21-G21</f>
        <v>-4.0813599999999992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G23" s="36"/>
      <c r="I23" s="22"/>
    </row>
    <row r="24" spans="1:16" x14ac:dyDescent="0.25">
      <c r="B24" s="4"/>
      <c r="I24" s="22"/>
    </row>
    <row r="25" spans="1:16" x14ac:dyDescent="0.25">
      <c r="A25" s="4" t="s">
        <v>45</v>
      </c>
      <c r="B25" s="6">
        <f>+B5+B8+B11+B14+B17+B20</f>
        <v>74</v>
      </c>
      <c r="D25" s="4" t="s">
        <v>46</v>
      </c>
      <c r="G25" s="64">
        <f>+G5+G8+G11+G14+G17+G20</f>
        <v>53</v>
      </c>
      <c r="I25" s="22"/>
    </row>
    <row r="26" spans="1:16" x14ac:dyDescent="0.25">
      <c r="D26" s="4" t="s">
        <v>47</v>
      </c>
      <c r="G26" s="64">
        <f>+G6+G9+G12+G15+G18+G21</f>
        <v>21</v>
      </c>
      <c r="I26" s="22"/>
    </row>
    <row r="27" spans="1:16" x14ac:dyDescent="0.25">
      <c r="I27" s="22"/>
    </row>
    <row r="28" spans="1:16" x14ac:dyDescent="0.25">
      <c r="I28" s="22"/>
    </row>
    <row r="29" spans="1:16" x14ac:dyDescent="0.25">
      <c r="I29" s="22"/>
    </row>
    <row r="30" spans="1:16" x14ac:dyDescent="0.25">
      <c r="I30" s="22"/>
    </row>
    <row r="31" spans="1:16" x14ac:dyDescent="0.25">
      <c r="I31" s="22"/>
    </row>
    <row r="32" spans="1:16" x14ac:dyDescent="0.25"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CORP.
LEGAL
2000 AFFIRMATIVE ACTION PLAN
Utilization Analysis
Analysis Data as of 01/15/00</oddHeader>
    <oddFooter>&amp;Lo:\aap2000\corp01ut.xls&amp;R&amp;"Arial,Regular"PAGE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25">
      <c r="A5" s="56" t="s">
        <v>49</v>
      </c>
      <c r="B5" s="65">
        <v>95</v>
      </c>
      <c r="C5" s="65">
        <v>116</v>
      </c>
      <c r="D5" s="47" t="s">
        <v>13</v>
      </c>
      <c r="E5" s="48">
        <v>0.19980000000000001</v>
      </c>
      <c r="F5" s="49">
        <f>B5*E5</f>
        <v>18.981000000000002</v>
      </c>
      <c r="G5" s="50">
        <v>12</v>
      </c>
      <c r="H5" s="48">
        <f>(G5/B5)</f>
        <v>0.12631578947368421</v>
      </c>
      <c r="I5" s="51">
        <f>(E5*B5-G5)</f>
        <v>6.9810000000000016</v>
      </c>
      <c r="J5" s="52" t="str">
        <f>IF(SUM(I5)&gt;0,"YES","NO")</f>
        <v>YES</v>
      </c>
      <c r="K5" s="48">
        <f>E5*0.8</f>
        <v>0.15984000000000001</v>
      </c>
      <c r="L5" s="49">
        <f>K5*B5</f>
        <v>15.184800000000001</v>
      </c>
      <c r="M5" s="49">
        <f>L5-G5</f>
        <v>3.184800000000001</v>
      </c>
      <c r="N5" s="53"/>
      <c r="O5" s="52" t="str">
        <f>IF(SUM(L5)&lt;=G5,"YES","NO")</f>
        <v>NO</v>
      </c>
      <c r="P5" s="54" t="str">
        <f>IF(SUM(M5)&gt;=1,"*"," ")</f>
        <v>*</v>
      </c>
    </row>
    <row r="6" spans="1:16" x14ac:dyDescent="0.25">
      <c r="A6" s="17"/>
      <c r="B6" s="18"/>
      <c r="C6" s="18"/>
      <c r="D6" s="2" t="s">
        <v>14</v>
      </c>
      <c r="E6" s="3">
        <v>0.10489999999999999</v>
      </c>
      <c r="F6" s="34">
        <f>B5*E6</f>
        <v>9.9654999999999987</v>
      </c>
      <c r="G6" s="45">
        <v>10</v>
      </c>
      <c r="H6" s="57">
        <f>(G6/B5)</f>
        <v>0.10526315789473684</v>
      </c>
      <c r="I6" s="1">
        <f>(E6*B5-G6)</f>
        <v>-3.4500000000001307E-2</v>
      </c>
      <c r="J6" s="37" t="str">
        <f>IF(SUM(I6)&gt;0,"YES","NO")</f>
        <v>NO</v>
      </c>
      <c r="K6" s="3">
        <f>E6*0.8</f>
        <v>8.3919999999999995E-2</v>
      </c>
      <c r="L6" s="34">
        <f>K6*B5</f>
        <v>7.9723999999999995</v>
      </c>
      <c r="M6" s="34">
        <f>L6-G6</f>
        <v>-2.0276000000000005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12</v>
      </c>
      <c r="B8" s="65">
        <v>3</v>
      </c>
      <c r="C8" s="65">
        <v>51</v>
      </c>
      <c r="D8" s="56" t="s">
        <v>13</v>
      </c>
      <c r="E8" s="57">
        <v>0.34310000000000002</v>
      </c>
      <c r="F8" s="58">
        <f>B8*E8</f>
        <v>1.0293000000000001</v>
      </c>
      <c r="G8" s="59">
        <v>1</v>
      </c>
      <c r="H8" s="57">
        <f>(G8/B8)</f>
        <v>0.33333333333333331</v>
      </c>
      <c r="I8" s="60">
        <f>(E8*B8-G8)</f>
        <v>2.9300000000000104E-2</v>
      </c>
      <c r="J8" s="61" t="str">
        <f>IF(SUM(I8)&gt;0,"YES","NO")</f>
        <v>YES</v>
      </c>
      <c r="K8" s="57">
        <f>E8*0.8</f>
        <v>0.27448</v>
      </c>
      <c r="L8" s="58">
        <f>K8*B8</f>
        <v>0.82343999999999995</v>
      </c>
      <c r="M8" s="58">
        <f>L8-G8</f>
        <v>-0.17656000000000005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25">
      <c r="A9" s="17"/>
      <c r="B9" s="18"/>
      <c r="C9" s="18"/>
      <c r="D9" s="2" t="s">
        <v>14</v>
      </c>
      <c r="E9" s="3">
        <v>0.1123</v>
      </c>
      <c r="F9" s="34">
        <f>B8*E9</f>
        <v>0.33689999999999998</v>
      </c>
      <c r="G9" s="45">
        <v>0</v>
      </c>
      <c r="H9" s="3">
        <f>(G9/B8)</f>
        <v>0</v>
      </c>
      <c r="I9" s="1">
        <f>(E9*B8-G9)</f>
        <v>0.33689999999999998</v>
      </c>
      <c r="J9" s="37" t="str">
        <f>IF(SUM(I9)&gt;0,"YES","NO")</f>
        <v>YES</v>
      </c>
      <c r="K9" s="3">
        <f>E9*0.8</f>
        <v>8.9840000000000003E-2</v>
      </c>
      <c r="L9" s="34">
        <f>K9*B8</f>
        <v>0.26951999999999998</v>
      </c>
      <c r="M9" s="34">
        <f>L9-G9</f>
        <v>0.26951999999999998</v>
      </c>
      <c r="O9" s="37" t="str">
        <f>IF(SUM(L9)&lt;=G9,"YES","NO")</f>
        <v>NO</v>
      </c>
      <c r="P9" s="43" t="str">
        <f>IF(SUM(M9)&gt;=1,"*"," ")</f>
        <v xml:space="preserve"> </v>
      </c>
    </row>
    <row r="10" spans="1:16" x14ac:dyDescent="0.25">
      <c r="G10" s="36"/>
      <c r="I10" s="19"/>
    </row>
    <row r="11" spans="1:16" s="66" customFormat="1" x14ac:dyDescent="0.25">
      <c r="A11" s="56" t="s">
        <v>15</v>
      </c>
      <c r="B11" s="65">
        <v>1</v>
      </c>
      <c r="C11" s="65">
        <v>78</v>
      </c>
      <c r="D11" s="56" t="s">
        <v>13</v>
      </c>
      <c r="E11" s="57">
        <v>0.29449999999999998</v>
      </c>
      <c r="F11" s="58">
        <f>B11*E11</f>
        <v>0.29449999999999998</v>
      </c>
      <c r="G11" s="59">
        <v>0</v>
      </c>
      <c r="H11" s="57">
        <f>(G11/B11)</f>
        <v>0</v>
      </c>
      <c r="I11" s="60">
        <f>(E11*B11-G11)</f>
        <v>0.29449999999999998</v>
      </c>
      <c r="J11" s="61" t="str">
        <f>IF(SUM(I11)&gt;0,"YES","NO")</f>
        <v>YES</v>
      </c>
      <c r="K11" s="57">
        <f>E11*0.8</f>
        <v>0.2356</v>
      </c>
      <c r="L11" s="58">
        <f>K11*B11</f>
        <v>0.2356</v>
      </c>
      <c r="M11" s="58">
        <f>L11-G11</f>
        <v>0.2356</v>
      </c>
      <c r="N11" s="55"/>
      <c r="O11" s="61" t="str">
        <f>IF(SUM(L11)&lt;=G11,"YES","NO")</f>
        <v>NO</v>
      </c>
      <c r="P11" s="62" t="str">
        <f>IF(SUM(M11)&gt;=1,"*"," ")</f>
        <v xml:space="preserve"> </v>
      </c>
    </row>
    <row r="12" spans="1:16" x14ac:dyDescent="0.25">
      <c r="A12" s="17"/>
      <c r="B12" s="18"/>
      <c r="C12" s="18"/>
      <c r="D12" s="56" t="s">
        <v>14</v>
      </c>
      <c r="E12" s="57">
        <v>0.13639999999999999</v>
      </c>
      <c r="F12" s="58">
        <f>B11*E12</f>
        <v>0.13639999999999999</v>
      </c>
      <c r="G12" s="59">
        <v>1</v>
      </c>
      <c r="H12" s="57">
        <f>(G12/B11)</f>
        <v>1</v>
      </c>
      <c r="I12" s="60">
        <f>(E12*B11-G12)</f>
        <v>-0.86360000000000003</v>
      </c>
      <c r="J12" s="61" t="str">
        <f>IF(SUM(I12)&gt;0,"YES","NO")</f>
        <v>NO</v>
      </c>
      <c r="K12" s="57">
        <f>E12*0.8</f>
        <v>0.10911999999999999</v>
      </c>
      <c r="L12" s="58">
        <f>K12*B11</f>
        <v>0.10911999999999999</v>
      </c>
      <c r="M12" s="58">
        <f>L12-G12</f>
        <v>-0.89088000000000001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25">
      <c r="D13" s="17"/>
      <c r="E13" s="20"/>
      <c r="F13" s="35"/>
      <c r="G13" s="46"/>
      <c r="H13" s="20"/>
      <c r="I13" s="21"/>
    </row>
    <row r="14" spans="1:16" x14ac:dyDescent="0.25">
      <c r="A14" s="2" t="s">
        <v>50</v>
      </c>
      <c r="B14" s="16">
        <v>8</v>
      </c>
      <c r="C14" s="16">
        <v>51</v>
      </c>
      <c r="D14" s="56" t="s">
        <v>13</v>
      </c>
      <c r="E14" s="57">
        <v>0.30790000000000001</v>
      </c>
      <c r="F14" s="58">
        <f>B14*E14</f>
        <v>2.4632000000000001</v>
      </c>
      <c r="G14" s="59">
        <v>6</v>
      </c>
      <c r="H14" s="57">
        <f>(G14/B14)</f>
        <v>0.75</v>
      </c>
      <c r="I14" s="60">
        <f>(E14*B14-G14)</f>
        <v>-3.5367999999999999</v>
      </c>
      <c r="J14" s="61" t="str">
        <f>IF(SUM(I14)&gt;0,"YES","NO")</f>
        <v>NO</v>
      </c>
      <c r="K14" s="57">
        <f>E14*0.8</f>
        <v>0.24632000000000001</v>
      </c>
      <c r="L14" s="58">
        <f>K14*B14</f>
        <v>1.9705600000000001</v>
      </c>
      <c r="M14" s="58">
        <f>L14-G14</f>
        <v>-4.0294400000000001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x14ac:dyDescent="0.25">
      <c r="A15" s="17"/>
      <c r="B15" s="18"/>
      <c r="C15" s="18"/>
      <c r="D15" s="56" t="s">
        <v>14</v>
      </c>
      <c r="E15" s="57">
        <v>0.14000000000000001</v>
      </c>
      <c r="F15" s="58">
        <f>B14*E15</f>
        <v>1.1200000000000001</v>
      </c>
      <c r="G15" s="59">
        <v>0</v>
      </c>
      <c r="H15" s="57">
        <f>(G15/B14)</f>
        <v>0</v>
      </c>
      <c r="I15" s="60">
        <f>(E15*B14-G15)</f>
        <v>1.1200000000000001</v>
      </c>
      <c r="J15" s="61" t="str">
        <f>IF(SUM(I15)&gt;0,"YES","NO")</f>
        <v>YES</v>
      </c>
      <c r="K15" s="57">
        <f>E15*0.8</f>
        <v>0.11200000000000002</v>
      </c>
      <c r="L15" s="58">
        <f>K15*B14</f>
        <v>0.89600000000000013</v>
      </c>
      <c r="M15" s="58">
        <f>L15-G15</f>
        <v>0.89600000000000013</v>
      </c>
      <c r="N15" s="55"/>
      <c r="O15" s="61" t="str">
        <f>IF(SUM(L15)&lt;=G15,"YES","NO")</f>
        <v>NO</v>
      </c>
      <c r="P15" s="62" t="str">
        <f>IF(SUM(M15)&gt;=1,"*"," ")</f>
        <v xml:space="preserve"> </v>
      </c>
    </row>
    <row r="16" spans="1:16" x14ac:dyDescent="0.25">
      <c r="G16" s="36"/>
      <c r="I16" s="19"/>
    </row>
    <row r="17" spans="1:16" s="66" customFormat="1" x14ac:dyDescent="0.25">
      <c r="A17" s="56" t="s">
        <v>48</v>
      </c>
      <c r="B17" s="65">
        <v>8</v>
      </c>
      <c r="C17" s="65">
        <v>51</v>
      </c>
      <c r="D17" s="56" t="s">
        <v>13</v>
      </c>
      <c r="E17" s="63">
        <v>0.72119999999999995</v>
      </c>
      <c r="F17" s="58">
        <f>B17*E17</f>
        <v>5.7695999999999996</v>
      </c>
      <c r="G17" s="59">
        <v>8</v>
      </c>
      <c r="H17" s="57">
        <f>(G17/B17)</f>
        <v>1</v>
      </c>
      <c r="I17" s="60">
        <f>(E17*B17-G17)</f>
        <v>-2.2304000000000004</v>
      </c>
      <c r="J17" s="61" t="str">
        <f>IF(SUM(I17)&gt;0,"YES","NO")</f>
        <v>NO</v>
      </c>
      <c r="K17" s="57">
        <f>E17*0.8</f>
        <v>0.57696000000000003</v>
      </c>
      <c r="L17" s="58">
        <f>K17*B17</f>
        <v>4.6156800000000002</v>
      </c>
      <c r="M17" s="58">
        <f>L17-G17</f>
        <v>-3.3843199999999998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25">
      <c r="A18" s="67"/>
      <c r="B18" s="68"/>
      <c r="C18" s="68"/>
      <c r="D18" s="56" t="s">
        <v>14</v>
      </c>
      <c r="E18" s="57">
        <v>0.35499999999999998</v>
      </c>
      <c r="F18" s="58">
        <f>B17*E18</f>
        <v>2.84</v>
      </c>
      <c r="G18" s="59">
        <v>3</v>
      </c>
      <c r="H18" s="57">
        <f>(G18/B17)</f>
        <v>0.375</v>
      </c>
      <c r="I18" s="60">
        <f>(E18*B17-G18)</f>
        <v>-0.16000000000000014</v>
      </c>
      <c r="J18" s="61" t="str">
        <f>IF(SUM(I18)&gt;0,"YES","NO")</f>
        <v>NO</v>
      </c>
      <c r="K18" s="57">
        <f>E18*0.8</f>
        <v>0.28399999999999997</v>
      </c>
      <c r="L18" s="58">
        <f>K18*B17</f>
        <v>2.2719999999999998</v>
      </c>
      <c r="M18" s="58">
        <f>L18-G18</f>
        <v>-0.7280000000000002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25">
      <c r="G19" s="36"/>
      <c r="I19" s="19"/>
    </row>
    <row r="20" spans="1:16" x14ac:dyDescent="0.25">
      <c r="A20" s="2" t="s">
        <v>20</v>
      </c>
      <c r="B20" s="16">
        <v>2</v>
      </c>
      <c r="C20" s="16">
        <v>51</v>
      </c>
      <c r="D20" s="56" t="s">
        <v>13</v>
      </c>
      <c r="E20" s="57">
        <v>0.62390000000000001</v>
      </c>
      <c r="F20" s="58">
        <f>B20*E20</f>
        <v>1.2478</v>
      </c>
      <c r="G20" s="59">
        <v>1</v>
      </c>
      <c r="H20" s="57">
        <f>(G20/B20)</f>
        <v>0.5</v>
      </c>
      <c r="I20" s="60">
        <f>(E20*B20-G20)</f>
        <v>0.24780000000000002</v>
      </c>
      <c r="J20" s="61" t="str">
        <f>IF(SUM(I20)&gt;0,"YES","NO")</f>
        <v>YES</v>
      </c>
      <c r="K20" s="57">
        <f>E20*0.8</f>
        <v>0.49912000000000001</v>
      </c>
      <c r="L20" s="58">
        <f>K20*B20</f>
        <v>0.99824000000000002</v>
      </c>
      <c r="M20" s="58">
        <f>L20-G20</f>
        <v>-1.7599999999999838E-3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x14ac:dyDescent="0.25">
      <c r="A21" s="17"/>
      <c r="B21" s="18"/>
      <c r="C21" s="18"/>
      <c r="D21" s="56" t="s">
        <v>14</v>
      </c>
      <c r="E21" s="57">
        <v>0.55059999999999998</v>
      </c>
      <c r="F21" s="58">
        <f>B20*E21</f>
        <v>1.1012</v>
      </c>
      <c r="G21" s="59">
        <v>1</v>
      </c>
      <c r="H21" s="57">
        <f>(G21/B20)</f>
        <v>0.5</v>
      </c>
      <c r="I21" s="60">
        <f>(E21*B20-G21)</f>
        <v>0.10119999999999996</v>
      </c>
      <c r="J21" s="61" t="str">
        <f>IF(SUM(I21)&gt;0,"YES","NO")</f>
        <v>YES</v>
      </c>
      <c r="K21" s="57">
        <f>E21*0.8</f>
        <v>0.44047999999999998</v>
      </c>
      <c r="L21" s="58">
        <f>K21*B20</f>
        <v>0.88095999999999997</v>
      </c>
      <c r="M21" s="58">
        <f>L21-G21</f>
        <v>-0.11904000000000003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21</v>
      </c>
      <c r="B23" s="16">
        <v>4</v>
      </c>
      <c r="C23" s="16">
        <v>51</v>
      </c>
      <c r="D23" s="56" t="s">
        <v>13</v>
      </c>
      <c r="E23" s="57">
        <v>0.84509999999999996</v>
      </c>
      <c r="F23" s="58">
        <f>B23*E23</f>
        <v>3.3803999999999998</v>
      </c>
      <c r="G23" s="59">
        <v>3</v>
      </c>
      <c r="H23" s="57">
        <f>(G23/B23)</f>
        <v>0.75</v>
      </c>
      <c r="I23" s="60">
        <f>(E23*B23-G23)</f>
        <v>0.38039999999999985</v>
      </c>
      <c r="J23" s="61" t="str">
        <f>IF(SUM(I23)&gt;0,"YES","NO")</f>
        <v>YES</v>
      </c>
      <c r="K23" s="57">
        <f>E23*0.8</f>
        <v>0.67608000000000001</v>
      </c>
      <c r="L23" s="58">
        <f>K23*B23</f>
        <v>2.7043200000000001</v>
      </c>
      <c r="M23" s="58">
        <f>L23-G23</f>
        <v>-0.29567999999999994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x14ac:dyDescent="0.25">
      <c r="A24" s="17"/>
      <c r="B24" s="18"/>
      <c r="C24" s="18"/>
      <c r="D24" s="56" t="s">
        <v>14</v>
      </c>
      <c r="E24" s="57">
        <v>0.34710000000000002</v>
      </c>
      <c r="F24" s="58">
        <f>B23*E24</f>
        <v>1.3884000000000001</v>
      </c>
      <c r="G24" s="59">
        <v>4</v>
      </c>
      <c r="H24" s="57">
        <f>(G24/B23)</f>
        <v>1</v>
      </c>
      <c r="I24" s="60">
        <f>(E24*B23-G24)</f>
        <v>-2.6116000000000001</v>
      </c>
      <c r="J24" s="61" t="str">
        <f>IF(SUM(I24)&gt;0,"YES","NO")</f>
        <v>NO</v>
      </c>
      <c r="K24" s="57">
        <f>E24*0.8</f>
        <v>0.27768000000000004</v>
      </c>
      <c r="L24" s="58">
        <f>K24*B23</f>
        <v>1.1107200000000002</v>
      </c>
      <c r="M24" s="58">
        <f>L24-G24</f>
        <v>-2.8892799999999998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G26" s="36"/>
      <c r="I26" s="22"/>
    </row>
    <row r="27" spans="1:16" x14ac:dyDescent="0.25">
      <c r="B27" s="4"/>
      <c r="I27" s="22"/>
    </row>
    <row r="28" spans="1:16" x14ac:dyDescent="0.25">
      <c r="A28" s="4" t="s">
        <v>45</v>
      </c>
      <c r="B28" s="6">
        <f>+B5+B8+B11+B14+B17+B20+B23</f>
        <v>121</v>
      </c>
      <c r="D28" s="4" t="s">
        <v>46</v>
      </c>
      <c r="G28" s="64">
        <f>+G5+G8+G11+G14+G17+G20+G23</f>
        <v>31</v>
      </c>
      <c r="I28" s="22"/>
    </row>
    <row r="29" spans="1:16" x14ac:dyDescent="0.25">
      <c r="D29" s="4" t="s">
        <v>47</v>
      </c>
      <c r="G29" s="64">
        <f>+G6+G9+G12+G15+G18+G21+G24</f>
        <v>19</v>
      </c>
      <c r="I29" s="22"/>
    </row>
    <row r="30" spans="1:16" x14ac:dyDescent="0.25">
      <c r="I30" s="22"/>
    </row>
    <row r="31" spans="1:16" x14ac:dyDescent="0.25">
      <c r="I31" s="22"/>
    </row>
    <row r="32" spans="1:16" x14ac:dyDescent="0.25"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  <row r="36" spans="9:9" x14ac:dyDescent="0.25">
      <c r="I36" s="22"/>
    </row>
    <row r="37" spans="9:9" x14ac:dyDescent="0.25">
      <c r="I37" s="22"/>
    </row>
    <row r="38" spans="9:9" x14ac:dyDescent="0.25">
      <c r="I38" s="22"/>
    </row>
    <row r="39" spans="9:9" x14ac:dyDescent="0.25">
      <c r="I39" s="22"/>
    </row>
    <row r="40" spans="9:9" x14ac:dyDescent="0.25">
      <c r="I40" s="22"/>
    </row>
    <row r="41" spans="9:9" x14ac:dyDescent="0.25">
      <c r="I41" s="22"/>
    </row>
    <row r="42" spans="9:9" x14ac:dyDescent="0.25">
      <c r="I42" s="22"/>
    </row>
    <row r="43" spans="9:9" x14ac:dyDescent="0.25">
      <c r="I43" s="22"/>
    </row>
    <row r="44" spans="9:9" x14ac:dyDescent="0.25">
      <c r="I44" s="22"/>
    </row>
    <row r="45" spans="9:9" x14ac:dyDescent="0.25">
      <c r="I45" s="22"/>
    </row>
    <row r="46" spans="9:9" x14ac:dyDescent="0.25">
      <c r="I46" s="22"/>
    </row>
    <row r="47" spans="9:9" x14ac:dyDescent="0.25">
      <c r="I47" s="22"/>
    </row>
    <row r="48" spans="9:9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&amp;C&amp;"Arial,Regular"&amp;13CORP/OFFICE OF THE CHAIRMAN
2000 AFFIRMATIVE ACTION PLAN
Utilization Analysis
Analysis Data as of 01/15/00</oddHeader>
    <oddFooter>&amp;Lo:\aap2000\corpinut.xls&amp;R&amp;"Arial,Regular"PAGE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view="pageBreakPreview" zoomScale="75" zoomScaleNormal="75" workbookViewId="0">
      <pane ySplit="4" topLeftCell="A5" activePane="bottomLeft" state="frozen"/>
      <selection pane="bottomLeft" activeCell="A5" sqref="A5"/>
    </sheetView>
  </sheetViews>
  <sheetFormatPr defaultRowHeight="17.25" x14ac:dyDescent="0.25"/>
  <cols>
    <col min="1" max="1" width="26.28515625" style="4" customWidth="1"/>
    <col min="2" max="2" width="11.28515625" style="6" customWidth="1"/>
    <col min="3" max="3" width="11.7109375" style="6" hidden="1" customWidth="1"/>
    <col min="4" max="4" width="11.7109375" style="4" customWidth="1"/>
    <col min="5" max="5" width="11.7109375" style="15" customWidth="1"/>
    <col min="6" max="6" width="11.7109375" style="32" customWidth="1"/>
    <col min="7" max="7" width="10.42578125" style="33" customWidth="1"/>
    <col min="8" max="8" width="11.7109375" style="15" customWidth="1"/>
    <col min="9" max="9" width="11.7109375" style="4" customWidth="1"/>
    <col min="10" max="10" width="10.85546875" style="36" customWidth="1"/>
    <col min="11" max="11" width="14.42578125" style="15" bestFit="1" customWidth="1"/>
    <col min="12" max="12" width="12.28515625" style="32" customWidth="1"/>
    <col min="13" max="13" width="10.85546875" style="32" customWidth="1"/>
    <col min="14" max="14" width="2.42578125" customWidth="1"/>
    <col min="15" max="15" width="11.7109375" style="26" bestFit="1" customWidth="1"/>
    <col min="16" max="16" width="12.85546875" style="4" customWidth="1"/>
    <col min="17" max="16384" width="9.140625" style="4"/>
  </cols>
  <sheetData>
    <row r="1" spans="1:16" x14ac:dyDescent="0.2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2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2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25">
      <c r="B4" s="12">
        <v>36631</v>
      </c>
      <c r="C4" s="13">
        <v>35490</v>
      </c>
      <c r="D4" s="6"/>
      <c r="E4" s="14" t="s">
        <v>11</v>
      </c>
      <c r="F4" s="31" t="s">
        <v>37</v>
      </c>
      <c r="G4" s="44">
        <f>+B4</f>
        <v>36631</v>
      </c>
      <c r="H4" s="12">
        <f>+B4</f>
        <v>36631</v>
      </c>
      <c r="I4" s="12">
        <f>+B4</f>
        <v>36631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x14ac:dyDescent="0.25">
      <c r="A5" s="2" t="s">
        <v>12</v>
      </c>
      <c r="B5" s="16">
        <v>17</v>
      </c>
      <c r="C5" s="16">
        <v>116</v>
      </c>
      <c r="D5" s="47" t="s">
        <v>13</v>
      </c>
      <c r="E5" s="48">
        <v>0.30890000000000001</v>
      </c>
      <c r="F5" s="49">
        <f>B5*E5</f>
        <v>5.2513000000000005</v>
      </c>
      <c r="G5" s="50">
        <v>1</v>
      </c>
      <c r="H5" s="48">
        <f>(G5/B5)</f>
        <v>5.8823529411764705E-2</v>
      </c>
      <c r="I5" s="51">
        <f>(E5*B5-G5)</f>
        <v>4.2513000000000005</v>
      </c>
      <c r="J5" s="52" t="str">
        <f>IF(SUM(I5)&gt;0,"YES","NO")</f>
        <v>YES</v>
      </c>
      <c r="K5" s="48">
        <f>E5*0.8</f>
        <v>0.24712000000000001</v>
      </c>
      <c r="L5" s="49">
        <f>K5*B5</f>
        <v>4.2010399999999999</v>
      </c>
      <c r="M5" s="49">
        <f>L5-G5</f>
        <v>3.2010399999999999</v>
      </c>
      <c r="N5" s="53"/>
      <c r="O5" s="52" t="str">
        <f>IF(SUM(L5)&lt;=G5,"YES","NO")</f>
        <v>NO</v>
      </c>
      <c r="P5" s="54" t="str">
        <f>IF(SUM(M5)&gt;=1,"*"," ")</f>
        <v>*</v>
      </c>
    </row>
    <row r="6" spans="1:16" x14ac:dyDescent="0.25">
      <c r="A6" s="17"/>
      <c r="B6" s="18"/>
      <c r="C6" s="18"/>
      <c r="D6" s="2" t="s">
        <v>14</v>
      </c>
      <c r="E6" s="3">
        <v>0.18429999999999999</v>
      </c>
      <c r="F6" s="34">
        <f>B5*E6</f>
        <v>3.1330999999999998</v>
      </c>
      <c r="G6" s="45">
        <v>3</v>
      </c>
      <c r="H6" s="57">
        <f>(G6/B5)</f>
        <v>0.17647058823529413</v>
      </c>
      <c r="I6" s="1">
        <f>(E6*B5-G6)</f>
        <v>0.13309999999999977</v>
      </c>
      <c r="J6" s="37" t="str">
        <f>IF(SUM(I6)&gt;0,"YES","NO")</f>
        <v>YES</v>
      </c>
      <c r="K6" s="3">
        <f>E6*0.8</f>
        <v>0.14743999999999999</v>
      </c>
      <c r="L6" s="34">
        <f>K6*B5</f>
        <v>2.5064799999999998</v>
      </c>
      <c r="M6" s="34">
        <f>L6-G6</f>
        <v>-0.49352000000000018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25">
      <c r="G7" s="36"/>
      <c r="I7" s="19"/>
    </row>
    <row r="8" spans="1:16" s="66" customFormat="1" x14ac:dyDescent="0.25">
      <c r="A8" s="56" t="s">
        <v>15</v>
      </c>
      <c r="B8" s="65">
        <v>39</v>
      </c>
      <c r="C8" s="65">
        <v>51</v>
      </c>
      <c r="D8" s="47" t="s">
        <v>13</v>
      </c>
      <c r="E8" s="48">
        <v>0.30199999999999999</v>
      </c>
      <c r="F8" s="49">
        <f>B8*E8</f>
        <v>11.778</v>
      </c>
      <c r="G8" s="50">
        <v>6</v>
      </c>
      <c r="H8" s="48">
        <f>(G8/B8)</f>
        <v>0.15384615384615385</v>
      </c>
      <c r="I8" s="51">
        <f>(E8*B8-G8)</f>
        <v>5.7780000000000005</v>
      </c>
      <c r="J8" s="52" t="str">
        <f>IF(SUM(I8)&gt;0,"YES","NO")</f>
        <v>YES</v>
      </c>
      <c r="K8" s="48">
        <f>E8*0.8</f>
        <v>0.24160000000000001</v>
      </c>
      <c r="L8" s="49">
        <f>K8*B8</f>
        <v>9.4223999999999997</v>
      </c>
      <c r="M8" s="49">
        <f>L8-G8</f>
        <v>3.4223999999999997</v>
      </c>
      <c r="N8" s="53"/>
      <c r="O8" s="52" t="str">
        <f>IF(SUM(L8)&lt;=G8,"YES","NO")</f>
        <v>NO</v>
      </c>
      <c r="P8" s="54" t="str">
        <f>IF(SUM(M8)&gt;=1,"*"," ")</f>
        <v>*</v>
      </c>
    </row>
    <row r="9" spans="1:16" x14ac:dyDescent="0.25">
      <c r="A9" s="17"/>
      <c r="B9" s="18"/>
      <c r="C9" s="18"/>
      <c r="D9" s="2" t="s">
        <v>14</v>
      </c>
      <c r="E9" s="3">
        <v>0.18920000000000001</v>
      </c>
      <c r="F9" s="34">
        <f>B8*E9</f>
        <v>7.3788</v>
      </c>
      <c r="G9" s="45">
        <v>15</v>
      </c>
      <c r="H9" s="3">
        <f>(G9/B8)</f>
        <v>0.38461538461538464</v>
      </c>
      <c r="I9" s="1">
        <f>(E9*B8-G9)</f>
        <v>-7.6212</v>
      </c>
      <c r="J9" s="37" t="str">
        <f>IF(SUM(I9)&gt;0,"YES","NO")</f>
        <v>NO</v>
      </c>
      <c r="K9" s="3">
        <f>E9*0.8</f>
        <v>0.15136000000000002</v>
      </c>
      <c r="L9" s="34">
        <f>K9*B8</f>
        <v>5.9030400000000007</v>
      </c>
      <c r="M9" s="34">
        <f>L9-G9</f>
        <v>-9.0969599999999993</v>
      </c>
      <c r="O9" s="37" t="str">
        <f>IF(SUM(L9)&lt;=G9,"YES","NO")</f>
        <v>YES</v>
      </c>
      <c r="P9" s="43" t="str">
        <f>IF(SUM(M9)&gt;=1,"*"," ")</f>
        <v xml:space="preserve"> </v>
      </c>
    </row>
    <row r="10" spans="1:16" x14ac:dyDescent="0.25">
      <c r="G10" s="36"/>
      <c r="I10" s="19"/>
    </row>
    <row r="11" spans="1:16" x14ac:dyDescent="0.25">
      <c r="A11" s="2" t="s">
        <v>16</v>
      </c>
      <c r="B11" s="16">
        <v>5</v>
      </c>
      <c r="C11" s="16">
        <v>78</v>
      </c>
      <c r="D11" s="2" t="s">
        <v>13</v>
      </c>
      <c r="E11" s="3">
        <v>0.30259999999999998</v>
      </c>
      <c r="F11" s="34">
        <f>B11*E11</f>
        <v>1.5129999999999999</v>
      </c>
      <c r="G11" s="45">
        <v>3</v>
      </c>
      <c r="H11" s="3">
        <f>(G11/B11)</f>
        <v>0.6</v>
      </c>
      <c r="I11" s="1">
        <f>(E11*B11-G11)</f>
        <v>-1.4870000000000001</v>
      </c>
      <c r="J11" s="37" t="str">
        <f>IF(SUM(I11)&gt;0,"YES","NO")</f>
        <v>NO</v>
      </c>
      <c r="K11" s="3">
        <f>E11*0.8</f>
        <v>0.24207999999999999</v>
      </c>
      <c r="L11" s="34">
        <f>K11*B11</f>
        <v>1.2103999999999999</v>
      </c>
      <c r="M11" s="34">
        <f>L11-G11</f>
        <v>-1.7896000000000001</v>
      </c>
      <c r="O11" s="37" t="str">
        <f>IF(SUM(L11)&lt;=G11,"YES","NO")</f>
        <v>YES</v>
      </c>
      <c r="P11" s="43" t="str">
        <f>IF(SUM(M11)&gt;=1,"*"," ")</f>
        <v xml:space="preserve"> </v>
      </c>
    </row>
    <row r="12" spans="1:16" x14ac:dyDescent="0.25">
      <c r="A12" s="17"/>
      <c r="B12" s="18"/>
      <c r="C12" s="18"/>
      <c r="D12" s="2" t="s">
        <v>14</v>
      </c>
      <c r="E12" s="3">
        <v>0.17519999999999999</v>
      </c>
      <c r="F12" s="34">
        <f>B11*E12</f>
        <v>0.876</v>
      </c>
      <c r="G12" s="45">
        <v>4</v>
      </c>
      <c r="H12" s="3">
        <f>(G12/B11)</f>
        <v>0.8</v>
      </c>
      <c r="I12" s="1">
        <f>(E12*B11-G12)</f>
        <v>-3.1240000000000001</v>
      </c>
      <c r="J12" s="37" t="str">
        <f>IF(SUM(I12)&gt;0,"YES","NO")</f>
        <v>NO</v>
      </c>
      <c r="K12" s="3">
        <f>E12*0.8</f>
        <v>0.14016000000000001</v>
      </c>
      <c r="L12" s="34">
        <f>K12*B11</f>
        <v>0.70080000000000009</v>
      </c>
      <c r="M12" s="34">
        <f>L12-G12</f>
        <v>-3.2991999999999999</v>
      </c>
      <c r="O12" s="37" t="str">
        <f>IF(SUM(L12)&lt;=G12,"YES","NO")</f>
        <v>YES</v>
      </c>
      <c r="P12" s="43" t="str">
        <f>IF(SUM(M12)&gt;=1,"*"," ")</f>
        <v xml:space="preserve"> </v>
      </c>
    </row>
    <row r="13" spans="1:16" x14ac:dyDescent="0.25">
      <c r="D13" s="17"/>
      <c r="E13" s="20"/>
      <c r="F13" s="35"/>
      <c r="G13" s="46"/>
      <c r="H13" s="20"/>
      <c r="I13" s="21"/>
    </row>
    <row r="14" spans="1:16" x14ac:dyDescent="0.25">
      <c r="A14" s="2" t="s">
        <v>17</v>
      </c>
      <c r="B14" s="16">
        <v>45</v>
      </c>
      <c r="C14" s="16">
        <v>51</v>
      </c>
      <c r="D14" s="2" t="s">
        <v>13</v>
      </c>
      <c r="E14" s="3">
        <v>0.33700000000000002</v>
      </c>
      <c r="F14" s="34">
        <f>B14*E14</f>
        <v>15.165000000000001</v>
      </c>
      <c r="G14" s="45">
        <v>16</v>
      </c>
      <c r="H14" s="3">
        <f>(G14/B14)</f>
        <v>0.35555555555555557</v>
      </c>
      <c r="I14" s="1">
        <f>(E14*B14-G14)</f>
        <v>-0.83499999999999908</v>
      </c>
      <c r="J14" s="37" t="str">
        <f>IF(SUM(I14)&gt;0,"YES","NO")</f>
        <v>NO</v>
      </c>
      <c r="K14" s="3">
        <f>E14*0.8</f>
        <v>0.26960000000000001</v>
      </c>
      <c r="L14" s="34">
        <f>K14*B14</f>
        <v>12.132</v>
      </c>
      <c r="M14" s="34">
        <f>L14-G14</f>
        <v>-3.8680000000000003</v>
      </c>
      <c r="O14" s="37" t="str">
        <f>IF(SUM(L14)&lt;=G14,"YES","NO")</f>
        <v>YES</v>
      </c>
      <c r="P14" s="43" t="str">
        <f>IF(SUM(M14)&gt;=1,"*"," ")</f>
        <v xml:space="preserve"> </v>
      </c>
    </row>
    <row r="15" spans="1:16" x14ac:dyDescent="0.25">
      <c r="A15" s="17"/>
      <c r="B15" s="18"/>
      <c r="C15" s="18"/>
      <c r="D15" s="2" t="s">
        <v>14</v>
      </c>
      <c r="E15" s="3">
        <v>0.17169999999999999</v>
      </c>
      <c r="F15" s="34">
        <f>B14*E15</f>
        <v>7.7264999999999997</v>
      </c>
      <c r="G15" s="45">
        <v>21</v>
      </c>
      <c r="H15" s="3">
        <f>(G15/B14)</f>
        <v>0.46666666666666667</v>
      </c>
      <c r="I15" s="1">
        <f>(E15*B14-G15)</f>
        <v>-13.2735</v>
      </c>
      <c r="J15" s="37" t="str">
        <f>IF(SUM(I15)&gt;0,"YES","NO")</f>
        <v>NO</v>
      </c>
      <c r="K15" s="3">
        <f>E15*0.8</f>
        <v>0.13736000000000001</v>
      </c>
      <c r="L15" s="34">
        <f>K15*B14</f>
        <v>6.1812000000000005</v>
      </c>
      <c r="M15" s="34">
        <f>L15-G15</f>
        <v>-14.8188</v>
      </c>
      <c r="O15" s="37" t="str">
        <f>IF(SUM(L15)&lt;=G15,"YES","NO")</f>
        <v>YES</v>
      </c>
      <c r="P15" s="43" t="str">
        <f>IF(SUM(M15)&gt;=1,"*"," ")</f>
        <v xml:space="preserve"> </v>
      </c>
    </row>
    <row r="16" spans="1:16" x14ac:dyDescent="0.25">
      <c r="G16" s="36"/>
      <c r="I16" s="19"/>
    </row>
    <row r="17" spans="1:16" s="66" customFormat="1" x14ac:dyDescent="0.25">
      <c r="A17" s="56" t="s">
        <v>18</v>
      </c>
      <c r="B17" s="65">
        <v>2</v>
      </c>
      <c r="C17" s="65">
        <v>51</v>
      </c>
      <c r="D17" s="56" t="s">
        <v>13</v>
      </c>
      <c r="E17" s="63">
        <v>8.0100000000000005E-2</v>
      </c>
      <c r="F17" s="58">
        <f>B17*E17</f>
        <v>0.16020000000000001</v>
      </c>
      <c r="G17" s="59">
        <v>0</v>
      </c>
      <c r="H17" s="57">
        <f>(G17/B17)</f>
        <v>0</v>
      </c>
      <c r="I17" s="60">
        <f>(E17*B17-G17)</f>
        <v>0.16020000000000001</v>
      </c>
      <c r="J17" s="61" t="str">
        <f>IF(SUM(I17)&gt;0,"YES","NO")</f>
        <v>YES</v>
      </c>
      <c r="K17" s="57">
        <f>E17*0.8</f>
        <v>6.4080000000000012E-2</v>
      </c>
      <c r="L17" s="58">
        <f>K17*B17</f>
        <v>0.12816000000000002</v>
      </c>
      <c r="M17" s="58">
        <f>L17-G17</f>
        <v>0.12816000000000002</v>
      </c>
      <c r="N17" s="55"/>
      <c r="O17" s="61" t="str">
        <f>IF(SUM(L17)&lt;=G17,"YES","NO")</f>
        <v>NO</v>
      </c>
      <c r="P17" s="62" t="str">
        <f>IF(SUM(M17)&gt;=1,"*"," ")</f>
        <v xml:space="preserve"> </v>
      </c>
    </row>
    <row r="18" spans="1:16" x14ac:dyDescent="0.25">
      <c r="A18" s="17"/>
      <c r="B18" s="18"/>
      <c r="C18" s="18"/>
      <c r="D18" s="2" t="s">
        <v>14</v>
      </c>
      <c r="E18" s="3">
        <v>0.19450000000000001</v>
      </c>
      <c r="F18" s="34">
        <f>B17*E18</f>
        <v>0.38900000000000001</v>
      </c>
      <c r="G18" s="45">
        <v>0</v>
      </c>
      <c r="H18" s="3">
        <f>(G18/B17)</f>
        <v>0</v>
      </c>
      <c r="I18" s="1">
        <f>(E18*B17-G18)</f>
        <v>0.38900000000000001</v>
      </c>
      <c r="J18" s="37" t="str">
        <f>IF(SUM(I18)&gt;0,"YES","NO")</f>
        <v>YES</v>
      </c>
      <c r="K18" s="3">
        <f>E18*0.8</f>
        <v>0.15560000000000002</v>
      </c>
      <c r="L18" s="34">
        <f>K18*B17</f>
        <v>0.31120000000000003</v>
      </c>
      <c r="M18" s="34">
        <f>L18-G18</f>
        <v>0.31120000000000003</v>
      </c>
      <c r="O18" s="37" t="str">
        <f>IF(SUM(L18)&lt;=G18,"YES","NO")</f>
        <v>NO</v>
      </c>
      <c r="P18" s="43" t="str">
        <f>IF(SUM(M18)&gt;=1,"*"," ")</f>
        <v xml:space="preserve"> </v>
      </c>
    </row>
    <row r="19" spans="1:16" x14ac:dyDescent="0.25">
      <c r="G19" s="36"/>
      <c r="I19" s="19"/>
    </row>
    <row r="20" spans="1:16" s="66" customFormat="1" x14ac:dyDescent="0.25">
      <c r="A20" s="56" t="s">
        <v>42</v>
      </c>
      <c r="B20" s="65">
        <v>6</v>
      </c>
      <c r="C20" s="65">
        <v>51</v>
      </c>
      <c r="D20" s="56" t="s">
        <v>13</v>
      </c>
      <c r="E20" s="57">
        <v>0.47949999999999998</v>
      </c>
      <c r="F20" s="58">
        <f>B20*E20</f>
        <v>2.8769999999999998</v>
      </c>
      <c r="G20" s="59">
        <v>2</v>
      </c>
      <c r="H20" s="57">
        <f>(G20/B20)</f>
        <v>0.33333333333333331</v>
      </c>
      <c r="I20" s="60">
        <f>(E20*B20-G20)</f>
        <v>0.87699999999999978</v>
      </c>
      <c r="J20" s="61" t="str">
        <f>IF(SUM(I20)&gt;0,"YES","NO")</f>
        <v>YES</v>
      </c>
      <c r="K20" s="57">
        <f>E20*0.8</f>
        <v>0.3836</v>
      </c>
      <c r="L20" s="58">
        <f>K20*B20</f>
        <v>2.3016000000000001</v>
      </c>
      <c r="M20" s="58">
        <f>L20-G20</f>
        <v>0.30160000000000009</v>
      </c>
      <c r="N20" s="55"/>
      <c r="O20" s="61" t="str">
        <f>IF(SUM(L20)&lt;=G20,"YES","NO")</f>
        <v>NO</v>
      </c>
      <c r="P20" s="62" t="str">
        <f>IF(SUM(M20)&gt;=1,"*"," ")</f>
        <v xml:space="preserve"> </v>
      </c>
    </row>
    <row r="21" spans="1:16" x14ac:dyDescent="0.25">
      <c r="A21" s="17"/>
      <c r="B21" s="18"/>
      <c r="C21" s="18"/>
      <c r="D21" s="2" t="s">
        <v>14</v>
      </c>
      <c r="E21" s="3">
        <v>0.22270000000000001</v>
      </c>
      <c r="F21" s="34">
        <f>B20*E21</f>
        <v>1.3362000000000001</v>
      </c>
      <c r="G21" s="45">
        <v>3</v>
      </c>
      <c r="H21" s="3">
        <f>(G21/B20)</f>
        <v>0.5</v>
      </c>
      <c r="I21" s="1">
        <f>(E21*B20-G21)</f>
        <v>-1.6637999999999999</v>
      </c>
      <c r="J21" s="37" t="str">
        <f>IF(SUM(I21)&gt;0,"YES","NO")</f>
        <v>NO</v>
      </c>
      <c r="K21" s="3">
        <f>E21*0.8</f>
        <v>0.17816000000000001</v>
      </c>
      <c r="L21" s="34">
        <f>K21*B20</f>
        <v>1.0689600000000001</v>
      </c>
      <c r="M21" s="34">
        <f>L21-G21</f>
        <v>-1.9310399999999999</v>
      </c>
      <c r="O21" s="37" t="str">
        <f>IF(SUM(L21)&lt;=G21,"YES","NO")</f>
        <v>YES</v>
      </c>
      <c r="P21" s="43" t="str">
        <f>IF(SUM(M21)&gt;=1,"*"," ")</f>
        <v xml:space="preserve"> </v>
      </c>
    </row>
    <row r="22" spans="1:16" x14ac:dyDescent="0.25">
      <c r="G22" s="36"/>
      <c r="I22" s="19"/>
    </row>
    <row r="23" spans="1:16" x14ac:dyDescent="0.25">
      <c r="A23" s="2" t="s">
        <v>19</v>
      </c>
      <c r="B23" s="16">
        <v>8</v>
      </c>
      <c r="C23" s="16">
        <v>51</v>
      </c>
      <c r="D23" s="2" t="s">
        <v>13</v>
      </c>
      <c r="E23" s="3">
        <v>0.43880000000000002</v>
      </c>
      <c r="F23" s="34">
        <f>B23*E23</f>
        <v>3.5104000000000002</v>
      </c>
      <c r="G23" s="45">
        <v>5</v>
      </c>
      <c r="H23" s="3">
        <f>(G23/B23)</f>
        <v>0.625</v>
      </c>
      <c r="I23" s="1">
        <f>(E23*B23-G23)</f>
        <v>-1.4895999999999998</v>
      </c>
      <c r="J23" s="37" t="str">
        <f>IF(SUM(I23)&gt;0,"YES","NO")</f>
        <v>NO</v>
      </c>
      <c r="K23" s="3">
        <f>E23*0.8</f>
        <v>0.35104000000000002</v>
      </c>
      <c r="L23" s="34">
        <f>K23*B23</f>
        <v>2.8083200000000001</v>
      </c>
      <c r="M23" s="34">
        <f>L23-G23</f>
        <v>-2.1916799999999999</v>
      </c>
      <c r="O23" s="37" t="str">
        <f>IF(SUM(L23)&lt;=G23,"YES","NO")</f>
        <v>YES</v>
      </c>
      <c r="P23" s="43" t="str">
        <f>IF(SUM(M23)&gt;=1,"*"," ")</f>
        <v xml:space="preserve"> </v>
      </c>
    </row>
    <row r="24" spans="1:16" x14ac:dyDescent="0.25">
      <c r="A24" s="17"/>
      <c r="B24" s="18"/>
      <c r="C24" s="18"/>
      <c r="D24" s="2" t="s">
        <v>14</v>
      </c>
      <c r="E24" s="3">
        <v>0.14430000000000001</v>
      </c>
      <c r="F24" s="34">
        <f>B23*E24</f>
        <v>1.1544000000000001</v>
      </c>
      <c r="G24" s="45">
        <v>3</v>
      </c>
      <c r="H24" s="3">
        <f>(G24/B23)</f>
        <v>0.375</v>
      </c>
      <c r="I24" s="1">
        <f>(E24*B23-G24)</f>
        <v>-1.8455999999999999</v>
      </c>
      <c r="J24" s="37" t="str">
        <f>IF(SUM(I24)&gt;0,"YES","NO")</f>
        <v>NO</v>
      </c>
      <c r="K24" s="3">
        <f>E24*0.8</f>
        <v>0.11544000000000001</v>
      </c>
      <c r="L24" s="34">
        <f>K24*B23</f>
        <v>0.92352000000000012</v>
      </c>
      <c r="M24" s="34">
        <f>L24-G24</f>
        <v>-2.0764800000000001</v>
      </c>
      <c r="O24" s="37" t="str">
        <f>IF(SUM(L24)&lt;=G24,"YES","NO")</f>
        <v>YES</v>
      </c>
      <c r="P24" s="43" t="str">
        <f>IF(SUM(M24)&gt;=1,"*"," ")</f>
        <v xml:space="preserve"> </v>
      </c>
    </row>
    <row r="25" spans="1:16" x14ac:dyDescent="0.25">
      <c r="G25" s="36"/>
      <c r="I25" s="19"/>
    </row>
    <row r="26" spans="1:16" x14ac:dyDescent="0.25">
      <c r="A26" s="2" t="s">
        <v>43</v>
      </c>
      <c r="B26" s="16">
        <v>2</v>
      </c>
      <c r="C26" s="16">
        <v>116</v>
      </c>
      <c r="D26" s="2" t="s">
        <v>13</v>
      </c>
      <c r="E26" s="3">
        <v>0.31080000000000002</v>
      </c>
      <c r="F26" s="34">
        <f>B26*E26</f>
        <v>0.62160000000000004</v>
      </c>
      <c r="G26" s="45">
        <v>1</v>
      </c>
      <c r="H26" s="3">
        <f>(G26/B26)</f>
        <v>0.5</v>
      </c>
      <c r="I26" s="1">
        <f>(E26*B26-G26)</f>
        <v>-0.37839999999999996</v>
      </c>
      <c r="J26" s="37" t="str">
        <f>IF(SUM(I26)&gt;0,"YES","NO")</f>
        <v>NO</v>
      </c>
      <c r="K26" s="3">
        <f>E26*0.8</f>
        <v>0.24864000000000003</v>
      </c>
      <c r="L26" s="34">
        <f>K26*B26</f>
        <v>0.49728000000000006</v>
      </c>
      <c r="M26" s="34">
        <f>L26-G26</f>
        <v>-0.50271999999999994</v>
      </c>
      <c r="O26" s="37" t="str">
        <f>IF(SUM(L26)&lt;=G26,"YES","NO")</f>
        <v>YES</v>
      </c>
      <c r="P26" s="43" t="str">
        <f>IF(SUM(M26)&gt;=1,"*"," ")</f>
        <v xml:space="preserve"> </v>
      </c>
    </row>
    <row r="27" spans="1:16" x14ac:dyDescent="0.25">
      <c r="A27" s="17"/>
      <c r="B27" s="18"/>
      <c r="C27" s="18"/>
      <c r="D27" s="2" t="s">
        <v>14</v>
      </c>
      <c r="E27" s="3">
        <v>0.26090000000000002</v>
      </c>
      <c r="F27" s="34">
        <f>B26*E27</f>
        <v>0.52180000000000004</v>
      </c>
      <c r="G27" s="45">
        <v>2</v>
      </c>
      <c r="H27" s="3">
        <f>(G27/B26)</f>
        <v>1</v>
      </c>
      <c r="I27" s="1">
        <f>(E27*B26-G27)</f>
        <v>-1.4782</v>
      </c>
      <c r="J27" s="37" t="str">
        <f>IF(SUM(I27)&gt;0,"YES","NO")</f>
        <v>NO</v>
      </c>
      <c r="K27" s="3">
        <f>E27*0.8</f>
        <v>0.20872000000000002</v>
      </c>
      <c r="L27" s="34">
        <f>K27*B26</f>
        <v>0.41744000000000003</v>
      </c>
      <c r="M27" s="34">
        <f>L27-G27</f>
        <v>-1.58256</v>
      </c>
      <c r="O27" s="37" t="str">
        <f>IF(SUM(L27)&lt;=G27,"YES","NO")</f>
        <v>YES</v>
      </c>
      <c r="P27" s="43" t="str">
        <f>IF(SUM(M27)&gt;=1,"*"," ")</f>
        <v xml:space="preserve"> </v>
      </c>
    </row>
    <row r="28" spans="1:16" x14ac:dyDescent="0.25">
      <c r="D28" s="17"/>
      <c r="E28" s="20"/>
      <c r="F28" s="35"/>
      <c r="G28" s="46"/>
      <c r="H28" s="20"/>
      <c r="I28" s="21"/>
    </row>
    <row r="29" spans="1:16" x14ac:dyDescent="0.25">
      <c r="A29" s="2" t="s">
        <v>44</v>
      </c>
      <c r="B29" s="16">
        <v>30</v>
      </c>
      <c r="C29" s="16">
        <v>116</v>
      </c>
      <c r="D29" s="2" t="s">
        <v>13</v>
      </c>
      <c r="E29" s="3">
        <v>0.98170000000000002</v>
      </c>
      <c r="F29" s="34">
        <f>B29*E29</f>
        <v>29.451000000000001</v>
      </c>
      <c r="G29" s="45">
        <v>30</v>
      </c>
      <c r="H29" s="3">
        <f>(G29/B29)</f>
        <v>1</v>
      </c>
      <c r="I29" s="1">
        <f>(E29*B29-G29)</f>
        <v>-0.54899999999999949</v>
      </c>
      <c r="J29" s="37" t="str">
        <f>IF(SUM(I29)&gt;0,"YES","NO")</f>
        <v>NO</v>
      </c>
      <c r="K29" s="3">
        <f>E29*0.8</f>
        <v>0.78536000000000006</v>
      </c>
      <c r="L29" s="34">
        <f>K29*B29</f>
        <v>23.5608</v>
      </c>
      <c r="M29" s="34">
        <f>L29-G29</f>
        <v>-6.4391999999999996</v>
      </c>
      <c r="O29" s="37" t="str">
        <f>IF(SUM(L29)&lt;=G29,"YES","NO")</f>
        <v>YES</v>
      </c>
      <c r="P29" s="43" t="str">
        <f>IF(SUM(M29)&gt;=1,"*"," ")</f>
        <v xml:space="preserve"> </v>
      </c>
    </row>
    <row r="30" spans="1:16" x14ac:dyDescent="0.25">
      <c r="A30" s="17"/>
      <c r="B30" s="18"/>
      <c r="C30" s="18"/>
      <c r="D30" s="2" t="s">
        <v>14</v>
      </c>
      <c r="E30" s="3">
        <v>0.30509999999999998</v>
      </c>
      <c r="F30" s="34">
        <f>B29*E30</f>
        <v>9.1529999999999987</v>
      </c>
      <c r="G30" s="45">
        <v>18</v>
      </c>
      <c r="H30" s="3">
        <f>(G30/B29)</f>
        <v>0.6</v>
      </c>
      <c r="I30" s="1">
        <f>(E30*B29-G30)</f>
        <v>-8.8470000000000013</v>
      </c>
      <c r="J30" s="37" t="str">
        <f>IF(SUM(I30)&gt;0,"YES","NO")</f>
        <v>NO</v>
      </c>
      <c r="K30" s="3">
        <f>E30*0.8</f>
        <v>0.24407999999999999</v>
      </c>
      <c r="L30" s="34">
        <f>K30*B29</f>
        <v>7.3224</v>
      </c>
      <c r="M30" s="34">
        <f>L30-G30</f>
        <v>-10.6776</v>
      </c>
      <c r="O30" s="37" t="str">
        <f>IF(SUM(L30)&lt;=G30,"YES","NO")</f>
        <v>YES</v>
      </c>
      <c r="P30" s="43" t="str">
        <f>IF(SUM(M30)&gt;=1,"*"," ")</f>
        <v xml:space="preserve"> </v>
      </c>
    </row>
    <row r="31" spans="1:16" x14ac:dyDescent="0.25">
      <c r="G31" s="36"/>
      <c r="I31" s="22"/>
    </row>
    <row r="32" spans="1:16" x14ac:dyDescent="0.25">
      <c r="A32" s="2" t="s">
        <v>20</v>
      </c>
      <c r="B32" s="16">
        <v>7</v>
      </c>
      <c r="C32" s="16">
        <v>116</v>
      </c>
      <c r="D32" s="2" t="s">
        <v>13</v>
      </c>
      <c r="E32" s="3">
        <v>0.84409999999999996</v>
      </c>
      <c r="F32" s="34">
        <f>B32*E32</f>
        <v>5.9086999999999996</v>
      </c>
      <c r="G32" s="45">
        <v>6</v>
      </c>
      <c r="H32" s="3">
        <f>(G32/B32)</f>
        <v>0.8571428571428571</v>
      </c>
      <c r="I32" s="1">
        <f>(E32*B32-G32)</f>
        <v>-9.1300000000000381E-2</v>
      </c>
      <c r="J32" s="37" t="str">
        <f>IF(SUM(I32)&gt;0,"YES","NO")</f>
        <v>NO</v>
      </c>
      <c r="K32" s="3">
        <f>E32*0.8</f>
        <v>0.67527999999999999</v>
      </c>
      <c r="L32" s="34">
        <f>K32*B32</f>
        <v>4.7269600000000001</v>
      </c>
      <c r="M32" s="34">
        <f>L32-G32</f>
        <v>-1.2730399999999999</v>
      </c>
      <c r="O32" s="37" t="str">
        <f>IF(SUM(L32)&lt;=G32,"YES","NO")</f>
        <v>YES</v>
      </c>
      <c r="P32" s="43" t="str">
        <f>IF(SUM(M32)&gt;=1,"*"," ")</f>
        <v xml:space="preserve"> </v>
      </c>
    </row>
    <row r="33" spans="1:16" x14ac:dyDescent="0.25">
      <c r="A33" s="17"/>
      <c r="B33" s="18"/>
      <c r="C33" s="18"/>
      <c r="D33" s="2" t="s">
        <v>14</v>
      </c>
      <c r="E33" s="3">
        <v>0.29609999999999997</v>
      </c>
      <c r="F33" s="34">
        <f>B32*E33</f>
        <v>2.0726999999999998</v>
      </c>
      <c r="G33" s="45">
        <v>5</v>
      </c>
      <c r="H33" s="3">
        <f>(G33/B32)</f>
        <v>0.7142857142857143</v>
      </c>
      <c r="I33" s="1">
        <f>(E33*B32-G33)</f>
        <v>-2.9273000000000002</v>
      </c>
      <c r="J33" s="37" t="str">
        <f>IF(SUM(I33)&gt;0,"YES","NO")</f>
        <v>NO</v>
      </c>
      <c r="K33" s="3">
        <f>E33*0.8</f>
        <v>0.23687999999999998</v>
      </c>
      <c r="L33" s="34">
        <f>K33*B32</f>
        <v>1.6581599999999999</v>
      </c>
      <c r="M33" s="34">
        <f>L33-G33</f>
        <v>-3.3418400000000004</v>
      </c>
      <c r="O33" s="37" t="str">
        <f>IF(SUM(L33)&lt;=G33,"YES","NO")</f>
        <v>YES</v>
      </c>
      <c r="P33" s="43" t="str">
        <f>IF(SUM(M33)&gt;=1,"*"," ")</f>
        <v xml:space="preserve"> </v>
      </c>
    </row>
    <row r="34" spans="1:16" x14ac:dyDescent="0.25">
      <c r="G34" s="36"/>
      <c r="I34" s="22"/>
    </row>
    <row r="35" spans="1:16" x14ac:dyDescent="0.25">
      <c r="A35" s="2" t="s">
        <v>21</v>
      </c>
      <c r="B35" s="16">
        <v>8</v>
      </c>
      <c r="C35" s="16">
        <v>116</v>
      </c>
      <c r="D35" s="2" t="s">
        <v>13</v>
      </c>
      <c r="E35" s="3">
        <v>0.81399999999999995</v>
      </c>
      <c r="F35" s="34">
        <f>B35*E35</f>
        <v>6.5119999999999996</v>
      </c>
      <c r="G35" s="45">
        <v>6</v>
      </c>
      <c r="H35" s="3">
        <f>(G35/B35)</f>
        <v>0.75</v>
      </c>
      <c r="I35" s="1">
        <f>(E35*B35-G35)</f>
        <v>0.51199999999999957</v>
      </c>
      <c r="J35" s="37" t="str">
        <f>IF(SUM(I35)&gt;0,"YES","NO")</f>
        <v>YES</v>
      </c>
      <c r="K35" s="3">
        <f>E35*0.8</f>
        <v>0.6512</v>
      </c>
      <c r="L35" s="34">
        <f>K35*B35</f>
        <v>5.2096</v>
      </c>
      <c r="M35" s="34">
        <f>L35-G35</f>
        <v>-0.79039999999999999</v>
      </c>
      <c r="O35" s="37" t="str">
        <f>IF(SUM(L35)&lt;=G35,"YES","NO")</f>
        <v>YES</v>
      </c>
      <c r="P35" s="43" t="str">
        <f>IF(SUM(M35)&gt;=1,"*"," ")</f>
        <v xml:space="preserve"> </v>
      </c>
    </row>
    <row r="36" spans="1:16" x14ac:dyDescent="0.25">
      <c r="A36" s="17"/>
      <c r="B36" s="18"/>
      <c r="C36" s="18"/>
      <c r="D36" s="2" t="s">
        <v>14</v>
      </c>
      <c r="E36" s="3">
        <v>0.3982</v>
      </c>
      <c r="F36" s="34">
        <f>B35*E36</f>
        <v>3.1856</v>
      </c>
      <c r="G36" s="45">
        <v>8</v>
      </c>
      <c r="H36" s="3">
        <f>(G36/B35)</f>
        <v>1</v>
      </c>
      <c r="I36" s="1">
        <f>(E36*B35-G36)</f>
        <v>-4.8144</v>
      </c>
      <c r="J36" s="37" t="str">
        <f>IF(SUM(I36)&gt;0,"YES","NO")</f>
        <v>NO</v>
      </c>
      <c r="K36" s="3">
        <f>E36*0.8</f>
        <v>0.31856000000000001</v>
      </c>
      <c r="L36" s="34">
        <f>K36*B35</f>
        <v>2.5484800000000001</v>
      </c>
      <c r="M36" s="34">
        <f>L36-G36</f>
        <v>-5.4515200000000004</v>
      </c>
      <c r="O36" s="37" t="str">
        <f>IF(SUM(L36)&lt;=G36,"YES","NO")</f>
        <v>YES</v>
      </c>
      <c r="P36" s="43" t="str">
        <f>IF(SUM(M36)&gt;=1,"*"," ")</f>
        <v xml:space="preserve"> </v>
      </c>
    </row>
    <row r="37" spans="1:16" x14ac:dyDescent="0.25">
      <c r="B37" s="4"/>
      <c r="I37" s="22"/>
    </row>
    <row r="38" spans="1:16" x14ac:dyDescent="0.25">
      <c r="A38" s="4" t="s">
        <v>45</v>
      </c>
      <c r="B38" s="6">
        <f>+B5+B8+B11+B14+B17+B20+B23+B26+B29+B32+B35</f>
        <v>169</v>
      </c>
      <c r="D38" s="4" t="s">
        <v>46</v>
      </c>
      <c r="G38" s="64">
        <f>+G5+G8+G11+G14+G17+G20+G23+G26+G29+G32+G35</f>
        <v>76</v>
      </c>
      <c r="I38" s="22"/>
    </row>
    <row r="39" spans="1:16" x14ac:dyDescent="0.25">
      <c r="D39" s="4" t="s">
        <v>47</v>
      </c>
      <c r="G39" s="64">
        <f>+G6+G9+G12+G15+G18+G21+G24+G27+G30+G33+G36</f>
        <v>82</v>
      </c>
      <c r="I39" s="22"/>
    </row>
    <row r="40" spans="1:16" x14ac:dyDescent="0.25">
      <c r="I40" s="22"/>
    </row>
    <row r="41" spans="1:16" x14ac:dyDescent="0.25">
      <c r="I41" s="22"/>
    </row>
    <row r="42" spans="1:16" x14ac:dyDescent="0.25">
      <c r="I42" s="22"/>
    </row>
    <row r="43" spans="1:16" x14ac:dyDescent="0.25">
      <c r="I43" s="22"/>
    </row>
    <row r="44" spans="1:16" x14ac:dyDescent="0.25">
      <c r="I44" s="22"/>
    </row>
    <row r="45" spans="1:16" x14ac:dyDescent="0.25">
      <c r="I45" s="22"/>
    </row>
    <row r="46" spans="1:16" x14ac:dyDescent="0.25">
      <c r="I46" s="22"/>
    </row>
    <row r="47" spans="1:16" x14ac:dyDescent="0.25">
      <c r="I47" s="22"/>
    </row>
    <row r="48" spans="1:16" x14ac:dyDescent="0.25">
      <c r="I48" s="22"/>
    </row>
    <row r="49" spans="9:9" x14ac:dyDescent="0.25">
      <c r="I49" s="22"/>
    </row>
    <row r="50" spans="9:9" x14ac:dyDescent="0.25">
      <c r="I50" s="22"/>
    </row>
    <row r="51" spans="9:9" x14ac:dyDescent="0.25">
      <c r="I51" s="22"/>
    </row>
    <row r="52" spans="9:9" x14ac:dyDescent="0.25">
      <c r="I52" s="22"/>
    </row>
    <row r="53" spans="9:9" x14ac:dyDescent="0.25">
      <c r="I53" s="22"/>
    </row>
    <row r="54" spans="9:9" x14ac:dyDescent="0.25">
      <c r="I54" s="22"/>
    </row>
    <row r="55" spans="9:9" x14ac:dyDescent="0.25">
      <c r="I55" s="22"/>
    </row>
    <row r="56" spans="9:9" x14ac:dyDescent="0.25">
      <c r="I56" s="22"/>
    </row>
    <row r="57" spans="9:9" x14ac:dyDescent="0.25">
      <c r="I57" s="22"/>
    </row>
    <row r="58" spans="9:9" x14ac:dyDescent="0.25">
      <c r="I58" s="22"/>
    </row>
    <row r="59" spans="9:9" x14ac:dyDescent="0.25">
      <c r="I59" s="22"/>
    </row>
    <row r="60" spans="9:9" x14ac:dyDescent="0.25">
      <c r="I60" s="22"/>
    </row>
    <row r="61" spans="9:9" x14ac:dyDescent="0.25">
      <c r="I61" s="22"/>
    </row>
    <row r="62" spans="9:9" x14ac:dyDescent="0.25">
      <c r="I62" s="22"/>
    </row>
    <row r="63" spans="9:9" x14ac:dyDescent="0.25">
      <c r="I63" s="22"/>
    </row>
    <row r="64" spans="9:9" x14ac:dyDescent="0.25">
      <c r="I64" s="22"/>
    </row>
    <row r="65" spans="9:9" x14ac:dyDescent="0.25">
      <c r="I65" s="22"/>
    </row>
    <row r="66" spans="9:9" x14ac:dyDescent="0.25">
      <c r="I66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 xml:space="preserve">&amp;C&amp;"Arial,Regular"&amp;13ENRON CARIBBEAN &amp;
MIDDLE EAST
2000 AFFIRMATIVE ACTION PLAN
Utilization Analysis
Analysis Data as of 04/15/00&amp;10
</oddHeader>
    <oddFooter>&amp;Lo:\aap2000\ecme00ut.xls&amp;R&amp;"Arial,Regular"PAGE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Associate&amp;Analyst</vt:lpstr>
      <vt:lpstr>Global Functions-Finance</vt:lpstr>
      <vt:lpstr>Risk Assessment &amp; Control</vt:lpstr>
      <vt:lpstr>Corp Accounting</vt:lpstr>
      <vt:lpstr>CORP PUBLIC AFFAIRS</vt:lpstr>
      <vt:lpstr>Corp HR &amp; Comm Rel</vt:lpstr>
      <vt:lpstr>Corp Legal</vt:lpstr>
      <vt:lpstr>Office of the Chairman</vt:lpstr>
      <vt:lpstr>Carib-ME-04-15</vt:lpstr>
      <vt:lpstr>'Associate&amp;Analyst'!Print_Area</vt:lpstr>
      <vt:lpstr>'Carib-ME-04-15'!Print_Area</vt:lpstr>
      <vt:lpstr>'Corp Accounting'!Print_Area</vt:lpstr>
      <vt:lpstr>'Corp HR &amp; Comm Rel'!Print_Area</vt:lpstr>
      <vt:lpstr>'Corp Legal'!Print_Area</vt:lpstr>
      <vt:lpstr>'CORP PUBLIC AFFAIRS'!Print_Area</vt:lpstr>
      <vt:lpstr>'Global Functions-Finance'!Print_Area</vt:lpstr>
      <vt:lpstr>'Office of the Chairman'!Print_Area</vt:lpstr>
      <vt:lpstr>'Risk Assessment &amp; Control'!Print_Area</vt:lpstr>
      <vt:lpstr>'Associate&amp;Analyst'!Print_Titles</vt:lpstr>
      <vt:lpstr>'Carib-ME-04-15'!Print_Titles</vt:lpstr>
      <vt:lpstr>'Corp Accounting'!Print_Titles</vt:lpstr>
      <vt:lpstr>'Corp HR &amp; Comm Rel'!Print_Titles</vt:lpstr>
      <vt:lpstr>'Corp Legal'!Print_Titles</vt:lpstr>
      <vt:lpstr>'CORP PUBLIC AFFAIRS'!Print_Titles</vt:lpstr>
      <vt:lpstr>'Global Functions-Finance'!Print_Titles</vt:lpstr>
      <vt:lpstr>'Office of the Chairman'!Print_Titles</vt:lpstr>
      <vt:lpstr>'Risk Assessment &amp; Control'!Print_Titles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Felecia Acevedo</dc:creator>
  <cp:lastModifiedBy>Jan Havlíček</cp:lastModifiedBy>
  <cp:lastPrinted>2000-06-14T20:15:43Z</cp:lastPrinted>
  <dcterms:created xsi:type="dcterms:W3CDTF">1998-06-26T15:39:27Z</dcterms:created>
  <dcterms:modified xsi:type="dcterms:W3CDTF">2023-09-19T15:37:20Z</dcterms:modified>
</cp:coreProperties>
</file>