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E29A18-175B-4988-9FB8-B4EBB3D54C43}" xr6:coauthVersionLast="47" xr6:coauthVersionMax="47" xr10:uidLastSave="{00000000-0000-0000-0000-000000000000}"/>
  <bookViews>
    <workbookView xWindow="-120" yWindow="-120" windowWidth="38640" windowHeight="15720" tabRatio="587"/>
  </bookViews>
  <sheets>
    <sheet name="Summary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[5]Empl!$A$1</definedName>
    <definedName name="CIOHrRateTotal">[5]Empl!$I$10</definedName>
    <definedName name="CIOMoRateBBTotal">[5]Empl!$J$10</definedName>
    <definedName name="CIOMoRateIBTotal">[5]Empl!$K$10</definedName>
    <definedName name="CIOYrRateIBTotal">[5]Empl!$L$10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'[4]1100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[8]Empl!$J$34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Summary!$A$1:$V$48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[9]MicroageAPR!$A$1:$Y$671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0">Main.SAPF4Help()</definedName>
    <definedName name="SAPFuncF4Help">Main.SAPF4Help()</definedName>
    <definedName name="SDHrRateTotal">[5]Empl!$I$34</definedName>
    <definedName name="SDMoRateBBTotal">[5]Empl!$J$34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hidden="1">{#N/A,#N/A,FALSE,"2. Budget per Service"}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O10" i="2"/>
  <c r="Q10" i="2"/>
  <c r="T10" i="2"/>
  <c r="X10" i="2"/>
  <c r="Z10" i="2"/>
  <c r="X11" i="2"/>
  <c r="Z11" i="2"/>
  <c r="C12" i="2"/>
  <c r="D12" i="2"/>
  <c r="I12" i="2"/>
  <c r="X12" i="2"/>
  <c r="Z12" i="2"/>
  <c r="C14" i="2"/>
  <c r="D14" i="2"/>
  <c r="X14" i="2"/>
  <c r="C16" i="2"/>
  <c r="D16" i="2"/>
  <c r="E16" i="2"/>
  <c r="F16" i="2"/>
  <c r="H16" i="2"/>
  <c r="J16" i="2"/>
  <c r="X16" i="2"/>
  <c r="C18" i="2"/>
  <c r="D18" i="2"/>
  <c r="Q18" i="2"/>
  <c r="X18" i="2"/>
  <c r="C20" i="2"/>
  <c r="D20" i="2"/>
  <c r="Q20" i="2"/>
  <c r="X20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X22" i="2"/>
  <c r="C24" i="2"/>
  <c r="D24" i="2"/>
  <c r="C25" i="2"/>
  <c r="Q25" i="2"/>
  <c r="C26" i="2"/>
  <c r="D26" i="2"/>
  <c r="Q26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X29" i="2"/>
  <c r="C37" i="2"/>
  <c r="D37" i="2"/>
  <c r="E37" i="2"/>
  <c r="F37" i="2"/>
  <c r="G37" i="2"/>
  <c r="H37" i="2"/>
  <c r="I37" i="2"/>
  <c r="J37" i="2"/>
  <c r="O37" i="2"/>
  <c r="Q37" i="2"/>
  <c r="T37" i="2"/>
  <c r="C38" i="2"/>
  <c r="D38" i="2"/>
  <c r="K38" i="2"/>
  <c r="C39" i="2"/>
  <c r="D39" i="2"/>
  <c r="C40" i="2"/>
  <c r="D40" i="2"/>
  <c r="Q40" i="2"/>
  <c r="C41" i="2"/>
  <c r="D41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C53" i="2"/>
  <c r="D53" i="2"/>
</calcChain>
</file>

<file path=xl/comments1.xml><?xml version="1.0" encoding="utf-8"?>
<comments xmlns="http://schemas.openxmlformats.org/spreadsheetml/2006/main">
  <authors>
    <author>mgalvan</author>
  </authors>
  <commentList>
    <comment ref="Q24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$8.2mm less 6.3mm for CL and 1.8mm for OTC.
4042 is plug since depr reflected at 100% will also be reflected in indirects for internal depr exp allocation then re-allocation out to BU's.
$2408 is moving accounting to direct exp "Other" line.</t>
        </r>
      </text>
    </comment>
  </commentList>
</comments>
</file>

<file path=xl/sharedStrings.xml><?xml version="1.0" encoding="utf-8"?>
<sst xmlns="http://schemas.openxmlformats.org/spreadsheetml/2006/main" count="109" uniqueCount="37">
  <si>
    <t>EXPENSE</t>
  </si>
  <si>
    <t>2001 Forecast</t>
  </si>
  <si>
    <t>E N R O N  N E T  W O R K S</t>
  </si>
  <si>
    <t>Increase / (Decrease) from 2001 EES Proforma Ongoing Run Rate</t>
  </si>
  <si>
    <t xml:space="preserve">     Indirects</t>
  </si>
  <si>
    <t xml:space="preserve">     Bonus Accrual</t>
  </si>
  <si>
    <t xml:space="preserve">     Depreciation</t>
  </si>
  <si>
    <t>CAPITAL PROJECT</t>
  </si>
  <si>
    <t>(in thousands)</t>
  </si>
  <si>
    <t>Plan</t>
  </si>
  <si>
    <t>EOL</t>
  </si>
  <si>
    <t>Energy Operations</t>
  </si>
  <si>
    <t>IT Development</t>
  </si>
  <si>
    <t>(b)  The 2001 Budget represents the groups formally known as EES Services and Risk Controls &amp; Operations.</t>
  </si>
  <si>
    <t>Other</t>
  </si>
  <si>
    <t>Sub Total Direct Expense</t>
  </si>
  <si>
    <t xml:space="preserve">(a)  Does not reflect Controllable costs of $10.5mm for both '01 Plan and '01 Forecast and $10.6mm for '02 Plan.  </t>
  </si>
  <si>
    <t xml:space="preserve">      These costs are budgeted for at the cost center level for each respective BU.</t>
  </si>
  <si>
    <t>EIM</t>
  </si>
  <si>
    <t>EGM</t>
  </si>
  <si>
    <t>EBS</t>
  </si>
  <si>
    <t>EES</t>
  </si>
  <si>
    <t>Corp</t>
  </si>
  <si>
    <t>ENW</t>
  </si>
  <si>
    <t>Total</t>
  </si>
  <si>
    <t>TOTAL EXPENSE</t>
  </si>
  <si>
    <t>TOTAL CAPITAL</t>
  </si>
  <si>
    <t>2002 SPEND ANALYSIS</t>
  </si>
  <si>
    <t>EA</t>
  </si>
  <si>
    <t>EEL</t>
  </si>
  <si>
    <t>Revised</t>
  </si>
  <si>
    <t>2002</t>
  </si>
  <si>
    <t>Infrastructure</t>
  </si>
  <si>
    <t>Commodity Logic</t>
  </si>
  <si>
    <t>Other Unallocated</t>
  </si>
  <si>
    <t xml:space="preserve">TOTAL </t>
  </si>
  <si>
    <t>TOTAL DIRECT EXPENSE &amp;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</si>
</sst>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1" formatCode="_(* #,##0_);_(* \(#,##0\);_(* &quot;-&quot;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</numFmts>
  <fonts count="23">
    <font>
      <sz val="10"/>
      <name val="Times New Roman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2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2"/>
      <color indexed="12"/>
      <name val="Times New Roman"/>
      <family val="1"/>
    </font>
    <font>
      <sz val="10"/>
      <color indexed="12"/>
      <name val="Times New Roman"/>
      <family val="1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1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6" fontId="2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6" fillId="0" borderId="4" applyNumberFormat="0" applyFill="0" applyAlignment="0" applyProtection="0"/>
    <xf numFmtId="10" fontId="3" fillId="4" borderId="5" applyNumberFormat="0" applyBorder="0" applyAlignment="0" applyProtection="0"/>
    <xf numFmtId="37" fontId="7" fillId="0" borderId="0"/>
    <xf numFmtId="165" fontId="8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9" fillId="0" borderId="0"/>
    <xf numFmtId="37" fontId="9" fillId="3" borderId="0" applyNumberFormat="0" applyBorder="0" applyAlignment="0" applyProtection="0"/>
    <xf numFmtId="3" fontId="10" fillId="0" borderId="4" applyProtection="0"/>
  </cellStyleXfs>
  <cellXfs count="46">
    <xf numFmtId="0" fontId="0" fillId="0" borderId="0" xfId="0"/>
    <xf numFmtId="0" fontId="11" fillId="0" borderId="0" xfId="0" applyFont="1"/>
    <xf numFmtId="0" fontId="11" fillId="0" borderId="0" xfId="0" applyFont="1" applyBorder="1"/>
    <xf numFmtId="0" fontId="13" fillId="0" borderId="0" xfId="0" applyFont="1"/>
    <xf numFmtId="6" fontId="15" fillId="0" borderId="0" xfId="0" applyNumberFormat="1" applyFont="1" applyFill="1" applyBorder="1"/>
    <xf numFmtId="0" fontId="13" fillId="0" borderId="0" xfId="0" applyFont="1" applyAlignment="1">
      <alignment horizontal="left" indent="2"/>
    </xf>
    <xf numFmtId="0" fontId="15" fillId="0" borderId="0" xfId="0" applyFont="1"/>
    <xf numFmtId="0" fontId="16" fillId="0" borderId="0" xfId="0" applyFont="1" applyFill="1" applyAlignment="1">
      <alignment horizontal="left"/>
    </xf>
    <xf numFmtId="0" fontId="17" fillId="0" borderId="0" xfId="0" applyFont="1"/>
    <xf numFmtId="6" fontId="17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3" fillId="0" borderId="0" xfId="0" quotePrefix="1" applyFont="1"/>
    <xf numFmtId="41" fontId="17" fillId="0" borderId="0" xfId="0" applyNumberFormat="1" applyFont="1" applyFill="1"/>
    <xf numFmtId="0" fontId="12" fillId="6" borderId="0" xfId="0" applyFont="1" applyFill="1" applyBorder="1"/>
    <xf numFmtId="0" fontId="17" fillId="6" borderId="0" xfId="0" applyFont="1" applyFill="1" applyBorder="1"/>
    <xf numFmtId="0" fontId="13" fillId="6" borderId="0" xfId="0" applyFont="1" applyFill="1" applyBorder="1" applyAlignment="1">
      <alignment horizontal="center"/>
    </xf>
    <xf numFmtId="0" fontId="13" fillId="6" borderId="0" xfId="0" quotePrefix="1" applyFont="1" applyFill="1" applyBorder="1" applyAlignment="1">
      <alignment horizontal="center"/>
    </xf>
    <xf numFmtId="0" fontId="17" fillId="0" borderId="0" xfId="0" applyFont="1" applyBorder="1"/>
    <xf numFmtId="0" fontId="14" fillId="6" borderId="0" xfId="0" applyFont="1" applyFill="1" applyBorder="1" applyAlignment="1">
      <alignment horizontal="center"/>
    </xf>
    <xf numFmtId="0" fontId="11" fillId="6" borderId="0" xfId="0" applyFont="1" applyFill="1" applyBorder="1"/>
    <xf numFmtId="0" fontId="13" fillId="6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5" borderId="0" xfId="0" applyFont="1" applyFill="1" applyBorder="1"/>
    <xf numFmtId="0" fontId="17" fillId="5" borderId="0" xfId="0" applyFont="1" applyFill="1" applyBorder="1"/>
    <xf numFmtId="0" fontId="14" fillId="5" borderId="0" xfId="0" applyFont="1" applyFill="1" applyBorder="1" applyAlignment="1">
      <alignment horizontal="center"/>
    </xf>
    <xf numFmtId="0" fontId="12" fillId="5" borderId="0" xfId="0" applyFont="1" applyFill="1" applyBorder="1"/>
    <xf numFmtId="41" fontId="15" fillId="0" borderId="0" xfId="0" applyNumberFormat="1" applyFont="1" applyFill="1" applyBorder="1"/>
    <xf numFmtId="41" fontId="17" fillId="0" borderId="0" xfId="0" applyNumberFormat="1" applyFont="1"/>
    <xf numFmtId="41" fontId="15" fillId="0" borderId="7" xfId="0" applyNumberFormat="1" applyFont="1" applyFill="1" applyBorder="1"/>
    <xf numFmtId="41" fontId="15" fillId="0" borderId="6" xfId="0" applyNumberFormat="1" applyFont="1" applyFill="1" applyBorder="1"/>
    <xf numFmtId="41" fontId="17" fillId="0" borderId="0" xfId="0" applyNumberFormat="1" applyFont="1" applyBorder="1"/>
    <xf numFmtId="41" fontId="13" fillId="5" borderId="0" xfId="0" applyNumberFormat="1" applyFont="1" applyFill="1" applyBorder="1" applyAlignment="1">
      <alignment horizontal="center" wrapText="1"/>
    </xf>
    <xf numFmtId="41" fontId="15" fillId="0" borderId="3" xfId="0" applyNumberFormat="1" applyFont="1" applyFill="1" applyBorder="1"/>
    <xf numFmtId="41" fontId="15" fillId="0" borderId="8" xfId="0" applyNumberFormat="1" applyFont="1" applyFill="1" applyBorder="1"/>
    <xf numFmtId="41" fontId="13" fillId="5" borderId="0" xfId="0" quotePrefix="1" applyNumberFormat="1" applyFont="1" applyFill="1" applyBorder="1" applyAlignment="1">
      <alignment horizontal="center"/>
    </xf>
    <xf numFmtId="41" fontId="20" fillId="0" borderId="0" xfId="0" applyNumberFormat="1" applyFont="1" applyFill="1" applyBorder="1"/>
    <xf numFmtId="41" fontId="20" fillId="0" borderId="3" xfId="0" applyNumberFormat="1" applyFont="1" applyFill="1" applyBorder="1"/>
    <xf numFmtId="41" fontId="21" fillId="0" borderId="0" xfId="0" applyNumberFormat="1" applyFont="1"/>
    <xf numFmtId="41" fontId="20" fillId="0" borderId="8" xfId="0" applyNumberFormat="1" applyFont="1" applyFill="1" applyBorder="1"/>
    <xf numFmtId="41" fontId="20" fillId="0" borderId="7" xfId="0" applyNumberFormat="1" applyFont="1" applyFill="1" applyBorder="1"/>
    <xf numFmtId="41" fontId="20" fillId="0" borderId="6" xfId="0" applyNumberFormat="1" applyFont="1" applyFill="1" applyBorder="1"/>
    <xf numFmtId="41" fontId="21" fillId="0" borderId="0" xfId="0" applyNumberFormat="1" applyFont="1" applyFill="1"/>
    <xf numFmtId="0" fontId="13" fillId="6" borderId="0" xfId="0" applyFont="1" applyFill="1" applyBorder="1" applyAlignment="1">
      <alignment horizontal="center"/>
    </xf>
    <xf numFmtId="41" fontId="13" fillId="5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wrapText="1"/>
    </xf>
  </cellXfs>
  <cellStyles count="21">
    <cellStyle name="Actual Date" xfId="1"/>
    <cellStyle name="Calc Currency (0)" xfId="2"/>
    <cellStyle name="Date" xfId="3"/>
    <cellStyle name="Fixed" xfId="4"/>
    <cellStyle name="Grey" xfId="5"/>
    <cellStyle name="HEADER" xfId="6"/>
    <cellStyle name="Header1" xfId="7"/>
    <cellStyle name="Header2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57150</xdr:colOff>
      <xdr:row>1</xdr:row>
      <xdr:rowOff>28575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77508652-4EA9-0606-AF01-523F1BE25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74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BU%20OTC%20Presentations/EA/Overall%20Allocation%20Template%20-%20EA%2010-18r%20Loui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2000%20O&amp;M%20Costs%20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DD%20Analysis%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QTR1%202001%20RECLASS%20TO%20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BM%20BIS/2001%20O&amp;M/2001%20O&amp;M/Due%20Diligence/DD%20Analysis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NVENTORY&amp;%20%20REFRESH/BARC%20ARC%20and%20Purchase%20data%20R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 (2)"/>
      <sheetName val="Invoice"/>
      <sheetName val="Reconciliation"/>
      <sheetName val="Summary"/>
      <sheetName val="Development - Perlman"/>
      <sheetName val="Development - Louise Look "/>
      <sheetName val="EOps with HPL"/>
      <sheetName val="EOps Projects"/>
      <sheetName val="EOL"/>
      <sheetName val="Infra-EA"/>
      <sheetName val="Alloc 10-17 FINAL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D29">
            <v>31633.994999999995</v>
          </cell>
        </row>
      </sheetData>
      <sheetData sheetId="7">
        <row r="13">
          <cell r="D13">
            <v>15765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s"/>
      <sheetName val="Dec"/>
      <sheetName val="Jan"/>
      <sheetName val="Feb"/>
      <sheetName val="TAX 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AV103"/>
  <sheetViews>
    <sheetView tabSelected="1" view="pageBreakPreview" topLeftCell="A3" zoomScale="60" zoomScaleNormal="100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D27" sqref="D27"/>
    </sheetView>
  </sheetViews>
  <sheetFormatPr defaultRowHeight="12.75"/>
  <cols>
    <col min="1" max="1" width="58" style="8" customWidth="1"/>
    <col min="2" max="2" width="2.83203125" style="8" customWidth="1"/>
    <col min="3" max="3" width="16" style="8" customWidth="1"/>
    <col min="4" max="4" width="17.6640625" style="8" customWidth="1"/>
    <col min="5" max="5" width="15.1640625" style="8" customWidth="1"/>
    <col min="6" max="22" width="16" style="8" customWidth="1"/>
    <col min="23" max="23" width="2.83203125" style="8" customWidth="1"/>
    <col min="24" max="24" width="18.33203125" style="8" hidden="1" customWidth="1"/>
    <col min="25" max="25" width="2.83203125" style="8" hidden="1" customWidth="1"/>
    <col min="26" max="26" width="0" style="8" hidden="1" customWidth="1"/>
    <col min="27" max="16384" width="9.33203125" style="8"/>
  </cols>
  <sheetData>
    <row r="2" spans="1:48" ht="27">
      <c r="A2" s="7" t="s">
        <v>2</v>
      </c>
    </row>
    <row r="3" spans="1:48">
      <c r="A3" s="1" t="s">
        <v>27</v>
      </c>
    </row>
    <row r="4" spans="1:48">
      <c r="A4" s="1" t="s">
        <v>8</v>
      </c>
    </row>
    <row r="5" spans="1:48">
      <c r="A5" s="1"/>
    </row>
    <row r="6" spans="1:48" ht="20.25" customHeight="1">
      <c r="A6" s="14"/>
      <c r="B6" s="15"/>
      <c r="C6" s="43" t="s">
        <v>24</v>
      </c>
      <c r="D6" s="43"/>
      <c r="E6" s="43" t="s">
        <v>28</v>
      </c>
      <c r="F6" s="43"/>
      <c r="G6" s="43" t="s">
        <v>19</v>
      </c>
      <c r="H6" s="43"/>
      <c r="I6" s="43" t="s">
        <v>18</v>
      </c>
      <c r="J6" s="43"/>
      <c r="K6" s="43" t="s">
        <v>29</v>
      </c>
      <c r="L6" s="43"/>
      <c r="M6" s="43" t="s">
        <v>20</v>
      </c>
      <c r="N6" s="43"/>
      <c r="O6" s="43" t="s">
        <v>21</v>
      </c>
      <c r="P6" s="43"/>
      <c r="Q6" s="43" t="s">
        <v>23</v>
      </c>
      <c r="R6" s="43"/>
      <c r="S6" s="43" t="s">
        <v>22</v>
      </c>
      <c r="T6" s="43"/>
      <c r="U6" s="43" t="s">
        <v>14</v>
      </c>
      <c r="V6" s="43"/>
      <c r="W6" s="18"/>
      <c r="Y6" s="18"/>
      <c r="Z6" s="18"/>
      <c r="AA6" s="18"/>
      <c r="AB6" s="18"/>
      <c r="AC6" s="18"/>
    </row>
    <row r="7" spans="1:48" ht="20.25" customHeight="1">
      <c r="A7" s="14"/>
      <c r="B7" s="15"/>
      <c r="C7" s="16">
        <v>2002</v>
      </c>
      <c r="D7" s="17">
        <v>2002</v>
      </c>
      <c r="E7" s="16">
        <v>2002</v>
      </c>
      <c r="F7" s="17">
        <v>2002</v>
      </c>
      <c r="G7" s="16">
        <v>2002</v>
      </c>
      <c r="H7" s="17">
        <v>2002</v>
      </c>
      <c r="I7" s="16">
        <v>2002</v>
      </c>
      <c r="J7" s="17">
        <v>2002</v>
      </c>
      <c r="K7" s="16">
        <v>2002</v>
      </c>
      <c r="L7" s="17">
        <v>2002</v>
      </c>
      <c r="M7" s="16">
        <v>2002</v>
      </c>
      <c r="N7" s="17">
        <v>2002</v>
      </c>
      <c r="O7" s="16">
        <v>2002</v>
      </c>
      <c r="P7" s="17">
        <v>2002</v>
      </c>
      <c r="Q7" s="16">
        <v>2002</v>
      </c>
      <c r="R7" s="17">
        <v>2002</v>
      </c>
      <c r="S7" s="16">
        <v>2002</v>
      </c>
      <c r="T7" s="17">
        <v>2002</v>
      </c>
      <c r="U7" s="16">
        <v>2002</v>
      </c>
      <c r="V7" s="17">
        <v>2002</v>
      </c>
      <c r="W7" s="18"/>
      <c r="X7" s="45" t="s">
        <v>3</v>
      </c>
      <c r="Y7" s="18"/>
      <c r="Z7" s="18"/>
      <c r="AA7" s="18"/>
      <c r="AB7" s="18"/>
      <c r="AC7" s="18"/>
    </row>
    <row r="8" spans="1:48" ht="18.75" customHeight="1">
      <c r="A8" s="19" t="s">
        <v>0</v>
      </c>
      <c r="B8" s="20"/>
      <c r="C8" s="21" t="s">
        <v>9</v>
      </c>
      <c r="D8" s="21" t="s">
        <v>30</v>
      </c>
      <c r="E8" s="21" t="s">
        <v>9</v>
      </c>
      <c r="F8" s="21" t="s">
        <v>30</v>
      </c>
      <c r="G8" s="21" t="s">
        <v>9</v>
      </c>
      <c r="H8" s="21" t="s">
        <v>30</v>
      </c>
      <c r="I8" s="21" t="s">
        <v>9</v>
      </c>
      <c r="J8" s="21" t="s">
        <v>30</v>
      </c>
      <c r="K8" s="21" t="s">
        <v>9</v>
      </c>
      <c r="L8" s="21" t="s">
        <v>30</v>
      </c>
      <c r="M8" s="21" t="s">
        <v>9</v>
      </c>
      <c r="N8" s="21" t="s">
        <v>30</v>
      </c>
      <c r="O8" s="21" t="s">
        <v>9</v>
      </c>
      <c r="P8" s="21" t="s">
        <v>30</v>
      </c>
      <c r="Q8" s="21" t="s">
        <v>9</v>
      </c>
      <c r="R8" s="21" t="s">
        <v>30</v>
      </c>
      <c r="S8" s="21" t="s">
        <v>9</v>
      </c>
      <c r="T8" s="21" t="s">
        <v>30</v>
      </c>
      <c r="U8" s="21" t="s">
        <v>9</v>
      </c>
      <c r="V8" s="21" t="s">
        <v>30</v>
      </c>
      <c r="W8" s="2"/>
      <c r="X8" s="45"/>
      <c r="Y8" s="2"/>
      <c r="Z8" s="22" t="s">
        <v>1</v>
      </c>
      <c r="AA8" s="18"/>
      <c r="AB8" s="18"/>
      <c r="AC8" s="18"/>
    </row>
    <row r="9" spans="1:48" ht="15.75">
      <c r="A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48" ht="15.75">
      <c r="A10" s="5" t="s">
        <v>12</v>
      </c>
      <c r="B10" s="9"/>
      <c r="C10" s="27">
        <f>E10+G10+I10+K10+M10+O10+Q10+S10+U10</f>
        <v>99576</v>
      </c>
      <c r="D10" s="27">
        <f>F10+H10+J10+L10+N10+P10+R10+T10+V10</f>
        <v>73360</v>
      </c>
      <c r="E10" s="36">
        <f>12529+'[11]EOps Projects'!$D$13</f>
        <v>28294</v>
      </c>
      <c r="F10" s="27">
        <f>28294-331-7860</f>
        <v>20103</v>
      </c>
      <c r="G10" s="36">
        <f>7988+9742</f>
        <v>17730</v>
      </c>
      <c r="H10" s="27">
        <f>17730-4310-4912</f>
        <v>8508</v>
      </c>
      <c r="I10" s="36">
        <f>1075+7077</f>
        <v>8152</v>
      </c>
      <c r="J10" s="27">
        <f>8152-2292-2374</f>
        <v>3486</v>
      </c>
      <c r="K10" s="27">
        <v>815</v>
      </c>
      <c r="L10" s="27">
        <v>815</v>
      </c>
      <c r="M10" s="36">
        <v>4042</v>
      </c>
      <c r="N10" s="27">
        <v>2600</v>
      </c>
      <c r="O10" s="36">
        <f>25663+1977+2982</f>
        <v>30622</v>
      </c>
      <c r="P10" s="27">
        <v>30622</v>
      </c>
      <c r="Q10" s="27">
        <f>2758</f>
        <v>2758</v>
      </c>
      <c r="R10" s="27">
        <v>2758</v>
      </c>
      <c r="S10" s="27">
        <v>6063</v>
      </c>
      <c r="T10" s="27">
        <f>6063-1058-1637</f>
        <v>3368</v>
      </c>
      <c r="U10" s="27">
        <v>1100</v>
      </c>
      <c r="V10" s="27">
        <v>1100</v>
      </c>
      <c r="W10" s="28"/>
      <c r="X10" s="28" t="e">
        <f>+#REF!-#REF!</f>
        <v>#REF!</v>
      </c>
      <c r="Y10" s="28"/>
      <c r="Z10" s="28">
        <f>121077+1844520</f>
        <v>1965597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</row>
    <row r="11" spans="1:48" ht="15.75">
      <c r="A11" s="5"/>
      <c r="B11" s="9"/>
      <c r="C11" s="27"/>
      <c r="D11" s="27"/>
      <c r="E11" s="36"/>
      <c r="F11" s="27"/>
      <c r="G11" s="36"/>
      <c r="H11" s="27"/>
      <c r="I11" s="36"/>
      <c r="J11" s="27"/>
      <c r="K11" s="27"/>
      <c r="L11" s="27"/>
      <c r="M11" s="36"/>
      <c r="N11" s="27"/>
      <c r="O11" s="36"/>
      <c r="P11" s="27"/>
      <c r="Q11" s="27"/>
      <c r="R11" s="27"/>
      <c r="S11" s="27"/>
      <c r="T11" s="27"/>
      <c r="U11" s="27"/>
      <c r="V11" s="27"/>
      <c r="W11" s="28"/>
      <c r="X11" s="28" t="e">
        <f>+#REF!-#REF!</f>
        <v>#REF!</v>
      </c>
      <c r="Y11" s="28"/>
      <c r="Z11" s="28">
        <f>282870+249489+291132</f>
        <v>823491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1:48" ht="15.75">
      <c r="A12" s="5" t="s">
        <v>10</v>
      </c>
      <c r="B12" s="9"/>
      <c r="C12" s="27">
        <f>E12+G12+I12+K12+M12+O12+Q12+S12+U12</f>
        <v>28394</v>
      </c>
      <c r="D12" s="27">
        <f>F12+H12+J12+L12+N12+P12+R12+T12+V12</f>
        <v>24000</v>
      </c>
      <c r="E12" s="36">
        <v>15855</v>
      </c>
      <c r="F12" s="27">
        <v>19200</v>
      </c>
      <c r="G12" s="36">
        <v>4286</v>
      </c>
      <c r="H12" s="27">
        <v>0</v>
      </c>
      <c r="I12" s="36">
        <f>1500+337</f>
        <v>1837</v>
      </c>
      <c r="J12" s="27">
        <v>0</v>
      </c>
      <c r="K12" s="27">
        <v>5645</v>
      </c>
      <c r="L12" s="27">
        <v>4800</v>
      </c>
      <c r="M12" s="36">
        <v>477</v>
      </c>
      <c r="N12" s="27">
        <v>0</v>
      </c>
      <c r="O12" s="36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294</v>
      </c>
      <c r="V12" s="27">
        <v>0</v>
      </c>
      <c r="W12" s="28"/>
      <c r="X12" s="28" t="e">
        <f>+#REF!-#REF!</f>
        <v>#REF!</v>
      </c>
      <c r="Y12" s="28"/>
      <c r="Z12" s="28">
        <f>121077+1844520</f>
        <v>1965597</v>
      </c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</row>
    <row r="13" spans="1:48" ht="15.75">
      <c r="A13" s="5"/>
      <c r="B13" s="9"/>
      <c r="C13" s="27"/>
      <c r="D13" s="27"/>
      <c r="E13" s="36"/>
      <c r="F13" s="27"/>
      <c r="G13" s="36"/>
      <c r="H13" s="27"/>
      <c r="I13" s="36"/>
      <c r="J13" s="27"/>
      <c r="K13" s="27"/>
      <c r="L13" s="27"/>
      <c r="M13" s="36"/>
      <c r="N13" s="27"/>
      <c r="O13" s="36"/>
      <c r="P13" s="27"/>
      <c r="Q13" s="27"/>
      <c r="R13" s="27"/>
      <c r="S13" s="27"/>
      <c r="T13" s="27"/>
      <c r="U13" s="27"/>
      <c r="V13" s="27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</row>
    <row r="14" spans="1:48" ht="15.75">
      <c r="A14" s="5" t="s">
        <v>32</v>
      </c>
      <c r="B14" s="9"/>
      <c r="C14" s="27">
        <f>E14+G14+I14+K14+M14+O14+Q14+S14+U14</f>
        <v>81676</v>
      </c>
      <c r="D14" s="27">
        <f>F14+H14+J14+L14+N14+P14+R14+T14+V14</f>
        <v>70993</v>
      </c>
      <c r="E14" s="36">
        <v>20112</v>
      </c>
      <c r="F14" s="27">
        <v>18984</v>
      </c>
      <c r="G14" s="36">
        <v>3220</v>
      </c>
      <c r="H14" s="27">
        <v>2254</v>
      </c>
      <c r="I14" s="36">
        <v>2411</v>
      </c>
      <c r="J14" s="27">
        <v>1480</v>
      </c>
      <c r="K14" s="27">
        <v>2044</v>
      </c>
      <c r="L14" s="27">
        <v>2353</v>
      </c>
      <c r="M14" s="36">
        <v>3556</v>
      </c>
      <c r="N14" s="27">
        <v>2594</v>
      </c>
      <c r="O14" s="36">
        <v>11105</v>
      </c>
      <c r="P14" s="27">
        <v>11219</v>
      </c>
      <c r="Q14" s="27">
        <v>17894</v>
      </c>
      <c r="R14" s="27">
        <v>14021</v>
      </c>
      <c r="S14" s="27">
        <v>12767</v>
      </c>
      <c r="T14" s="27">
        <v>10197</v>
      </c>
      <c r="U14" s="36">
        <v>8567</v>
      </c>
      <c r="V14" s="27">
        <v>7891</v>
      </c>
      <c r="W14" s="28"/>
      <c r="X14" s="28" t="e">
        <f>+#REF!-#REF!</f>
        <v>#REF!</v>
      </c>
      <c r="Y14" s="28"/>
      <c r="Z14" s="28">
        <v>1586218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</row>
    <row r="15" spans="1:48" ht="15.75">
      <c r="A15" s="5"/>
      <c r="B15" s="9"/>
      <c r="C15" s="27"/>
      <c r="D15" s="27"/>
      <c r="E15" s="36"/>
      <c r="F15" s="27"/>
      <c r="G15" s="36"/>
      <c r="H15" s="27"/>
      <c r="I15" s="36"/>
      <c r="J15" s="27"/>
      <c r="K15" s="27"/>
      <c r="L15" s="27"/>
      <c r="M15" s="36"/>
      <c r="N15" s="27"/>
      <c r="O15" s="36"/>
      <c r="P15" s="27"/>
      <c r="Q15" s="27"/>
      <c r="R15" s="27"/>
      <c r="S15" s="27"/>
      <c r="T15" s="27"/>
      <c r="U15" s="27"/>
      <c r="V15" s="27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</row>
    <row r="16" spans="1:48" ht="15.75">
      <c r="A16" s="5" t="s">
        <v>11</v>
      </c>
      <c r="B16" s="9"/>
      <c r="C16" s="27">
        <f>E16+G16+I16+K16+M16+O16+Q16+S16+U16</f>
        <v>97961.994999999995</v>
      </c>
      <c r="D16" s="27">
        <f>F16+H16+J16+L16+N16+P16+R16+T16+V16</f>
        <v>81006</v>
      </c>
      <c r="E16" s="36">
        <f>'[11]EOps with HPL'!$D$29</f>
        <v>31633.994999999995</v>
      </c>
      <c r="F16" s="27">
        <f>31634-3570</f>
        <v>28064</v>
      </c>
      <c r="G16" s="36">
        <v>15575</v>
      </c>
      <c r="H16" s="27">
        <f>15575-5004-1422</f>
        <v>9149</v>
      </c>
      <c r="I16" s="36">
        <v>10124</v>
      </c>
      <c r="J16" s="27">
        <f>5624-474</f>
        <v>5150</v>
      </c>
      <c r="K16" s="27">
        <v>332</v>
      </c>
      <c r="L16" s="27">
        <v>332</v>
      </c>
      <c r="M16" s="36">
        <v>4686</v>
      </c>
      <c r="N16" s="27">
        <v>2700</v>
      </c>
      <c r="O16" s="36">
        <v>33927</v>
      </c>
      <c r="P16" s="27">
        <v>33927</v>
      </c>
      <c r="Q16" s="27">
        <v>0</v>
      </c>
      <c r="R16" s="27">
        <v>0</v>
      </c>
      <c r="S16" s="27">
        <v>1409</v>
      </c>
      <c r="T16" s="27">
        <v>1409</v>
      </c>
      <c r="U16" s="27">
        <v>275</v>
      </c>
      <c r="V16" s="27">
        <v>275</v>
      </c>
      <c r="W16" s="28"/>
      <c r="X16" s="28" t="e">
        <f>+#REF!-#REF!</f>
        <v>#REF!</v>
      </c>
      <c r="Y16" s="28"/>
      <c r="Z16" s="28">
        <v>1586218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</row>
    <row r="17" spans="1:48" ht="15.75">
      <c r="A17" s="5"/>
      <c r="B17" s="9"/>
      <c r="C17" s="27"/>
      <c r="D17" s="27"/>
      <c r="E17" s="36"/>
      <c r="F17" s="27"/>
      <c r="G17" s="36"/>
      <c r="H17" s="27"/>
      <c r="I17" s="36"/>
      <c r="J17" s="27"/>
      <c r="K17" s="27"/>
      <c r="L17" s="27"/>
      <c r="M17" s="36"/>
      <c r="N17" s="27"/>
      <c r="O17" s="36"/>
      <c r="P17" s="27"/>
      <c r="Q17" s="27"/>
      <c r="R17" s="27"/>
      <c r="S17" s="27"/>
      <c r="T17" s="27"/>
      <c r="U17" s="27"/>
      <c r="V17" s="27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</row>
    <row r="18" spans="1:48" ht="15.75">
      <c r="A18" s="5" t="s">
        <v>33</v>
      </c>
      <c r="B18" s="9"/>
      <c r="C18" s="27">
        <f>E18+G18+I18+K18+M18+O18+Q18+S18+U18</f>
        <v>10183</v>
      </c>
      <c r="D18" s="27">
        <f>F18+H18+J18+L18+N18+P18+R18+T18+V18</f>
        <v>9408</v>
      </c>
      <c r="E18" s="36">
        <v>0</v>
      </c>
      <c r="F18" s="27">
        <v>0</v>
      </c>
      <c r="G18" s="36">
        <v>0</v>
      </c>
      <c r="H18" s="36">
        <v>0</v>
      </c>
      <c r="I18" s="36">
        <v>0</v>
      </c>
      <c r="J18" s="36">
        <v>0</v>
      </c>
      <c r="K18" s="27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27">
        <f>8573-3400+5010</f>
        <v>10183</v>
      </c>
      <c r="R18" s="36">
        <v>9408</v>
      </c>
      <c r="S18" s="27">
        <v>0</v>
      </c>
      <c r="T18" s="36">
        <v>0</v>
      </c>
      <c r="U18" s="27">
        <v>0</v>
      </c>
      <c r="V18" s="36">
        <v>0</v>
      </c>
      <c r="W18" s="28"/>
      <c r="X18" s="28" t="e">
        <f>+#REF!-#REF!</f>
        <v>#REF!</v>
      </c>
      <c r="Y18" s="28"/>
      <c r="Z18" s="28">
        <v>1586218</v>
      </c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</row>
    <row r="19" spans="1:48" ht="15.75">
      <c r="A19" s="5"/>
      <c r="B19" s="9"/>
      <c r="C19" s="27"/>
      <c r="D19" s="27"/>
      <c r="E19" s="36"/>
      <c r="F19" s="27"/>
      <c r="G19" s="36"/>
      <c r="H19" s="36"/>
      <c r="I19" s="36"/>
      <c r="J19" s="36"/>
      <c r="K19" s="27"/>
      <c r="L19" s="36"/>
      <c r="M19" s="36"/>
      <c r="N19" s="36"/>
      <c r="O19" s="36"/>
      <c r="P19" s="36"/>
      <c r="Q19" s="27"/>
      <c r="R19" s="36"/>
      <c r="S19" s="27"/>
      <c r="T19" s="36"/>
      <c r="U19" s="27"/>
      <c r="V19" s="36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</row>
    <row r="20" spans="1:48" ht="15.75">
      <c r="A20" s="5" t="s">
        <v>34</v>
      </c>
      <c r="B20" s="10"/>
      <c r="C20" s="29">
        <f>E20+G20+I20+K20+M20+O20+Q20+S20+U20</f>
        <v>6445</v>
      </c>
      <c r="D20" s="29">
        <f>F20+H20+J20+L20+N20+P20+R20+T20+V20</f>
        <v>6204</v>
      </c>
      <c r="E20" s="40">
        <v>0</v>
      </c>
      <c r="F20" s="29">
        <v>0</v>
      </c>
      <c r="G20" s="40">
        <v>0</v>
      </c>
      <c r="H20" s="40">
        <v>0</v>
      </c>
      <c r="I20" s="40">
        <v>0</v>
      </c>
      <c r="J20" s="40">
        <v>0</v>
      </c>
      <c r="K20" s="29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29">
        <f>(36602-32665)+(1100-1000)+2408</f>
        <v>6445</v>
      </c>
      <c r="R20" s="40">
        <v>6204</v>
      </c>
      <c r="S20" s="29">
        <v>0</v>
      </c>
      <c r="T20" s="40">
        <v>0</v>
      </c>
      <c r="U20" s="29">
        <v>0</v>
      </c>
      <c r="V20" s="40">
        <v>0</v>
      </c>
      <c r="W20" s="28"/>
      <c r="X20" s="28" t="e">
        <f>+F20-#REF!</f>
        <v>#REF!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</row>
    <row r="21" spans="1:48" ht="15.75">
      <c r="A21" s="5"/>
      <c r="B21" s="10"/>
      <c r="C21" s="27"/>
      <c r="D21" s="27"/>
      <c r="E21" s="36"/>
      <c r="F21" s="27"/>
      <c r="G21" s="36"/>
      <c r="H21" s="27"/>
      <c r="I21" s="36"/>
      <c r="J21" s="27"/>
      <c r="K21" s="36"/>
      <c r="L21" s="27"/>
      <c r="M21" s="36"/>
      <c r="N21" s="27"/>
      <c r="O21" s="36"/>
      <c r="P21" s="27"/>
      <c r="Q21" s="27"/>
      <c r="R21" s="27"/>
      <c r="S21" s="36"/>
      <c r="T21" s="27"/>
      <c r="U21" s="36"/>
      <c r="V21" s="27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</row>
    <row r="22" spans="1:48" ht="15.75">
      <c r="A22" s="5" t="s">
        <v>15</v>
      </c>
      <c r="B22" s="10"/>
      <c r="C22" s="27">
        <f t="shared" ref="C22:I22" si="0">SUM(C10:C20)</f>
        <v>324235.995</v>
      </c>
      <c r="D22" s="27">
        <f t="shared" si="0"/>
        <v>264971</v>
      </c>
      <c r="E22" s="36">
        <f t="shared" si="0"/>
        <v>95894.994999999995</v>
      </c>
      <c r="F22" s="27">
        <f t="shared" si="0"/>
        <v>86351</v>
      </c>
      <c r="G22" s="36">
        <f t="shared" si="0"/>
        <v>40811</v>
      </c>
      <c r="H22" s="27">
        <f t="shared" si="0"/>
        <v>19911</v>
      </c>
      <c r="I22" s="36">
        <f t="shared" si="0"/>
        <v>22524</v>
      </c>
      <c r="J22" s="27">
        <f t="shared" ref="J22:V22" si="1">SUM(J10:J20)</f>
        <v>10116</v>
      </c>
      <c r="K22" s="36">
        <f t="shared" si="1"/>
        <v>8836</v>
      </c>
      <c r="L22" s="27">
        <f t="shared" si="1"/>
        <v>8300</v>
      </c>
      <c r="M22" s="36">
        <f t="shared" si="1"/>
        <v>12761</v>
      </c>
      <c r="N22" s="27">
        <f t="shared" si="1"/>
        <v>7894</v>
      </c>
      <c r="O22" s="36">
        <f t="shared" si="1"/>
        <v>75654</v>
      </c>
      <c r="P22" s="27">
        <f t="shared" si="1"/>
        <v>75768</v>
      </c>
      <c r="Q22" s="27">
        <f t="shared" si="1"/>
        <v>37280</v>
      </c>
      <c r="R22" s="27">
        <f t="shared" si="1"/>
        <v>32391</v>
      </c>
      <c r="S22" s="36">
        <f t="shared" si="1"/>
        <v>20239</v>
      </c>
      <c r="T22" s="27">
        <f t="shared" si="1"/>
        <v>14974</v>
      </c>
      <c r="U22" s="36">
        <f t="shared" si="1"/>
        <v>10236</v>
      </c>
      <c r="V22" s="27">
        <f t="shared" si="1"/>
        <v>9266</v>
      </c>
      <c r="W22" s="28"/>
      <c r="X22" s="28" t="e">
        <f>+F22-#REF!</f>
        <v>#REF!</v>
      </c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</row>
    <row r="23" spans="1:48" ht="15.75">
      <c r="A23" s="5"/>
      <c r="B23" s="11"/>
      <c r="C23" s="27"/>
      <c r="D23" s="27"/>
      <c r="E23" s="36"/>
      <c r="F23" s="27"/>
      <c r="G23" s="36"/>
      <c r="H23" s="27"/>
      <c r="I23" s="36"/>
      <c r="J23" s="27"/>
      <c r="K23" s="36"/>
      <c r="L23" s="27"/>
      <c r="M23" s="36"/>
      <c r="N23" s="27"/>
      <c r="O23" s="36"/>
      <c r="P23" s="27"/>
      <c r="Q23" s="27"/>
      <c r="R23" s="27"/>
      <c r="S23" s="36"/>
      <c r="T23" s="27"/>
      <c r="U23" s="36"/>
      <c r="V23" s="27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</row>
    <row r="24" spans="1:48" ht="15.75">
      <c r="A24" s="5" t="s">
        <v>4</v>
      </c>
      <c r="B24" s="11"/>
      <c r="C24" s="27">
        <f t="shared" ref="C24:D26" si="2">E24+G24+I24+K24+M24+O24+Q24+S24+U24</f>
        <v>22946</v>
      </c>
      <c r="D24" s="27">
        <f t="shared" si="2"/>
        <v>22946</v>
      </c>
      <c r="E24" s="36">
        <v>0</v>
      </c>
      <c r="F24" s="27">
        <v>0</v>
      </c>
      <c r="G24" s="36">
        <v>0</v>
      </c>
      <c r="H24" s="27">
        <v>0</v>
      </c>
      <c r="I24" s="36">
        <v>0</v>
      </c>
      <c r="J24" s="27">
        <v>0</v>
      </c>
      <c r="K24" s="36">
        <v>0</v>
      </c>
      <c r="L24" s="27">
        <v>0</v>
      </c>
      <c r="M24" s="36">
        <v>0</v>
      </c>
      <c r="N24" s="27">
        <v>0</v>
      </c>
      <c r="O24" s="36">
        <v>0</v>
      </c>
      <c r="P24" s="27">
        <v>0</v>
      </c>
      <c r="Q24" s="27">
        <v>22946</v>
      </c>
      <c r="R24" s="27">
        <v>22946</v>
      </c>
      <c r="S24" s="36">
        <v>0</v>
      </c>
      <c r="T24" s="27">
        <v>0</v>
      </c>
      <c r="U24" s="36">
        <v>0</v>
      </c>
      <c r="V24" s="27">
        <v>0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</row>
    <row r="25" spans="1:48" ht="15.75">
      <c r="A25" s="5" t="s">
        <v>5</v>
      </c>
      <c r="B25" s="11"/>
      <c r="C25" s="27">
        <f t="shared" si="2"/>
        <v>32665</v>
      </c>
      <c r="D25" s="27">
        <v>28000</v>
      </c>
      <c r="E25" s="36">
        <v>0</v>
      </c>
      <c r="F25" s="27">
        <v>0</v>
      </c>
      <c r="G25" s="36">
        <v>0</v>
      </c>
      <c r="H25" s="27">
        <v>0</v>
      </c>
      <c r="I25" s="36">
        <v>0</v>
      </c>
      <c r="J25" s="27">
        <v>0</v>
      </c>
      <c r="K25" s="36">
        <v>0</v>
      </c>
      <c r="L25" s="27">
        <v>0</v>
      </c>
      <c r="M25" s="36">
        <v>0</v>
      </c>
      <c r="N25" s="27">
        <v>0</v>
      </c>
      <c r="O25" s="36">
        <v>0</v>
      </c>
      <c r="P25" s="27">
        <v>0</v>
      </c>
      <c r="Q25" s="27">
        <f>4616+2751+5636+1754+10008+822+1421+471+1457+3730-1</f>
        <v>32665</v>
      </c>
      <c r="R25" s="27">
        <v>29600</v>
      </c>
      <c r="S25" s="36">
        <v>0</v>
      </c>
      <c r="T25" s="27">
        <v>0</v>
      </c>
      <c r="U25" s="36">
        <v>0</v>
      </c>
      <c r="V25" s="27">
        <v>0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</row>
    <row r="26" spans="1:48" ht="15.75">
      <c r="A26" s="5" t="s">
        <v>6</v>
      </c>
      <c r="B26" s="11"/>
      <c r="C26" s="27">
        <f t="shared" si="2"/>
        <v>62243</v>
      </c>
      <c r="D26" s="27">
        <f>62243-3478</f>
        <v>58765</v>
      </c>
      <c r="E26" s="36">
        <v>0</v>
      </c>
      <c r="F26" s="27">
        <v>0</v>
      </c>
      <c r="G26" s="36">
        <v>0</v>
      </c>
      <c r="H26" s="27">
        <v>0</v>
      </c>
      <c r="I26" s="36">
        <v>0</v>
      </c>
      <c r="J26" s="27">
        <v>0</v>
      </c>
      <c r="K26" s="36">
        <v>0</v>
      </c>
      <c r="L26" s="27">
        <v>0</v>
      </c>
      <c r="M26" s="36">
        <v>0</v>
      </c>
      <c r="N26" s="27">
        <v>0</v>
      </c>
      <c r="O26" s="36">
        <v>0</v>
      </c>
      <c r="P26" s="27">
        <v>0</v>
      </c>
      <c r="Q26" s="27">
        <f>57843+4400</f>
        <v>62243</v>
      </c>
      <c r="R26" s="27">
        <v>62243</v>
      </c>
      <c r="S26" s="36">
        <v>0</v>
      </c>
      <c r="T26" s="27">
        <v>0</v>
      </c>
      <c r="U26" s="36">
        <v>0</v>
      </c>
      <c r="V26" s="27">
        <v>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</row>
    <row r="27" spans="1:48" ht="15.75">
      <c r="A27" s="6"/>
      <c r="C27" s="27"/>
      <c r="D27" s="27"/>
      <c r="E27" s="36"/>
      <c r="F27" s="27"/>
      <c r="G27" s="36"/>
      <c r="H27" s="27"/>
      <c r="I27" s="36"/>
      <c r="J27" s="27"/>
      <c r="K27" s="36"/>
      <c r="L27" s="27"/>
      <c r="M27" s="36"/>
      <c r="N27" s="27"/>
      <c r="O27" s="36"/>
      <c r="P27" s="27"/>
      <c r="Q27" s="27"/>
      <c r="R27" s="27"/>
      <c r="S27" s="36"/>
      <c r="T27" s="27"/>
      <c r="U27" s="36"/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</row>
    <row r="28" spans="1:48" ht="16.5" thickBot="1">
      <c r="A28" s="3" t="s">
        <v>25</v>
      </c>
      <c r="B28" s="9"/>
      <c r="C28" s="30">
        <f>SUM(C24:C27)+C22</f>
        <v>442089.995</v>
      </c>
      <c r="D28" s="30">
        <f>SUM(D24:D27)+D22</f>
        <v>374682</v>
      </c>
      <c r="E28" s="41">
        <f>SUM(E24:E27)+E22</f>
        <v>95894.994999999995</v>
      </c>
      <c r="F28" s="30">
        <f>SUM(F24:F27)+F22</f>
        <v>86351</v>
      </c>
      <c r="G28" s="41">
        <f t="shared" ref="G28:V28" si="3">SUM(G24:G27)+G22</f>
        <v>40811</v>
      </c>
      <c r="H28" s="30">
        <f t="shared" si="3"/>
        <v>19911</v>
      </c>
      <c r="I28" s="41">
        <f t="shared" si="3"/>
        <v>22524</v>
      </c>
      <c r="J28" s="30">
        <f t="shared" si="3"/>
        <v>10116</v>
      </c>
      <c r="K28" s="41">
        <f t="shared" si="3"/>
        <v>8836</v>
      </c>
      <c r="L28" s="30">
        <f t="shared" si="3"/>
        <v>8300</v>
      </c>
      <c r="M28" s="41">
        <f t="shared" si="3"/>
        <v>12761</v>
      </c>
      <c r="N28" s="30">
        <f t="shared" si="3"/>
        <v>7894</v>
      </c>
      <c r="O28" s="41">
        <f t="shared" si="3"/>
        <v>75654</v>
      </c>
      <c r="P28" s="30">
        <f t="shared" si="3"/>
        <v>75768</v>
      </c>
      <c r="Q28" s="30">
        <f t="shared" si="3"/>
        <v>155134</v>
      </c>
      <c r="R28" s="30">
        <f t="shared" si="3"/>
        <v>147180</v>
      </c>
      <c r="S28" s="41">
        <f t="shared" si="3"/>
        <v>20239</v>
      </c>
      <c r="T28" s="30">
        <f t="shared" si="3"/>
        <v>14974</v>
      </c>
      <c r="U28" s="41">
        <f t="shared" si="3"/>
        <v>10236</v>
      </c>
      <c r="V28" s="30">
        <f t="shared" si="3"/>
        <v>9266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</row>
    <row r="29" spans="1:48" ht="16.5" thickTop="1">
      <c r="A29" s="5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42"/>
      <c r="N29" s="13"/>
      <c r="O29" s="13"/>
      <c r="P29" s="13"/>
      <c r="Q29" s="13"/>
      <c r="R29" s="13"/>
      <c r="S29" s="42"/>
      <c r="T29" s="13"/>
      <c r="U29" s="13"/>
      <c r="V29" s="13"/>
      <c r="W29" s="28"/>
      <c r="X29" s="28" t="e">
        <f>+#REF!-#REF!</f>
        <v>#REF!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1:48" hidden="1">
      <c r="A30" s="1" t="s">
        <v>13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</row>
    <row r="31" spans="1:48">
      <c r="A31" s="1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</row>
    <row r="32" spans="1:48">
      <c r="A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</row>
    <row r="33" spans="1:48" ht="20.25" customHeight="1">
      <c r="A33" s="26"/>
      <c r="B33" s="24"/>
      <c r="C33" s="44" t="s">
        <v>24</v>
      </c>
      <c r="D33" s="44"/>
      <c r="E33" s="44" t="s">
        <v>28</v>
      </c>
      <c r="F33" s="44"/>
      <c r="G33" s="44" t="s">
        <v>19</v>
      </c>
      <c r="H33" s="44"/>
      <c r="I33" s="44" t="s">
        <v>18</v>
      </c>
      <c r="J33" s="44"/>
      <c r="K33" s="44" t="s">
        <v>29</v>
      </c>
      <c r="L33" s="44"/>
      <c r="M33" s="44" t="s">
        <v>20</v>
      </c>
      <c r="N33" s="44"/>
      <c r="O33" s="44" t="s">
        <v>21</v>
      </c>
      <c r="P33" s="44"/>
      <c r="Q33" s="44" t="s">
        <v>23</v>
      </c>
      <c r="R33" s="44"/>
      <c r="S33" s="44" t="s">
        <v>22</v>
      </c>
      <c r="T33" s="44"/>
      <c r="U33" s="44" t="s">
        <v>14</v>
      </c>
      <c r="V33" s="44"/>
      <c r="W33" s="31"/>
      <c r="X33" s="28"/>
      <c r="Y33" s="31"/>
      <c r="Z33" s="31"/>
      <c r="AA33" s="31"/>
      <c r="AB33" s="31"/>
      <c r="AC33" s="31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</row>
    <row r="34" spans="1:48" ht="16.5" customHeight="1">
      <c r="A34" s="23"/>
      <c r="B34" s="24"/>
      <c r="C34" s="35" t="s">
        <v>31</v>
      </c>
      <c r="D34" s="35" t="s">
        <v>31</v>
      </c>
      <c r="E34" s="35" t="s">
        <v>31</v>
      </c>
      <c r="F34" s="35" t="s">
        <v>31</v>
      </c>
      <c r="G34" s="35" t="s">
        <v>31</v>
      </c>
      <c r="H34" s="35" t="s">
        <v>31</v>
      </c>
      <c r="I34" s="35" t="s">
        <v>31</v>
      </c>
      <c r="J34" s="35" t="s">
        <v>31</v>
      </c>
      <c r="K34" s="35" t="s">
        <v>31</v>
      </c>
      <c r="L34" s="35" t="s">
        <v>31</v>
      </c>
      <c r="M34" s="35" t="s">
        <v>31</v>
      </c>
      <c r="N34" s="35" t="s">
        <v>31</v>
      </c>
      <c r="O34" s="35" t="s">
        <v>31</v>
      </c>
      <c r="P34" s="35" t="s">
        <v>31</v>
      </c>
      <c r="Q34" s="35" t="s">
        <v>31</v>
      </c>
      <c r="R34" s="35" t="s">
        <v>31</v>
      </c>
      <c r="S34" s="35" t="s">
        <v>31</v>
      </c>
      <c r="T34" s="35" t="s">
        <v>31</v>
      </c>
      <c r="U34" s="35" t="s">
        <v>31</v>
      </c>
      <c r="V34" s="35" t="s">
        <v>31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</row>
    <row r="35" spans="1:48" ht="16.5" customHeight="1">
      <c r="A35" s="25" t="s">
        <v>7</v>
      </c>
      <c r="B35" s="24"/>
      <c r="C35" s="32" t="s">
        <v>9</v>
      </c>
      <c r="D35" s="32" t="s">
        <v>30</v>
      </c>
      <c r="E35" s="32" t="s">
        <v>9</v>
      </c>
      <c r="F35" s="32" t="s">
        <v>30</v>
      </c>
      <c r="G35" s="32" t="s">
        <v>9</v>
      </c>
      <c r="H35" s="32" t="s">
        <v>30</v>
      </c>
      <c r="I35" s="32" t="s">
        <v>9</v>
      </c>
      <c r="J35" s="32" t="s">
        <v>30</v>
      </c>
      <c r="K35" s="32" t="s">
        <v>9</v>
      </c>
      <c r="L35" s="32" t="s">
        <v>30</v>
      </c>
      <c r="M35" s="32" t="s">
        <v>9</v>
      </c>
      <c r="N35" s="32" t="s">
        <v>30</v>
      </c>
      <c r="O35" s="32" t="s">
        <v>9</v>
      </c>
      <c r="P35" s="32" t="s">
        <v>30</v>
      </c>
      <c r="Q35" s="32" t="s">
        <v>9</v>
      </c>
      <c r="R35" s="32" t="s">
        <v>30</v>
      </c>
      <c r="S35" s="32" t="s">
        <v>9</v>
      </c>
      <c r="T35" s="32" t="s">
        <v>30</v>
      </c>
      <c r="U35" s="32" t="s">
        <v>9</v>
      </c>
      <c r="V35" s="32" t="s">
        <v>30</v>
      </c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</row>
    <row r="36" spans="1:48" ht="15.75">
      <c r="A36" s="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</row>
    <row r="37" spans="1:48" ht="15.75">
      <c r="A37" s="5" t="s">
        <v>12</v>
      </c>
      <c r="C37" s="36">
        <f t="shared" ref="C37:D41" si="4">E37+G37+I37+K37+M37+O37+Q37+S37+U37</f>
        <v>88098</v>
      </c>
      <c r="D37" s="27">
        <f t="shared" si="4"/>
        <v>44914</v>
      </c>
      <c r="E37" s="36">
        <f>12819+6481</f>
        <v>19300</v>
      </c>
      <c r="F37" s="27">
        <f>19300-1324-5240</f>
        <v>12736</v>
      </c>
      <c r="G37" s="36">
        <f>13496+6131</f>
        <v>19627</v>
      </c>
      <c r="H37" s="27">
        <f>19627-215-10055-5568</f>
        <v>3789</v>
      </c>
      <c r="I37" s="36">
        <f>296+8463</f>
        <v>8759</v>
      </c>
      <c r="J37" s="27">
        <f>8759-215-5540-2293</f>
        <v>711</v>
      </c>
      <c r="K37" s="36">
        <v>703</v>
      </c>
      <c r="L37" s="27">
        <v>703</v>
      </c>
      <c r="M37" s="36">
        <v>5556</v>
      </c>
      <c r="N37" s="27">
        <v>0</v>
      </c>
      <c r="O37" s="36">
        <f>1857+17896</f>
        <v>19753</v>
      </c>
      <c r="P37" s="27">
        <v>19753</v>
      </c>
      <c r="Q37" s="36">
        <f>9506-Q40</f>
        <v>3705</v>
      </c>
      <c r="R37" s="27">
        <v>3705</v>
      </c>
      <c r="S37" s="36">
        <v>10153</v>
      </c>
      <c r="T37" s="27">
        <f>10153-4230-2948</f>
        <v>2975</v>
      </c>
      <c r="U37" s="36">
        <v>542</v>
      </c>
      <c r="V37" s="27">
        <v>542</v>
      </c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</row>
    <row r="38" spans="1:48" ht="15.75">
      <c r="A38" s="5" t="s">
        <v>10</v>
      </c>
      <c r="C38" s="36">
        <f t="shared" si="4"/>
        <v>5988</v>
      </c>
      <c r="D38" s="27">
        <f t="shared" si="4"/>
        <v>5988</v>
      </c>
      <c r="E38" s="36">
        <v>2994</v>
      </c>
      <c r="F38" s="27">
        <v>2994</v>
      </c>
      <c r="G38" s="36">
        <v>0</v>
      </c>
      <c r="H38" s="27">
        <v>0</v>
      </c>
      <c r="I38" s="36"/>
      <c r="J38" s="27">
        <v>0</v>
      </c>
      <c r="K38" s="36">
        <f>E38</f>
        <v>2994</v>
      </c>
      <c r="L38" s="27">
        <v>2994</v>
      </c>
      <c r="M38" s="36">
        <v>0</v>
      </c>
      <c r="N38" s="27">
        <v>0</v>
      </c>
      <c r="O38" s="36">
        <v>0</v>
      </c>
      <c r="P38" s="27">
        <v>0</v>
      </c>
      <c r="Q38" s="36">
        <v>0</v>
      </c>
      <c r="R38" s="27">
        <v>0</v>
      </c>
      <c r="S38" s="36">
        <v>0</v>
      </c>
      <c r="T38" s="27">
        <v>0</v>
      </c>
      <c r="U38" s="36">
        <v>0</v>
      </c>
      <c r="V38" s="27">
        <v>0</v>
      </c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</row>
    <row r="39" spans="1:48" ht="15.75">
      <c r="A39" s="5" t="s">
        <v>32</v>
      </c>
      <c r="C39" s="36">
        <f t="shared" si="4"/>
        <v>98588</v>
      </c>
      <c r="D39" s="27">
        <f t="shared" si="4"/>
        <v>42934</v>
      </c>
      <c r="E39" s="36">
        <v>0</v>
      </c>
      <c r="F39" s="27">
        <v>0</v>
      </c>
      <c r="G39" s="36">
        <v>0</v>
      </c>
      <c r="H39" s="27">
        <v>0</v>
      </c>
      <c r="I39" s="36"/>
      <c r="J39" s="27">
        <v>0</v>
      </c>
      <c r="K39" s="36">
        <v>0</v>
      </c>
      <c r="L39" s="27">
        <v>0</v>
      </c>
      <c r="M39" s="36">
        <v>0</v>
      </c>
      <c r="N39" s="27">
        <v>0</v>
      </c>
      <c r="O39" s="36">
        <v>0</v>
      </c>
      <c r="P39" s="27">
        <v>0</v>
      </c>
      <c r="Q39" s="36">
        <v>98588</v>
      </c>
      <c r="R39" s="27">
        <v>42934</v>
      </c>
      <c r="S39" s="36">
        <v>0</v>
      </c>
      <c r="T39" s="27">
        <v>0</v>
      </c>
      <c r="U39" s="36">
        <v>0</v>
      </c>
      <c r="V39" s="27">
        <v>0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</row>
    <row r="40" spans="1:48" ht="15.75">
      <c r="A40" s="5" t="s">
        <v>33</v>
      </c>
      <c r="C40" s="36">
        <f>E40+G40+I40+K40+M40+O40+Q40+S40+U40</f>
        <v>5801</v>
      </c>
      <c r="D40" s="27">
        <f>F40+H40+J40+L40+N40+P40+R40+T40+V40</f>
        <v>0</v>
      </c>
      <c r="E40" s="36">
        <v>0</v>
      </c>
      <c r="F40" s="27">
        <v>0</v>
      </c>
      <c r="G40" s="36">
        <v>0</v>
      </c>
      <c r="H40" s="27">
        <v>0</v>
      </c>
      <c r="I40" s="36"/>
      <c r="J40" s="27">
        <v>0</v>
      </c>
      <c r="K40" s="36">
        <v>0</v>
      </c>
      <c r="L40" s="27">
        <v>0</v>
      </c>
      <c r="M40" s="36">
        <v>0</v>
      </c>
      <c r="N40" s="27">
        <v>0</v>
      </c>
      <c r="O40" s="36">
        <v>0</v>
      </c>
      <c r="P40" s="27">
        <v>0</v>
      </c>
      <c r="Q40" s="36">
        <f>4827+974</f>
        <v>5801</v>
      </c>
      <c r="R40" s="27">
        <v>0</v>
      </c>
      <c r="S40" s="36">
        <v>0</v>
      </c>
      <c r="T40" s="27">
        <v>0</v>
      </c>
      <c r="U40" s="36">
        <v>0</v>
      </c>
      <c r="V40" s="27">
        <v>0</v>
      </c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</row>
    <row r="41" spans="1:48" ht="15.75">
      <c r="A41" s="5" t="s">
        <v>11</v>
      </c>
      <c r="C41" s="36">
        <f t="shared" si="4"/>
        <v>3178</v>
      </c>
      <c r="D41" s="27">
        <f t="shared" si="4"/>
        <v>3178</v>
      </c>
      <c r="E41" s="36">
        <v>0</v>
      </c>
      <c r="F41" s="27">
        <v>0</v>
      </c>
      <c r="G41" s="36">
        <v>0</v>
      </c>
      <c r="H41" s="27">
        <v>0</v>
      </c>
      <c r="I41" s="36"/>
      <c r="J41" s="27">
        <v>0</v>
      </c>
      <c r="K41" s="36">
        <v>0</v>
      </c>
      <c r="L41" s="27">
        <v>0</v>
      </c>
      <c r="M41" s="36">
        <v>0</v>
      </c>
      <c r="N41" s="27">
        <v>0</v>
      </c>
      <c r="O41" s="36">
        <v>2178</v>
      </c>
      <c r="P41" s="27">
        <v>2178</v>
      </c>
      <c r="Q41" s="36">
        <v>1000</v>
      </c>
      <c r="R41" s="27">
        <v>1000</v>
      </c>
      <c r="S41" s="36">
        <v>0</v>
      </c>
      <c r="T41" s="27">
        <v>0</v>
      </c>
      <c r="U41" s="36">
        <v>0</v>
      </c>
      <c r="V41" s="27">
        <v>0</v>
      </c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</row>
    <row r="42" spans="1:48" ht="15.75">
      <c r="A42" s="3"/>
      <c r="C42" s="36"/>
      <c r="D42" s="27"/>
      <c r="E42" s="36"/>
      <c r="F42" s="27"/>
      <c r="G42" s="36"/>
      <c r="H42" s="27"/>
      <c r="I42" s="36"/>
      <c r="J42" s="27"/>
      <c r="K42" s="36"/>
      <c r="L42" s="27"/>
      <c r="M42" s="36"/>
      <c r="N42" s="27"/>
      <c r="O42" s="36"/>
      <c r="P42" s="27"/>
      <c r="Q42" s="36"/>
      <c r="R42" s="27"/>
      <c r="S42" s="36"/>
      <c r="T42" s="27"/>
      <c r="U42" s="36"/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</row>
    <row r="43" spans="1:48" ht="15.75">
      <c r="A43" s="3" t="s">
        <v>26</v>
      </c>
      <c r="C43" s="37">
        <f>SUM(C36:C42)</f>
        <v>201653</v>
      </c>
      <c r="D43" s="33">
        <f>SUM(D36:D42)</f>
        <v>97014</v>
      </c>
      <c r="E43" s="37">
        <f>SUM(E36:E42)</f>
        <v>22294</v>
      </c>
      <c r="F43" s="33">
        <f>SUM(F36:F42)</f>
        <v>15730</v>
      </c>
      <c r="G43" s="37">
        <f t="shared" ref="G43:V43" si="5">SUM(G36:G42)</f>
        <v>19627</v>
      </c>
      <c r="H43" s="33">
        <f t="shared" si="5"/>
        <v>3789</v>
      </c>
      <c r="I43" s="37">
        <f t="shared" si="5"/>
        <v>8759</v>
      </c>
      <c r="J43" s="33">
        <f t="shared" si="5"/>
        <v>711</v>
      </c>
      <c r="K43" s="37">
        <f t="shared" si="5"/>
        <v>3697</v>
      </c>
      <c r="L43" s="33">
        <f t="shared" si="5"/>
        <v>3697</v>
      </c>
      <c r="M43" s="37">
        <f t="shared" si="5"/>
        <v>5556</v>
      </c>
      <c r="N43" s="33">
        <f t="shared" si="5"/>
        <v>0</v>
      </c>
      <c r="O43" s="37">
        <f t="shared" si="5"/>
        <v>21931</v>
      </c>
      <c r="P43" s="33">
        <f t="shared" si="5"/>
        <v>21931</v>
      </c>
      <c r="Q43" s="37">
        <f t="shared" si="5"/>
        <v>109094</v>
      </c>
      <c r="R43" s="33">
        <f t="shared" si="5"/>
        <v>47639</v>
      </c>
      <c r="S43" s="37">
        <f t="shared" si="5"/>
        <v>10153</v>
      </c>
      <c r="T43" s="33">
        <f t="shared" si="5"/>
        <v>2975</v>
      </c>
      <c r="U43" s="37">
        <f t="shared" si="5"/>
        <v>542</v>
      </c>
      <c r="V43" s="33">
        <f t="shared" si="5"/>
        <v>542</v>
      </c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</row>
    <row r="44" spans="1:48" ht="15.75">
      <c r="A44" s="3"/>
      <c r="C44" s="28"/>
      <c r="D44" s="28"/>
      <c r="E44" s="38"/>
      <c r="F44" s="28"/>
      <c r="G44" s="38"/>
      <c r="H44" s="28"/>
      <c r="I44" s="38"/>
      <c r="J44" s="28"/>
      <c r="K44" s="28"/>
      <c r="L44" s="28"/>
      <c r="M44" s="38"/>
      <c r="N44" s="28"/>
      <c r="O44" s="3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</row>
    <row r="45" spans="1:48" ht="16.5" thickBot="1">
      <c r="A45" s="3" t="s">
        <v>35</v>
      </c>
      <c r="C45" s="34">
        <f>C43+C28</f>
        <v>643742.995</v>
      </c>
      <c r="D45" s="34">
        <f>D43+D28</f>
        <v>471696</v>
      </c>
      <c r="E45" s="39">
        <f>E43+E28</f>
        <v>118188.995</v>
      </c>
      <c r="F45" s="34">
        <f>F43+F28</f>
        <v>102081</v>
      </c>
      <c r="G45" s="39">
        <f t="shared" ref="G45:V45" si="6">G43+G28</f>
        <v>60438</v>
      </c>
      <c r="H45" s="34">
        <f t="shared" si="6"/>
        <v>23700</v>
      </c>
      <c r="I45" s="39">
        <f t="shared" si="6"/>
        <v>31283</v>
      </c>
      <c r="J45" s="34">
        <f t="shared" si="6"/>
        <v>10827</v>
      </c>
      <c r="K45" s="34">
        <f t="shared" si="6"/>
        <v>12533</v>
      </c>
      <c r="L45" s="34">
        <f t="shared" si="6"/>
        <v>11997</v>
      </c>
      <c r="M45" s="39">
        <f t="shared" si="6"/>
        <v>18317</v>
      </c>
      <c r="N45" s="34">
        <f t="shared" si="6"/>
        <v>7894</v>
      </c>
      <c r="O45" s="39">
        <f t="shared" si="6"/>
        <v>97585</v>
      </c>
      <c r="P45" s="34">
        <f t="shared" si="6"/>
        <v>97699</v>
      </c>
      <c r="Q45" s="34">
        <f t="shared" si="6"/>
        <v>264228</v>
      </c>
      <c r="R45" s="34">
        <f t="shared" si="6"/>
        <v>194819</v>
      </c>
      <c r="S45" s="34">
        <f t="shared" si="6"/>
        <v>30392</v>
      </c>
      <c r="T45" s="34">
        <f t="shared" si="6"/>
        <v>17949</v>
      </c>
      <c r="U45" s="34">
        <f t="shared" si="6"/>
        <v>10778</v>
      </c>
      <c r="V45" s="34">
        <f t="shared" si="6"/>
        <v>9808</v>
      </c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</row>
    <row r="46" spans="1:48" ht="16.5" thickTop="1">
      <c r="A46" s="3"/>
      <c r="C46" s="27"/>
      <c r="D46" s="27"/>
      <c r="E46" s="36"/>
      <c r="F46" s="27"/>
      <c r="G46" s="36"/>
      <c r="H46" s="27"/>
      <c r="I46" s="36"/>
      <c r="J46" s="27"/>
      <c r="K46" s="27"/>
      <c r="L46" s="27"/>
      <c r="M46" s="36"/>
      <c r="N46" s="27"/>
      <c r="O46" s="36"/>
      <c r="P46" s="27"/>
      <c r="Q46" s="27"/>
      <c r="R46" s="27"/>
      <c r="S46" s="27"/>
      <c r="T46" s="27"/>
      <c r="U46" s="27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</row>
    <row r="47" spans="1:48" ht="16.5" thickBot="1">
      <c r="A47" s="3" t="s">
        <v>36</v>
      </c>
      <c r="C47" s="34">
        <f>+C22+C43</f>
        <v>525888.995</v>
      </c>
      <c r="D47" s="34">
        <f t="shared" ref="D47:V47" si="7">+D22+D43</f>
        <v>361985</v>
      </c>
      <c r="E47" s="34">
        <f t="shared" si="7"/>
        <v>118188.995</v>
      </c>
      <c r="F47" s="34">
        <f t="shared" si="7"/>
        <v>102081</v>
      </c>
      <c r="G47" s="34">
        <f t="shared" si="7"/>
        <v>60438</v>
      </c>
      <c r="H47" s="34">
        <f t="shared" si="7"/>
        <v>23700</v>
      </c>
      <c r="I47" s="34">
        <f t="shared" si="7"/>
        <v>31283</v>
      </c>
      <c r="J47" s="34">
        <f t="shared" si="7"/>
        <v>10827</v>
      </c>
      <c r="K47" s="34">
        <f t="shared" si="7"/>
        <v>12533</v>
      </c>
      <c r="L47" s="34">
        <f t="shared" si="7"/>
        <v>11997</v>
      </c>
      <c r="M47" s="34">
        <f t="shared" si="7"/>
        <v>18317</v>
      </c>
      <c r="N47" s="34">
        <f t="shared" si="7"/>
        <v>7894</v>
      </c>
      <c r="O47" s="34">
        <f t="shared" si="7"/>
        <v>97585</v>
      </c>
      <c r="P47" s="34">
        <f t="shared" si="7"/>
        <v>97699</v>
      </c>
      <c r="Q47" s="34">
        <f t="shared" si="7"/>
        <v>146374</v>
      </c>
      <c r="R47" s="34">
        <f t="shared" si="7"/>
        <v>80030</v>
      </c>
      <c r="S47" s="34">
        <f t="shared" si="7"/>
        <v>30392</v>
      </c>
      <c r="T47" s="34">
        <f t="shared" si="7"/>
        <v>17949</v>
      </c>
      <c r="U47" s="34">
        <f t="shared" si="7"/>
        <v>10778</v>
      </c>
      <c r="V47" s="34">
        <f t="shared" si="7"/>
        <v>9808</v>
      </c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</row>
    <row r="48" spans="1:48" ht="16.5" thickTop="1">
      <c r="A48" s="3"/>
    </row>
    <row r="49" spans="1:26" ht="15.75" hidden="1">
      <c r="A49" s="12" t="s">
        <v>16</v>
      </c>
    </row>
    <row r="50" spans="1:26" ht="15.75" hidden="1">
      <c r="A50" s="3" t="s">
        <v>17</v>
      </c>
      <c r="X50" s="8" t="e">
        <v>#REF!</v>
      </c>
      <c r="Z50" s="8">
        <v>9443675</v>
      </c>
    </row>
    <row r="51" spans="1:26" ht="15.75">
      <c r="A51" s="3"/>
    </row>
    <row r="52" spans="1:26" ht="15.75">
      <c r="A52" s="3"/>
    </row>
    <row r="53" spans="1:26" ht="15.75">
      <c r="A53" s="3"/>
      <c r="C53" s="28">
        <f>+E47+G47+I47+K47+M47+O47+Q47+S47+U47</f>
        <v>525888.995</v>
      </c>
      <c r="D53" s="28">
        <f>+F47+H47+J47+L47+N47+P47+R47+T47+V47</f>
        <v>361985</v>
      </c>
    </row>
    <row r="54" spans="1:26" ht="15.75">
      <c r="A54" s="3"/>
    </row>
    <row r="55" spans="1:26">
      <c r="A55" s="1"/>
    </row>
    <row r="56" spans="1:26">
      <c r="A56" s="1"/>
    </row>
    <row r="57" spans="1:26">
      <c r="A57" s="1"/>
    </row>
    <row r="58" spans="1:26">
      <c r="A58" s="1"/>
    </row>
    <row r="59" spans="1:26">
      <c r="A59" s="1"/>
    </row>
    <row r="60" spans="1:26">
      <c r="A60" s="1"/>
    </row>
    <row r="61" spans="1:26">
      <c r="A61" s="1"/>
    </row>
    <row r="62" spans="1:26">
      <c r="A62" s="1"/>
    </row>
    <row r="63" spans="1:26">
      <c r="A63" s="1"/>
    </row>
    <row r="64" spans="1:26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</sheetData>
  <mergeCells count="21">
    <mergeCell ref="U33:V33"/>
    <mergeCell ref="X7:X8"/>
    <mergeCell ref="Q6:R6"/>
    <mergeCell ref="S6:T6"/>
    <mergeCell ref="U6:V6"/>
    <mergeCell ref="I6:J6"/>
    <mergeCell ref="K6:L6"/>
    <mergeCell ref="M6:N6"/>
    <mergeCell ref="O6:P6"/>
    <mergeCell ref="I33:J33"/>
    <mergeCell ref="K33:L33"/>
    <mergeCell ref="M33:N33"/>
    <mergeCell ref="O33:P33"/>
    <mergeCell ref="Q33:R33"/>
    <mergeCell ref="S33:T33"/>
    <mergeCell ref="C6:D6"/>
    <mergeCell ref="C33:D33"/>
    <mergeCell ref="E33:F33"/>
    <mergeCell ref="G33:H33"/>
    <mergeCell ref="E6:F6"/>
    <mergeCell ref="G6:H6"/>
  </mergeCells>
  <phoneticPr fontId="0" type="noConversion"/>
  <printOptions horizontalCentered="1"/>
  <pageMargins left="0.18" right="0.18" top="0.75" bottom="0.25" header="0.5" footer="0.5"/>
  <pageSetup paperSize="5" scale="50" orientation="landscape" r:id="rId1"/>
  <headerFooter alignWithMargins="0">
    <oddFooter>&amp;R&amp;T 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mgalvan</dc:creator>
  <cp:lastModifiedBy>Jan Havlíček</cp:lastModifiedBy>
  <cp:lastPrinted>2001-11-21T13:45:20Z</cp:lastPrinted>
  <dcterms:created xsi:type="dcterms:W3CDTF">2001-09-26T19:22:19Z</dcterms:created>
  <dcterms:modified xsi:type="dcterms:W3CDTF">2023-09-19T15:50:25Z</dcterms:modified>
</cp:coreProperties>
</file>