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747F8C-3FE6-4599-AE7D-5C0B9F014E81}" xr6:coauthVersionLast="47" xr6:coauthVersionMax="47" xr10:uidLastSave="{00000000-0000-0000-0000-000000000000}"/>
  <bookViews>
    <workbookView xWindow="-120" yWindow="-120" windowWidth="38640" windowHeight="15720"/>
  </bookViews>
  <sheets>
    <sheet name="Weekly Report" sheetId="1" r:id="rId1"/>
    <sheet name="Data" sheetId="2" state="hidden" r:id="rId2"/>
    <sheet name="EIM New Deals" sheetId="3" state="hidden" r:id="rId3"/>
    <sheet name="EIM Volumes" sheetId="4" state="hidden" r:id="rId4"/>
    <sheet name="WE 6-6 EOL Data" sheetId="5" state="hidden" r:id="rId5"/>
    <sheet name="WE 5-23 EOL Data" sheetId="6" state="hidden" r:id="rId6"/>
    <sheet name="WE 5-16 EOL Data" sheetId="7" state="hidden" r:id="rId7"/>
    <sheet name="WE 5-9 EOL Data" sheetId="8" state="hidden" r:id="rId8"/>
    <sheet name="WE 5-2 EOL Data" sheetId="9" state="hidden" r:id="rId9"/>
    <sheet name="WE 4-25 EOL Data" sheetId="10" state="hidden" r:id="rId10"/>
    <sheet name="WE 4-18 EOL Data" sheetId="11" state="hidden" r:id="rId11"/>
    <sheet name="WE 2-22 EOL Data" sheetId="12" state="hidden" r:id="rId12"/>
    <sheet name="WE 2-28 EOL Data" sheetId="13" state="hidden" r:id="rId13"/>
    <sheet name="WE 3-7 EOL Data" sheetId="14" state="hidden" r:id="rId14"/>
    <sheet name="WE 2-15 EOL Data" sheetId="15" state="hidden" r:id="rId15"/>
    <sheet name="WE 2-8 EOL Data" sheetId="16" state="hidden" r:id="rId16"/>
    <sheet name="WE 3-14 EOL Data" sheetId="17" state="hidden" r:id="rId17"/>
    <sheet name="WE 3-21 EOL Data" sheetId="18" state="hidden" r:id="rId18"/>
    <sheet name="WE 3-28 EOL Data" sheetId="19" state="hidden" r:id="rId19"/>
    <sheet name="WE 4-4 EOL Data" sheetId="20" state="hidden" r:id="rId20"/>
    <sheet name="WE 4-11 EOL Data" sheetId="21" state="hidden" r:id="rId21"/>
    <sheet name="WE 2-1 EOL Data" sheetId="22" state="hidden" r:id="rId22"/>
    <sheet name="template from individuals" sheetId="23" state="hidden" r:id="rId23"/>
    <sheet name="template from eol" sheetId="24" state="hidden" r:id="rId24"/>
    <sheet name="Data People" sheetId="25" state="hidden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1" hidden="1">Data!$A$87:$G$111</definedName>
    <definedName name="DATARANGE" localSheetId="8">[3]DATA!$A$3:$Y$93</definedName>
    <definedName name="DATARANGE">[3]DATA!$A$3:$Y$93</definedName>
    <definedName name="DATE" localSheetId="8">[3]DATA!$C$1</definedName>
    <definedName name="DATE">[3]DATA!$C$1</definedName>
    <definedName name="_xlnm.Print_Area" localSheetId="1">Data!$O$10:$AD$79</definedName>
    <definedName name="_xlnm.Print_Area" localSheetId="2">'EIM New Deals'!$AJ$1:$AS$16</definedName>
    <definedName name="_xlnm.Print_Area" localSheetId="22">'template from individuals'!$A$1:$I$33</definedName>
    <definedName name="_xlnm.Print_Area" localSheetId="0">'Weekly Report'!$A$1:$W$87</definedName>
    <definedName name="_xlnm.Print_Titles" localSheetId="1">Data!$E:$E</definedName>
    <definedName name="_xlnm.Print_Titles" localSheetId="2">'EIM New Deals'!$A:$A</definedName>
    <definedName name="SUMM_ALLOC" localSheetId="8">[3]ALLOCATION!$A$6:$C$48</definedName>
    <definedName name="SUMM_ALLOC">[3]ALLOCATION!$A$6:$C$48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B13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B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B16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B17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B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B24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B27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B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B30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B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B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B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B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B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B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B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B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B47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B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B50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B51" i="2"/>
  <c r="F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B53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B54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B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B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B63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B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U66" i="2"/>
  <c r="V66" i="2"/>
  <c r="W66" i="2"/>
  <c r="X66" i="2"/>
  <c r="Y66" i="2"/>
  <c r="Z66" i="2"/>
  <c r="AB66" i="2"/>
  <c r="U67" i="2"/>
  <c r="V67" i="2"/>
  <c r="W67" i="2"/>
  <c r="X67" i="2"/>
  <c r="Y67" i="2"/>
  <c r="Z67" i="2"/>
  <c r="AB67" i="2"/>
  <c r="U68" i="2"/>
  <c r="V68" i="2"/>
  <c r="W68" i="2"/>
  <c r="X68" i="2"/>
  <c r="Y68" i="2"/>
  <c r="Z68" i="2"/>
  <c r="AB68" i="2"/>
  <c r="Y69" i="2"/>
  <c r="Z69" i="2"/>
  <c r="AB69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B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B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B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B73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B74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AA75" i="2"/>
  <c r="AB75" i="2"/>
  <c r="E88" i="2"/>
  <c r="E96" i="2"/>
  <c r="E104" i="2"/>
  <c r="G46" i="25"/>
  <c r="G52" i="25"/>
  <c r="J19" i="4"/>
  <c r="K19" i="4"/>
  <c r="J20" i="4"/>
  <c r="K20" i="4"/>
  <c r="J21" i="4"/>
  <c r="K21" i="4"/>
  <c r="J22" i="4"/>
  <c r="K22" i="4"/>
  <c r="C55" i="24"/>
  <c r="E55" i="24"/>
  <c r="G55" i="24"/>
  <c r="I55" i="24"/>
  <c r="C58" i="24"/>
  <c r="E58" i="24"/>
  <c r="G58" i="24"/>
  <c r="I58" i="24"/>
  <c r="B66" i="24"/>
  <c r="C66" i="24"/>
  <c r="D66" i="24"/>
  <c r="E66" i="24"/>
  <c r="F66" i="24"/>
  <c r="G66" i="24"/>
  <c r="H66" i="24"/>
  <c r="I66" i="24"/>
  <c r="B67" i="24"/>
  <c r="C67" i="24"/>
  <c r="D67" i="24"/>
  <c r="E67" i="24"/>
  <c r="F67" i="24"/>
  <c r="G67" i="24"/>
  <c r="H67" i="24"/>
  <c r="I67" i="24"/>
  <c r="B68" i="24"/>
  <c r="C68" i="24"/>
  <c r="D68" i="24"/>
  <c r="E68" i="24"/>
  <c r="F68" i="24"/>
  <c r="G68" i="24"/>
  <c r="H68" i="24"/>
  <c r="I68" i="24"/>
  <c r="B69" i="24"/>
  <c r="C69" i="24"/>
  <c r="D69" i="24"/>
  <c r="E69" i="24"/>
  <c r="F69" i="24"/>
  <c r="G69" i="24"/>
  <c r="H69" i="24"/>
  <c r="I69" i="24"/>
  <c r="B70" i="24"/>
  <c r="C70" i="24"/>
  <c r="D70" i="24"/>
  <c r="E70" i="24"/>
  <c r="F70" i="24"/>
  <c r="G70" i="24"/>
  <c r="H70" i="24"/>
  <c r="I70" i="24"/>
  <c r="B71" i="24"/>
  <c r="C71" i="24"/>
  <c r="D71" i="24"/>
  <c r="E71" i="24"/>
  <c r="F71" i="24"/>
  <c r="G71" i="24"/>
  <c r="H71" i="24"/>
  <c r="I71" i="24"/>
  <c r="B72" i="24"/>
  <c r="C72" i="24"/>
  <c r="D72" i="24"/>
  <c r="E72" i="24"/>
  <c r="F72" i="24"/>
  <c r="G72" i="24"/>
  <c r="H72" i="24"/>
  <c r="I72" i="24"/>
  <c r="B73" i="24"/>
  <c r="C73" i="24"/>
  <c r="D73" i="24"/>
  <c r="E73" i="24"/>
  <c r="F73" i="24"/>
  <c r="G73" i="24"/>
  <c r="H73" i="24"/>
  <c r="I73" i="24"/>
  <c r="B74" i="24"/>
  <c r="C74" i="24"/>
  <c r="D74" i="24"/>
  <c r="E74" i="24"/>
  <c r="F74" i="24"/>
  <c r="G74" i="24"/>
  <c r="H74" i="24"/>
  <c r="I74" i="24"/>
  <c r="B75" i="24"/>
  <c r="C75" i="24"/>
  <c r="D75" i="24"/>
  <c r="E75" i="24"/>
  <c r="F75" i="24"/>
  <c r="G75" i="24"/>
  <c r="H75" i="24"/>
  <c r="I75" i="24"/>
  <c r="B76" i="24"/>
  <c r="C76" i="24"/>
  <c r="D76" i="24"/>
  <c r="E76" i="24"/>
  <c r="F76" i="24"/>
  <c r="G76" i="24"/>
  <c r="H76" i="24"/>
  <c r="I76" i="24"/>
  <c r="B77" i="24"/>
  <c r="C77" i="24"/>
  <c r="D77" i="24"/>
  <c r="E77" i="24"/>
  <c r="F77" i="24"/>
  <c r="G77" i="24"/>
  <c r="H77" i="24"/>
  <c r="I77" i="24"/>
  <c r="J37" i="23"/>
  <c r="J38" i="23"/>
  <c r="J39" i="23"/>
  <c r="J40" i="23"/>
  <c r="J41" i="23"/>
  <c r="B42" i="23"/>
  <c r="H42" i="23"/>
  <c r="J42" i="23"/>
  <c r="B43" i="23"/>
  <c r="C43" i="23"/>
  <c r="D43" i="23"/>
  <c r="E43" i="23"/>
  <c r="F43" i="23"/>
  <c r="G43" i="23"/>
  <c r="H43" i="23"/>
  <c r="I43" i="23"/>
  <c r="J43" i="23"/>
  <c r="J44" i="23"/>
  <c r="J45" i="23"/>
  <c r="J46" i="23"/>
  <c r="J47" i="23"/>
  <c r="J48" i="23"/>
  <c r="J49" i="23"/>
  <c r="B52" i="23"/>
  <c r="C52" i="23"/>
  <c r="D52" i="23"/>
  <c r="E52" i="23"/>
  <c r="F52" i="23"/>
  <c r="G52" i="23"/>
  <c r="H52" i="23"/>
  <c r="I52" i="23"/>
  <c r="B53" i="23"/>
  <c r="C53" i="23"/>
  <c r="D53" i="23"/>
  <c r="E53" i="23"/>
  <c r="F53" i="23"/>
  <c r="G53" i="23"/>
  <c r="H53" i="23"/>
  <c r="I53" i="23"/>
  <c r="B55" i="23"/>
  <c r="C55" i="23"/>
  <c r="D55" i="23"/>
  <c r="E55" i="23"/>
  <c r="F55" i="23"/>
  <c r="G55" i="23"/>
  <c r="H55" i="23"/>
  <c r="I55" i="23"/>
  <c r="J55" i="23"/>
  <c r="B56" i="23"/>
  <c r="C56" i="23"/>
  <c r="D56" i="23"/>
  <c r="E56" i="23"/>
  <c r="F56" i="23"/>
  <c r="G56" i="23"/>
  <c r="H56" i="23"/>
  <c r="I56" i="23"/>
  <c r="J56" i="23"/>
  <c r="B57" i="23"/>
  <c r="C57" i="23"/>
  <c r="D57" i="23"/>
  <c r="E57" i="23"/>
  <c r="F57" i="23"/>
  <c r="G57" i="23"/>
  <c r="H57" i="23"/>
  <c r="I57" i="23"/>
  <c r="J57" i="23"/>
  <c r="B58" i="23"/>
  <c r="C58" i="23"/>
  <c r="D58" i="23"/>
  <c r="E58" i="23"/>
  <c r="F58" i="23"/>
  <c r="G58" i="23"/>
  <c r="H58" i="23"/>
  <c r="I58" i="23"/>
  <c r="B60" i="23"/>
  <c r="C60" i="23"/>
  <c r="D60" i="23"/>
  <c r="E60" i="23"/>
  <c r="F60" i="23"/>
  <c r="G60" i="23"/>
  <c r="H60" i="23"/>
  <c r="I60" i="23"/>
  <c r="B62" i="23"/>
  <c r="C62" i="23"/>
  <c r="D62" i="23"/>
  <c r="E62" i="23"/>
  <c r="F62" i="23"/>
  <c r="G62" i="23"/>
  <c r="H62" i="23"/>
  <c r="I62" i="23"/>
  <c r="B68" i="23"/>
  <c r="C68" i="23"/>
  <c r="D68" i="23"/>
  <c r="E68" i="23"/>
  <c r="F68" i="23"/>
  <c r="G68" i="23"/>
  <c r="H68" i="23"/>
  <c r="I68" i="23"/>
  <c r="B69" i="23"/>
  <c r="C69" i="23"/>
  <c r="D69" i="23"/>
  <c r="E69" i="23"/>
  <c r="F69" i="23"/>
  <c r="G69" i="23"/>
  <c r="H69" i="23"/>
  <c r="I69" i="23"/>
  <c r="B70" i="23"/>
  <c r="C70" i="23"/>
  <c r="D70" i="23"/>
  <c r="E70" i="23"/>
  <c r="F70" i="23"/>
  <c r="G70" i="23"/>
  <c r="H70" i="23"/>
  <c r="I70" i="23"/>
  <c r="B71" i="23"/>
  <c r="C71" i="23"/>
  <c r="D71" i="23"/>
  <c r="E71" i="23"/>
  <c r="F71" i="23"/>
  <c r="G71" i="23"/>
  <c r="H71" i="23"/>
  <c r="I71" i="23"/>
  <c r="B72" i="23"/>
  <c r="C72" i="23"/>
  <c r="D72" i="23"/>
  <c r="E72" i="23"/>
  <c r="F72" i="23"/>
  <c r="G72" i="23"/>
  <c r="H72" i="23"/>
  <c r="I72" i="23"/>
  <c r="B73" i="23"/>
  <c r="C73" i="23"/>
  <c r="D73" i="23"/>
  <c r="E73" i="23"/>
  <c r="F73" i="23"/>
  <c r="G73" i="23"/>
  <c r="H73" i="23"/>
  <c r="I73" i="23"/>
  <c r="B74" i="23"/>
  <c r="C74" i="23"/>
  <c r="D74" i="23"/>
  <c r="E74" i="23"/>
  <c r="F74" i="23"/>
  <c r="G74" i="23"/>
  <c r="H74" i="23"/>
  <c r="I74" i="23"/>
  <c r="B75" i="23"/>
  <c r="C75" i="23"/>
  <c r="D75" i="23"/>
  <c r="E75" i="23"/>
  <c r="F75" i="23"/>
  <c r="G75" i="23"/>
  <c r="H75" i="23"/>
  <c r="I75" i="23"/>
  <c r="B76" i="23"/>
  <c r="C76" i="23"/>
  <c r="D76" i="23"/>
  <c r="E76" i="23"/>
  <c r="F76" i="23"/>
  <c r="G76" i="23"/>
  <c r="H76" i="23"/>
  <c r="I76" i="23"/>
  <c r="B77" i="23"/>
  <c r="C77" i="23"/>
  <c r="D77" i="23"/>
  <c r="E77" i="23"/>
  <c r="F77" i="23"/>
  <c r="G77" i="23"/>
  <c r="H77" i="23"/>
  <c r="I77" i="23"/>
  <c r="B78" i="23"/>
  <c r="C78" i="23"/>
  <c r="D78" i="23"/>
  <c r="E78" i="23"/>
  <c r="F78" i="23"/>
  <c r="G78" i="23"/>
  <c r="H78" i="23"/>
  <c r="I78" i="23"/>
  <c r="B79" i="23"/>
  <c r="C79" i="23"/>
  <c r="D79" i="23"/>
  <c r="E79" i="23"/>
  <c r="F79" i="23"/>
  <c r="G79" i="23"/>
  <c r="H79" i="23"/>
  <c r="I79" i="23"/>
  <c r="B80" i="23"/>
  <c r="C80" i="23"/>
  <c r="D80" i="23"/>
  <c r="E80" i="23"/>
  <c r="F80" i="23"/>
  <c r="G80" i="23"/>
  <c r="H80" i="23"/>
  <c r="I80" i="23"/>
  <c r="B6" i="22"/>
  <c r="C6" i="22"/>
  <c r="B7" i="22"/>
  <c r="C7" i="22"/>
  <c r="B9" i="22"/>
  <c r="C9" i="22"/>
  <c r="B10" i="22"/>
  <c r="C10" i="22"/>
  <c r="B11" i="22"/>
  <c r="C11" i="22"/>
  <c r="B12" i="22"/>
  <c r="C12" i="22"/>
  <c r="B14" i="22"/>
  <c r="C14" i="22"/>
  <c r="B29" i="22"/>
  <c r="C29" i="22"/>
  <c r="B30" i="22"/>
  <c r="C30" i="22"/>
  <c r="B32" i="22"/>
  <c r="C32" i="22"/>
  <c r="B33" i="22"/>
  <c r="C33" i="22"/>
  <c r="B34" i="22"/>
  <c r="C34" i="22"/>
  <c r="B35" i="22"/>
  <c r="C35" i="22"/>
  <c r="B36" i="22"/>
  <c r="C36" i="22"/>
  <c r="B37" i="22"/>
  <c r="C37" i="22"/>
  <c r="B39" i="22"/>
  <c r="C55" i="22"/>
  <c r="C58" i="22"/>
  <c r="B6" i="15"/>
  <c r="C6" i="15"/>
  <c r="B7" i="15"/>
  <c r="C7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6" i="15"/>
  <c r="C16" i="15"/>
  <c r="B17" i="15"/>
  <c r="C17" i="15"/>
  <c r="B29" i="15"/>
  <c r="C29" i="15"/>
  <c r="B30" i="15"/>
  <c r="C30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9" i="15"/>
  <c r="B40" i="15"/>
  <c r="C40" i="15"/>
  <c r="C55" i="15"/>
  <c r="C58" i="15"/>
  <c r="B25" i="12"/>
  <c r="B45" i="12"/>
  <c r="C55" i="12"/>
  <c r="C58" i="12"/>
  <c r="B6" i="16"/>
  <c r="C6" i="16"/>
  <c r="B7" i="16"/>
  <c r="C7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6" i="16"/>
  <c r="C16" i="16"/>
  <c r="B17" i="16"/>
  <c r="C17" i="16"/>
  <c r="B29" i="16"/>
  <c r="C29" i="16"/>
  <c r="B30" i="16"/>
  <c r="C30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9" i="16"/>
  <c r="C39" i="16"/>
  <c r="B40" i="16"/>
  <c r="C40" i="16"/>
  <c r="C55" i="16"/>
  <c r="C58" i="16"/>
  <c r="B6" i="7"/>
  <c r="C6" i="7"/>
  <c r="B7" i="7"/>
  <c r="C7" i="7"/>
  <c r="B9" i="7"/>
  <c r="C9" i="7"/>
  <c r="B10" i="7"/>
  <c r="C10" i="7"/>
  <c r="B11" i="7"/>
  <c r="C11" i="7"/>
  <c r="B12" i="7"/>
  <c r="C12" i="7"/>
  <c r="B13" i="7"/>
  <c r="C13" i="7"/>
  <c r="B14" i="7"/>
  <c r="C14" i="7"/>
  <c r="B16" i="7"/>
  <c r="C16" i="7"/>
  <c r="B17" i="7"/>
  <c r="C17" i="7"/>
  <c r="B25" i="7"/>
  <c r="B29" i="7"/>
  <c r="C29" i="7"/>
  <c r="B30" i="7"/>
  <c r="C30" i="7"/>
  <c r="B32" i="7"/>
  <c r="C32" i="7"/>
  <c r="B33" i="7"/>
  <c r="C33" i="7"/>
  <c r="B34" i="7"/>
  <c r="C34" i="7"/>
  <c r="B35" i="7"/>
  <c r="C35" i="7"/>
  <c r="B36" i="7"/>
  <c r="B37" i="7"/>
  <c r="C37" i="7"/>
  <c r="B39" i="7"/>
  <c r="C39" i="7"/>
  <c r="B40" i="7"/>
  <c r="C40" i="7"/>
  <c r="B45" i="7"/>
  <c r="C55" i="7"/>
  <c r="C58" i="7"/>
  <c r="B24" i="6"/>
  <c r="E12" i="5"/>
  <c r="E13" i="5"/>
  <c r="B24" i="5"/>
  <c r="V10" i="1"/>
  <c r="J12" i="1"/>
  <c r="K12" i="1"/>
  <c r="L12" i="1"/>
  <c r="N12" i="1"/>
  <c r="O12" i="1"/>
  <c r="R12" i="1"/>
  <c r="S12" i="1"/>
  <c r="T12" i="1"/>
  <c r="V12" i="1"/>
  <c r="W12" i="1"/>
  <c r="J13" i="1"/>
  <c r="K13" i="1"/>
  <c r="L13" i="1"/>
  <c r="N13" i="1"/>
  <c r="O13" i="1"/>
  <c r="R13" i="1"/>
  <c r="S13" i="1"/>
  <c r="T13" i="1"/>
  <c r="V13" i="1"/>
  <c r="W13" i="1"/>
  <c r="J14" i="1"/>
  <c r="K14" i="1"/>
  <c r="L14" i="1"/>
  <c r="N14" i="1"/>
  <c r="R15" i="1"/>
  <c r="S15" i="1"/>
  <c r="T15" i="1"/>
  <c r="V15" i="1"/>
  <c r="W15" i="1"/>
  <c r="J16" i="1"/>
  <c r="K16" i="1"/>
  <c r="L16" i="1"/>
  <c r="N16" i="1"/>
  <c r="O16" i="1"/>
  <c r="R16" i="1"/>
  <c r="S16" i="1"/>
  <c r="T16" i="1"/>
  <c r="V16" i="1"/>
  <c r="W16" i="1"/>
  <c r="J17" i="1"/>
  <c r="K17" i="1"/>
  <c r="L17" i="1"/>
  <c r="N17" i="1"/>
  <c r="O17" i="1"/>
  <c r="R17" i="1"/>
  <c r="S17" i="1"/>
  <c r="T17" i="1"/>
  <c r="V17" i="1"/>
  <c r="W17" i="1"/>
  <c r="J18" i="1"/>
  <c r="K18" i="1"/>
  <c r="L18" i="1"/>
  <c r="N18" i="1"/>
  <c r="O18" i="1"/>
  <c r="J19" i="1"/>
  <c r="K19" i="1"/>
  <c r="L19" i="1"/>
  <c r="N19" i="1"/>
  <c r="O19" i="1"/>
  <c r="R19" i="1"/>
  <c r="S19" i="1"/>
  <c r="T19" i="1"/>
  <c r="V19" i="1"/>
  <c r="W19" i="1"/>
  <c r="J20" i="1"/>
  <c r="K20" i="1"/>
  <c r="L20" i="1"/>
  <c r="N20" i="1"/>
  <c r="O20" i="1"/>
  <c r="R20" i="1"/>
  <c r="S20" i="1"/>
  <c r="T20" i="1"/>
  <c r="V20" i="1"/>
  <c r="W20" i="1"/>
  <c r="J21" i="1"/>
  <c r="K21" i="1"/>
  <c r="L21" i="1"/>
  <c r="N21" i="1"/>
  <c r="R21" i="1"/>
  <c r="S21" i="1"/>
  <c r="T21" i="1"/>
  <c r="V21" i="1"/>
  <c r="W21" i="1"/>
  <c r="R22" i="1"/>
  <c r="S22" i="1"/>
  <c r="T22" i="1"/>
  <c r="V22" i="1"/>
  <c r="W22" i="1"/>
  <c r="J23" i="1"/>
  <c r="K23" i="1"/>
  <c r="L23" i="1"/>
  <c r="N23" i="1"/>
  <c r="O23" i="1"/>
  <c r="J24" i="1"/>
  <c r="K24" i="1"/>
  <c r="L24" i="1"/>
  <c r="N24" i="1"/>
  <c r="O24" i="1"/>
  <c r="J25" i="1"/>
  <c r="K25" i="1"/>
  <c r="L25" i="1"/>
  <c r="N25" i="1"/>
  <c r="O25" i="1"/>
  <c r="V25" i="1"/>
  <c r="J26" i="1"/>
  <c r="K26" i="1"/>
  <c r="L26" i="1"/>
  <c r="N26" i="1"/>
  <c r="O26" i="1"/>
  <c r="V26" i="1"/>
  <c r="J27" i="1"/>
  <c r="K27" i="1"/>
  <c r="L27" i="1"/>
  <c r="N27" i="1"/>
</calcChain>
</file>

<file path=xl/comments1.xml><?xml version="1.0" encoding="utf-8"?>
<comments xmlns="http://schemas.openxmlformats.org/spreadsheetml/2006/main">
  <authors>
    <author>bheinri</author>
  </authors>
  <commentList>
    <comment ref="U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</commentList>
</comments>
</file>

<file path=xl/sharedStrings.xml><?xml version="1.0" encoding="utf-8"?>
<sst xmlns="http://schemas.openxmlformats.org/spreadsheetml/2006/main" count="2104" uniqueCount="238">
  <si>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</si>
  <si>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</si>
  <si>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</si>
  <si>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</si>
  <si>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</si>
  <si>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</si>
  <si>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</si>
  <si>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</si>
  <si>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</si>
  <si>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</si>
  <si>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</si>
  <si>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</si>
  <si>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</si>
  <si>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</si>
  <si>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</si>
  <si>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</si>
  <si>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</si>
  <si>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</si>
  <si>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</si>
  <si>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</si>
  <si>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</si>
  <si>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</si>
  <si>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</si>
  <si>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</si>
  <si>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</si>
  <si>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</si>
  <si>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</si>
  <si>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</si>
  <si>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</si>
  <si>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</si>
  <si>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</si>
  <si>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</si>
  <si>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</si>
  <si>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</si>
  <si>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</si>
  <si>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</si>
  <si>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</si>
  <si>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</si>
  <si>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</si>
  <si>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</si>
  <si>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</si>
  <si>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</si>
  <si>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</si>
  <si>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</si>
  <si>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</si>
  <si>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</si>
  <si>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</si>
  <si>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</si>
  <si>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</si>
  <si>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</si>
  <si>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</si>
  <si>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</si>
  <si>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</si>
  <si>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</si>
  <si>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</si>
  <si>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</si>
  <si>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</si>
  <si>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</si>
  <si>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</si>
  <si>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</si>
  <si>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</si>
  <si>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</si>
  <si>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</si>
  <si>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</si>
  <si>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</si>
  <si>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</si>
  <si>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</si>
  <si>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</si>
  <si>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</si>
  <si>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</si>
  <si>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</si>
  <si>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</si>
  <si>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</si>
  <si>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</si>
  <si>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</si>
  <si>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</si>
  <si>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</si>
  <si>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</si>
  <si>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</si>
  <si>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</si>
  <si>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</si>
  <si>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</si>
  <si>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</si>
  <si>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</si>
  <si>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</si>
  <si>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</si>
  <si>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</si>
  <si>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</si>
  <si>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</si>
  <si>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</si>
  <si>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</si>
  <si>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</si>
  <si>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</si>
  <si>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</si>
  <si>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</si>
  <si>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</si>
  <si>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</si>
  <si>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</si>
  <si>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</si>
  <si>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</si>
  <si>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</si>
  <si>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</si>
  <si>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</si>
  <si>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</si>
  <si>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</si>
  <si>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</si>
  <si>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</si>
  <si>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</si>
  <si>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</si>
  <si>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</si>
  <si>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</si>
  <si>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</si>
  <si>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</si>
  <si>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</si>
  <si>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</si>
  <si>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</si>
  <si>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</si>
  <si>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</si>
  <si>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</si>
  <si>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Lumber Converted</t>
  </si>
  <si>
    <t>EIM TOTAL</t>
  </si>
  <si>
    <t>12/29 - 1/4</t>
  </si>
  <si>
    <t>1/5 - 1/11</t>
  </si>
  <si>
    <t>1/12 - 1/18</t>
  </si>
  <si>
    <t>1/19 - 1/25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</si>
  <si>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</si>
  <si>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</si>
  <si>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</si>
  <si>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</si>
  <si>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</si>
  <si>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</si>
  <si>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</si>
  <si>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</si>
  <si>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</si>
  <si>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</si>
  <si>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</si>
  <si>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1/26 - 2/1</t>
  </si>
  <si>
    <t>2/2 - 2/8</t>
  </si>
  <si>
    <t>Week ending 2/8</t>
  </si>
  <si>
    <t>2/9 - 2/15</t>
  </si>
  <si>
    <t>Week ending 2/15</t>
  </si>
  <si>
    <t>Week ending 2/22</t>
  </si>
  <si>
    <t>Week Ending 22</t>
  </si>
  <si>
    <t>2/16 - 2/22</t>
  </si>
  <si>
    <t>2/23 - 2/28</t>
  </si>
  <si>
    <t>MARCH</t>
  </si>
  <si>
    <t>Week Ending 28</t>
  </si>
  <si>
    <t>Week Ending 7</t>
  </si>
  <si>
    <t>Week Ending 14</t>
  </si>
  <si>
    <t>Week Ending 21</t>
  </si>
  <si>
    <t>Week ending 2/28</t>
  </si>
  <si>
    <t>3/1 - 3/7</t>
  </si>
  <si>
    <t>Week ending 3/07</t>
  </si>
  <si>
    <t>Gas (MMBTU)</t>
  </si>
  <si>
    <t>Power (MHtz)</t>
  </si>
  <si>
    <t>Emissions (Contracts)</t>
  </si>
  <si>
    <r>
      <t>Gas</t>
    </r>
    <r>
      <rPr>
        <sz val="10"/>
        <rFont val="Arial"/>
        <family val="2"/>
      </rPr>
      <t xml:space="preserve"> (MMBTU)</t>
    </r>
  </si>
  <si>
    <r>
      <t>Power</t>
    </r>
    <r>
      <rPr>
        <sz val="10"/>
        <rFont val="Arial"/>
        <family val="2"/>
      </rPr>
      <t xml:space="preserve"> (MHtz)</t>
    </r>
  </si>
  <si>
    <r>
      <t xml:space="preserve">Emissions </t>
    </r>
    <r>
      <rPr>
        <sz val="10"/>
        <rFont val="Arial"/>
        <family val="2"/>
      </rPr>
      <t>(Contracts)</t>
    </r>
  </si>
  <si>
    <t xml:space="preserve">Newsprint </t>
  </si>
  <si>
    <t xml:space="preserve">Weather </t>
  </si>
  <si>
    <t xml:space="preserve">Coal </t>
  </si>
  <si>
    <t xml:space="preserve">Liquids </t>
  </si>
  <si>
    <t xml:space="preserve">IR/FX </t>
  </si>
  <si>
    <t xml:space="preserve">Power </t>
  </si>
  <si>
    <t xml:space="preserve">Gas </t>
  </si>
  <si>
    <t>Total EIM (Tonne)</t>
  </si>
  <si>
    <t>3/8 - 3/14</t>
  </si>
  <si>
    <t>Non EOL</t>
  </si>
  <si>
    <t>% From EOL</t>
  </si>
  <si>
    <t>% of EA from EOL</t>
  </si>
  <si>
    <t>% of EGM from EOL</t>
  </si>
  <si>
    <t>% of EIM from EOL</t>
  </si>
  <si>
    <t>Week ending 3/14</t>
  </si>
  <si>
    <r>
      <t xml:space="preserve">Liquids </t>
    </r>
    <r>
      <rPr>
        <sz val="10"/>
        <rFont val="Arial"/>
        <family val="2"/>
      </rPr>
      <t>(BBL)</t>
    </r>
  </si>
  <si>
    <r>
      <t>Coal</t>
    </r>
    <r>
      <rPr>
        <sz val="10"/>
        <rFont val="Arial"/>
        <family val="2"/>
      </rPr>
      <t xml:space="preserve"> (Tonne)</t>
    </r>
  </si>
  <si>
    <t>Liquids (BBL)</t>
  </si>
  <si>
    <t>Coal (Tonne)</t>
  </si>
  <si>
    <t>Weather (HDD/CDD)</t>
  </si>
  <si>
    <t>IR/FX (USD)</t>
  </si>
  <si>
    <t>3/15 - 3/21</t>
  </si>
  <si>
    <t>Week ending 3/21</t>
  </si>
  <si>
    <t>Total Non EOL</t>
  </si>
  <si>
    <t>Week ending 3/28</t>
  </si>
  <si>
    <t>Week ending 04/04</t>
  </si>
  <si>
    <t>APRIL</t>
  </si>
  <si>
    <t>3/22 - 3/28</t>
  </si>
  <si>
    <t>3/29 - 4/4</t>
  </si>
  <si>
    <t>4/5 - 4/11</t>
  </si>
  <si>
    <t>Week ending 04/11</t>
  </si>
  <si>
    <t>4/12 - 4/18</t>
  </si>
  <si>
    <t>Week ending 04/18</t>
  </si>
  <si>
    <t>4/19 - 4/25</t>
  </si>
  <si>
    <t>Week ending 04/25</t>
  </si>
  <si>
    <t>Operational Risk:</t>
  </si>
  <si>
    <t>MAY</t>
  </si>
  <si>
    <t>Week Ending 2</t>
  </si>
  <si>
    <t>Week Ending 9</t>
  </si>
  <si>
    <t>Week Ending 23</t>
  </si>
  <si>
    <t>Week Ending 30</t>
  </si>
  <si>
    <t>for WE Apr 11 - up to limit on trading of lumber (wanted to go short, but didn't have room to trade)</t>
  </si>
  <si>
    <t>4/26 - 5/2</t>
  </si>
  <si>
    <t>Week ending 05/02</t>
  </si>
  <si>
    <t>Traded Volume for Physical New Deals</t>
  </si>
  <si>
    <t>5/3 - 5/9</t>
  </si>
  <si>
    <t>5/3-5/9</t>
  </si>
  <si>
    <t>Week ending 05/09</t>
  </si>
  <si>
    <t>5/10 - 5/16</t>
  </si>
  <si>
    <t>5/10-5/16</t>
  </si>
  <si>
    <t>does not include EOL Trades</t>
  </si>
  <si>
    <t xml:space="preserve">Click paper and </t>
  </si>
  <si>
    <t>VOLUMES</t>
  </si>
  <si>
    <t>Lumber - MBFs</t>
  </si>
  <si>
    <t>Newsprint - MT</t>
  </si>
  <si>
    <t>Pulp (recycled paper) - MT</t>
  </si>
  <si>
    <t>Steel - MT</t>
  </si>
  <si>
    <t>Lumber - Converted</t>
  </si>
  <si>
    <t>Total Financial &amp; Physical</t>
  </si>
  <si>
    <t xml:space="preserve">exchange </t>
  </si>
  <si>
    <t>Week ending 05/16</t>
  </si>
  <si>
    <t>5/17 - 5/23</t>
  </si>
  <si>
    <t>5/17-5/23</t>
  </si>
  <si>
    <r>
      <t xml:space="preserve">EIM </t>
    </r>
    <r>
      <rPr>
        <b/>
        <sz val="10"/>
        <rFont val="Arial"/>
        <family val="2"/>
      </rPr>
      <t>(Metric Tonne)</t>
    </r>
  </si>
  <si>
    <t>Week ending 05/23</t>
  </si>
  <si>
    <t>5/24-5/30</t>
  </si>
  <si>
    <t>5/24 - 5/30</t>
  </si>
  <si>
    <t>5/31-6/6</t>
  </si>
  <si>
    <t>5/31 - 6/6</t>
  </si>
  <si>
    <t>Other Activities:</t>
  </si>
  <si>
    <t>Week ending 06/06</t>
  </si>
  <si>
    <t>Week Ending 6/6</t>
  </si>
  <si>
    <t xml:space="preserve">     - Completed Doorstep quarterly update to be delivered next week.     </t>
  </si>
  <si>
    <t xml:space="preserve">     - Unify to go live this weekend.  Final testing completed.     </t>
  </si>
  <si>
    <t xml:space="preserve">meetings.     </t>
  </si>
  <si>
    <t xml:space="preserve">to the Gas Book.     </t>
  </si>
  <si>
    <t xml:space="preserve">     - Working with Structuring group on Sithe contract restructure as it relates          </t>
  </si>
  <si>
    <t xml:space="preserve">     - Building team and high level project plan for EES/Wholesale integration.          </t>
  </si>
  <si>
    <t xml:space="preserve">     - PRC Process receiving a lot of focus this week.  Held all Energy Ops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</si>
</sst>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2" formatCode="_(* #,##0.000_);_(* \(#,##0.000\);_(* &quot;-&quot;??_);_(@_)"/>
    <numFmt numFmtId="178" formatCode="0_);\(0\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5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/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4" xfId="0" applyFill="1" applyBorder="1"/>
    <xf numFmtId="165" fontId="0" fillId="2" borderId="4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4" xfId="0" applyFill="1" applyBorder="1"/>
    <xf numFmtId="165" fontId="0" fillId="3" borderId="4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6" xfId="0" applyFont="1" applyBorder="1" applyAlignment="1">
      <alignment horizontal="left"/>
    </xf>
    <xf numFmtId="0" fontId="6" fillId="0" borderId="0" xfId="0" applyFont="1" applyBorder="1"/>
    <xf numFmtId="0" fontId="6" fillId="0" borderId="7" xfId="0" applyFont="1" applyBorder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6" xfId="0" applyFont="1" applyBorder="1"/>
    <xf numFmtId="165" fontId="6" fillId="0" borderId="0" xfId="1" applyNumberFormat="1" applyFont="1" applyBorder="1"/>
    <xf numFmtId="165" fontId="6" fillId="0" borderId="0" xfId="1" applyNumberFormat="1" applyFont="1"/>
    <xf numFmtId="165" fontId="6" fillId="0" borderId="6" xfId="1" applyNumberFormat="1" applyFont="1" applyBorder="1" applyAlignment="1">
      <alignment horizontal="left" indent="1"/>
    </xf>
    <xf numFmtId="165" fontId="7" fillId="0" borderId="0" xfId="1" applyNumberFormat="1" applyFont="1"/>
    <xf numFmtId="165" fontId="7" fillId="0" borderId="6" xfId="1" applyNumberFormat="1" applyFont="1" applyBorder="1" applyAlignment="1">
      <alignment horizontal="left"/>
    </xf>
    <xf numFmtId="165" fontId="7" fillId="0" borderId="6" xfId="1" applyNumberFormat="1" applyFont="1" applyBorder="1"/>
    <xf numFmtId="165" fontId="6" fillId="0" borderId="8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3" xfId="1" applyNumberFormat="1" applyFont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7" fillId="0" borderId="6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8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5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0" fillId="0" borderId="19" xfId="0" applyBorder="1" applyAlignment="1">
      <alignment horizontal="left" indent="2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left" indent="2"/>
    </xf>
    <xf numFmtId="165" fontId="0" fillId="0" borderId="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6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27" xfId="0" applyNumberFormat="1" applyFill="1" applyBorder="1" applyAlignment="1">
      <alignment horizontal="center"/>
    </xf>
    <xf numFmtId="165" fontId="0" fillId="2" borderId="28" xfId="0" applyNumberFormat="1" applyFill="1" applyBorder="1" applyAlignment="1">
      <alignment horizontal="center"/>
    </xf>
    <xf numFmtId="165" fontId="0" fillId="5" borderId="27" xfId="0" applyNumberFormat="1" applyFill="1" applyBorder="1" applyAlignment="1">
      <alignment horizontal="center"/>
    </xf>
    <xf numFmtId="165" fontId="0" fillId="5" borderId="28" xfId="0" applyNumberFormat="1" applyFill="1" applyBorder="1" applyAlignment="1">
      <alignment horizontal="center"/>
    </xf>
    <xf numFmtId="0" fontId="0" fillId="0" borderId="29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6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1" fillId="0" borderId="0" xfId="1" applyNumberFormat="1" applyFont="1" applyBorder="1"/>
    <xf numFmtId="165" fontId="11" fillId="0" borderId="7" xfId="1" applyNumberFormat="1" applyFont="1" applyBorder="1"/>
    <xf numFmtId="165" fontId="12" fillId="0" borderId="7" xfId="1" applyNumberFormat="1" applyFont="1" applyBorder="1"/>
    <xf numFmtId="165" fontId="11" fillId="0" borderId="0" xfId="1" applyNumberFormat="1" applyFont="1" applyBorder="1" applyAlignment="1">
      <alignment horizontal="center"/>
    </xf>
    <xf numFmtId="165" fontId="11" fillId="0" borderId="9" xfId="1" applyNumberFormat="1" applyFont="1" applyBorder="1" applyAlignment="1">
      <alignment horizontal="center"/>
    </xf>
    <xf numFmtId="165" fontId="11" fillId="0" borderId="10" xfId="1" applyNumberFormat="1" applyFont="1" applyBorder="1"/>
    <xf numFmtId="0" fontId="11" fillId="0" borderId="0" xfId="0" applyFont="1" applyBorder="1"/>
    <xf numFmtId="165" fontId="11" fillId="0" borderId="6" xfId="1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quotePrefix="1" applyFont="1" applyBorder="1"/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0" fillId="0" borderId="7" xfId="0" applyBorder="1"/>
    <xf numFmtId="0" fontId="0" fillId="5" borderId="26" xfId="0" applyFill="1" applyBorder="1"/>
    <xf numFmtId="165" fontId="0" fillId="0" borderId="19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26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0" fontId="8" fillId="0" borderId="2" xfId="0" applyFont="1" applyBorder="1"/>
    <xf numFmtId="9" fontId="0" fillId="0" borderId="0" xfId="2" applyFont="1" applyAlignment="1">
      <alignment horizontal="right"/>
    </xf>
    <xf numFmtId="0" fontId="0" fillId="0" borderId="2" xfId="0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9" fontId="11" fillId="0" borderId="0" xfId="2" applyFont="1" applyBorder="1"/>
    <xf numFmtId="9" fontId="6" fillId="0" borderId="0" xfId="0" applyNumberFormat="1" applyFont="1" applyFill="1" applyBorder="1"/>
    <xf numFmtId="43" fontId="0" fillId="0" borderId="0" xfId="0" applyNumberFormat="1" applyFill="1"/>
    <xf numFmtId="165" fontId="2" fillId="0" borderId="0" xfId="0" applyNumberFormat="1" applyFont="1" applyFill="1"/>
    <xf numFmtId="3" fontId="0" fillId="6" borderId="0" xfId="0" applyNumberFormat="1" applyFill="1" applyAlignment="1">
      <alignment horizontal="right"/>
    </xf>
    <xf numFmtId="172" fontId="2" fillId="4" borderId="13" xfId="1" applyNumberFormat="1" applyFont="1" applyFill="1" applyBorder="1" applyAlignment="1">
      <alignment horizontal="center"/>
    </xf>
    <xf numFmtId="172" fontId="2" fillId="4" borderId="14" xfId="1" applyNumberFormat="1" applyFont="1" applyFill="1" applyBorder="1" applyAlignment="1">
      <alignment horizontal="center"/>
    </xf>
    <xf numFmtId="172" fontId="1" fillId="0" borderId="0" xfId="1" applyNumberFormat="1"/>
    <xf numFmtId="0" fontId="0" fillId="0" borderId="0" xfId="0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1"/>
    </xf>
    <xf numFmtId="172" fontId="1" fillId="0" borderId="0" xfId="1" applyNumberFormat="1" applyFont="1"/>
    <xf numFmtId="172" fontId="0" fillId="5" borderId="17" xfId="1" applyNumberFormat="1" applyFont="1" applyFill="1" applyBorder="1"/>
    <xf numFmtId="172" fontId="0" fillId="2" borderId="17" xfId="1" applyNumberFormat="1" applyFont="1" applyFill="1" applyBorder="1" applyAlignment="1">
      <alignment horizontal="center"/>
    </xf>
    <xf numFmtId="165" fontId="0" fillId="0" borderId="20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5" fontId="0" fillId="5" borderId="27" xfId="1" applyNumberFormat="1" applyFont="1" applyFill="1" applyBorder="1" applyAlignment="1">
      <alignment horizontal="center"/>
    </xf>
    <xf numFmtId="165" fontId="0" fillId="2" borderId="27" xfId="1" applyNumberFormat="1" applyFont="1" applyFill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3" fontId="6" fillId="0" borderId="0" xfId="0" applyNumberFormat="1" applyFont="1" applyBorder="1"/>
    <xf numFmtId="37" fontId="0" fillId="0" borderId="20" xfId="1" applyNumberFormat="1" applyFont="1" applyBorder="1" applyAlignment="1">
      <alignment horizontal="center"/>
    </xf>
    <xf numFmtId="37" fontId="0" fillId="0" borderId="4" xfId="1" applyNumberFormat="1" applyFont="1" applyBorder="1" applyAlignment="1">
      <alignment horizontal="center"/>
    </xf>
    <xf numFmtId="37" fontId="0" fillId="0" borderId="13" xfId="1" applyNumberFormat="1" applyFont="1" applyBorder="1" applyAlignment="1">
      <alignment horizontal="center"/>
    </xf>
    <xf numFmtId="37" fontId="0" fillId="5" borderId="27" xfId="1" applyNumberFormat="1" applyFont="1" applyFill="1" applyBorder="1" applyAlignment="1">
      <alignment horizontal="center"/>
    </xf>
    <xf numFmtId="37" fontId="0" fillId="2" borderId="27" xfId="1" applyNumberFormat="1" applyFont="1" applyFill="1" applyBorder="1" applyAlignment="1">
      <alignment horizontal="center"/>
    </xf>
    <xf numFmtId="37" fontId="0" fillId="0" borderId="11" xfId="1" applyNumberFormat="1" applyFont="1" applyBorder="1" applyAlignment="1">
      <alignment horizontal="center"/>
    </xf>
    <xf numFmtId="165" fontId="0" fillId="0" borderId="6" xfId="1" applyNumberFormat="1" applyFont="1" applyBorder="1"/>
    <xf numFmtId="37" fontId="11" fillId="0" borderId="0" xfId="1" applyNumberFormat="1" applyFont="1"/>
    <xf numFmtId="9" fontId="11" fillId="0" borderId="0" xfId="1" applyNumberFormat="1" applyFont="1"/>
    <xf numFmtId="165" fontId="11" fillId="0" borderId="0" xfId="1" applyNumberFormat="1" applyFont="1"/>
    <xf numFmtId="37" fontId="11" fillId="0" borderId="0" xfId="0" applyNumberFormat="1" applyFont="1"/>
    <xf numFmtId="3" fontId="11" fillId="0" borderId="0" xfId="1" applyNumberFormat="1" applyFont="1"/>
    <xf numFmtId="3" fontId="11" fillId="0" borderId="9" xfId="1" applyNumberFormat="1" applyFont="1" applyBorder="1"/>
    <xf numFmtId="165" fontId="0" fillId="0" borderId="3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72" fontId="2" fillId="4" borderId="32" xfId="1" applyNumberFormat="1" applyFont="1" applyFill="1" applyBorder="1" applyAlignment="1">
      <alignment horizontal="center"/>
    </xf>
    <xf numFmtId="37" fontId="0" fillId="0" borderId="33" xfId="1" applyNumberFormat="1" applyFont="1" applyBorder="1" applyAlignment="1">
      <alignment horizontal="center"/>
    </xf>
    <xf numFmtId="37" fontId="0" fillId="0" borderId="31" xfId="1" applyNumberFormat="1" applyFont="1" applyBorder="1" applyAlignment="1">
      <alignment horizontal="center"/>
    </xf>
    <xf numFmtId="37" fontId="0" fillId="0" borderId="32" xfId="1" applyNumberFormat="1" applyFont="1" applyBorder="1" applyAlignment="1">
      <alignment horizontal="center"/>
    </xf>
    <xf numFmtId="37" fontId="0" fillId="0" borderId="8" xfId="1" applyNumberFormat="1" applyFont="1" applyBorder="1" applyAlignment="1">
      <alignment horizontal="center"/>
    </xf>
    <xf numFmtId="178" fontId="2" fillId="4" borderId="12" xfId="0" applyNumberFormat="1" applyFont="1" applyFill="1" applyBorder="1" applyAlignment="1">
      <alignment horizontal="center"/>
    </xf>
    <xf numFmtId="178" fontId="2" fillId="4" borderId="13" xfId="0" applyNumberFormat="1" applyFont="1" applyFill="1" applyBorder="1" applyAlignment="1">
      <alignment horizontal="center"/>
    </xf>
    <xf numFmtId="178" fontId="0" fillId="5" borderId="26" xfId="0" applyNumberFormat="1" applyFill="1" applyBorder="1"/>
    <xf numFmtId="178" fontId="0" fillId="5" borderId="17" xfId="0" applyNumberFormat="1" applyFill="1" applyBorder="1"/>
    <xf numFmtId="178" fontId="0" fillId="2" borderId="26" xfId="0" applyNumberFormat="1" applyFill="1" applyBorder="1" applyAlignment="1">
      <alignment horizontal="center"/>
    </xf>
    <xf numFmtId="178" fontId="0" fillId="2" borderId="17" xfId="0" applyNumberFormat="1" applyFill="1" applyBorder="1" applyAlignment="1">
      <alignment horizontal="center"/>
    </xf>
    <xf numFmtId="178" fontId="0" fillId="0" borderId="19" xfId="1" applyNumberFormat="1" applyFont="1" applyBorder="1" applyAlignment="1">
      <alignment horizontal="center"/>
    </xf>
    <xf numFmtId="178" fontId="0" fillId="0" borderId="20" xfId="1" applyNumberFormat="1" applyFont="1" applyBorder="1" applyAlignment="1">
      <alignment horizontal="center"/>
    </xf>
    <xf numFmtId="178" fontId="0" fillId="0" borderId="23" xfId="1" applyNumberFormat="1" applyFont="1" applyBorder="1" applyAlignment="1">
      <alignment horizontal="center"/>
    </xf>
    <xf numFmtId="178" fontId="0" fillId="0" borderId="4" xfId="1" applyNumberFormat="1" applyFont="1" applyBorder="1" applyAlignment="1">
      <alignment horizontal="center"/>
    </xf>
    <xf numFmtId="178" fontId="0" fillId="0" borderId="12" xfId="1" applyNumberFormat="1" applyFont="1" applyBorder="1" applyAlignment="1">
      <alignment horizontal="center"/>
    </xf>
    <xf numFmtId="178" fontId="0" fillId="0" borderId="13" xfId="1" applyNumberFormat="1" applyFont="1" applyBorder="1" applyAlignment="1">
      <alignment horizontal="center"/>
    </xf>
    <xf numFmtId="178" fontId="0" fillId="5" borderId="16" xfId="1" applyNumberFormat="1" applyFont="1" applyFill="1" applyBorder="1" applyAlignment="1">
      <alignment horizontal="center"/>
    </xf>
    <xf numFmtId="178" fontId="0" fillId="5" borderId="27" xfId="1" applyNumberFormat="1" applyFont="1" applyFill="1" applyBorder="1" applyAlignment="1">
      <alignment horizontal="center"/>
    </xf>
    <xf numFmtId="178" fontId="0" fillId="2" borderId="16" xfId="1" applyNumberFormat="1" applyFont="1" applyFill="1" applyBorder="1" applyAlignment="1">
      <alignment horizontal="center"/>
    </xf>
    <xf numFmtId="178" fontId="0" fillId="2" borderId="27" xfId="1" applyNumberFormat="1" applyFont="1" applyFill="1" applyBorder="1" applyAlignment="1">
      <alignment horizontal="center"/>
    </xf>
    <xf numFmtId="178" fontId="0" fillId="0" borderId="29" xfId="1" applyNumberFormat="1" applyFont="1" applyBorder="1" applyAlignment="1">
      <alignment horizontal="center"/>
    </xf>
    <xf numFmtId="178" fontId="0" fillId="0" borderId="11" xfId="1" applyNumberFormat="1" applyFont="1" applyBorder="1" applyAlignment="1">
      <alignment horizontal="center"/>
    </xf>
    <xf numFmtId="178" fontId="2" fillId="4" borderId="12" xfId="0" applyNumberFormat="1" applyFont="1" applyFill="1" applyBorder="1" applyAlignment="1">
      <alignment horizontal="right"/>
    </xf>
    <xf numFmtId="178" fontId="2" fillId="4" borderId="13" xfId="0" applyNumberFormat="1" applyFont="1" applyFill="1" applyBorder="1" applyAlignment="1">
      <alignment horizontal="right"/>
    </xf>
    <xf numFmtId="178" fontId="0" fillId="5" borderId="26" xfId="0" applyNumberFormat="1" applyFill="1" applyBorder="1" applyAlignment="1">
      <alignment horizontal="right"/>
    </xf>
    <xf numFmtId="178" fontId="0" fillId="5" borderId="17" xfId="0" applyNumberFormat="1" applyFill="1" applyBorder="1" applyAlignment="1">
      <alignment horizontal="right"/>
    </xf>
    <xf numFmtId="178" fontId="0" fillId="2" borderId="26" xfId="0" applyNumberFormat="1" applyFill="1" applyBorder="1" applyAlignment="1">
      <alignment horizontal="right"/>
    </xf>
    <xf numFmtId="178" fontId="0" fillId="2" borderId="17" xfId="0" applyNumberFormat="1" applyFill="1" applyBorder="1" applyAlignment="1">
      <alignment horizontal="right"/>
    </xf>
    <xf numFmtId="178" fontId="0" fillId="0" borderId="19" xfId="1" applyNumberFormat="1" applyFont="1" applyBorder="1" applyAlignment="1">
      <alignment horizontal="right"/>
    </xf>
    <xf numFmtId="178" fontId="0" fillId="0" borderId="20" xfId="1" applyNumberFormat="1" applyFont="1" applyBorder="1" applyAlignment="1">
      <alignment horizontal="right"/>
    </xf>
    <xf numFmtId="178" fontId="0" fillId="0" borderId="23" xfId="1" applyNumberFormat="1" applyFont="1" applyBorder="1" applyAlignment="1">
      <alignment horizontal="right"/>
    </xf>
    <xf numFmtId="178" fontId="0" fillId="0" borderId="4" xfId="1" applyNumberFormat="1" applyFont="1" applyBorder="1" applyAlignment="1">
      <alignment horizontal="right"/>
    </xf>
    <xf numFmtId="178" fontId="0" fillId="0" borderId="12" xfId="1" applyNumberFormat="1" applyFont="1" applyBorder="1" applyAlignment="1">
      <alignment horizontal="right"/>
    </xf>
    <xf numFmtId="178" fontId="0" fillId="0" borderId="13" xfId="1" applyNumberFormat="1" applyFont="1" applyBorder="1" applyAlignment="1">
      <alignment horizontal="right"/>
    </xf>
    <xf numFmtId="178" fontId="0" fillId="5" borderId="16" xfId="1" applyNumberFormat="1" applyFont="1" applyFill="1" applyBorder="1" applyAlignment="1">
      <alignment horizontal="right"/>
    </xf>
    <xf numFmtId="178" fontId="0" fillId="5" borderId="27" xfId="1" applyNumberFormat="1" applyFont="1" applyFill="1" applyBorder="1" applyAlignment="1">
      <alignment horizontal="right"/>
    </xf>
    <xf numFmtId="178" fontId="0" fillId="2" borderId="16" xfId="1" applyNumberFormat="1" applyFont="1" applyFill="1" applyBorder="1" applyAlignment="1">
      <alignment horizontal="right"/>
    </xf>
    <xf numFmtId="178" fontId="0" fillId="2" borderId="27" xfId="1" applyNumberFormat="1" applyFont="1" applyFill="1" applyBorder="1" applyAlignment="1">
      <alignment horizontal="right"/>
    </xf>
    <xf numFmtId="178" fontId="0" fillId="2" borderId="38" xfId="1" applyNumberFormat="1" applyFont="1" applyFill="1" applyBorder="1" applyAlignment="1">
      <alignment horizontal="right"/>
    </xf>
    <xf numFmtId="178" fontId="0" fillId="2" borderId="0" xfId="1" applyNumberFormat="1" applyFont="1" applyFill="1" applyBorder="1" applyAlignment="1">
      <alignment horizontal="right"/>
    </xf>
    <xf numFmtId="178" fontId="0" fillId="0" borderId="29" xfId="1" applyNumberFormat="1" applyFont="1" applyBorder="1" applyAlignment="1">
      <alignment horizontal="right"/>
    </xf>
    <xf numFmtId="178" fontId="0" fillId="0" borderId="11" xfId="1" applyNumberFormat="1" applyFont="1" applyBorder="1" applyAlignment="1">
      <alignment horizontal="right"/>
    </xf>
    <xf numFmtId="0" fontId="0" fillId="4" borderId="1" xfId="0" applyFill="1" applyBorder="1"/>
    <xf numFmtId="0" fontId="0" fillId="4" borderId="5" xfId="0" applyFill="1" applyBorder="1"/>
    <xf numFmtId="0" fontId="11" fillId="0" borderId="7" xfId="0" applyFont="1" applyBorder="1"/>
    <xf numFmtId="165" fontId="11" fillId="0" borderId="6" xfId="1" quotePrefix="1" applyNumberFormat="1" applyFont="1" applyBorder="1" applyAlignment="1">
      <alignment horizontal="left"/>
    </xf>
    <xf numFmtId="165" fontId="11" fillId="0" borderId="0" xfId="1" applyNumberFormat="1" applyFont="1" applyBorder="1" applyAlignment="1">
      <alignment horizontal="left"/>
    </xf>
    <xf numFmtId="165" fontId="11" fillId="0" borderId="0" xfId="1" applyNumberFormat="1" applyFont="1" applyAlignment="1">
      <alignment horizontal="left"/>
    </xf>
    <xf numFmtId="0" fontId="11" fillId="0" borderId="6" xfId="0" applyFont="1" applyBorder="1" applyAlignment="1">
      <alignment horizontal="left"/>
    </xf>
    <xf numFmtId="0" fontId="2" fillId="0" borderId="25" xfId="0" applyFont="1" applyBorder="1"/>
    <xf numFmtId="0" fontId="2" fillId="0" borderId="4" xfId="0" applyFont="1" applyBorder="1"/>
    <xf numFmtId="3" fontId="2" fillId="0" borderId="4" xfId="0" applyNumberFormat="1" applyFont="1" applyBorder="1" applyAlignment="1">
      <alignment horizontal="right"/>
    </xf>
    <xf numFmtId="3" fontId="0" fillId="0" borderId="25" xfId="0" applyNumberFormat="1" applyFill="1" applyBorder="1" applyAlignment="1">
      <alignment horizontal="right"/>
    </xf>
    <xf numFmtId="165" fontId="0" fillId="0" borderId="4" xfId="1" applyNumberFormat="1" applyFont="1" applyFill="1" applyBorder="1"/>
    <xf numFmtId="3" fontId="2" fillId="0" borderId="25" xfId="0" applyNumberFormat="1" applyFont="1" applyFill="1" applyBorder="1" applyAlignment="1">
      <alignment horizontal="right"/>
    </xf>
    <xf numFmtId="165" fontId="2" fillId="0" borderId="4" xfId="1" applyNumberFormat="1" applyFont="1" applyFill="1" applyBorder="1" applyAlignment="1">
      <alignment horizontal="right"/>
    </xf>
    <xf numFmtId="165" fontId="0" fillId="0" borderId="4" xfId="1" applyNumberFormat="1" applyFont="1" applyFill="1" applyBorder="1" applyAlignment="1">
      <alignment horizontal="right"/>
    </xf>
    <xf numFmtId="3" fontId="0" fillId="0" borderId="4" xfId="0" applyNumberFormat="1" applyFill="1" applyBorder="1" applyAlignment="1">
      <alignment horizontal="right"/>
    </xf>
    <xf numFmtId="0" fontId="2" fillId="0" borderId="25" xfId="0" applyFont="1" applyFill="1" applyBorder="1"/>
    <xf numFmtId="0" fontId="2" fillId="0" borderId="4" xfId="0" applyFont="1" applyFill="1" applyBorder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3" fontId="2" fillId="0" borderId="4" xfId="0" applyNumberFormat="1" applyFont="1" applyFill="1" applyBorder="1" applyAlignment="1">
      <alignment horizontal="right"/>
    </xf>
    <xf numFmtId="0" fontId="0" fillId="0" borderId="4" xfId="0" applyBorder="1"/>
    <xf numFmtId="3" fontId="2" fillId="6" borderId="4" xfId="0" applyNumberFormat="1" applyFont="1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8" fontId="2" fillId="4" borderId="19" xfId="0" applyNumberFormat="1" applyFont="1" applyFill="1" applyBorder="1" applyAlignment="1">
      <alignment horizontal="right"/>
    </xf>
    <xf numFmtId="178" fontId="2" fillId="4" borderId="20" xfId="0" applyNumberFormat="1" applyFont="1" applyFill="1" applyBorder="1" applyAlignment="1">
      <alignment horizontal="right"/>
    </xf>
    <xf numFmtId="0" fontId="2" fillId="4" borderId="1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178" fontId="2" fillId="4" borderId="19" xfId="0" applyNumberFormat="1" applyFont="1" applyFill="1" applyBorder="1" applyAlignment="1">
      <alignment horizontal="center"/>
    </xf>
    <xf numFmtId="178" fontId="2" fillId="4" borderId="20" xfId="0" applyNumberFormat="1" applyFont="1" applyFill="1" applyBorder="1" applyAlignment="1">
      <alignment horizontal="center"/>
    </xf>
    <xf numFmtId="172" fontId="2" fillId="4" borderId="20" xfId="1" applyNumberFormat="1" applyFont="1" applyFill="1" applyBorder="1" applyAlignment="1">
      <alignment horizontal="center"/>
    </xf>
    <xf numFmtId="172" fontId="2" fillId="4" borderId="33" xfId="1" applyNumberFormat="1" applyFont="1" applyFill="1" applyBorder="1" applyAlignment="1">
      <alignment horizontal="center"/>
    </xf>
    <xf numFmtId="172" fontId="2" fillId="4" borderId="21" xfId="1" applyNumberFormat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7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4344535390427899"/>
          <c:y val="2.93510650172787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505387295895594"/>
          <c:y val="0.11530775542502354"/>
          <c:w val="0.880836319425092"/>
          <c:h val="0.7610311858051553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Data!$E$23</c:f>
              <c:strCache>
                <c:ptCount val="1"/>
                <c:pt idx="0">
                  <c:v>IR/FX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384427767817288"/>
                  <c:y val="0.796671764754708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65-4F74-B822-406703B90C4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95061542672957"/>
                  <c:y val="0.792478755466525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65-4F74-B822-406703B90C4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708696370572959"/>
                  <c:y val="0.80086477404289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65-4F74-B822-406703B90C4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476910708252469"/>
                  <c:y val="0.802961278686982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65-4F74-B822-406703B90C4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437018330863078"/>
                  <c:y val="0.788285746178342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65-4F74-B822-406703B90C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Data!$X$22:$AB$22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Data!$X$23:$AB$23</c:f>
              <c:numCache>
                <c:formatCode>#,##0</c:formatCode>
                <c:ptCount val="5"/>
                <c:pt idx="0">
                  <c:v>357</c:v>
                </c:pt>
                <c:pt idx="1">
                  <c:v>430</c:v>
                </c:pt>
                <c:pt idx="2">
                  <c:v>532</c:v>
                </c:pt>
                <c:pt idx="3">
                  <c:v>357</c:v>
                </c:pt>
                <c:pt idx="4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65-4F74-B822-406703B90C45}"/>
            </c:ext>
          </c:extLst>
        </c:ser>
        <c:ser>
          <c:idx val="1"/>
          <c:order val="1"/>
          <c:tx>
            <c:strRef>
              <c:f>Data!$E$26</c:f>
              <c:strCache>
                <c:ptCount val="1"/>
                <c:pt idx="0">
                  <c:v>Liquids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66187658912282"/>
                  <c:y val="0.59121430963375698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65-4F74-B822-406703B90C4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536428675359009"/>
                  <c:y val="0.53460868424329089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65-4F74-B822-406703B90C4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294509619202398"/>
                  <c:y val="0.48009956349691618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65-4F74-B822-406703B90C4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062723956881908"/>
                  <c:y val="0.53880169353147356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65-4F74-B822-406703B90C4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022831579492517"/>
                  <c:y val="0.46961704027645951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65-4F74-B822-406703B90C45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Data!$X$22:$AB$22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Data!$X$26:$AB$26</c:f>
              <c:numCache>
                <c:formatCode>#,##0</c:formatCode>
                <c:ptCount val="5"/>
                <c:pt idx="0">
                  <c:v>2320</c:v>
                </c:pt>
                <c:pt idx="1">
                  <c:v>2922</c:v>
                </c:pt>
                <c:pt idx="2">
                  <c:v>3442</c:v>
                </c:pt>
                <c:pt idx="3">
                  <c:v>2999</c:v>
                </c:pt>
                <c:pt idx="4">
                  <c:v>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65-4F74-B822-406703B90C45}"/>
            </c:ext>
          </c:extLst>
        </c:ser>
        <c:ser>
          <c:idx val="2"/>
          <c:order val="2"/>
          <c:tx>
            <c:strRef>
              <c:f>Data!$E$29</c:f>
              <c:strCache>
                <c:ptCount val="1"/>
                <c:pt idx="0">
                  <c:v>Coal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8081708348643991"/>
                  <c:y val="0.398335882377354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065-4F74-B822-406703B90C4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03168257741849"/>
                  <c:y val="0.30189666874915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065-4F74-B822-406703B90C4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8991790200029104"/>
                  <c:y val="0.199167941188677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065-4F74-B822-406703B90C4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6164057895243054"/>
                  <c:y val="0.30608967803733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065-4F74-B822-406703B90C4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932272232922553"/>
                  <c:y val="0.167720371527306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065-4F74-B822-406703B90C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Data!$X$22:$AB$22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Data!$X$29:$AB$29</c:f>
              <c:numCache>
                <c:formatCode>#,##0</c:formatCode>
                <c:ptCount val="5"/>
                <c:pt idx="0">
                  <c:v>12</c:v>
                </c:pt>
                <c:pt idx="1">
                  <c:v>39</c:v>
                </c:pt>
                <c:pt idx="2">
                  <c:v>22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065-4F74-B822-406703B90C45}"/>
            </c:ext>
          </c:extLst>
        </c:ser>
        <c:ser>
          <c:idx val="3"/>
          <c:order val="3"/>
          <c:tx>
            <c:strRef>
              <c:f>Data!$E$32</c:f>
              <c:strCache>
                <c:ptCount val="1"/>
                <c:pt idx="0">
                  <c:v>Weather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39840834938383"/>
                  <c:y val="0.402528891665536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065-4F74-B822-406703B90C4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101975136316217"/>
                  <c:y val="0.30399317339324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065-4F74-B822-406703B90C4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466136116461276"/>
                  <c:y val="0.21593997834140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065-4F74-B822-406703B90C4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2022190381537445"/>
                  <c:y val="0.31028268732551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065-4F74-B822-406703B90C4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386351361682505"/>
                  <c:y val="0.18239590403594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065-4F74-B822-406703B90C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Data!$X$22:$AB$22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Data!$X$32:$AB$32</c:f>
              <c:numCache>
                <c:formatCode>#,##0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36</c:v>
                </c:pt>
                <c:pt idx="3">
                  <c:v>15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065-4F74-B822-406703B90C45}"/>
            </c:ext>
          </c:extLst>
        </c:ser>
        <c:ser>
          <c:idx val="4"/>
          <c:order val="4"/>
          <c:tx>
            <c:strRef>
              <c:f>Data!$E$35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798614519187849"/>
                  <c:y val="0.36479180807189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065-4F74-B822-406703B90C4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970882214401801"/>
                  <c:y val="0.2536770619350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065-4F74-B822-406703B90C4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72896315824519"/>
                  <c:y val="0.16981687617139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065-4F74-B822-406703B90C4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91136424729525"/>
                  <c:y val="0.26835259444369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065-4F74-B822-406703B90C4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669445191138639"/>
                  <c:y val="0.123693774001388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065-4F74-B822-406703B90C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Data!$X$22:$AB$22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Data!$X$35:$AB$35</c:f>
              <c:numCache>
                <c:formatCode>#,##0</c:formatCode>
                <c:ptCount val="5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065-4F74-B822-406703B90C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4681456"/>
        <c:axId val="1"/>
        <c:axId val="0"/>
      </c:bar3DChart>
      <c:catAx>
        <c:axId val="40468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4681456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2932272232922553E-2"/>
          <c:y val="0.93923408055291902"/>
          <c:w val="0.84245125045931968"/>
          <c:h val="5.24126161022834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944-4F5F-B7DB-471B362D7A3C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944-4F5F-B7DB-471B362D7A3C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944-4F5F-B7DB-471B362D7A3C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944-4F5F-B7DB-471B362D7A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4678096"/>
        <c:axId val="1"/>
        <c:axId val="0"/>
      </c:bar3DChart>
      <c:catAx>
        <c:axId val="40467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4678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New Deal Trend</a:t>
            </a:r>
          </a:p>
        </c:rich>
      </c:tx>
      <c:layout>
        <c:manualLayout>
          <c:xMode val="edge"/>
          <c:yMode val="edge"/>
          <c:x val="0.35426274256100132"/>
          <c:y val="2.93510650172787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38843614844044"/>
          <c:y val="0.11530775542502354"/>
          <c:w val="0.86642545037776331"/>
          <c:h val="0.7757067183137946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92432378468061"/>
                  <c:y val="0.631047897871492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46-416B-9C60-5CE19321649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401915727180126"/>
                  <c:y val="0.62475838393921845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46-416B-9C60-5CE19321649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596783958540186"/>
                  <c:y val="0.63314440251558379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46-416B-9C60-5CE19321649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4374601219656247"/>
                  <c:y val="0.631047897871492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46-416B-9C60-5CE19321649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176777009692314"/>
                  <c:y val="0.5870213003455743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46-416B-9C60-5CE19321649F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r"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Data!$X$11:$AB$11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Data!$X$12:$AB$12</c:f>
              <c:numCache>
                <c:formatCode>#,##0</c:formatCode>
                <c:ptCount val="5"/>
                <c:pt idx="0">
                  <c:v>17060</c:v>
                </c:pt>
                <c:pt idx="1">
                  <c:v>18249</c:v>
                </c:pt>
                <c:pt idx="2">
                  <c:v>18093</c:v>
                </c:pt>
                <c:pt idx="3">
                  <c:v>17677</c:v>
                </c:pt>
                <c:pt idx="4">
                  <c:v>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46-416B-9C60-5CE19321649F}"/>
            </c:ext>
          </c:extLst>
        </c:ser>
        <c:ser>
          <c:idx val="1"/>
          <c:order val="1"/>
          <c:tx>
            <c:strRef>
              <c:f>Data!$E$15</c:f>
              <c:strCache>
                <c:ptCount val="1"/>
                <c:pt idx="0">
                  <c:v>Power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409483348712065"/>
                  <c:y val="0.40672190095371935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46-416B-9C60-5CE19321649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401915727180126"/>
                  <c:y val="0.38366034986871467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46-416B-9C60-5CE19321649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191912252756187"/>
                  <c:y val="0.385756854512806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46-416B-9C60-5CE19321649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994088042792254"/>
                  <c:y val="0.39623937773326268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046-416B-9C60-5CE19321649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188956274152314"/>
                  <c:y val="0.29560715481687849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046-416B-9C60-5CE19321649F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Data!$X$11:$AB$11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Data!$X$15:$AB$15</c:f>
              <c:numCache>
                <c:formatCode>#,##0</c:formatCode>
                <c:ptCount val="5"/>
                <c:pt idx="0">
                  <c:v>4946</c:v>
                </c:pt>
                <c:pt idx="1">
                  <c:v>4960</c:v>
                </c:pt>
                <c:pt idx="2">
                  <c:v>5325</c:v>
                </c:pt>
                <c:pt idx="3">
                  <c:v>4845</c:v>
                </c:pt>
                <c:pt idx="4">
                  <c:v>6830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46-416B-9C60-5CE1932164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4680016"/>
        <c:axId val="1"/>
        <c:axId val="0"/>
      </c:bar3DChart>
      <c:catAx>
        <c:axId val="40468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4680016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045761079236139"/>
          <c:y val="0.94133058519701029"/>
          <c:w val="0.25102045758608094"/>
          <c:h val="5.03161114581920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5701327586777704"/>
          <c:y val="2.73117625279998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2980614403910224E-2"/>
          <c:y val="0.11975157416123025"/>
          <c:w val="0.91127145552990607"/>
          <c:h val="0.7689311604036890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Data!$E$43</c:f>
              <c:strCache>
                <c:ptCount val="1"/>
                <c:pt idx="0">
                  <c:v>Newsprint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71327014931214"/>
                  <c:y val="0.8067474469809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4D-46F7-837F-A468E32B384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100205563765399"/>
                  <c:y val="0.726913064206766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4D-46F7-837F-A468E32B384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631839208805236"/>
                  <c:y val="0.794142018121842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4D-46F7-837F-A468E32B384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Data!$X$43:$AB$43</c:f>
              <c:numCache>
                <c:formatCode>#,##0</c:formatCode>
                <c:ptCount val="5"/>
                <c:pt idx="0">
                  <c:v>28</c:v>
                </c:pt>
                <c:pt idx="1">
                  <c:v>53</c:v>
                </c:pt>
                <c:pt idx="2">
                  <c:v>81</c:v>
                </c:pt>
                <c:pt idx="3">
                  <c:v>19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4D-46F7-837F-A468E32B3844}"/>
            </c:ext>
          </c:extLst>
        </c:ser>
        <c:ser>
          <c:idx val="1"/>
          <c:order val="1"/>
          <c:tx>
            <c:strRef>
              <c:f>Data!$E$46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65816822519916"/>
                  <c:y val="0.716408540157535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4D-46F7-837F-A468E32B384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Data!$X$46:$AB$46</c:f>
              <c:numCache>
                <c:formatCode>#,##0</c:formatCode>
                <c:ptCount val="5"/>
                <c:pt idx="0">
                  <c:v>36</c:v>
                </c:pt>
                <c:pt idx="1">
                  <c:v>23</c:v>
                </c:pt>
                <c:pt idx="2">
                  <c:v>19</c:v>
                </c:pt>
                <c:pt idx="3">
                  <c:v>22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4D-46F7-837F-A468E32B3844}"/>
            </c:ext>
          </c:extLst>
        </c:ser>
        <c:ser>
          <c:idx val="2"/>
          <c:order val="2"/>
          <c:tx>
            <c:strRef>
              <c:f>Data!$E$49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82347399753804"/>
                  <c:y val="0.481107201454767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4D-46F7-837F-A468E32B384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348164222273723"/>
                  <c:y val="0.434887295638151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4D-46F7-837F-A468E32B384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Data!$X$49:$AB$49</c:f>
              <c:numCache>
                <c:formatCode>#,##0</c:formatCode>
                <c:ptCount val="5"/>
                <c:pt idx="0">
                  <c:v>102</c:v>
                </c:pt>
                <c:pt idx="1">
                  <c:v>121</c:v>
                </c:pt>
                <c:pt idx="2">
                  <c:v>67</c:v>
                </c:pt>
                <c:pt idx="3">
                  <c:v>90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4D-46F7-837F-A468E32B3844}"/>
            </c:ext>
          </c:extLst>
        </c:ser>
        <c:ser>
          <c:idx val="3"/>
          <c:order val="3"/>
          <c:tx>
            <c:strRef>
              <c:f>Data!$E$52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963061726314269"/>
                  <c:y val="0.35925472248369078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4D-46F7-837F-A468E32B384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926123452628537"/>
                  <c:y val="0.25000767237169125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14D-46F7-837F-A468E32B384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297450467559746"/>
                  <c:y val="0.34034657919507544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4D-46F7-837F-A468E32B384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049491809051432"/>
                  <c:y val="0.47690539183507485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4D-46F7-837F-A468E32B384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618063727776993"/>
                  <c:y val="0.36555743691322917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4D-46F7-837F-A468E32B3844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Data!$X$52:$AB$52</c:f>
              <c:numCache>
                <c:formatCode>#,##0</c:formatCode>
                <c:ptCount val="5"/>
                <c:pt idx="0">
                  <c:v>7</c:v>
                </c:pt>
                <c:pt idx="1">
                  <c:v>17</c:v>
                </c:pt>
                <c:pt idx="2">
                  <c:v>17</c:v>
                </c:pt>
                <c:pt idx="3">
                  <c:v>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4D-46F7-837F-A468E32B38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14458848"/>
        <c:axId val="1"/>
        <c:axId val="0"/>
      </c:bar3DChart>
      <c:catAx>
        <c:axId val="41445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458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06387826291094"/>
          <c:y val="0.94330625962091896"/>
          <c:w val="0.56609287388979013"/>
          <c:h val="5.04217154363074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184683404411861"/>
          <c:y val="1.8868541796822035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6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394577589924316E-2"/>
          <c:y val="8.1763681119562143E-2"/>
          <c:w val="0.89252273754217759"/>
          <c:h val="0.8176368111956214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Data!$E$62</c:f>
              <c:strCache>
                <c:ptCount val="1"/>
                <c:pt idx="0">
                  <c:v>Gas (MMBTU)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039070443987026"/>
                  <c:y val="0.341730256986887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76-4D1E-9DB6-586457055F0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078140887974051"/>
                  <c:y val="0.33124773376643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76-4D1E-9DB6-586457055F0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522903485389338"/>
                  <c:y val="0.159334352950941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76-4D1E-9DB6-586457055F0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750589622519841"/>
                  <c:y val="0.22642250156186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76-4D1E-9DB6-586457055F0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789660066506867"/>
                  <c:y val="0.1572378483068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76-4D1E-9DB6-586457055F0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Data!$X$61:$AB$61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Data!$X$62:$AB$62</c:f>
              <c:numCache>
                <c:formatCode>#,##0</c:formatCode>
                <c:ptCount val="5"/>
                <c:pt idx="0">
                  <c:v>4226.5836308100033</c:v>
                </c:pt>
                <c:pt idx="1">
                  <c:v>4371.7276664399988</c:v>
                </c:pt>
                <c:pt idx="2">
                  <c:v>5698.3712623199981</c:v>
                </c:pt>
                <c:pt idx="3">
                  <c:v>5240</c:v>
                </c:pt>
                <c:pt idx="4">
                  <c:v>6063.5727965499991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76-4D1E-9DB6-586457055F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14458368"/>
        <c:axId val="1"/>
        <c:axId val="0"/>
      </c:bar3DChart>
      <c:catAx>
        <c:axId val="4144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458368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761451742694669"/>
          <c:y val="0.94762009912928435"/>
          <c:w val="0.58622516170383931"/>
          <c:h val="4.61231021700094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thousands)</a:t>
            </a:r>
          </a:p>
        </c:rich>
      </c:tx>
      <c:layout>
        <c:manualLayout>
          <c:xMode val="edge"/>
          <c:yMode val="edge"/>
          <c:x val="0.24297966005762245"/>
          <c:y val="3.99171913870767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052626366731784"/>
          <c:y val="0.10714614530215338"/>
          <c:w val="0.86147334020429778"/>
          <c:h val="0.7920411133119965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Data!$E$71</c:f>
              <c:strCache>
                <c:ptCount val="1"/>
                <c:pt idx="0">
                  <c:v>Liquids (BBL)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2736769134245"/>
                  <c:y val="0.63447325257353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3F-41EF-8BE3-4CDE0E00739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740067099147676"/>
                  <c:y val="0.5651433938486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3F-41EF-8BE3-4CDE0E00739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80888619410462"/>
                  <c:y val="0.504217154363074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3F-41EF-8BE3-4CDE0E00739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275276379827798"/>
                  <c:y val="0.5651433938486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3F-41EF-8BE3-4CDE0E00739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53276056502713"/>
                  <c:y val="0.4958135351236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3F-41EF-8BE3-4CDE0E00739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Data!$X$70:$AB$70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Data!$X$71:$AB$71</c:f>
              <c:numCache>
                <c:formatCode>#,##0</c:formatCode>
                <c:ptCount val="5"/>
                <c:pt idx="0">
                  <c:v>122928.78282999995</c:v>
                </c:pt>
                <c:pt idx="1">
                  <c:v>169849.40923000019</c:v>
                </c:pt>
                <c:pt idx="2">
                  <c:v>310566.31707999966</c:v>
                </c:pt>
                <c:pt idx="3">
                  <c:v>169988</c:v>
                </c:pt>
                <c:pt idx="4">
                  <c:v>207604.95982000043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F-41EF-8BE3-4CDE0E007395}"/>
            </c:ext>
          </c:extLst>
        </c:ser>
        <c:ser>
          <c:idx val="1"/>
          <c:order val="1"/>
          <c:tx>
            <c:strRef>
              <c:f>Data!$E$72</c:f>
              <c:strCache>
                <c:ptCount val="1"/>
                <c:pt idx="0">
                  <c:v>Coal (Tonne)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9519016552454963"/>
                  <c:y val="0.42438277158892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3F-41EF-8BE3-4CDE0E00739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457973928329933"/>
                  <c:y val="0.266814910850460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3F-41EF-8BE3-4CDE0E00739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1246939105433762"/>
                  <c:y val="0.14916424149907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3F-41EF-8BE3-4CDE0E00739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6709281109100647"/>
                  <c:y val="0.26051219642092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3F-41EF-8BE3-4CDE0E00739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167574930711237"/>
                  <c:y val="0.14706333668923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3F-41EF-8BE3-4CDE0E00739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Data!$X$70:$AB$70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Data!$X$72:$AB$72</c:f>
              <c:numCache>
                <c:formatCode>#,##0</c:formatCode>
                <c:ptCount val="5"/>
                <c:pt idx="0">
                  <c:v>500</c:v>
                </c:pt>
                <c:pt idx="1">
                  <c:v>2082</c:v>
                </c:pt>
                <c:pt idx="2">
                  <c:v>735.5</c:v>
                </c:pt>
                <c:pt idx="3">
                  <c:v>2369</c:v>
                </c:pt>
                <c:pt idx="4">
                  <c:v>1308.5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F-41EF-8BE3-4CDE0E007395}"/>
            </c:ext>
          </c:extLst>
        </c:ser>
        <c:ser>
          <c:idx val="2"/>
          <c:order val="2"/>
          <c:tx>
            <c:strRef>
              <c:f>Data!$E$73</c:f>
              <c:strCache>
                <c:ptCount val="1"/>
                <c:pt idx="0">
                  <c:v>Emissions (Contracts)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3293917823705956"/>
                  <c:y val="0.38656648501169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E3F-41EF-8BE3-4CDE0E00739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9157879100195353"/>
                  <c:y val="0.228998624273229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E3F-41EF-8BE3-4CDE0E00739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821030740273502"/>
                  <c:y val="9.243981163323036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E3F-41EF-8BE3-4CDE0E00739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689040198819187"/>
                  <c:y val="0.228998624273229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E3F-41EF-8BE3-4CDE0E00739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753811111719848"/>
                  <c:y val="0.111347954921845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3F-41EF-8BE3-4CDE0E00739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Data!$X$70:$AB$70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Data!$X$73:$AB$73</c:f>
              <c:numCache>
                <c:formatCode>#,##0</c:formatCode>
                <c:ptCount val="5"/>
                <c:pt idx="0">
                  <c:v>75</c:v>
                </c:pt>
                <c:pt idx="1">
                  <c:v>45.75</c:v>
                </c:pt>
                <c:pt idx="2">
                  <c:v>57.5</c:v>
                </c:pt>
                <c:pt idx="3">
                  <c:v>15</c:v>
                </c:pt>
                <c:pt idx="4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3F-41EF-8BE3-4CDE0E0073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14459808"/>
        <c:axId val="1"/>
        <c:axId val="0"/>
      </c:bar3DChart>
      <c:catAx>
        <c:axId val="41445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1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459808"/>
        <c:crosses val="autoZero"/>
        <c:crossBetween val="between"/>
        <c:majorUnit val="30000"/>
        <c:minorUnit val="424.33944353999999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4340047292728454E-2"/>
          <c:y val="0.93070083076184218"/>
          <c:w val="0.88356240020953625"/>
          <c:h val="4.6219905816615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</a:t>
            </a:r>
          </a:p>
        </c:rich>
      </c:tx>
      <c:layout>
        <c:manualLayout>
          <c:xMode val="edge"/>
          <c:yMode val="edge"/>
          <c:x val="0.35898572490572056"/>
          <c:y val="4.2018096196922892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7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637449323866766"/>
          <c:y val="0.10714614530215338"/>
          <c:w val="0.87576737284692274"/>
          <c:h val="0.7416193978756890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Data!$E$66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050102781882699"/>
                  <c:y val="0.7920411133119965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85-40BE-B4B2-E4798CAF2FE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013164508196971"/>
                  <c:y val="0.7920411133119965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85-40BE-B4B2-E4798CAF2FE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792756811745127"/>
                  <c:y val="0.7941420181218427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85-40BE-B4B2-E4798CAF2FE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769594019087636"/>
                  <c:y val="0.7941420181218427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85-40BE-B4B2-E4798CAF2FE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154696515047083"/>
                  <c:y val="0.7920411133119965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85-40BE-B4B2-E4798CAF2FED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Data!$X$64:$AB$64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Data!$X$66:$AB$66</c:f>
              <c:numCache>
                <c:formatCode>#,##0</c:formatCode>
                <c:ptCount val="5"/>
                <c:pt idx="0">
                  <c:v>6520</c:v>
                </c:pt>
                <c:pt idx="1">
                  <c:v>6180</c:v>
                </c:pt>
                <c:pt idx="2">
                  <c:v>14480</c:v>
                </c:pt>
                <c:pt idx="3">
                  <c:v>2660</c:v>
                </c:pt>
                <c:pt idx="4">
                  <c:v>10535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85-40BE-B4B2-E4798CAF2FED}"/>
            </c:ext>
          </c:extLst>
        </c:ser>
        <c:ser>
          <c:idx val="1"/>
          <c:order val="1"/>
          <c:tx>
            <c:strRef>
              <c:f>Data!$E$67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949286245286028"/>
                  <c:y val="0.741619397875689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85-40BE-B4B2-E4798CAF2FE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320613260217242"/>
                  <c:y val="0.74582120749538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85-40BE-B4B2-E4798CAF2FE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297450467559746"/>
                  <c:y val="0.4958135351236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85-40BE-B4B2-E4798CAF2FE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66877748249096"/>
                  <c:y val="0.743720302685535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85-40BE-B4B2-E4798CAF2FE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829084112599583"/>
                  <c:y val="0.61766601409476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85-40BE-B4B2-E4798CAF2FE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Data!$X$64:$AB$64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Data!$X$67:$AB$67</c:f>
              <c:numCache>
                <c:formatCode>#,##0</c:formatCode>
                <c:ptCount val="5"/>
                <c:pt idx="0">
                  <c:v>15947</c:v>
                </c:pt>
                <c:pt idx="1">
                  <c:v>13890</c:v>
                </c:pt>
                <c:pt idx="2">
                  <c:v>151944</c:v>
                </c:pt>
                <c:pt idx="3">
                  <c:v>23943</c:v>
                </c:pt>
                <c:pt idx="4">
                  <c:v>82925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85-40BE-B4B2-E4798CAF2FED}"/>
            </c:ext>
          </c:extLst>
        </c:ser>
        <c:ser>
          <c:idx val="2"/>
          <c:order val="2"/>
          <c:tx>
            <c:strRef>
              <c:f>Data!$E$68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949286245286028"/>
                  <c:y val="0.684894968009843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85-40BE-B4B2-E4798CAF2FE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12336835642289"/>
                  <c:y val="0.640775967003074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85-40BE-B4B2-E4798CAF2FE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086430082737155"/>
                  <c:y val="0.21219138579446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85-40BE-B4B2-E4798CAF2FE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457757097668369"/>
                  <c:y val="0.67439044396061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85-40BE-B4B2-E4798CAF2FE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237349401216532"/>
                  <c:y val="0.45379543892676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F85-40BE-B4B2-E4798CAF2FE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Data!$X$64:$AB$64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Data!$X$68:$AB$68</c:f>
              <c:numCache>
                <c:formatCode>#,##0</c:formatCode>
                <c:ptCount val="5"/>
                <c:pt idx="0">
                  <c:v>17873.852999999999</c:v>
                </c:pt>
                <c:pt idx="1">
                  <c:v>49474.929000000004</c:v>
                </c:pt>
                <c:pt idx="2">
                  <c:v>20144.013999999999</c:v>
                </c:pt>
                <c:pt idx="3">
                  <c:v>17176</c:v>
                </c:pt>
                <c:pt idx="4">
                  <c:v>17335.201000000001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85-40BE-B4B2-E4798CAF2FED}"/>
            </c:ext>
          </c:extLst>
        </c:ser>
        <c:ser>
          <c:idx val="3"/>
          <c:order val="3"/>
          <c:tx>
            <c:strRef>
              <c:f>Data!$E$69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77714492094974674"/>
                  <c:y val="0.626069633334151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85-40BE-B4B2-E4798CAF2FE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504082682983351"/>
                  <c:y val="0.516822583222151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85-40BE-B4B2-E4798CAF2FE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26989950550327"/>
                  <c:y val="0.12185247897107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F85-40BE-B4B2-E4798CAF2FE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049491809051432"/>
                  <c:y val="0.584051537137228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F85-40BE-B4B2-E4798CAF2FE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829084112599583"/>
                  <c:y val="0.38026377058215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85-40BE-B4B2-E4798CAF2FE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Data!$X$64:$AB$64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Data!$X$69:$AB$69</c:f>
              <c:numCache>
                <c:formatCode>#,##0</c:formatCode>
                <c:ptCount val="5"/>
                <c:pt idx="1">
                  <c:v>2758</c:v>
                </c:pt>
                <c:pt idx="2">
                  <c:v>6549.8396000000002</c:v>
                </c:pt>
                <c:pt idx="3">
                  <c:v>5586</c:v>
                </c:pt>
                <c:pt idx="4">
                  <c:v>26593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F85-40BE-B4B2-E4798CAF2F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14460288"/>
        <c:axId val="1"/>
        <c:axId val="0"/>
      </c:bar3DChart>
      <c:catAx>
        <c:axId val="4144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460288"/>
        <c:crosses val="autoZero"/>
        <c:crossBetween val="between"/>
        <c:minorUnit val="762.5172199999999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554796437697326"/>
          <c:y val="0.92229721152245758"/>
          <c:w val="0.65682552963519203"/>
          <c:h val="5.46235250559997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2065120533485791"/>
          <c:y val="1.8908143288615304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4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4150591233685892E-2"/>
          <c:y val="9.0338906823384232E-2"/>
          <c:w val="0.91786407527103075"/>
          <c:h val="0.80884835179076575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Data!$E$63</c:f>
              <c:strCache>
                <c:ptCount val="1"/>
                <c:pt idx="0">
                  <c:v>Power (MHtz)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034595283414328"/>
                  <c:y val="0.38026377058215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38-425D-8015-A39B90131C7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670411576831511"/>
                  <c:y val="0.47270358221538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38-425D-8015-A39B90131C7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10582086691441"/>
                  <c:y val="0.441190010067690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38-425D-8015-A39B90131C7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340823153663023"/>
                  <c:y val="0.20168686174522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38-425D-8015-A39B90131C7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177046450414497"/>
                  <c:y val="0.226897719463383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38-425D-8015-A39B90131C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Data!$X$61:$AB$61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Data!$X$63:$AB$63</c:f>
              <c:numCache>
                <c:formatCode>#,##0</c:formatCode>
                <c:ptCount val="5"/>
                <c:pt idx="0">
                  <c:v>57.430294329999981</c:v>
                </c:pt>
                <c:pt idx="1">
                  <c:v>44.784324360000014</c:v>
                </c:pt>
                <c:pt idx="2">
                  <c:v>49.627620599999986</c:v>
                </c:pt>
                <c:pt idx="3">
                  <c:v>80</c:v>
                </c:pt>
                <c:pt idx="4">
                  <c:v>76.948695799999982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38-425D-8015-A39B90131C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14461248"/>
        <c:axId val="1"/>
        <c:axId val="0"/>
      </c:bar3DChart>
      <c:catAx>
        <c:axId val="4144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461248"/>
        <c:crosses val="autoZero"/>
        <c:crossBetween val="between"/>
        <c:majorUnit val="10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52096426788634"/>
          <c:y val="0.94750806924061126"/>
          <c:w val="0.57917623963608711"/>
          <c:h val="4.6219905816615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EOL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4940876735558934"/>
          <c:y val="2.714070473677879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454245639554302"/>
          <c:y val="0.11691380501997019"/>
          <c:w val="0.85745714747607271"/>
          <c:h val="0.772466211739088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Data!$E$19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872057640601982"/>
                  <c:y val="0.634674941536981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01-4116-9BCB-CA9B98393AA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005647648459596"/>
                  <c:y val="0.60753423680020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01-4116-9BCB-CA9B98393AA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869608924948987"/>
                  <c:y val="0.620060715909484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01-4116-9BCB-CA9B98393AA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934379837849648"/>
                  <c:y val="0.551165080808430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01-4116-9BCB-CA9B98393AA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Data!$X$21:$AB$21</c:f>
              <c:numCache>
                <c:formatCode>_(* #,##0_);_(* \(#,##0\);_(* "-"??_);_(@_)</c:formatCode>
                <c:ptCount val="5"/>
                <c:pt idx="0">
                  <c:v>16990</c:v>
                </c:pt>
                <c:pt idx="1">
                  <c:v>18272</c:v>
                </c:pt>
                <c:pt idx="2">
                  <c:v>18363</c:v>
                </c:pt>
                <c:pt idx="3">
                  <c:v>17337</c:v>
                </c:pt>
                <c:pt idx="4">
                  <c:v>23025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01-4116-9BCB-CA9B98393AAD}"/>
            </c:ext>
          </c:extLst>
        </c:ser>
        <c:ser>
          <c:idx val="1"/>
          <c:order val="1"/>
          <c:tx>
            <c:strRef>
              <c:f>Data!$E$39</c:f>
              <c:strCache>
                <c:ptCount val="1"/>
                <c:pt idx="0">
                  <c:v>EGM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310110551931122"/>
                  <c:y val="0.427988036233819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01-4116-9BCB-CA9B98393AA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374881464831777"/>
                  <c:y val="0.396671838460613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01-4116-9BCB-CA9B98393AA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439652377732433"/>
                  <c:y val="0.384145359351330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01-4116-9BCB-CA9B98393AA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901994381399317"/>
                  <c:y val="0.407110571051681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01-4116-9BCB-CA9B98393AA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557049657364884"/>
                  <c:y val="0.27558254040421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01-4116-9BCB-CA9B98393AA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Data!$X$41:$AB$41</c:f>
              <c:numCache>
                <c:formatCode>_(* #,##0_);_(* \(#,##0\);_(* "-"??_);_(@_)</c:formatCode>
                <c:ptCount val="5"/>
                <c:pt idx="0">
                  <c:v>1166</c:v>
                </c:pt>
                <c:pt idx="1">
                  <c:v>1342</c:v>
                </c:pt>
                <c:pt idx="2">
                  <c:v>1599</c:v>
                </c:pt>
                <c:pt idx="3">
                  <c:v>1474</c:v>
                </c:pt>
                <c:pt idx="4">
                  <c:v>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01-4116-9BCB-CA9B98393AAD}"/>
            </c:ext>
          </c:extLst>
        </c:ser>
        <c:ser>
          <c:idx val="2"/>
          <c:order val="2"/>
          <c:tx>
            <c:strRef>
              <c:f>Data!$E$56</c:f>
              <c:strCache>
                <c:ptCount val="1"/>
                <c:pt idx="0">
                  <c:v>EIM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2089060005238406"/>
                  <c:y val="0.3778821197966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C01-4116-9BCB-CA9B98393AA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756259827372841"/>
                  <c:y val="0.342390428987055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C01-4116-9BCB-CA9B98393AA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419411467450984"/>
                  <c:y val="0.334039442914200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C01-4116-9BCB-CA9B98393AA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484182380351645"/>
                  <c:y val="0.36535564068740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C01-4116-9BCB-CA9B98393AA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151382202486072"/>
                  <c:y val="0.229652117003512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01-4116-9BCB-CA9B98393AA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Data!$X$58:$AB$58</c:f>
              <c:numCache>
                <c:formatCode>_(* #,##0_);_(* \(#,##0\);_(* "-"??_);_(@_)</c:formatCode>
                <c:ptCount val="5"/>
                <c:pt idx="0">
                  <c:v>14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C01-4116-9BCB-CA9B98393A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16224544"/>
        <c:axId val="1"/>
        <c:axId val="0"/>
      </c:bar3DChart>
      <c:catAx>
        <c:axId val="4162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224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69148891447218"/>
          <c:y val="0.94366142623261651"/>
          <c:w val="0.57632365650031114"/>
          <c:h val="5.01059164371300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 Deal Counts</a:t>
            </a:r>
          </a:p>
        </c:rich>
      </c:tx>
      <c:layout>
        <c:manualLayout>
          <c:xMode val="edge"/>
          <c:yMode val="edge"/>
          <c:x val="0.41241685144124168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97560975609756E-2"/>
          <c:y val="0.12276230164329949"/>
          <c:w val="0.83370288248337032"/>
          <c:h val="0.75959174141791552"/>
        </c:manualLayout>
      </c:layout>
      <c:lineChart>
        <c:grouping val="standard"/>
        <c:varyColors val="0"/>
        <c:ser>
          <c:idx val="0"/>
          <c:order val="0"/>
          <c:tx>
            <c:v>gas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Data!$F$61:$AB$61</c:f>
              <c:strCache>
                <c:ptCount val="23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1/26 - 2/1</c:v>
                </c:pt>
                <c:pt idx="5">
                  <c:v>2/2 - 2/8</c:v>
                </c:pt>
                <c:pt idx="6">
                  <c:v>2/9 - 2/15</c:v>
                </c:pt>
                <c:pt idx="7">
                  <c:v>2/16 - 2/22</c:v>
                </c:pt>
                <c:pt idx="8">
                  <c:v>2/23 - 2/28</c:v>
                </c:pt>
                <c:pt idx="9">
                  <c:v>3/1 - 3/7</c:v>
                </c:pt>
                <c:pt idx="10">
                  <c:v>3/8 - 3/14</c:v>
                </c:pt>
                <c:pt idx="11">
                  <c:v>3/15 - 3/21</c:v>
                </c:pt>
                <c:pt idx="12">
                  <c:v>3/22 - 3/28</c:v>
                </c:pt>
                <c:pt idx="13">
                  <c:v>3/29 - 4/4</c:v>
                </c:pt>
                <c:pt idx="14">
                  <c:v>4/5 - 4/11</c:v>
                </c:pt>
                <c:pt idx="15">
                  <c:v>4/12 - 4/18</c:v>
                </c:pt>
                <c:pt idx="16">
                  <c:v>4/19 - 4/25</c:v>
                </c:pt>
                <c:pt idx="17">
                  <c:v>4/26 - 5/2</c:v>
                </c:pt>
                <c:pt idx="18">
                  <c:v>5/3 - 5/9</c:v>
                </c:pt>
                <c:pt idx="19">
                  <c:v>5/10 - 5/16</c:v>
                </c:pt>
                <c:pt idx="20">
                  <c:v>5/17 - 5/23</c:v>
                </c:pt>
                <c:pt idx="21">
                  <c:v>5/24 - 5/30</c:v>
                </c:pt>
                <c:pt idx="22">
                  <c:v>5/31 - 6/6</c:v>
                </c:pt>
              </c:strCache>
            </c:strRef>
          </c:cat>
          <c:val>
            <c:numRef>
              <c:f>Data!$F$12:$AB$12</c:f>
              <c:numCache>
                <c:formatCode>General</c:formatCode>
                <c:ptCount val="23"/>
                <c:pt idx="0">
                  <c:v>10153</c:v>
                </c:pt>
                <c:pt idx="1">
                  <c:v>15464</c:v>
                </c:pt>
                <c:pt idx="2">
                  <c:v>12754</c:v>
                </c:pt>
                <c:pt idx="3" formatCode="_(* #,##0_);_(* \(#,##0\);_(* &quot;-&quot;??_);_(@_)">
                  <c:v>16623</c:v>
                </c:pt>
                <c:pt idx="4" formatCode="#,##0">
                  <c:v>19791</c:v>
                </c:pt>
                <c:pt idx="5" formatCode="#,##0">
                  <c:v>18521</c:v>
                </c:pt>
                <c:pt idx="6" formatCode="#,##0">
                  <c:v>17223</c:v>
                </c:pt>
                <c:pt idx="7" formatCode="#,##0">
                  <c:v>12660</c:v>
                </c:pt>
                <c:pt idx="8" formatCode="#,##0">
                  <c:v>15072</c:v>
                </c:pt>
                <c:pt idx="9" formatCode="#,##0">
                  <c:v>17309</c:v>
                </c:pt>
                <c:pt idx="10" formatCode="#,##0">
                  <c:v>17857</c:v>
                </c:pt>
                <c:pt idx="11" formatCode="#,##0">
                  <c:v>16695</c:v>
                </c:pt>
                <c:pt idx="12" formatCode="#,##0">
                  <c:v>20584</c:v>
                </c:pt>
                <c:pt idx="13" formatCode="#,##0">
                  <c:v>20385</c:v>
                </c:pt>
                <c:pt idx="14" formatCode="#,##0">
                  <c:v>18454</c:v>
                </c:pt>
                <c:pt idx="15" formatCode="#,##0">
                  <c:v>12917</c:v>
                </c:pt>
                <c:pt idx="16" formatCode="#,##0">
                  <c:v>18129</c:v>
                </c:pt>
                <c:pt idx="17" formatCode="#,##0">
                  <c:v>20552</c:v>
                </c:pt>
                <c:pt idx="18" formatCode="#,##0">
                  <c:v>17060</c:v>
                </c:pt>
                <c:pt idx="19" formatCode="#,##0">
                  <c:v>18249</c:v>
                </c:pt>
                <c:pt idx="20" formatCode="#,##0">
                  <c:v>18093</c:v>
                </c:pt>
                <c:pt idx="21" formatCode="#,##0">
                  <c:v>17677</c:v>
                </c:pt>
                <c:pt idx="22" formatCode="#,##0">
                  <c:v>21743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0-4463-B8F0-8B2C4742E5F0}"/>
            </c:ext>
          </c:extLst>
        </c:ser>
        <c:ser>
          <c:idx val="1"/>
          <c:order val="1"/>
          <c:tx>
            <c:v>Power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Data!$F$61:$AB$61</c:f>
              <c:strCache>
                <c:ptCount val="23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1/26 - 2/1</c:v>
                </c:pt>
                <c:pt idx="5">
                  <c:v>2/2 - 2/8</c:v>
                </c:pt>
                <c:pt idx="6">
                  <c:v>2/9 - 2/15</c:v>
                </c:pt>
                <c:pt idx="7">
                  <c:v>2/16 - 2/22</c:v>
                </c:pt>
                <c:pt idx="8">
                  <c:v>2/23 - 2/28</c:v>
                </c:pt>
                <c:pt idx="9">
                  <c:v>3/1 - 3/7</c:v>
                </c:pt>
                <c:pt idx="10">
                  <c:v>3/8 - 3/14</c:v>
                </c:pt>
                <c:pt idx="11">
                  <c:v>3/15 - 3/21</c:v>
                </c:pt>
                <c:pt idx="12">
                  <c:v>3/22 - 3/28</c:v>
                </c:pt>
                <c:pt idx="13">
                  <c:v>3/29 - 4/4</c:v>
                </c:pt>
                <c:pt idx="14">
                  <c:v>4/5 - 4/11</c:v>
                </c:pt>
                <c:pt idx="15">
                  <c:v>4/12 - 4/18</c:v>
                </c:pt>
                <c:pt idx="16">
                  <c:v>4/19 - 4/25</c:v>
                </c:pt>
                <c:pt idx="17">
                  <c:v>4/26 - 5/2</c:v>
                </c:pt>
                <c:pt idx="18">
                  <c:v>5/3 - 5/9</c:v>
                </c:pt>
                <c:pt idx="19">
                  <c:v>5/10 - 5/16</c:v>
                </c:pt>
                <c:pt idx="20">
                  <c:v>5/17 - 5/23</c:v>
                </c:pt>
                <c:pt idx="21">
                  <c:v>5/24 - 5/30</c:v>
                </c:pt>
                <c:pt idx="22">
                  <c:v>5/31 - 6/6</c:v>
                </c:pt>
              </c:strCache>
            </c:strRef>
          </c:cat>
          <c:val>
            <c:numRef>
              <c:f>Data!$F$15:$AB$15</c:f>
              <c:numCache>
                <c:formatCode>General</c:formatCode>
                <c:ptCount val="23"/>
                <c:pt idx="0">
                  <c:v>1730</c:v>
                </c:pt>
                <c:pt idx="1">
                  <c:v>3436</c:v>
                </c:pt>
                <c:pt idx="2">
                  <c:v>3781</c:v>
                </c:pt>
                <c:pt idx="3" formatCode="_(* #,##0_);_(* \(#,##0\);_(* &quot;-&quot;??_);_(@_)">
                  <c:v>3695</c:v>
                </c:pt>
                <c:pt idx="4" formatCode="#,##0">
                  <c:v>4599</c:v>
                </c:pt>
                <c:pt idx="5" formatCode="#,##0">
                  <c:v>4631</c:v>
                </c:pt>
                <c:pt idx="6" formatCode="#,##0">
                  <c:v>4587</c:v>
                </c:pt>
                <c:pt idx="7" formatCode="#,##0">
                  <c:v>3656</c:v>
                </c:pt>
                <c:pt idx="8" formatCode="#,##0">
                  <c:v>3771</c:v>
                </c:pt>
                <c:pt idx="9" formatCode="#,##0">
                  <c:v>4415</c:v>
                </c:pt>
                <c:pt idx="10" formatCode="#,##0">
                  <c:v>4929</c:v>
                </c:pt>
                <c:pt idx="11" formatCode="#,##0">
                  <c:v>4773</c:v>
                </c:pt>
                <c:pt idx="12" formatCode="#,##0">
                  <c:v>4796</c:v>
                </c:pt>
                <c:pt idx="13" formatCode="#,##0">
                  <c:v>5262</c:v>
                </c:pt>
                <c:pt idx="14" formatCode="#,##0">
                  <c:v>5391</c:v>
                </c:pt>
                <c:pt idx="15" formatCode="#,##0">
                  <c:v>4694</c:v>
                </c:pt>
                <c:pt idx="16" formatCode="#,##0">
                  <c:v>5924</c:v>
                </c:pt>
                <c:pt idx="17" formatCode="#,##0">
                  <c:v>6088</c:v>
                </c:pt>
                <c:pt idx="18" formatCode="#,##0">
                  <c:v>4946</c:v>
                </c:pt>
                <c:pt idx="19" formatCode="#,##0">
                  <c:v>4960</c:v>
                </c:pt>
                <c:pt idx="20" formatCode="#,##0">
                  <c:v>5325</c:v>
                </c:pt>
                <c:pt idx="21" formatCode="#,##0">
                  <c:v>4845</c:v>
                </c:pt>
                <c:pt idx="22" formatCode="#,##0">
                  <c:v>6830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0-4463-B8F0-8B2C4742E5F0}"/>
            </c:ext>
          </c:extLst>
        </c:ser>
        <c:ser>
          <c:idx val="2"/>
          <c:order val="2"/>
          <c:tx>
            <c:v>egm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Data!$F$61:$AB$61</c:f>
              <c:strCache>
                <c:ptCount val="23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1/26 - 2/1</c:v>
                </c:pt>
                <c:pt idx="5">
                  <c:v>2/2 - 2/8</c:v>
                </c:pt>
                <c:pt idx="6">
                  <c:v>2/9 - 2/15</c:v>
                </c:pt>
                <c:pt idx="7">
                  <c:v>2/16 - 2/22</c:v>
                </c:pt>
                <c:pt idx="8">
                  <c:v>2/23 - 2/28</c:v>
                </c:pt>
                <c:pt idx="9">
                  <c:v>3/1 - 3/7</c:v>
                </c:pt>
                <c:pt idx="10">
                  <c:v>3/8 - 3/14</c:v>
                </c:pt>
                <c:pt idx="11">
                  <c:v>3/15 - 3/21</c:v>
                </c:pt>
                <c:pt idx="12">
                  <c:v>3/22 - 3/28</c:v>
                </c:pt>
                <c:pt idx="13">
                  <c:v>3/29 - 4/4</c:v>
                </c:pt>
                <c:pt idx="14">
                  <c:v>4/5 - 4/11</c:v>
                </c:pt>
                <c:pt idx="15">
                  <c:v>4/12 - 4/18</c:v>
                </c:pt>
                <c:pt idx="16">
                  <c:v>4/19 - 4/25</c:v>
                </c:pt>
                <c:pt idx="17">
                  <c:v>4/26 - 5/2</c:v>
                </c:pt>
                <c:pt idx="18">
                  <c:v>5/3 - 5/9</c:v>
                </c:pt>
                <c:pt idx="19">
                  <c:v>5/10 - 5/16</c:v>
                </c:pt>
                <c:pt idx="20">
                  <c:v>5/17 - 5/23</c:v>
                </c:pt>
                <c:pt idx="21">
                  <c:v>5/24 - 5/30</c:v>
                </c:pt>
                <c:pt idx="22">
                  <c:v>5/31 - 6/6</c:v>
                </c:pt>
              </c:strCache>
            </c:strRef>
          </c:cat>
          <c:val>
            <c:numRef>
              <c:f>Data!$F$39:$AB$39</c:f>
              <c:numCache>
                <c:formatCode>General</c:formatCode>
                <c:ptCount val="23"/>
                <c:pt idx="5">
                  <c:v>3637</c:v>
                </c:pt>
                <c:pt idx="6">
                  <c:v>3592</c:v>
                </c:pt>
                <c:pt idx="7">
                  <c:v>3335</c:v>
                </c:pt>
                <c:pt idx="8">
                  <c:v>2728</c:v>
                </c:pt>
                <c:pt idx="9">
                  <c:v>3336</c:v>
                </c:pt>
                <c:pt idx="10">
                  <c:v>3660</c:v>
                </c:pt>
                <c:pt idx="11">
                  <c:v>3269</c:v>
                </c:pt>
                <c:pt idx="12">
                  <c:v>3427</c:v>
                </c:pt>
                <c:pt idx="13">
                  <c:v>3576</c:v>
                </c:pt>
                <c:pt idx="14">
                  <c:v>3281</c:v>
                </c:pt>
                <c:pt idx="15">
                  <c:v>2708</c:v>
                </c:pt>
                <c:pt idx="16">
                  <c:v>3568</c:v>
                </c:pt>
                <c:pt idx="17">
                  <c:v>3274</c:v>
                </c:pt>
                <c:pt idx="18">
                  <c:v>2727</c:v>
                </c:pt>
                <c:pt idx="19">
                  <c:v>3433</c:v>
                </c:pt>
                <c:pt idx="20">
                  <c:v>4049</c:v>
                </c:pt>
                <c:pt idx="21">
                  <c:v>3396</c:v>
                </c:pt>
                <c:pt idx="22">
                  <c:v>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0-4463-B8F0-8B2C4742E5F0}"/>
            </c:ext>
          </c:extLst>
        </c:ser>
        <c:ser>
          <c:idx val="3"/>
          <c:order val="3"/>
          <c:tx>
            <c:v>eim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Data!$F$61:$AB$61</c:f>
              <c:strCache>
                <c:ptCount val="23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1/26 - 2/1</c:v>
                </c:pt>
                <c:pt idx="5">
                  <c:v>2/2 - 2/8</c:v>
                </c:pt>
                <c:pt idx="6">
                  <c:v>2/9 - 2/15</c:v>
                </c:pt>
                <c:pt idx="7">
                  <c:v>2/16 - 2/22</c:v>
                </c:pt>
                <c:pt idx="8">
                  <c:v>2/23 - 2/28</c:v>
                </c:pt>
                <c:pt idx="9">
                  <c:v>3/1 - 3/7</c:v>
                </c:pt>
                <c:pt idx="10">
                  <c:v>3/8 - 3/14</c:v>
                </c:pt>
                <c:pt idx="11">
                  <c:v>3/15 - 3/21</c:v>
                </c:pt>
                <c:pt idx="12">
                  <c:v>3/22 - 3/28</c:v>
                </c:pt>
                <c:pt idx="13">
                  <c:v>3/29 - 4/4</c:v>
                </c:pt>
                <c:pt idx="14">
                  <c:v>4/5 - 4/11</c:v>
                </c:pt>
                <c:pt idx="15">
                  <c:v>4/12 - 4/18</c:v>
                </c:pt>
                <c:pt idx="16">
                  <c:v>4/19 - 4/25</c:v>
                </c:pt>
                <c:pt idx="17">
                  <c:v>4/26 - 5/2</c:v>
                </c:pt>
                <c:pt idx="18">
                  <c:v>5/3 - 5/9</c:v>
                </c:pt>
                <c:pt idx="19">
                  <c:v>5/10 - 5/16</c:v>
                </c:pt>
                <c:pt idx="20">
                  <c:v>5/17 - 5/23</c:v>
                </c:pt>
                <c:pt idx="21">
                  <c:v>5/24 - 5/30</c:v>
                </c:pt>
                <c:pt idx="22">
                  <c:v>5/31 - 6/6</c:v>
                </c:pt>
              </c:strCache>
            </c:strRef>
          </c:cat>
          <c:val>
            <c:numRef>
              <c:f>Data!$F$56:$AB$56</c:f>
              <c:numCache>
                <c:formatCode>General</c:formatCode>
                <c:ptCount val="23"/>
                <c:pt idx="5">
                  <c:v>99</c:v>
                </c:pt>
                <c:pt idx="6">
                  <c:v>85</c:v>
                </c:pt>
                <c:pt idx="7">
                  <c:v>81</c:v>
                </c:pt>
                <c:pt idx="8">
                  <c:v>145</c:v>
                </c:pt>
                <c:pt idx="9">
                  <c:v>136</c:v>
                </c:pt>
                <c:pt idx="10">
                  <c:v>152</c:v>
                </c:pt>
                <c:pt idx="11">
                  <c:v>161</c:v>
                </c:pt>
                <c:pt idx="12">
                  <c:v>181</c:v>
                </c:pt>
                <c:pt idx="13">
                  <c:v>201</c:v>
                </c:pt>
                <c:pt idx="14">
                  <c:v>189</c:v>
                </c:pt>
                <c:pt idx="15">
                  <c:v>177</c:v>
                </c:pt>
                <c:pt idx="16">
                  <c:v>224</c:v>
                </c:pt>
                <c:pt idx="17">
                  <c:v>181</c:v>
                </c:pt>
                <c:pt idx="18">
                  <c:v>173</c:v>
                </c:pt>
                <c:pt idx="19">
                  <c:v>214</c:v>
                </c:pt>
                <c:pt idx="20">
                  <c:v>184</c:v>
                </c:pt>
                <c:pt idx="21">
                  <c:v>131</c:v>
                </c:pt>
                <c:pt idx="22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0-4463-B8F0-8B2C4742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680976"/>
        <c:axId val="1"/>
      </c:lineChart>
      <c:catAx>
        <c:axId val="40468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4680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52549889135259"/>
          <c:y val="0.42711050780064613"/>
          <c:w val="7.7605321507760533E-2"/>
          <c:h val="0.196931192219459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30</xdr:row>
      <xdr:rowOff>0</xdr:rowOff>
    </xdr:from>
    <xdr:to>
      <xdr:col>16</xdr:col>
      <xdr:colOff>1762125</xdr:colOff>
      <xdr:row>58</xdr:row>
      <xdr:rowOff>9525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D7AACCED-C850-BCA9-140D-4D9C1AA13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561975</xdr:colOff>
      <xdr:row>58</xdr:row>
      <xdr:rowOff>9525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B888F93D-59CA-78E5-0858-8EEDDB1E8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66675</xdr:colOff>
      <xdr:row>30</xdr:row>
      <xdr:rowOff>9525</xdr:rowOff>
    </xdr:from>
    <xdr:to>
      <xdr:col>23</xdr:col>
      <xdr:colOff>19050</xdr:colOff>
      <xdr:row>58</xdr:row>
      <xdr:rowOff>9525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2A9CFF6F-D9FD-DA5D-97B0-AFF8924CE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59</xdr:row>
      <xdr:rowOff>0</xdr:rowOff>
    </xdr:from>
    <xdr:to>
      <xdr:col>5</xdr:col>
      <xdr:colOff>561975</xdr:colOff>
      <xdr:row>87</xdr:row>
      <xdr:rowOff>9525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00EF72B4-E408-E489-64B7-4E797601C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266700</xdr:colOff>
      <xdr:row>59</xdr:row>
      <xdr:rowOff>0</xdr:rowOff>
    </xdr:from>
    <xdr:to>
      <xdr:col>17</xdr:col>
      <xdr:colOff>0</xdr:colOff>
      <xdr:row>87</xdr:row>
      <xdr:rowOff>0</xdr:rowOff>
    </xdr:to>
    <xdr:graphicFrame macro="">
      <xdr:nvGraphicFramePr>
        <xdr:cNvPr id="5126" name="Chart 6">
          <a:extLst>
            <a:ext uri="{FF2B5EF4-FFF2-40B4-BE49-F238E27FC236}">
              <a16:creationId xmlns:a16="http://schemas.microsoft.com/office/drawing/2014/main" id="{E279A11E-C4D7-B6F3-837C-82B5042CE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66675</xdr:colOff>
      <xdr:row>59</xdr:row>
      <xdr:rowOff>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>
          <a:extLst>
            <a:ext uri="{FF2B5EF4-FFF2-40B4-BE49-F238E27FC236}">
              <a16:creationId xmlns:a16="http://schemas.microsoft.com/office/drawing/2014/main" id="{C231AF7F-FEB8-A50C-AAC5-1F6929B28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695325</xdr:colOff>
      <xdr:row>0</xdr:row>
      <xdr:rowOff>66675</xdr:rowOff>
    </xdr:from>
    <xdr:to>
      <xdr:col>22</xdr:col>
      <xdr:colOff>695325</xdr:colOff>
      <xdr:row>5</xdr:row>
      <xdr:rowOff>76200</xdr:rowOff>
    </xdr:to>
    <xdr:pic>
      <xdr:nvPicPr>
        <xdr:cNvPr id="5130" name="Picture 10">
          <a:extLst>
            <a:ext uri="{FF2B5EF4-FFF2-40B4-BE49-F238E27FC236}">
              <a16:creationId xmlns:a16="http://schemas.microsoft.com/office/drawing/2014/main" id="{7AFFB436-C1A5-2DC6-4A2F-5342084F1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66675"/>
          <a:ext cx="7715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619125</xdr:colOff>
      <xdr:row>59</xdr:row>
      <xdr:rowOff>9525</xdr:rowOff>
    </xdr:from>
    <xdr:to>
      <xdr:col>11</xdr:col>
      <xdr:colOff>190500</xdr:colOff>
      <xdr:row>87</xdr:row>
      <xdr:rowOff>9525</xdr:rowOff>
    </xdr:to>
    <xdr:graphicFrame macro="">
      <xdr:nvGraphicFramePr>
        <xdr:cNvPr id="5132" name="Chart 12">
          <a:extLst>
            <a:ext uri="{FF2B5EF4-FFF2-40B4-BE49-F238E27FC236}">
              <a16:creationId xmlns:a16="http://schemas.microsoft.com/office/drawing/2014/main" id="{58A35E23-013C-6DD9-60F8-AD839C194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638175</xdr:colOff>
      <xdr:row>30</xdr:row>
      <xdr:rowOff>0</xdr:rowOff>
    </xdr:from>
    <xdr:to>
      <xdr:col>11</xdr:col>
      <xdr:colOff>200025</xdr:colOff>
      <xdr:row>58</xdr:row>
      <xdr:rowOff>28575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D682FC29-7505-3D21-53C6-65087A9AD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0.49927</cdr:x>
      <cdr:y>0.50171</cdr:y>
    </cdr:from>
    <cdr:to>
      <cdr:x>0.52719</cdr:x>
      <cdr:y>0.54259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A5E8D9D0-6B38-7071-0E50-DA3E34CECFD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61903" y="2287451"/>
          <a:ext cx="131931" cy="186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66675</xdr:colOff>
      <xdr:row>82</xdr:row>
      <xdr:rowOff>0</xdr:rowOff>
    </xdr:from>
    <xdr:to>
      <xdr:col>30</xdr:col>
      <xdr:colOff>9525</xdr:colOff>
      <xdr:row>105</xdr:row>
      <xdr:rowOff>0</xdr:rowOff>
    </xdr:to>
    <xdr:graphicFrame macro="">
      <xdr:nvGraphicFramePr>
        <xdr:cNvPr id="4124" name="Chart 28">
          <a:extLst>
            <a:ext uri="{FF2B5EF4-FFF2-40B4-BE49-F238E27FC236}">
              <a16:creationId xmlns:a16="http://schemas.microsoft.com/office/drawing/2014/main" id="{8B66929D-B717-8B53-8F0E-707C4FBB1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4732F15-1398-1AAA-DD2D-6A1834EA8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C790F67A-BB77-A41F-3894-DB6EDD73AD39}"/>
            </a:ext>
          </a:extLst>
        </xdr:cNvPr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EOL%20WEEKLY%20SUMMARY%2002-26-01%20ACCESS%23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5-16-01/Shari%20Mao%20Template%2005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by DAY"/>
      <sheetName val="PRODUCTS OFFERED"/>
      <sheetName val="WEBSITE TRAFFIC"/>
      <sheetName val="DATA"/>
      <sheetName val="EOLvsNON SUMMARY"/>
      <sheetName val="ALLOCATION"/>
      <sheetName val="TRANSACTION SUMMARY (HILO) "/>
      <sheetName val="AVERAGED SUMMARY"/>
      <sheetName val="ENTITY SUMMARY"/>
      <sheetName val="European Report"/>
      <sheetName val="LTD"/>
      <sheetName val="YTD"/>
      <sheetName val="MTD"/>
      <sheetName val="WTD"/>
      <sheetName val="BRAINWAVE"/>
      <sheetName val="Sheet2"/>
      <sheetName val="Sheet3"/>
    </sheetNames>
    <sheetDataSet>
      <sheetData sheetId="0"/>
      <sheetData sheetId="1"/>
      <sheetData sheetId="2"/>
      <sheetData sheetId="3" refreshError="1">
        <row r="1">
          <cell r="C1">
            <v>36948</v>
          </cell>
        </row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WEEK-DL</v>
          </cell>
          <cell r="O3" t="str">
            <v>WEEK-VOL</v>
          </cell>
          <cell r="P3" t="str">
            <v>WEEK-REV</v>
          </cell>
          <cell r="Q3" t="str">
            <v>ONE-DL</v>
          </cell>
          <cell r="R3" t="str">
            <v>ONE-VOL</v>
          </cell>
          <cell r="S3" t="str">
            <v>ONE-REV</v>
          </cell>
          <cell r="T3" t="str">
            <v>WEEK-DL MIN</v>
          </cell>
          <cell r="U3" t="str">
            <v>WEEK-VOL MIN</v>
          </cell>
          <cell r="V3" t="str">
            <v>WEEK-REV MIN</v>
          </cell>
          <cell r="W3" t="str">
            <v>WEEK-DL MAX</v>
          </cell>
          <cell r="X3" t="str">
            <v>WEEK-VOL MAX</v>
          </cell>
          <cell r="Y3" t="str">
            <v>WEEK-REV MAX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7</v>
          </cell>
          <cell r="F4">
            <v>139425</v>
          </cell>
          <cell r="G4">
            <v>3954540.21</v>
          </cell>
          <cell r="H4">
            <v>7</v>
          </cell>
          <cell r="I4">
            <v>139425</v>
          </cell>
          <cell r="J4">
            <v>3954540.21</v>
          </cell>
          <cell r="K4">
            <v>5</v>
          </cell>
          <cell r="L4">
            <v>42525</v>
          </cell>
          <cell r="M4">
            <v>1682584.02</v>
          </cell>
          <cell r="N4">
            <v>4</v>
          </cell>
          <cell r="O4">
            <v>33375</v>
          </cell>
          <cell r="P4">
            <v>1316919.71</v>
          </cell>
          <cell r="T4">
            <v>1</v>
          </cell>
          <cell r="U4">
            <v>9150</v>
          </cell>
          <cell r="V4">
            <v>286642.11188591202</v>
          </cell>
          <cell r="W4">
            <v>3</v>
          </cell>
          <cell r="X4">
            <v>24225</v>
          </cell>
          <cell r="Y4">
            <v>1030277.60227452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58</v>
          </cell>
          <cell r="F5">
            <v>1567395</v>
          </cell>
          <cell r="G5">
            <v>37481217.780000001</v>
          </cell>
          <cell r="H5">
            <v>58</v>
          </cell>
          <cell r="I5">
            <v>1567395</v>
          </cell>
          <cell r="J5">
            <v>37481217.780000001</v>
          </cell>
          <cell r="K5">
            <v>35</v>
          </cell>
          <cell r="L5">
            <v>988410</v>
          </cell>
          <cell r="M5">
            <v>24025696.829999998</v>
          </cell>
          <cell r="N5">
            <v>20</v>
          </cell>
          <cell r="O5">
            <v>524895</v>
          </cell>
          <cell r="P5">
            <v>13528794.73</v>
          </cell>
          <cell r="Q5">
            <v>4</v>
          </cell>
          <cell r="R5">
            <v>176820</v>
          </cell>
          <cell r="S5">
            <v>4785307.78</v>
          </cell>
          <cell r="T5">
            <v>4</v>
          </cell>
          <cell r="U5">
            <v>154515</v>
          </cell>
          <cell r="V5">
            <v>4065957.1947559598</v>
          </cell>
          <cell r="W5">
            <v>8</v>
          </cell>
          <cell r="X5">
            <v>193560</v>
          </cell>
          <cell r="Y5">
            <v>4785307.7846812503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96</v>
          </cell>
          <cell r="F6">
            <v>243180</v>
          </cell>
          <cell r="G6">
            <v>5416416.71</v>
          </cell>
          <cell r="H6">
            <v>96</v>
          </cell>
          <cell r="I6">
            <v>243180</v>
          </cell>
          <cell r="J6">
            <v>5416416.71</v>
          </cell>
          <cell r="K6">
            <v>74</v>
          </cell>
          <cell r="L6">
            <v>142170</v>
          </cell>
          <cell r="M6">
            <v>3009115.15</v>
          </cell>
          <cell r="N6">
            <v>44</v>
          </cell>
          <cell r="O6">
            <v>118560</v>
          </cell>
          <cell r="P6">
            <v>2482815.69</v>
          </cell>
          <cell r="Q6">
            <v>13</v>
          </cell>
          <cell r="R6">
            <v>54060</v>
          </cell>
          <cell r="S6">
            <v>1131213.79</v>
          </cell>
          <cell r="T6">
            <v>13</v>
          </cell>
          <cell r="U6">
            <v>29430</v>
          </cell>
          <cell r="V6">
            <v>614496.31200000003</v>
          </cell>
          <cell r="W6">
            <v>16</v>
          </cell>
          <cell r="X6">
            <v>54060</v>
          </cell>
          <cell r="Y6">
            <v>1131213.7890000001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63</v>
          </cell>
          <cell r="F7">
            <v>2199015</v>
          </cell>
          <cell r="G7">
            <v>44192132.869999997</v>
          </cell>
          <cell r="H7">
            <v>63</v>
          </cell>
          <cell r="I7">
            <v>2199015</v>
          </cell>
          <cell r="J7">
            <v>44192132.869999997</v>
          </cell>
          <cell r="K7">
            <v>50</v>
          </cell>
          <cell r="L7">
            <v>2131325</v>
          </cell>
          <cell r="M7">
            <v>42301497.979999997</v>
          </cell>
          <cell r="N7">
            <v>21</v>
          </cell>
          <cell r="O7">
            <v>516340</v>
          </cell>
          <cell r="P7">
            <v>11751735.92</v>
          </cell>
          <cell r="Q7">
            <v>3</v>
          </cell>
          <cell r="R7">
            <v>20700</v>
          </cell>
          <cell r="S7">
            <v>471418.94</v>
          </cell>
          <cell r="T7">
            <v>3</v>
          </cell>
          <cell r="U7">
            <v>20700</v>
          </cell>
          <cell r="V7">
            <v>471418.93800000002</v>
          </cell>
          <cell r="W7">
            <v>11</v>
          </cell>
          <cell r="X7">
            <v>413740</v>
          </cell>
          <cell r="Y7">
            <v>9053898.9959999993</v>
          </cell>
        </row>
        <row r="8">
          <cell r="A8" t="str">
            <v>BANDWIDTH=No</v>
          </cell>
          <cell r="C8" t="str">
            <v>BANDWIDTH</v>
          </cell>
          <cell r="D8" t="str">
            <v>No</v>
          </cell>
          <cell r="E8">
            <v>18</v>
          </cell>
          <cell r="F8">
            <v>20</v>
          </cell>
          <cell r="G8">
            <v>631060.56000000006</v>
          </cell>
          <cell r="H8">
            <v>18</v>
          </cell>
          <cell r="I8">
            <v>20</v>
          </cell>
          <cell r="J8">
            <v>631060.56000000006</v>
          </cell>
          <cell r="K8">
            <v>14</v>
          </cell>
          <cell r="L8">
            <v>16</v>
          </cell>
          <cell r="M8">
            <v>373737.45</v>
          </cell>
          <cell r="N8">
            <v>13</v>
          </cell>
          <cell r="O8">
            <v>13</v>
          </cell>
          <cell r="P8">
            <v>276773.49</v>
          </cell>
          <cell r="T8">
            <v>2</v>
          </cell>
          <cell r="U8">
            <v>2</v>
          </cell>
          <cell r="V8">
            <v>39409.440000000002</v>
          </cell>
          <cell r="W8">
            <v>11</v>
          </cell>
          <cell r="X8">
            <v>11</v>
          </cell>
          <cell r="Y8">
            <v>237364.05</v>
          </cell>
        </row>
        <row r="9">
          <cell r="A9" t="str">
            <v>CANADIAN GAS=Yes</v>
          </cell>
          <cell r="C9" t="str">
            <v>CANADIAN GAS</v>
          </cell>
          <cell r="D9" t="str">
            <v>Yes</v>
          </cell>
          <cell r="E9">
            <v>1155</v>
          </cell>
          <cell r="F9">
            <v>61051106.509999998</v>
          </cell>
          <cell r="G9">
            <v>194373147.58000001</v>
          </cell>
          <cell r="H9">
            <v>1155</v>
          </cell>
          <cell r="I9">
            <v>61051106.509999998</v>
          </cell>
          <cell r="J9">
            <v>194373147.58000001</v>
          </cell>
          <cell r="K9">
            <v>724</v>
          </cell>
          <cell r="L9">
            <v>41302077.799999997</v>
          </cell>
          <cell r="M9">
            <v>106378056.01000001</v>
          </cell>
          <cell r="N9">
            <v>434</v>
          </cell>
          <cell r="O9">
            <v>33137316.32</v>
          </cell>
          <cell r="P9">
            <v>80171578.099999994</v>
          </cell>
          <cell r="Q9">
            <v>135</v>
          </cell>
          <cell r="R9">
            <v>9901352.9600000009</v>
          </cell>
          <cell r="S9">
            <v>19835318.75</v>
          </cell>
          <cell r="T9">
            <v>135</v>
          </cell>
          <cell r="U9">
            <v>9145795.1690999996</v>
          </cell>
          <cell r="V9">
            <v>19835318.745349001</v>
          </cell>
          <cell r="W9">
            <v>158</v>
          </cell>
          <cell r="X9">
            <v>14090168.187000001</v>
          </cell>
          <cell r="Y9">
            <v>38942404.126369096</v>
          </cell>
        </row>
        <row r="10">
          <cell r="A10" t="str">
            <v>CANADIAN GAS=No</v>
          </cell>
          <cell r="C10" t="str">
            <v>CANADIAN GAS</v>
          </cell>
          <cell r="D10" t="str">
            <v>No</v>
          </cell>
          <cell r="E10">
            <v>655</v>
          </cell>
          <cell r="F10">
            <v>230086616.18000001</v>
          </cell>
          <cell r="G10">
            <v>746076284.59000003</v>
          </cell>
          <cell r="H10">
            <v>655</v>
          </cell>
          <cell r="I10">
            <v>230086616.18000001</v>
          </cell>
          <cell r="J10">
            <v>746076284.59000003</v>
          </cell>
          <cell r="K10">
            <v>432</v>
          </cell>
          <cell r="L10">
            <v>125411720.42</v>
          </cell>
          <cell r="M10">
            <v>359175834.31999999</v>
          </cell>
          <cell r="N10">
            <v>270</v>
          </cell>
          <cell r="O10">
            <v>67393998.379999995</v>
          </cell>
          <cell r="P10">
            <v>208982348.34999999</v>
          </cell>
          <cell r="Q10">
            <v>98</v>
          </cell>
          <cell r="R10">
            <v>23941700.149999999</v>
          </cell>
          <cell r="S10">
            <v>115209659.73999999</v>
          </cell>
          <cell r="T10">
            <v>2</v>
          </cell>
          <cell r="U10">
            <v>16112.888999999999</v>
          </cell>
          <cell r="V10">
            <v>80242.187220000007</v>
          </cell>
          <cell r="W10">
            <v>98</v>
          </cell>
          <cell r="X10">
            <v>28716226.433340002</v>
          </cell>
          <cell r="Y10">
            <v>115209659.740097</v>
          </cell>
        </row>
        <row r="11">
          <cell r="A11" t="str">
            <v>COAL=Yes</v>
          </cell>
          <cell r="C11" t="str">
            <v>COAL</v>
          </cell>
          <cell r="D11" t="str">
            <v>Yes</v>
          </cell>
          <cell r="E11">
            <v>21</v>
          </cell>
          <cell r="F11">
            <v>677000</v>
          </cell>
          <cell r="G11">
            <v>7317087.5</v>
          </cell>
          <cell r="H11">
            <v>21</v>
          </cell>
          <cell r="I11">
            <v>677000</v>
          </cell>
          <cell r="J11">
            <v>7317087.5</v>
          </cell>
        </row>
        <row r="12">
          <cell r="A12" t="str">
            <v>COAL=No</v>
          </cell>
          <cell r="C12" t="str">
            <v>COAL</v>
          </cell>
          <cell r="D12" t="str">
            <v>No</v>
          </cell>
          <cell r="E12">
            <v>39</v>
          </cell>
          <cell r="F12">
            <v>2548309.09</v>
          </cell>
          <cell r="G12">
            <v>51639138.369999997</v>
          </cell>
          <cell r="H12">
            <v>39</v>
          </cell>
          <cell r="I12">
            <v>2548309.09</v>
          </cell>
          <cell r="J12">
            <v>51639138.369999997</v>
          </cell>
          <cell r="K12">
            <v>14</v>
          </cell>
          <cell r="L12">
            <v>1095250</v>
          </cell>
          <cell r="M12">
            <v>24213410</v>
          </cell>
          <cell r="N12">
            <v>7</v>
          </cell>
          <cell r="O12">
            <v>729000</v>
          </cell>
          <cell r="P12">
            <v>12369937.5</v>
          </cell>
          <cell r="T12">
            <v>3</v>
          </cell>
          <cell r="U12">
            <v>279000</v>
          </cell>
          <cell r="V12">
            <v>3750000</v>
          </cell>
          <cell r="W12">
            <v>4</v>
          </cell>
          <cell r="X12">
            <v>450000</v>
          </cell>
          <cell r="Y12">
            <v>8619937.5</v>
          </cell>
        </row>
        <row r="13">
          <cell r="A13" t="str">
            <v>COAL INTERNATIONAL=Yes</v>
          </cell>
          <cell r="C13" t="str">
            <v>COAL INTERNATIONAL</v>
          </cell>
          <cell r="D13" t="str">
            <v>Yes</v>
          </cell>
          <cell r="E13">
            <v>14</v>
          </cell>
          <cell r="F13">
            <v>660000</v>
          </cell>
          <cell r="G13">
            <v>21975000</v>
          </cell>
          <cell r="H13">
            <v>14</v>
          </cell>
          <cell r="I13">
            <v>660000</v>
          </cell>
          <cell r="J13">
            <v>21975000</v>
          </cell>
          <cell r="K13">
            <v>1</v>
          </cell>
          <cell r="L13">
            <v>45000</v>
          </cell>
          <cell r="M13">
            <v>1899000</v>
          </cell>
        </row>
        <row r="14">
          <cell r="A14" t="str">
            <v>COAL INTERNATIONAL=No</v>
          </cell>
          <cell r="C14" t="str">
            <v>COAL INTERNATIONAL</v>
          </cell>
          <cell r="D14" t="str">
            <v>No</v>
          </cell>
          <cell r="E14">
            <v>18</v>
          </cell>
          <cell r="F14">
            <v>1166000</v>
          </cell>
          <cell r="G14">
            <v>47098672.350000001</v>
          </cell>
          <cell r="H14">
            <v>18</v>
          </cell>
          <cell r="I14">
            <v>1166000</v>
          </cell>
          <cell r="J14">
            <v>47098672.350000001</v>
          </cell>
        </row>
        <row r="15">
          <cell r="A15" t="str">
            <v>CONTINENTAL GAS=Yes</v>
          </cell>
          <cell r="C15" t="str">
            <v>CONTINENTAL GAS</v>
          </cell>
          <cell r="D15" t="str">
            <v>Yes</v>
          </cell>
          <cell r="E15">
            <v>73</v>
          </cell>
          <cell r="F15">
            <v>8215604</v>
          </cell>
          <cell r="G15">
            <v>26802660.93</v>
          </cell>
          <cell r="H15">
            <v>73</v>
          </cell>
          <cell r="I15">
            <v>8215604</v>
          </cell>
          <cell r="J15">
            <v>26802660.93</v>
          </cell>
          <cell r="K15">
            <v>35</v>
          </cell>
          <cell r="L15">
            <v>3182500</v>
          </cell>
          <cell r="M15">
            <v>10550526.699999999</v>
          </cell>
          <cell r="N15">
            <v>18</v>
          </cell>
          <cell r="O15">
            <v>1550000</v>
          </cell>
          <cell r="P15">
            <v>5106183.28</v>
          </cell>
          <cell r="Q15">
            <v>7</v>
          </cell>
          <cell r="R15">
            <v>897500</v>
          </cell>
          <cell r="S15">
            <v>2944249.2</v>
          </cell>
          <cell r="T15">
            <v>5</v>
          </cell>
          <cell r="U15">
            <v>182500</v>
          </cell>
          <cell r="V15">
            <v>686818.45</v>
          </cell>
          <cell r="W15">
            <v>7</v>
          </cell>
          <cell r="X15">
            <v>897500</v>
          </cell>
          <cell r="Y15">
            <v>2944249.2</v>
          </cell>
        </row>
        <row r="16">
          <cell r="A16" t="str">
            <v>CONTINENTAL GAS=No</v>
          </cell>
          <cell r="C16" t="str">
            <v>CONTINENTAL GAS</v>
          </cell>
          <cell r="D16" t="str">
            <v>No</v>
          </cell>
          <cell r="E16">
            <v>188</v>
          </cell>
          <cell r="F16">
            <v>48914183</v>
          </cell>
          <cell r="G16">
            <v>140497376.62</v>
          </cell>
          <cell r="H16">
            <v>188</v>
          </cell>
          <cell r="I16">
            <v>48914183</v>
          </cell>
          <cell r="J16">
            <v>140497376.62</v>
          </cell>
          <cell r="K16">
            <v>111</v>
          </cell>
          <cell r="L16">
            <v>26797877</v>
          </cell>
          <cell r="M16">
            <v>77665691.519999996</v>
          </cell>
          <cell r="N16">
            <v>63</v>
          </cell>
          <cell r="O16">
            <v>16818389</v>
          </cell>
          <cell r="P16">
            <v>53238261.950000003</v>
          </cell>
          <cell r="Q16">
            <v>16</v>
          </cell>
          <cell r="R16">
            <v>6136011</v>
          </cell>
          <cell r="S16">
            <v>18785913.93</v>
          </cell>
          <cell r="T16">
            <v>2</v>
          </cell>
          <cell r="U16">
            <v>25000</v>
          </cell>
          <cell r="V16">
            <v>89440.25</v>
          </cell>
          <cell r="W16">
            <v>22</v>
          </cell>
          <cell r="X16">
            <v>8575342</v>
          </cell>
          <cell r="Y16">
            <v>29282089.631960001</v>
          </cell>
        </row>
        <row r="17">
          <cell r="A17" t="str">
            <v>CRUDE &amp; PRODUCTS=Yes</v>
          </cell>
          <cell r="C17" t="str">
            <v>CRUDE &amp; PRODUCTS</v>
          </cell>
          <cell r="D17" t="str">
            <v>Yes</v>
          </cell>
          <cell r="E17">
            <v>2251</v>
          </cell>
          <cell r="F17">
            <v>60786000.020000003</v>
          </cell>
          <cell r="G17">
            <v>1778316294.8</v>
          </cell>
          <cell r="H17">
            <v>2251</v>
          </cell>
          <cell r="I17">
            <v>60786000.020000003</v>
          </cell>
          <cell r="J17">
            <v>1778316294.8</v>
          </cell>
          <cell r="K17">
            <v>1317</v>
          </cell>
          <cell r="L17">
            <v>37265000.020000003</v>
          </cell>
          <cell r="M17">
            <v>1088612180.95</v>
          </cell>
          <cell r="N17">
            <v>837</v>
          </cell>
          <cell r="O17">
            <v>23425000.010000002</v>
          </cell>
          <cell r="P17">
            <v>665753550.96000004</v>
          </cell>
          <cell r="Q17">
            <v>189</v>
          </cell>
          <cell r="R17">
            <v>6175000</v>
          </cell>
          <cell r="S17">
            <v>174355192.16999999</v>
          </cell>
          <cell r="T17">
            <v>189</v>
          </cell>
          <cell r="U17">
            <v>6175000.0016000001</v>
          </cell>
          <cell r="V17">
            <v>174355192.17459601</v>
          </cell>
          <cell r="W17">
            <v>378</v>
          </cell>
          <cell r="X17">
            <v>9705000.0029000007</v>
          </cell>
          <cell r="Y17">
            <v>279095752.57139802</v>
          </cell>
        </row>
        <row r="18">
          <cell r="A18" t="str">
            <v>CRUDE &amp; PRODUCTS=No</v>
          </cell>
          <cell r="C18" t="str">
            <v>CRUDE &amp; PRODUCTS</v>
          </cell>
          <cell r="D18" t="str">
            <v>No</v>
          </cell>
          <cell r="E18">
            <v>2454</v>
          </cell>
          <cell r="F18">
            <v>170407995.78999999</v>
          </cell>
          <cell r="G18">
            <v>4867230243.5299997</v>
          </cell>
          <cell r="H18">
            <v>2454</v>
          </cell>
          <cell r="I18">
            <v>170407995.78999999</v>
          </cell>
          <cell r="J18">
            <v>4867230243.5299997</v>
          </cell>
          <cell r="K18">
            <v>1366</v>
          </cell>
          <cell r="L18">
            <v>93487988.560000002</v>
          </cell>
          <cell r="M18">
            <v>2704780985.4000001</v>
          </cell>
          <cell r="N18">
            <v>869</v>
          </cell>
          <cell r="O18">
            <v>59198767.109999999</v>
          </cell>
          <cell r="P18">
            <v>1702573650.99</v>
          </cell>
          <cell r="Q18">
            <v>299</v>
          </cell>
          <cell r="R18">
            <v>28614234</v>
          </cell>
          <cell r="S18">
            <v>797880078.39999998</v>
          </cell>
          <cell r="T18">
            <v>282</v>
          </cell>
          <cell r="U18">
            <v>15152669.1018</v>
          </cell>
          <cell r="V18">
            <v>448515383.72110498</v>
          </cell>
          <cell r="W18">
            <v>299</v>
          </cell>
          <cell r="X18">
            <v>28614234.004900001</v>
          </cell>
          <cell r="Y18">
            <v>797880078.40201199</v>
          </cell>
        </row>
        <row r="19">
          <cell r="A19" t="str">
            <v>DUTCH POWER=Yes</v>
          </cell>
          <cell r="C19" t="str">
            <v>DUTCH POWER</v>
          </cell>
          <cell r="D19" t="str">
            <v>Yes</v>
          </cell>
          <cell r="E19">
            <v>5</v>
          </cell>
          <cell r="F19">
            <v>197680</v>
          </cell>
          <cell r="G19">
            <v>5061273.9800000004</v>
          </cell>
          <cell r="H19">
            <v>5</v>
          </cell>
          <cell r="I19">
            <v>197680</v>
          </cell>
          <cell r="J19">
            <v>5061273.9800000004</v>
          </cell>
          <cell r="K19">
            <v>3</v>
          </cell>
          <cell r="L19">
            <v>175600</v>
          </cell>
          <cell r="M19">
            <v>4350454.97</v>
          </cell>
        </row>
        <row r="20">
          <cell r="A20" t="str">
            <v>DUTCH POWER=No</v>
          </cell>
          <cell r="C20" t="str">
            <v>DUTCH POWER</v>
          </cell>
          <cell r="D20" t="str">
            <v>No</v>
          </cell>
          <cell r="E20">
            <v>146</v>
          </cell>
          <cell r="F20">
            <v>6163609</v>
          </cell>
          <cell r="G20">
            <v>156665749.88</v>
          </cell>
          <cell r="H20">
            <v>146</v>
          </cell>
          <cell r="I20">
            <v>6163609</v>
          </cell>
          <cell r="J20">
            <v>156665749.88</v>
          </cell>
          <cell r="K20">
            <v>129</v>
          </cell>
          <cell r="L20">
            <v>5671432</v>
          </cell>
          <cell r="M20">
            <v>144082452.13999999</v>
          </cell>
          <cell r="N20">
            <v>86</v>
          </cell>
          <cell r="O20">
            <v>3543898</v>
          </cell>
          <cell r="P20">
            <v>91887581.180000007</v>
          </cell>
          <cell r="Q20">
            <v>18</v>
          </cell>
          <cell r="R20">
            <v>679940</v>
          </cell>
          <cell r="S20">
            <v>18423594.129999999</v>
          </cell>
          <cell r="T20">
            <v>1</v>
          </cell>
          <cell r="U20">
            <v>560</v>
          </cell>
          <cell r="V20">
            <v>10146.7752</v>
          </cell>
          <cell r="W20">
            <v>38</v>
          </cell>
          <cell r="X20">
            <v>1990113</v>
          </cell>
          <cell r="Y20">
            <v>50334838.07401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7</v>
          </cell>
          <cell r="F21">
            <v>17500</v>
          </cell>
          <cell r="G21">
            <v>2803750</v>
          </cell>
          <cell r="H21">
            <v>7</v>
          </cell>
          <cell r="I21">
            <v>17500</v>
          </cell>
          <cell r="J21">
            <v>2803750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7</v>
          </cell>
          <cell r="F22">
            <v>35000</v>
          </cell>
          <cell r="G22">
            <v>6230000</v>
          </cell>
          <cell r="H22">
            <v>7</v>
          </cell>
          <cell r="I22">
            <v>35000</v>
          </cell>
          <cell r="J22">
            <v>6230000</v>
          </cell>
          <cell r="K22">
            <v>5</v>
          </cell>
          <cell r="L22">
            <v>30000</v>
          </cell>
          <cell r="M22">
            <v>5430000</v>
          </cell>
          <cell r="N22">
            <v>2</v>
          </cell>
          <cell r="O22">
            <v>22500</v>
          </cell>
          <cell r="P22">
            <v>4135000</v>
          </cell>
          <cell r="T22">
            <v>1</v>
          </cell>
          <cell r="U22">
            <v>2500</v>
          </cell>
          <cell r="V22">
            <v>435000</v>
          </cell>
          <cell r="W22">
            <v>1</v>
          </cell>
          <cell r="X22">
            <v>20000</v>
          </cell>
          <cell r="Y22">
            <v>3700000</v>
          </cell>
        </row>
        <row r="23">
          <cell r="A23" t="str">
            <v>US GAS=Yes</v>
          </cell>
          <cell r="C23" t="str">
            <v>US GAS</v>
          </cell>
          <cell r="D23" t="str">
            <v>Yes</v>
          </cell>
          <cell r="E23">
            <v>20053</v>
          </cell>
          <cell r="F23">
            <v>2687758180.5</v>
          </cell>
          <cell r="G23">
            <v>12928077900.58</v>
          </cell>
          <cell r="H23">
            <v>20053</v>
          </cell>
          <cell r="I23">
            <v>2687758180.5</v>
          </cell>
          <cell r="J23">
            <v>12928077900.58</v>
          </cell>
          <cell r="K23">
            <v>12899</v>
          </cell>
          <cell r="L23">
            <v>1544722872.5</v>
          </cell>
          <cell r="M23">
            <v>6348502887.1400003</v>
          </cell>
          <cell r="N23">
            <v>7806</v>
          </cell>
          <cell r="O23">
            <v>942529234.5</v>
          </cell>
          <cell r="P23">
            <v>3696289396.4200001</v>
          </cell>
          <cell r="Q23">
            <v>2277</v>
          </cell>
          <cell r="R23">
            <v>286580336.5</v>
          </cell>
          <cell r="S23">
            <v>1212200675.6099999</v>
          </cell>
          <cell r="T23">
            <v>60</v>
          </cell>
          <cell r="U23">
            <v>18377500</v>
          </cell>
          <cell r="V23">
            <v>93514375</v>
          </cell>
          <cell r="W23">
            <v>2804</v>
          </cell>
          <cell r="X23">
            <v>349746984</v>
          </cell>
          <cell r="Y23">
            <v>1368568149.30285</v>
          </cell>
        </row>
        <row r="24">
          <cell r="A24" t="str">
            <v>US GAS=No</v>
          </cell>
          <cell r="C24" t="str">
            <v>US GAS</v>
          </cell>
          <cell r="D24" t="str">
            <v>No</v>
          </cell>
          <cell r="E24">
            <v>5244</v>
          </cell>
          <cell r="F24">
            <v>3735580127.8299999</v>
          </cell>
          <cell r="G24">
            <v>17034456452.67</v>
          </cell>
          <cell r="H24">
            <v>5244</v>
          </cell>
          <cell r="I24">
            <v>3735580127.8299999</v>
          </cell>
          <cell r="J24">
            <v>17034456452.67</v>
          </cell>
          <cell r="K24">
            <v>3335</v>
          </cell>
          <cell r="L24">
            <v>2219496165.3200002</v>
          </cell>
          <cell r="M24">
            <v>9582931243.8500004</v>
          </cell>
          <cell r="N24">
            <v>2255</v>
          </cell>
          <cell r="O24">
            <v>1502583762.05</v>
          </cell>
          <cell r="P24">
            <v>6431096169.3400002</v>
          </cell>
          <cell r="Q24">
            <v>801</v>
          </cell>
          <cell r="R24">
            <v>377590868</v>
          </cell>
          <cell r="S24">
            <v>1535179347.6199999</v>
          </cell>
          <cell r="T24">
            <v>1</v>
          </cell>
          <cell r="U24">
            <v>2945</v>
          </cell>
          <cell r="V24">
            <v>14047.65</v>
          </cell>
          <cell r="W24">
            <v>801</v>
          </cell>
          <cell r="X24">
            <v>614995048.03600001</v>
          </cell>
          <cell r="Y24">
            <v>2760574241.6280999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735</v>
          </cell>
          <cell r="F25">
            <v>8415912</v>
          </cell>
          <cell r="G25">
            <v>167071449.97</v>
          </cell>
          <cell r="H25">
            <v>735</v>
          </cell>
          <cell r="I25">
            <v>8415912</v>
          </cell>
          <cell r="J25">
            <v>167071449.97</v>
          </cell>
          <cell r="K25">
            <v>506</v>
          </cell>
          <cell r="L25">
            <v>5411940</v>
          </cell>
          <cell r="M25">
            <v>106037842</v>
          </cell>
          <cell r="N25">
            <v>303</v>
          </cell>
          <cell r="O25">
            <v>2938080</v>
          </cell>
          <cell r="P25">
            <v>59138449.780000001</v>
          </cell>
          <cell r="Q25">
            <v>55</v>
          </cell>
          <cell r="R25">
            <v>341220</v>
          </cell>
          <cell r="S25">
            <v>6452337.2699999996</v>
          </cell>
          <cell r="T25">
            <v>55</v>
          </cell>
          <cell r="U25">
            <v>341220</v>
          </cell>
          <cell r="V25">
            <v>6452337.2712000003</v>
          </cell>
          <cell r="W25">
            <v>168</v>
          </cell>
          <cell r="X25">
            <v>1407060</v>
          </cell>
          <cell r="Y25">
            <v>28555172.100000001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577</v>
          </cell>
          <cell r="F26">
            <v>21804066</v>
          </cell>
          <cell r="G26">
            <v>444476736.06</v>
          </cell>
          <cell r="H26">
            <v>577</v>
          </cell>
          <cell r="I26">
            <v>21804066</v>
          </cell>
          <cell r="J26">
            <v>444476736.06</v>
          </cell>
          <cell r="K26">
            <v>422</v>
          </cell>
          <cell r="L26">
            <v>16618764</v>
          </cell>
          <cell r="M26">
            <v>333439035.98000002</v>
          </cell>
          <cell r="N26">
            <v>227</v>
          </cell>
          <cell r="O26">
            <v>5089877</v>
          </cell>
          <cell r="P26">
            <v>107867459.81</v>
          </cell>
          <cell r="Q26">
            <v>47</v>
          </cell>
          <cell r="R26">
            <v>1027179</v>
          </cell>
          <cell r="S26">
            <v>21721067.920000002</v>
          </cell>
          <cell r="T26">
            <v>47</v>
          </cell>
          <cell r="U26">
            <v>1027179</v>
          </cell>
          <cell r="V26">
            <v>21721067.92351</v>
          </cell>
          <cell r="W26">
            <v>106</v>
          </cell>
          <cell r="X26">
            <v>2253014</v>
          </cell>
          <cell r="Y26">
            <v>49283688.476159997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22</v>
          </cell>
          <cell r="F27">
            <v>469842</v>
          </cell>
          <cell r="G27">
            <v>12497500.75</v>
          </cell>
          <cell r="H27">
            <v>22</v>
          </cell>
          <cell r="I27">
            <v>469842</v>
          </cell>
          <cell r="J27">
            <v>12497500.75</v>
          </cell>
          <cell r="K27">
            <v>13</v>
          </cell>
          <cell r="L27">
            <v>437302</v>
          </cell>
          <cell r="M27">
            <v>11695074.189999999</v>
          </cell>
          <cell r="N27">
            <v>5</v>
          </cell>
          <cell r="O27">
            <v>118560</v>
          </cell>
          <cell r="P27">
            <v>2903142.64</v>
          </cell>
          <cell r="Q27">
            <v>4</v>
          </cell>
          <cell r="R27">
            <v>43920</v>
          </cell>
          <cell r="S27">
            <v>958957.24</v>
          </cell>
          <cell r="T27">
            <v>1</v>
          </cell>
          <cell r="U27">
            <v>43920</v>
          </cell>
          <cell r="V27">
            <v>958957.23600000003</v>
          </cell>
          <cell r="W27">
            <v>4</v>
          </cell>
          <cell r="X27">
            <v>74640</v>
          </cell>
          <cell r="Y27">
            <v>1944185.4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178</v>
          </cell>
          <cell r="F28">
            <v>3747595</v>
          </cell>
          <cell r="G28">
            <v>149834817.75999999</v>
          </cell>
          <cell r="H28">
            <v>178</v>
          </cell>
          <cell r="I28">
            <v>3747595</v>
          </cell>
          <cell r="J28">
            <v>149834817.75999999</v>
          </cell>
          <cell r="K28">
            <v>60</v>
          </cell>
          <cell r="L28">
            <v>1761000</v>
          </cell>
          <cell r="M28">
            <v>73951066.5</v>
          </cell>
          <cell r="N28">
            <v>33</v>
          </cell>
          <cell r="O28">
            <v>908000</v>
          </cell>
          <cell r="P28">
            <v>33272511.699999999</v>
          </cell>
          <cell r="Q28">
            <v>8</v>
          </cell>
          <cell r="R28">
            <v>473000</v>
          </cell>
          <cell r="S28">
            <v>23986302.41</v>
          </cell>
          <cell r="T28">
            <v>7</v>
          </cell>
          <cell r="U28">
            <v>130000</v>
          </cell>
          <cell r="V28">
            <v>2630515.1306500002</v>
          </cell>
          <cell r="W28">
            <v>18</v>
          </cell>
          <cell r="X28">
            <v>473000</v>
          </cell>
          <cell r="Y28">
            <v>23986302.410999998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140</v>
          </cell>
          <cell r="F29">
            <v>3472452</v>
          </cell>
          <cell r="G29">
            <v>100443952.19</v>
          </cell>
          <cell r="H29">
            <v>140</v>
          </cell>
          <cell r="I29">
            <v>3472452</v>
          </cell>
          <cell r="J29">
            <v>100443952.19</v>
          </cell>
          <cell r="K29">
            <v>87</v>
          </cell>
          <cell r="L29">
            <v>2061207</v>
          </cell>
          <cell r="M29">
            <v>52428826.100000001</v>
          </cell>
          <cell r="N29">
            <v>50</v>
          </cell>
          <cell r="O29">
            <v>1009619</v>
          </cell>
          <cell r="P29">
            <v>27329928.530000001</v>
          </cell>
          <cell r="Q29">
            <v>22</v>
          </cell>
          <cell r="R29">
            <v>520000</v>
          </cell>
          <cell r="S29">
            <v>14835302.210000001</v>
          </cell>
          <cell r="T29">
            <v>13</v>
          </cell>
          <cell r="U29">
            <v>224619</v>
          </cell>
          <cell r="V29">
            <v>6112113.0806059204</v>
          </cell>
          <cell r="W29">
            <v>22</v>
          </cell>
          <cell r="X29">
            <v>520000</v>
          </cell>
          <cell r="Y29">
            <v>14835302.212424999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4072</v>
          </cell>
          <cell r="F30">
            <v>1287557</v>
          </cell>
          <cell r="G30">
            <v>2104074656.78</v>
          </cell>
          <cell r="H30">
            <v>4072</v>
          </cell>
          <cell r="I30">
            <v>1287557</v>
          </cell>
          <cell r="J30">
            <v>2104074656.78</v>
          </cell>
          <cell r="K30">
            <v>2831</v>
          </cell>
          <cell r="L30">
            <v>882249</v>
          </cell>
          <cell r="M30">
            <v>1428741787.5</v>
          </cell>
          <cell r="N30">
            <v>1515</v>
          </cell>
          <cell r="O30">
            <v>493403</v>
          </cell>
          <cell r="P30">
            <v>788418900</v>
          </cell>
          <cell r="Q30">
            <v>417</v>
          </cell>
          <cell r="R30">
            <v>138596</v>
          </cell>
          <cell r="S30">
            <v>216015900</v>
          </cell>
          <cell r="T30">
            <v>417</v>
          </cell>
          <cell r="U30">
            <v>138596</v>
          </cell>
          <cell r="V30">
            <v>216015900</v>
          </cell>
          <cell r="W30">
            <v>560</v>
          </cell>
          <cell r="X30">
            <v>192670</v>
          </cell>
          <cell r="Y30">
            <v>311384510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149</v>
          </cell>
          <cell r="F31">
            <v>2968273</v>
          </cell>
          <cell r="G31">
            <v>48762341.479999997</v>
          </cell>
          <cell r="H31">
            <v>149</v>
          </cell>
          <cell r="I31">
            <v>2968273</v>
          </cell>
          <cell r="J31">
            <v>48762341.479999997</v>
          </cell>
          <cell r="K31">
            <v>109</v>
          </cell>
          <cell r="L31">
            <v>1828518</v>
          </cell>
          <cell r="M31">
            <v>31170225.469999999</v>
          </cell>
          <cell r="N31">
            <v>37</v>
          </cell>
          <cell r="O31">
            <v>660585</v>
          </cell>
          <cell r="P31">
            <v>11790287.640000001</v>
          </cell>
          <cell r="Q31">
            <v>18</v>
          </cell>
          <cell r="R31">
            <v>212976</v>
          </cell>
          <cell r="S31">
            <v>3917304.35</v>
          </cell>
          <cell r="T31">
            <v>8</v>
          </cell>
          <cell r="U31">
            <v>103199</v>
          </cell>
          <cell r="V31">
            <v>1924627.95466</v>
          </cell>
          <cell r="W31">
            <v>18</v>
          </cell>
          <cell r="X31">
            <v>344410</v>
          </cell>
          <cell r="Y31">
            <v>5948355.3344999999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410</v>
          </cell>
          <cell r="F32">
            <v>9255481</v>
          </cell>
          <cell r="G32">
            <v>138441289.84</v>
          </cell>
          <cell r="H32">
            <v>410</v>
          </cell>
          <cell r="I32">
            <v>9255481</v>
          </cell>
          <cell r="J32">
            <v>138441289.84</v>
          </cell>
          <cell r="K32">
            <v>343</v>
          </cell>
          <cell r="L32">
            <v>7842738</v>
          </cell>
          <cell r="M32">
            <v>117833713.06999999</v>
          </cell>
          <cell r="N32">
            <v>174</v>
          </cell>
          <cell r="O32">
            <v>3391904</v>
          </cell>
          <cell r="P32">
            <v>48094996.299999997</v>
          </cell>
          <cell r="Q32">
            <v>79</v>
          </cell>
          <cell r="R32">
            <v>1870390</v>
          </cell>
          <cell r="S32">
            <v>24697095.670000002</v>
          </cell>
          <cell r="T32">
            <v>47</v>
          </cell>
          <cell r="U32">
            <v>659823</v>
          </cell>
          <cell r="V32">
            <v>8544980.6574399993</v>
          </cell>
          <cell r="W32">
            <v>79</v>
          </cell>
          <cell r="X32">
            <v>1870390</v>
          </cell>
          <cell r="Y32">
            <v>24697095.670079999</v>
          </cell>
        </row>
        <row r="33">
          <cell r="A33" t="str">
            <v>NORDIC WEATHER=Yes</v>
          </cell>
          <cell r="C33" t="str">
            <v>NORDIC WEATHER</v>
          </cell>
          <cell r="D33" t="str">
            <v>Yes</v>
          </cell>
          <cell r="E33">
            <v>7</v>
          </cell>
          <cell r="F33">
            <v>3500000</v>
          </cell>
          <cell r="G33">
            <v>20526450</v>
          </cell>
          <cell r="H33">
            <v>7</v>
          </cell>
          <cell r="I33">
            <v>3500000</v>
          </cell>
          <cell r="J33">
            <v>20526450</v>
          </cell>
          <cell r="K33">
            <v>7</v>
          </cell>
          <cell r="L33">
            <v>3500000</v>
          </cell>
          <cell r="M33">
            <v>20526450</v>
          </cell>
          <cell r="N33">
            <v>2</v>
          </cell>
          <cell r="O33">
            <v>1000000</v>
          </cell>
          <cell r="P33">
            <v>5958875</v>
          </cell>
          <cell r="T33">
            <v>2</v>
          </cell>
          <cell r="U33">
            <v>1000000</v>
          </cell>
          <cell r="V33">
            <v>5958875</v>
          </cell>
          <cell r="W33">
            <v>2</v>
          </cell>
          <cell r="X33">
            <v>1000000</v>
          </cell>
          <cell r="Y33">
            <v>5958875</v>
          </cell>
        </row>
        <row r="34">
          <cell r="A34" t="str">
            <v>NORDIC WEATHER=No</v>
          </cell>
          <cell r="C34" t="str">
            <v>NORDIC WEATHER</v>
          </cell>
          <cell r="D34" t="str">
            <v>No</v>
          </cell>
          <cell r="E34">
            <v>3</v>
          </cell>
          <cell r="F34">
            <v>3000000</v>
          </cell>
          <cell r="G34">
            <v>116351140</v>
          </cell>
          <cell r="H34">
            <v>3</v>
          </cell>
          <cell r="I34">
            <v>3000000</v>
          </cell>
          <cell r="J34">
            <v>116351140</v>
          </cell>
          <cell r="K34">
            <v>2</v>
          </cell>
          <cell r="L34">
            <v>2900000</v>
          </cell>
          <cell r="M34">
            <v>56509015</v>
          </cell>
          <cell r="N34">
            <v>2</v>
          </cell>
          <cell r="O34">
            <v>2900000</v>
          </cell>
          <cell r="P34">
            <v>56509015</v>
          </cell>
          <cell r="T34">
            <v>2</v>
          </cell>
          <cell r="U34">
            <v>2900000</v>
          </cell>
          <cell r="V34">
            <v>56509015</v>
          </cell>
          <cell r="W34">
            <v>2</v>
          </cell>
          <cell r="X34">
            <v>2900000</v>
          </cell>
          <cell r="Y34">
            <v>56509015</v>
          </cell>
        </row>
        <row r="35">
          <cell r="A35" t="str">
            <v>OTHER CONTINENTAL POWER=No</v>
          </cell>
          <cell r="C35" t="str">
            <v>OTHER CONTINENTAL POWER</v>
          </cell>
          <cell r="D35" t="str">
            <v>No</v>
          </cell>
          <cell r="E35">
            <v>20</v>
          </cell>
          <cell r="F35">
            <v>399128</v>
          </cell>
          <cell r="G35">
            <v>12193944.050000001</v>
          </cell>
          <cell r="H35">
            <v>20</v>
          </cell>
          <cell r="I35">
            <v>399128</v>
          </cell>
          <cell r="J35">
            <v>12193944.050000001</v>
          </cell>
          <cell r="K35">
            <v>15</v>
          </cell>
          <cell r="L35">
            <v>252344</v>
          </cell>
          <cell r="M35">
            <v>9315693.3900000006</v>
          </cell>
          <cell r="N35">
            <v>7</v>
          </cell>
          <cell r="O35">
            <v>17144</v>
          </cell>
          <cell r="P35">
            <v>328045.67</v>
          </cell>
          <cell r="Q35">
            <v>3</v>
          </cell>
          <cell r="R35">
            <v>1664</v>
          </cell>
          <cell r="S35">
            <v>31837.53</v>
          </cell>
          <cell r="T35">
            <v>1</v>
          </cell>
          <cell r="U35">
            <v>1664</v>
          </cell>
          <cell r="V35">
            <v>29919.743999999999</v>
          </cell>
          <cell r="W35">
            <v>3</v>
          </cell>
          <cell r="X35">
            <v>13560</v>
          </cell>
          <cell r="Y35">
            <v>266288.40240000002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66</v>
          </cell>
          <cell r="F36">
            <v>267256.5</v>
          </cell>
          <cell r="G36">
            <v>132776453.3</v>
          </cell>
          <cell r="H36">
            <v>66</v>
          </cell>
          <cell r="I36">
            <v>267256.5</v>
          </cell>
          <cell r="J36">
            <v>132776453.3</v>
          </cell>
          <cell r="K36">
            <v>37</v>
          </cell>
          <cell r="L36">
            <v>59798.5</v>
          </cell>
          <cell r="M36">
            <v>12944515.77</v>
          </cell>
          <cell r="N36">
            <v>27</v>
          </cell>
          <cell r="O36">
            <v>57158.54</v>
          </cell>
          <cell r="P36">
            <v>12839266.49</v>
          </cell>
          <cell r="Q36">
            <v>14</v>
          </cell>
          <cell r="R36">
            <v>25390.53</v>
          </cell>
          <cell r="S36">
            <v>638245.97</v>
          </cell>
          <cell r="T36">
            <v>6</v>
          </cell>
          <cell r="U36">
            <v>1260.03</v>
          </cell>
          <cell r="V36">
            <v>32600.758000000002</v>
          </cell>
          <cell r="W36">
            <v>14</v>
          </cell>
          <cell r="X36">
            <v>30507.984</v>
          </cell>
          <cell r="Y36">
            <v>12168419.76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</v>
          </cell>
          <cell r="F37">
            <v>161500</v>
          </cell>
          <cell r="G37">
            <v>39508901.219999999</v>
          </cell>
          <cell r="H37">
            <v>9</v>
          </cell>
          <cell r="I37">
            <v>161500</v>
          </cell>
          <cell r="J37">
            <v>39508901.219999999</v>
          </cell>
          <cell r="K37">
            <v>5</v>
          </cell>
          <cell r="L37">
            <v>125500</v>
          </cell>
          <cell r="M37">
            <v>37951500.490000002</v>
          </cell>
          <cell r="N37">
            <v>1</v>
          </cell>
          <cell r="O37">
            <v>45500</v>
          </cell>
          <cell r="P37">
            <v>15652000</v>
          </cell>
          <cell r="Q37">
            <v>1</v>
          </cell>
          <cell r="R37">
            <v>45500</v>
          </cell>
          <cell r="S37">
            <v>15652000</v>
          </cell>
          <cell r="T37">
            <v>1</v>
          </cell>
          <cell r="U37">
            <v>45500</v>
          </cell>
          <cell r="V37">
            <v>15652000</v>
          </cell>
          <cell r="W37">
            <v>1</v>
          </cell>
          <cell r="X37">
            <v>45500</v>
          </cell>
          <cell r="Y37">
            <v>15652000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53</v>
          </cell>
          <cell r="F38">
            <v>1446291.86</v>
          </cell>
          <cell r="G38">
            <v>57633045.119999997</v>
          </cell>
          <cell r="H38">
            <v>53</v>
          </cell>
          <cell r="I38">
            <v>1446291.86</v>
          </cell>
          <cell r="J38">
            <v>57633045.119999997</v>
          </cell>
          <cell r="K38">
            <v>36</v>
          </cell>
          <cell r="L38">
            <v>679023.99</v>
          </cell>
          <cell r="M38">
            <v>27176753.690000001</v>
          </cell>
          <cell r="N38">
            <v>24</v>
          </cell>
          <cell r="O38">
            <v>523023.98</v>
          </cell>
          <cell r="P38">
            <v>21648249.190000001</v>
          </cell>
          <cell r="Q38">
            <v>4</v>
          </cell>
          <cell r="R38">
            <v>80240</v>
          </cell>
          <cell r="S38">
            <v>4084123.06</v>
          </cell>
          <cell r="T38">
            <v>4</v>
          </cell>
          <cell r="U38">
            <v>80240</v>
          </cell>
          <cell r="V38">
            <v>4084123.0588000002</v>
          </cell>
          <cell r="W38">
            <v>12</v>
          </cell>
          <cell r="X38">
            <v>241784</v>
          </cell>
          <cell r="Y38">
            <v>12243371.6192596</v>
          </cell>
        </row>
        <row r="39">
          <cell r="A39" t="str">
            <v>PIPELINE CAPACITY=Yes</v>
          </cell>
          <cell r="C39" t="str">
            <v>PIPELINE CAPACITY</v>
          </cell>
          <cell r="D39" t="str">
            <v>Yes</v>
          </cell>
          <cell r="E39">
            <v>2</v>
          </cell>
          <cell r="F39">
            <v>15000</v>
          </cell>
          <cell r="G39">
            <v>725</v>
          </cell>
          <cell r="H39">
            <v>2</v>
          </cell>
          <cell r="I39">
            <v>15000</v>
          </cell>
          <cell r="J39">
            <v>725</v>
          </cell>
          <cell r="K39">
            <v>1</v>
          </cell>
          <cell r="L39">
            <v>5000</v>
          </cell>
          <cell r="M39">
            <v>75</v>
          </cell>
          <cell r="N39">
            <v>1</v>
          </cell>
          <cell r="O39">
            <v>5000</v>
          </cell>
          <cell r="P39">
            <v>75</v>
          </cell>
          <cell r="Q39">
            <v>1</v>
          </cell>
          <cell r="R39">
            <v>5000</v>
          </cell>
          <cell r="S39">
            <v>75</v>
          </cell>
          <cell r="T39">
            <v>1</v>
          </cell>
          <cell r="U39">
            <v>5000</v>
          </cell>
          <cell r="V39">
            <v>75</v>
          </cell>
          <cell r="W39">
            <v>1</v>
          </cell>
          <cell r="X39">
            <v>5000</v>
          </cell>
          <cell r="Y39">
            <v>75</v>
          </cell>
        </row>
        <row r="40">
          <cell r="A40" t="str">
            <v>PLASTICS=Yes</v>
          </cell>
          <cell r="C40" t="str">
            <v>PLASTICS</v>
          </cell>
          <cell r="D40" t="str">
            <v>Yes</v>
          </cell>
          <cell r="E40">
            <v>4</v>
          </cell>
          <cell r="F40">
            <v>5000000</v>
          </cell>
          <cell r="G40">
            <v>941200</v>
          </cell>
          <cell r="H40">
            <v>4</v>
          </cell>
          <cell r="I40">
            <v>5000000</v>
          </cell>
          <cell r="J40">
            <v>941200</v>
          </cell>
          <cell r="K40">
            <v>3</v>
          </cell>
          <cell r="L40">
            <v>4800000</v>
          </cell>
          <cell r="M40">
            <v>865200</v>
          </cell>
        </row>
        <row r="41">
          <cell r="A41" t="str">
            <v>PLASTICS=No</v>
          </cell>
          <cell r="C41" t="str">
            <v>PLASTICS</v>
          </cell>
          <cell r="D41" t="str">
            <v>No</v>
          </cell>
          <cell r="E41">
            <v>1</v>
          </cell>
          <cell r="F41">
            <v>2400000</v>
          </cell>
          <cell r="G41">
            <v>912000</v>
          </cell>
          <cell r="H41">
            <v>1</v>
          </cell>
          <cell r="I41">
            <v>2400000</v>
          </cell>
          <cell r="J41">
            <v>912000</v>
          </cell>
        </row>
        <row r="42">
          <cell r="A42" t="str">
            <v>POWER EAST=Yes</v>
          </cell>
          <cell r="C42" t="str">
            <v>POWER EAST</v>
          </cell>
          <cell r="D42" t="str">
            <v>Yes</v>
          </cell>
          <cell r="E42">
            <v>2226</v>
          </cell>
          <cell r="F42">
            <v>23518400</v>
          </cell>
          <cell r="G42">
            <v>1293359184</v>
          </cell>
          <cell r="H42">
            <v>2226</v>
          </cell>
          <cell r="I42">
            <v>23518400</v>
          </cell>
          <cell r="J42">
            <v>1293359184</v>
          </cell>
          <cell r="K42">
            <v>1543</v>
          </cell>
          <cell r="L42">
            <v>16053600</v>
          </cell>
          <cell r="M42">
            <v>862530504</v>
          </cell>
          <cell r="N42">
            <v>820</v>
          </cell>
          <cell r="O42">
            <v>9061600</v>
          </cell>
          <cell r="P42">
            <v>485891984</v>
          </cell>
          <cell r="Q42">
            <v>289</v>
          </cell>
          <cell r="R42">
            <v>3311200</v>
          </cell>
          <cell r="S42">
            <v>180968264</v>
          </cell>
          <cell r="T42">
            <v>249</v>
          </cell>
          <cell r="U42">
            <v>2735200</v>
          </cell>
          <cell r="V42">
            <v>136377640</v>
          </cell>
          <cell r="W42">
            <v>289</v>
          </cell>
          <cell r="X42">
            <v>3311200</v>
          </cell>
          <cell r="Y42">
            <v>180968264</v>
          </cell>
        </row>
        <row r="43">
          <cell r="A43" t="str">
            <v>POWER EAST=No</v>
          </cell>
          <cell r="C43" t="str">
            <v>POWER EAST</v>
          </cell>
          <cell r="D43" t="str">
            <v>No</v>
          </cell>
          <cell r="E43">
            <v>1900</v>
          </cell>
          <cell r="F43">
            <v>29722317.600000001</v>
          </cell>
          <cell r="G43">
            <v>1962861763.2</v>
          </cell>
          <cell r="H43">
            <v>1900</v>
          </cell>
          <cell r="I43">
            <v>29722317.600000001</v>
          </cell>
          <cell r="J43">
            <v>1962861763.2</v>
          </cell>
          <cell r="K43">
            <v>1441</v>
          </cell>
          <cell r="L43">
            <v>21266168.600000001</v>
          </cell>
          <cell r="M43">
            <v>1574571119.5</v>
          </cell>
          <cell r="N43">
            <v>880</v>
          </cell>
          <cell r="O43">
            <v>14144527</v>
          </cell>
          <cell r="P43">
            <v>1103822605.5</v>
          </cell>
          <cell r="Q43">
            <v>248</v>
          </cell>
          <cell r="R43">
            <v>1423865.4</v>
          </cell>
          <cell r="S43">
            <v>98961591</v>
          </cell>
          <cell r="T43">
            <v>10</v>
          </cell>
          <cell r="U43">
            <v>830</v>
          </cell>
          <cell r="V43">
            <v>23815</v>
          </cell>
          <cell r="W43">
            <v>333</v>
          </cell>
          <cell r="X43">
            <v>6410809.2000000002</v>
          </cell>
          <cell r="Y43">
            <v>728619859.5</v>
          </cell>
        </row>
        <row r="44">
          <cell r="A44" t="str">
            <v>POWER WEST=Yes</v>
          </cell>
          <cell r="C44" t="str">
            <v>POWER WEST</v>
          </cell>
          <cell r="D44" t="str">
            <v>Yes</v>
          </cell>
          <cell r="E44">
            <v>694</v>
          </cell>
          <cell r="F44">
            <v>2845160</v>
          </cell>
          <cell r="G44">
            <v>561113151.83000004</v>
          </cell>
          <cell r="H44">
            <v>694</v>
          </cell>
          <cell r="I44">
            <v>2845160</v>
          </cell>
          <cell r="J44">
            <v>561113151.83000004</v>
          </cell>
          <cell r="K44">
            <v>558</v>
          </cell>
          <cell r="L44">
            <v>2341760</v>
          </cell>
          <cell r="M44">
            <v>458856416.97000003</v>
          </cell>
          <cell r="N44">
            <v>290</v>
          </cell>
          <cell r="O44">
            <v>1431840</v>
          </cell>
          <cell r="P44">
            <v>247622952.13</v>
          </cell>
          <cell r="Q44">
            <v>105</v>
          </cell>
          <cell r="R44">
            <v>777240</v>
          </cell>
          <cell r="S44">
            <v>93382583.939999998</v>
          </cell>
          <cell r="T44">
            <v>89</v>
          </cell>
          <cell r="U44">
            <v>273800</v>
          </cell>
          <cell r="V44">
            <v>76688445.7815651</v>
          </cell>
          <cell r="W44">
            <v>105</v>
          </cell>
          <cell r="X44">
            <v>777240</v>
          </cell>
          <cell r="Y44">
            <v>93382583.937688202</v>
          </cell>
        </row>
        <row r="45">
          <cell r="A45" t="str">
            <v>POWER WEST=No</v>
          </cell>
          <cell r="C45" t="str">
            <v>POWER WEST</v>
          </cell>
          <cell r="D45" t="str">
            <v>No</v>
          </cell>
          <cell r="E45">
            <v>1350</v>
          </cell>
          <cell r="F45">
            <v>11634692.02</v>
          </cell>
          <cell r="G45">
            <v>1839185777.01</v>
          </cell>
          <cell r="H45">
            <v>1350</v>
          </cell>
          <cell r="I45">
            <v>11634692.02</v>
          </cell>
          <cell r="J45">
            <v>1839185777.01</v>
          </cell>
          <cell r="K45">
            <v>950</v>
          </cell>
          <cell r="L45">
            <v>6655360.3200000003</v>
          </cell>
          <cell r="M45">
            <v>1072036363.27</v>
          </cell>
          <cell r="N45">
            <v>605</v>
          </cell>
          <cell r="O45">
            <v>4385381.68</v>
          </cell>
          <cell r="P45">
            <v>704577108.54999995</v>
          </cell>
          <cell r="Q45">
            <v>188</v>
          </cell>
          <cell r="R45">
            <v>2503113.35</v>
          </cell>
          <cell r="S45">
            <v>322947687.29000002</v>
          </cell>
          <cell r="T45">
            <v>38</v>
          </cell>
          <cell r="U45">
            <v>20239</v>
          </cell>
          <cell r="V45">
            <v>408324.36</v>
          </cell>
          <cell r="W45">
            <v>188</v>
          </cell>
          <cell r="X45">
            <v>2503113.35</v>
          </cell>
          <cell r="Y45">
            <v>322947687.28908801</v>
          </cell>
        </row>
        <row r="46">
          <cell r="A46" t="str">
            <v>SEA FREIGHT=Yes</v>
          </cell>
          <cell r="C46" t="str">
            <v>SEA FREIGHT</v>
          </cell>
          <cell r="D46" t="str">
            <v>Yes</v>
          </cell>
          <cell r="E46">
            <v>4</v>
          </cell>
          <cell r="F46">
            <v>300000</v>
          </cell>
          <cell r="G46">
            <v>2396250</v>
          </cell>
          <cell r="H46">
            <v>4</v>
          </cell>
          <cell r="I46">
            <v>300000</v>
          </cell>
          <cell r="J46">
            <v>2396250</v>
          </cell>
          <cell r="K46">
            <v>4</v>
          </cell>
          <cell r="L46">
            <v>300000</v>
          </cell>
          <cell r="M46">
            <v>2396250</v>
          </cell>
          <cell r="N46">
            <v>2</v>
          </cell>
          <cell r="O46">
            <v>150000</v>
          </cell>
          <cell r="P46">
            <v>1200000</v>
          </cell>
          <cell r="Q46">
            <v>2</v>
          </cell>
          <cell r="R46">
            <v>150000</v>
          </cell>
          <cell r="S46">
            <v>1200000</v>
          </cell>
          <cell r="T46">
            <v>2</v>
          </cell>
          <cell r="U46">
            <v>150000</v>
          </cell>
          <cell r="V46">
            <v>1200000</v>
          </cell>
          <cell r="W46">
            <v>2</v>
          </cell>
          <cell r="X46">
            <v>150000</v>
          </cell>
          <cell r="Y46">
            <v>1200000</v>
          </cell>
        </row>
        <row r="47">
          <cell r="A47" t="str">
            <v>SEA FREIGHT=No</v>
          </cell>
          <cell r="C47" t="str">
            <v>SEA FREIGHT</v>
          </cell>
          <cell r="D47" t="str">
            <v>No</v>
          </cell>
          <cell r="E47">
            <v>2</v>
          </cell>
          <cell r="F47">
            <v>155000</v>
          </cell>
          <cell r="G47">
            <v>1246150</v>
          </cell>
          <cell r="H47">
            <v>2</v>
          </cell>
          <cell r="I47">
            <v>155000</v>
          </cell>
          <cell r="J47">
            <v>1246150</v>
          </cell>
          <cell r="K47">
            <v>1</v>
          </cell>
          <cell r="L47">
            <v>75000</v>
          </cell>
          <cell r="M47">
            <v>656250</v>
          </cell>
        </row>
        <row r="48">
          <cell r="A48" t="str">
            <v>SWISS POWER=Yes</v>
          </cell>
          <cell r="C48" t="str">
            <v>SWISS POWER</v>
          </cell>
          <cell r="D48" t="str">
            <v>Yes</v>
          </cell>
          <cell r="E48">
            <v>137</v>
          </cell>
          <cell r="F48">
            <v>171198</v>
          </cell>
          <cell r="G48">
            <v>3571952.26</v>
          </cell>
          <cell r="H48">
            <v>137</v>
          </cell>
          <cell r="I48">
            <v>171198</v>
          </cell>
          <cell r="J48">
            <v>3571952.26</v>
          </cell>
          <cell r="K48">
            <v>103</v>
          </cell>
          <cell r="L48">
            <v>127698</v>
          </cell>
          <cell r="M48">
            <v>2623547.2799999998</v>
          </cell>
          <cell r="N48">
            <v>61</v>
          </cell>
          <cell r="O48">
            <v>45690</v>
          </cell>
          <cell r="P48">
            <v>954003.45</v>
          </cell>
          <cell r="Q48">
            <v>15</v>
          </cell>
          <cell r="R48">
            <v>5730</v>
          </cell>
          <cell r="S48">
            <v>136525.5</v>
          </cell>
          <cell r="T48">
            <v>15</v>
          </cell>
          <cell r="U48">
            <v>5730</v>
          </cell>
          <cell r="V48">
            <v>136525.50330000001</v>
          </cell>
          <cell r="W48">
            <v>31</v>
          </cell>
          <cell r="X48">
            <v>23160</v>
          </cell>
          <cell r="Y48">
            <v>490305.45600000001</v>
          </cell>
        </row>
        <row r="49">
          <cell r="A49" t="str">
            <v>SWISS POWER=No</v>
          </cell>
          <cell r="C49" t="str">
            <v>SWISS POWER</v>
          </cell>
          <cell r="D49" t="str">
            <v>No</v>
          </cell>
          <cell r="E49">
            <v>108</v>
          </cell>
          <cell r="F49">
            <v>338940</v>
          </cell>
          <cell r="G49">
            <v>6781791.29</v>
          </cell>
          <cell r="H49">
            <v>108</v>
          </cell>
          <cell r="I49">
            <v>338940</v>
          </cell>
          <cell r="J49">
            <v>6781791.29</v>
          </cell>
          <cell r="K49">
            <v>71</v>
          </cell>
          <cell r="L49">
            <v>283338</v>
          </cell>
          <cell r="M49">
            <v>5696726.7800000003</v>
          </cell>
          <cell r="N49">
            <v>33</v>
          </cell>
          <cell r="O49">
            <v>231365</v>
          </cell>
          <cell r="P49">
            <v>4630914.78</v>
          </cell>
          <cell r="Q49">
            <v>6</v>
          </cell>
          <cell r="R49">
            <v>1160</v>
          </cell>
          <cell r="S49">
            <v>30671.29</v>
          </cell>
          <cell r="T49">
            <v>6</v>
          </cell>
          <cell r="U49">
            <v>1160</v>
          </cell>
          <cell r="V49">
            <v>30671.285500000002</v>
          </cell>
          <cell r="W49">
            <v>15</v>
          </cell>
          <cell r="X49">
            <v>225340</v>
          </cell>
          <cell r="Y49">
            <v>4516355.4327999996</v>
          </cell>
        </row>
        <row r="50">
          <cell r="A50" t="str">
            <v>UK GAS=Yes</v>
          </cell>
          <cell r="C50" t="str">
            <v>UK GAS</v>
          </cell>
          <cell r="D50" t="str">
            <v>Yes</v>
          </cell>
          <cell r="E50">
            <v>893</v>
          </cell>
          <cell r="F50">
            <v>144172135</v>
          </cell>
          <cell r="G50">
            <v>482287572.63999999</v>
          </cell>
          <cell r="H50">
            <v>893</v>
          </cell>
          <cell r="I50">
            <v>144172135</v>
          </cell>
          <cell r="J50">
            <v>482287572.63999999</v>
          </cell>
          <cell r="K50">
            <v>708</v>
          </cell>
          <cell r="L50">
            <v>115399135</v>
          </cell>
          <cell r="M50">
            <v>392145674.00999999</v>
          </cell>
          <cell r="N50">
            <v>345</v>
          </cell>
          <cell r="O50">
            <v>59408176</v>
          </cell>
          <cell r="P50">
            <v>200186734.12</v>
          </cell>
          <cell r="Q50">
            <v>186</v>
          </cell>
          <cell r="R50">
            <v>33975676</v>
          </cell>
          <cell r="S50">
            <v>111979386.40000001</v>
          </cell>
          <cell r="T50">
            <v>75</v>
          </cell>
          <cell r="U50">
            <v>11762500</v>
          </cell>
          <cell r="V50">
            <v>41535505.125</v>
          </cell>
          <cell r="W50">
            <v>186</v>
          </cell>
          <cell r="X50">
            <v>33975676</v>
          </cell>
          <cell r="Y50">
            <v>111979386.3978</v>
          </cell>
        </row>
        <row r="51">
          <cell r="A51" t="str">
            <v>UK GAS=No</v>
          </cell>
          <cell r="C51" t="str">
            <v>UK GAS</v>
          </cell>
          <cell r="D51" t="str">
            <v>No</v>
          </cell>
          <cell r="E51">
            <v>605</v>
          </cell>
          <cell r="F51">
            <v>109756753</v>
          </cell>
          <cell r="G51">
            <v>269267351.61000001</v>
          </cell>
          <cell r="H51">
            <v>605</v>
          </cell>
          <cell r="I51">
            <v>109756753</v>
          </cell>
          <cell r="J51">
            <v>269267351.61000001</v>
          </cell>
          <cell r="K51">
            <v>487</v>
          </cell>
          <cell r="L51">
            <v>101060328</v>
          </cell>
          <cell r="M51">
            <v>245967887.77000001</v>
          </cell>
          <cell r="N51">
            <v>224</v>
          </cell>
          <cell r="O51">
            <v>62855510</v>
          </cell>
          <cell r="P51">
            <v>134219209.69999999</v>
          </cell>
          <cell r="Q51">
            <v>50</v>
          </cell>
          <cell r="R51">
            <v>8671187</v>
          </cell>
          <cell r="S51">
            <v>24665889.399999999</v>
          </cell>
          <cell r="T51">
            <v>6</v>
          </cell>
          <cell r="U51">
            <v>51923</v>
          </cell>
          <cell r="V51">
            <v>200655.24392000001</v>
          </cell>
          <cell r="W51">
            <v>82</v>
          </cell>
          <cell r="X51">
            <v>36883669</v>
          </cell>
          <cell r="Y51">
            <v>60583538.084260002</v>
          </cell>
        </row>
        <row r="52">
          <cell r="A52" t="str">
            <v>UK POWER=Yes</v>
          </cell>
          <cell r="C52" t="str">
            <v>UK POWER</v>
          </cell>
          <cell r="D52" t="str">
            <v>Yes</v>
          </cell>
          <cell r="E52">
            <v>39</v>
          </cell>
          <cell r="F52">
            <v>423120</v>
          </cell>
          <cell r="G52">
            <v>11414372.9</v>
          </cell>
          <cell r="H52">
            <v>39</v>
          </cell>
          <cell r="I52">
            <v>423120</v>
          </cell>
          <cell r="J52">
            <v>11414372.9</v>
          </cell>
          <cell r="K52">
            <v>20</v>
          </cell>
          <cell r="L52">
            <v>159600</v>
          </cell>
          <cell r="M52">
            <v>4222804.7</v>
          </cell>
          <cell r="N52">
            <v>13</v>
          </cell>
          <cell r="O52">
            <v>108000</v>
          </cell>
          <cell r="P52">
            <v>2900843.14</v>
          </cell>
          <cell r="Q52">
            <v>3</v>
          </cell>
          <cell r="R52">
            <v>18000</v>
          </cell>
          <cell r="S52">
            <v>526017.49</v>
          </cell>
          <cell r="T52">
            <v>3</v>
          </cell>
          <cell r="U52">
            <v>18000</v>
          </cell>
          <cell r="V52">
            <v>526017.49199999997</v>
          </cell>
          <cell r="W52">
            <v>6</v>
          </cell>
          <cell r="X52">
            <v>54000</v>
          </cell>
          <cell r="Y52">
            <v>1409278.176</v>
          </cell>
        </row>
        <row r="53">
          <cell r="A53" t="str">
            <v>UK POWER=No</v>
          </cell>
          <cell r="C53" t="str">
            <v>UK POWER</v>
          </cell>
          <cell r="D53" t="str">
            <v>No</v>
          </cell>
          <cell r="E53">
            <v>221</v>
          </cell>
          <cell r="F53">
            <v>10851840</v>
          </cell>
          <cell r="G53">
            <v>298289382.47000003</v>
          </cell>
          <cell r="H53">
            <v>221</v>
          </cell>
          <cell r="I53">
            <v>10851840</v>
          </cell>
          <cell r="J53">
            <v>298289382.47000003</v>
          </cell>
          <cell r="K53">
            <v>181</v>
          </cell>
          <cell r="L53">
            <v>10230720</v>
          </cell>
          <cell r="M53">
            <v>280361560.56</v>
          </cell>
          <cell r="N53">
            <v>105</v>
          </cell>
          <cell r="O53">
            <v>6359280</v>
          </cell>
          <cell r="P53">
            <v>169844797.5</v>
          </cell>
          <cell r="Q53">
            <v>20</v>
          </cell>
          <cell r="R53">
            <v>1181040</v>
          </cell>
          <cell r="S53">
            <v>33824208.439999998</v>
          </cell>
          <cell r="T53">
            <v>20</v>
          </cell>
          <cell r="U53">
            <v>1181040</v>
          </cell>
          <cell r="V53">
            <v>32225825.124000002</v>
          </cell>
          <cell r="W53">
            <v>61</v>
          </cell>
          <cell r="X53">
            <v>3950640</v>
          </cell>
          <cell r="Y53">
            <v>103794763.932</v>
          </cell>
        </row>
        <row r="54">
          <cell r="A54" t="str">
            <v>WEATHER=Yes</v>
          </cell>
          <cell r="C54" t="str">
            <v>WEATHER</v>
          </cell>
          <cell r="D54" t="str">
            <v>Yes</v>
          </cell>
          <cell r="E54">
            <v>19</v>
          </cell>
          <cell r="F54">
            <v>5700</v>
          </cell>
          <cell r="G54">
            <v>4393200</v>
          </cell>
          <cell r="H54">
            <v>19</v>
          </cell>
          <cell r="I54">
            <v>5700</v>
          </cell>
          <cell r="J54">
            <v>4393200</v>
          </cell>
        </row>
        <row r="55">
          <cell r="A55" t="str">
            <v>WEATHER=No</v>
          </cell>
          <cell r="C55" t="str">
            <v>WEATHER</v>
          </cell>
          <cell r="D55" t="str">
            <v>No</v>
          </cell>
          <cell r="E55">
            <v>29</v>
          </cell>
          <cell r="F55">
            <v>415000</v>
          </cell>
          <cell r="G55">
            <v>1132320000</v>
          </cell>
          <cell r="H55">
            <v>29</v>
          </cell>
          <cell r="I55">
            <v>415000</v>
          </cell>
          <cell r="J55">
            <v>1132320000</v>
          </cell>
          <cell r="K55">
            <v>24</v>
          </cell>
          <cell r="L55">
            <v>382500</v>
          </cell>
          <cell r="M55">
            <v>1093830000</v>
          </cell>
          <cell r="N55">
            <v>22</v>
          </cell>
          <cell r="O55">
            <v>372500</v>
          </cell>
          <cell r="P55">
            <v>1074155000</v>
          </cell>
          <cell r="Q55">
            <v>3</v>
          </cell>
          <cell r="R55">
            <v>15000</v>
          </cell>
          <cell r="S55">
            <v>16975000</v>
          </cell>
          <cell r="T55">
            <v>3</v>
          </cell>
          <cell r="U55">
            <v>15000</v>
          </cell>
          <cell r="V55">
            <v>7875000</v>
          </cell>
          <cell r="W55">
            <v>16</v>
          </cell>
          <cell r="X55">
            <v>342500</v>
          </cell>
          <cell r="Y55">
            <v>1049305000</v>
          </cell>
        </row>
        <row r="56">
          <cell r="A56" t="str">
            <v>ARGENTINAN GAS=YES</v>
          </cell>
          <cell r="C56" t="str">
            <v>ARGENTINAN GAS</v>
          </cell>
          <cell r="D56" t="str">
            <v>YES</v>
          </cell>
        </row>
        <row r="57">
          <cell r="A57" t="str">
            <v>ARGENTINAN GAS=NO</v>
          </cell>
          <cell r="C57" t="str">
            <v>ARGENTINAN GAS</v>
          </cell>
          <cell r="D57" t="str">
            <v>NO</v>
          </cell>
        </row>
        <row r="58">
          <cell r="A58" t="str">
            <v>AUS WEATHER=YES</v>
          </cell>
          <cell r="C58" t="str">
            <v>AUS WEATHER</v>
          </cell>
          <cell r="D58" t="str">
            <v>YES</v>
          </cell>
        </row>
        <row r="59">
          <cell r="A59" t="str">
            <v>AUS WEATHER=NO</v>
          </cell>
          <cell r="C59" t="str">
            <v>AUS WEATHER</v>
          </cell>
          <cell r="D59" t="str">
            <v>NO</v>
          </cell>
        </row>
        <row r="60">
          <cell r="A60" t="str">
            <v>BANDWIDTH=YES</v>
          </cell>
          <cell r="C60" t="str">
            <v>BANDWIDTH</v>
          </cell>
          <cell r="D60" t="str">
            <v>YES</v>
          </cell>
        </row>
        <row r="61">
          <cell r="A61" t="str">
            <v>CREDIT=YES</v>
          </cell>
          <cell r="C61" t="str">
            <v>CREDIT</v>
          </cell>
          <cell r="D61" t="str">
            <v>YES</v>
          </cell>
        </row>
        <row r="62">
          <cell r="A62" t="str">
            <v>CREDIT=NO</v>
          </cell>
          <cell r="C62" t="str">
            <v>CREDIT</v>
          </cell>
          <cell r="D62" t="str">
            <v>NO</v>
          </cell>
        </row>
        <row r="63">
          <cell r="A63" t="str">
            <v>CRUDE=Yes</v>
          </cell>
          <cell r="C63" t="str">
            <v>CRUDE</v>
          </cell>
          <cell r="D63" t="str">
            <v>Yes</v>
          </cell>
        </row>
        <row r="64">
          <cell r="A64" t="str">
            <v>CRUDE=No</v>
          </cell>
          <cell r="C64" t="str">
            <v>CRUDE</v>
          </cell>
          <cell r="D64" t="str">
            <v>No</v>
          </cell>
        </row>
        <row r="65">
          <cell r="A65" t="str">
            <v>CRUDE PRODUCTS=Yes</v>
          </cell>
          <cell r="C65" t="str">
            <v>CRUDE PRODUCTS</v>
          </cell>
          <cell r="D65" t="str">
            <v>Yes</v>
          </cell>
        </row>
        <row r="66">
          <cell r="A66" t="str">
            <v>CRUDE PRODUCTS=No</v>
          </cell>
          <cell r="C66" t="str">
            <v>CRUDE PRODUCTS</v>
          </cell>
          <cell r="D66" t="str">
            <v>No</v>
          </cell>
        </row>
        <row r="67">
          <cell r="A67" t="str">
            <v>ENRON PIPELINE CAPACITY=YES</v>
          </cell>
          <cell r="C67" t="str">
            <v>ENRON PIPELINE CAPACITY</v>
          </cell>
          <cell r="D67" t="str">
            <v>YES</v>
          </cell>
        </row>
        <row r="68">
          <cell r="A68" t="str">
            <v>ENRON PIPELINE CAPACITY=No</v>
          </cell>
          <cell r="C68" t="str">
            <v>ENRON PIPELINE CAPACITY</v>
          </cell>
          <cell r="D68" t="str">
            <v>No</v>
          </cell>
        </row>
        <row r="69">
          <cell r="A69" t="str">
            <v>EXCHANGE RATES=YES</v>
          </cell>
          <cell r="C69" t="str">
            <v>EXCHANGE RATES</v>
          </cell>
          <cell r="D69" t="str">
            <v>YES</v>
          </cell>
        </row>
        <row r="70">
          <cell r="A70" t="str">
            <v>EXCHANGE RATES=No</v>
          </cell>
          <cell r="C70" t="str">
            <v>EXCHANGE RATES</v>
          </cell>
          <cell r="D70" t="str">
            <v>No</v>
          </cell>
        </row>
        <row r="71">
          <cell r="A71" t="str">
            <v>IBERIAN POWER=YES</v>
          </cell>
          <cell r="C71" t="str">
            <v>IBERIAN POWER</v>
          </cell>
          <cell r="D71" t="str">
            <v>YES</v>
          </cell>
        </row>
        <row r="72">
          <cell r="A72" t="str">
            <v>INTEREST RATES=YES</v>
          </cell>
          <cell r="C72" t="str">
            <v>INTEREST RATES</v>
          </cell>
          <cell r="D72" t="str">
            <v>YES</v>
          </cell>
        </row>
        <row r="73">
          <cell r="A73" t="str">
            <v>INTEREST RATES=No</v>
          </cell>
          <cell r="C73" t="str">
            <v>INTEREST RATES</v>
          </cell>
          <cell r="D73" t="str">
            <v>No</v>
          </cell>
        </row>
        <row r="74">
          <cell r="A74" t="str">
            <v>LIVESTOCK=YES</v>
          </cell>
          <cell r="C74" t="str">
            <v>LIVESTOCK</v>
          </cell>
          <cell r="D74" t="str">
            <v>YES</v>
          </cell>
        </row>
        <row r="75">
          <cell r="A75" t="str">
            <v>LIVESTOCK=No</v>
          </cell>
          <cell r="C75" t="str">
            <v>LIVESTOCK</v>
          </cell>
          <cell r="D75" t="str">
            <v>No</v>
          </cell>
        </row>
        <row r="76">
          <cell r="A76" t="str">
            <v>OTHER CONTINENTAL POWER=YES</v>
          </cell>
          <cell r="C76" t="str">
            <v>OTHER CONTINENTAL POWER</v>
          </cell>
          <cell r="D76" t="str">
            <v>YES</v>
          </cell>
        </row>
        <row r="77">
          <cell r="A77" t="str">
            <v>PAPER &amp; PULP=YES</v>
          </cell>
          <cell r="C77" t="str">
            <v>PAPER &amp; PULP</v>
          </cell>
          <cell r="D77" t="str">
            <v>YES</v>
          </cell>
        </row>
        <row r="78">
          <cell r="A78" t="str">
            <v>PIPELINE CAPACITY=No</v>
          </cell>
          <cell r="C78" t="str">
            <v>PIPELINE CAPACITY</v>
          </cell>
          <cell r="D78" t="str">
            <v>No</v>
          </cell>
        </row>
        <row r="79">
          <cell r="A79" t="str">
            <v>PRODUCE=YES</v>
          </cell>
          <cell r="C79" t="str">
            <v>PRODUCE</v>
          </cell>
          <cell r="D79" t="str">
            <v>YES</v>
          </cell>
        </row>
        <row r="80">
          <cell r="A80" t="str">
            <v>PRODUCE=No</v>
          </cell>
          <cell r="C80" t="str">
            <v>PRODUCE</v>
          </cell>
          <cell r="D80" t="str">
            <v>No</v>
          </cell>
        </row>
        <row r="81">
          <cell r="A81" t="str">
            <v>SOFTS=YES</v>
          </cell>
          <cell r="C81" t="str">
            <v>SOFTS</v>
          </cell>
          <cell r="D81" t="str">
            <v>YES</v>
          </cell>
        </row>
        <row r="82">
          <cell r="A82" t="str">
            <v>SOFTS=No</v>
          </cell>
          <cell r="C82" t="str">
            <v>SOFTS</v>
          </cell>
          <cell r="D82" t="str">
            <v>No</v>
          </cell>
        </row>
        <row r="83">
          <cell r="A83" t="str">
            <v>STEEL=YES</v>
          </cell>
          <cell r="C83" t="str">
            <v>STEEL</v>
          </cell>
          <cell r="D83" t="str">
            <v>YES</v>
          </cell>
        </row>
        <row r="84">
          <cell r="A84" t="str">
            <v>STEEL=No</v>
          </cell>
          <cell r="C84" t="str">
            <v>STEEL</v>
          </cell>
          <cell r="D84" t="str">
            <v>No</v>
          </cell>
        </row>
        <row r="85">
          <cell r="A85" t="str">
            <v>WEATHER POWER=Yes</v>
          </cell>
          <cell r="C85" t="str">
            <v>WEATHER POWER</v>
          </cell>
          <cell r="D85" t="str">
            <v>Yes</v>
          </cell>
        </row>
        <row r="86">
          <cell r="A86" t="str">
            <v>WEATHER POWER=NO</v>
          </cell>
          <cell r="C86" t="str">
            <v>WEATHER POWER</v>
          </cell>
          <cell r="D86" t="str">
            <v>NO</v>
          </cell>
        </row>
        <row r="87">
          <cell r="A87" t="str">
            <v>METALS=No</v>
          </cell>
          <cell r="C87" t="str">
            <v>METALS</v>
          </cell>
          <cell r="D87" t="str">
            <v>No</v>
          </cell>
          <cell r="E87">
            <v>281127</v>
          </cell>
          <cell r="F87">
            <v>265892906</v>
          </cell>
          <cell r="H87">
            <v>67563</v>
          </cell>
          <cell r="I87">
            <v>55979216</v>
          </cell>
          <cell r="K87">
            <v>29602</v>
          </cell>
          <cell r="L87">
            <v>24420899</v>
          </cell>
          <cell r="Q87">
            <v>1607</v>
          </cell>
          <cell r="R87">
            <v>1332748</v>
          </cell>
        </row>
        <row r="88">
          <cell r="A88" t="str">
            <v>=</v>
          </cell>
        </row>
        <row r="89">
          <cell r="A89" t="str">
            <v>=</v>
          </cell>
        </row>
        <row r="90">
          <cell r="A90" t="str">
            <v>=</v>
          </cell>
        </row>
        <row r="91">
          <cell r="A91" t="str">
            <v>=</v>
          </cell>
        </row>
        <row r="92">
          <cell r="A92" t="str">
            <v>=</v>
          </cell>
        </row>
        <row r="93">
          <cell r="A93" t="str">
            <v>LAST LINE (INSERT BEFORE HERE)</v>
          </cell>
        </row>
      </sheetData>
      <sheetData sheetId="4"/>
      <sheetData sheetId="5" refreshError="1">
        <row r="6">
          <cell r="A6" t="str">
            <v>US Gas</v>
          </cell>
          <cell r="B6" t="str">
            <v>US GAS</v>
          </cell>
          <cell r="C6" t="str">
            <v>ENA</v>
          </cell>
        </row>
        <row r="7">
          <cell r="A7" t="str">
            <v>Canadian Gas</v>
          </cell>
          <cell r="B7" t="str">
            <v>CANADIAN GAS</v>
          </cell>
          <cell r="C7" t="str">
            <v>ENA</v>
          </cell>
        </row>
        <row r="8">
          <cell r="A8" t="str">
            <v>Continental Gas</v>
          </cell>
          <cell r="B8" t="str">
            <v>CONTINENTAL GAS</v>
          </cell>
          <cell r="C8" t="str">
            <v>EEL</v>
          </cell>
        </row>
        <row r="9">
          <cell r="A9" t="str">
            <v>UK Gas</v>
          </cell>
          <cell r="B9" t="str">
            <v>UK GAS</v>
          </cell>
          <cell r="C9" t="str">
            <v>EEL</v>
          </cell>
        </row>
        <row r="10">
          <cell r="A10" t="str">
            <v>US Pipeline Capacity</v>
          </cell>
          <cell r="B10" t="str">
            <v>PIPELINE CAPACITY</v>
          </cell>
          <cell r="C10" t="str">
            <v>ENA</v>
          </cell>
        </row>
        <row r="11">
          <cell r="A11" t="str">
            <v>Enron Pipeline Capacity</v>
          </cell>
          <cell r="B11" t="str">
            <v>ENRON PIPELINE CAPACITY</v>
          </cell>
          <cell r="C11" t="str">
            <v>ENA</v>
          </cell>
        </row>
        <row r="12">
          <cell r="A12" t="str">
            <v>Broadband</v>
          </cell>
          <cell r="B12" t="str">
            <v>BANDWIDTH</v>
          </cell>
          <cell r="C12" t="str">
            <v>ENA</v>
          </cell>
        </row>
        <row r="13">
          <cell r="A13" t="str">
            <v>US East Power</v>
          </cell>
          <cell r="B13" t="str">
            <v>POWER EAST</v>
          </cell>
          <cell r="C13" t="str">
            <v>ENA</v>
          </cell>
        </row>
        <row r="14">
          <cell r="A14" t="str">
            <v>US West Power</v>
          </cell>
          <cell r="B14" t="str">
            <v>POWER WEST</v>
          </cell>
          <cell r="C14" t="str">
            <v>ENA</v>
          </cell>
        </row>
        <row r="15">
          <cell r="A15" t="str">
            <v>Australian Power</v>
          </cell>
          <cell r="B15" t="str">
            <v>AUSTRALIAN POWER</v>
          </cell>
          <cell r="C15" t="str">
            <v>EEL</v>
          </cell>
        </row>
        <row r="16">
          <cell r="A16" t="str">
            <v>Austrian Power</v>
          </cell>
          <cell r="B16" t="str">
            <v>AUSTRIAN POWER</v>
          </cell>
          <cell r="C16" t="str">
            <v>EEL</v>
          </cell>
        </row>
        <row r="17">
          <cell r="A17" t="str">
            <v>Dutch Power</v>
          </cell>
          <cell r="B17" t="str">
            <v>DUTCH POWER</v>
          </cell>
          <cell r="C17" t="str">
            <v>EEL</v>
          </cell>
        </row>
        <row r="18">
          <cell r="A18" t="str">
            <v>German Power</v>
          </cell>
          <cell r="B18" t="str">
            <v>GERMAN POWER</v>
          </cell>
          <cell r="C18" t="str">
            <v>EEL</v>
          </cell>
        </row>
        <row r="19">
          <cell r="A19" t="str">
            <v>Iberian Power</v>
          </cell>
          <cell r="B19" t="str">
            <v>IBERIAN POWER</v>
          </cell>
          <cell r="C19" t="str">
            <v>EEL</v>
          </cell>
        </row>
        <row r="20">
          <cell r="A20" t="str">
            <v>Swiss Power</v>
          </cell>
          <cell r="B20" t="str">
            <v>SWISS POWER</v>
          </cell>
          <cell r="C20" t="str">
            <v>EEL</v>
          </cell>
        </row>
        <row r="21">
          <cell r="A21" t="str">
            <v>Other Continental Power</v>
          </cell>
          <cell r="B21" t="str">
            <v>OTHER CONTINENTAL POWER</v>
          </cell>
          <cell r="C21" t="str">
            <v>EEL</v>
          </cell>
        </row>
        <row r="22">
          <cell r="A22" t="str">
            <v>Nordic Power</v>
          </cell>
          <cell r="B22" t="str">
            <v>NORDIC POWER</v>
          </cell>
          <cell r="C22" t="str">
            <v>EEL</v>
          </cell>
        </row>
        <row r="23">
          <cell r="A23" t="str">
            <v>UK Power</v>
          </cell>
          <cell r="B23" t="str">
            <v>UK POWER</v>
          </cell>
          <cell r="C23" t="str">
            <v>EEL</v>
          </cell>
        </row>
        <row r="24">
          <cell r="A24" t="str">
            <v>Crude Products</v>
          </cell>
          <cell r="B24" t="str">
            <v>CRUDE PRODUCTS</v>
          </cell>
          <cell r="C24" t="str">
            <v>GLOBAL PRODUCTS</v>
          </cell>
        </row>
        <row r="25">
          <cell r="A25" t="str">
            <v>LPG</v>
          </cell>
          <cell r="B25" t="str">
            <v>LPG</v>
          </cell>
          <cell r="C25" t="str">
            <v>GLOBAL PRODUCTS</v>
          </cell>
        </row>
        <row r="26">
          <cell r="A26" t="str">
            <v>Plastics</v>
          </cell>
          <cell r="B26" t="str">
            <v>PLASTICS</v>
          </cell>
          <cell r="C26" t="str">
            <v>GLOBAL PRODUCTS</v>
          </cell>
        </row>
        <row r="27">
          <cell r="A27" t="str">
            <v>Petrochemicals</v>
          </cell>
          <cell r="B27" t="str">
            <v>PETROCHEMICALS</v>
          </cell>
          <cell r="C27" t="str">
            <v>GLOBAL PRODUCTS</v>
          </cell>
        </row>
        <row r="28">
          <cell r="A28" t="str">
            <v>Coal</v>
          </cell>
          <cell r="B28" t="str">
            <v>COAL</v>
          </cell>
          <cell r="C28" t="str">
            <v>GLOBAL PRODUCTS</v>
          </cell>
        </row>
        <row r="29">
          <cell r="A29" t="str">
            <v>Coal International</v>
          </cell>
          <cell r="B29" t="str">
            <v>COAL INTERNATIONAL</v>
          </cell>
          <cell r="C29" t="str">
            <v>GLOBAL PRODUCTS</v>
          </cell>
        </row>
        <row r="30">
          <cell r="A30" t="str">
            <v>Sea Freight</v>
          </cell>
          <cell r="B30" t="str">
            <v>SEA FREIGHT</v>
          </cell>
          <cell r="C30" t="str">
            <v>GLOBAL PRODUCTS</v>
          </cell>
        </row>
        <row r="31">
          <cell r="A31" t="str">
            <v>Emissions</v>
          </cell>
          <cell r="B31" t="str">
            <v>EMISSIONS</v>
          </cell>
          <cell r="C31" t="str">
            <v>GLOBAL PRODUCTS</v>
          </cell>
        </row>
        <row r="32">
          <cell r="A32" t="str">
            <v>Paper and Pulp</v>
          </cell>
          <cell r="B32" t="str">
            <v>PAPER &amp; PULP</v>
          </cell>
          <cell r="C32" t="str">
            <v>ENA</v>
          </cell>
        </row>
        <row r="33">
          <cell r="A33" t="str">
            <v>Weather {US}</v>
          </cell>
          <cell r="B33" t="str">
            <v>WEATHER</v>
          </cell>
          <cell r="C33" t="str">
            <v>GLOBAL PRODUCTS</v>
          </cell>
        </row>
        <row r="34">
          <cell r="A34" t="str">
            <v>Weather {Europe}</v>
          </cell>
          <cell r="B34" t="str">
            <v>NORDIC WEATHER</v>
          </cell>
          <cell r="C34" t="str">
            <v>GLOBAL PRODUCTS</v>
          </cell>
        </row>
        <row r="35">
          <cell r="A35" t="str">
            <v>Weather {Asia}</v>
          </cell>
          <cell r="B35" t="str">
            <v>AUS WEATHER</v>
          </cell>
          <cell r="C35" t="str">
            <v>GLOBAL PRODUCTS</v>
          </cell>
        </row>
        <row r="36">
          <cell r="A36" t="str">
            <v>Metals</v>
          </cell>
          <cell r="B36" t="str">
            <v>METALS</v>
          </cell>
          <cell r="C36" t="str">
            <v>Enron Metals</v>
          </cell>
        </row>
        <row r="37">
          <cell r="A37" t="str">
            <v>Crude</v>
          </cell>
          <cell r="B37" t="str">
            <v>CRUDE</v>
          </cell>
          <cell r="C37" t="str">
            <v>GLOBAL PRODUCTS</v>
          </cell>
        </row>
        <row r="38">
          <cell r="A38" t="str">
            <v>Argentinan Gas</v>
          </cell>
          <cell r="B38" t="str">
            <v>ARGENTINAN GAS</v>
          </cell>
          <cell r="C38" t="str">
            <v>ENA</v>
          </cell>
        </row>
        <row r="39">
          <cell r="A39" t="str">
            <v>Interest Rates</v>
          </cell>
          <cell r="B39" t="str">
            <v>INTEREST RATES</v>
          </cell>
          <cell r="C39" t="str">
            <v>ENA</v>
          </cell>
        </row>
        <row r="40">
          <cell r="A40" t="str">
            <v>Exchange Rates</v>
          </cell>
          <cell r="B40" t="str">
            <v>EXCHANGE RATES</v>
          </cell>
          <cell r="C40" t="str">
            <v>ENA</v>
          </cell>
        </row>
        <row r="41">
          <cell r="A41" t="str">
            <v>Credit</v>
          </cell>
          <cell r="B41" t="str">
            <v>CREDIT</v>
          </cell>
          <cell r="C41" t="str">
            <v>ENA</v>
          </cell>
        </row>
        <row r="42">
          <cell r="A42" t="str">
            <v>Other</v>
          </cell>
          <cell r="B42" t="str">
            <v xml:space="preserve">OTHER </v>
          </cell>
          <cell r="C42" t="str">
            <v>ENA</v>
          </cell>
        </row>
        <row r="43">
          <cell r="A43" t="str">
            <v>Credit/Interest/Exchange</v>
          </cell>
          <cell r="B43" t="str">
            <v>Credit/Interest/Exchange</v>
          </cell>
          <cell r="C43" t="str">
            <v>ENA</v>
          </cell>
        </row>
        <row r="44">
          <cell r="A44" t="str">
            <v>Livestock</v>
          </cell>
          <cell r="B44" t="str">
            <v>LIVESTOCK</v>
          </cell>
          <cell r="C44" t="str">
            <v>ENA</v>
          </cell>
        </row>
        <row r="45">
          <cell r="A45" t="str">
            <v>Produce</v>
          </cell>
          <cell r="B45" t="str">
            <v>PRODUCE</v>
          </cell>
          <cell r="C45" t="str">
            <v>ENA</v>
          </cell>
        </row>
        <row r="46">
          <cell r="A46" t="str">
            <v>Softs</v>
          </cell>
          <cell r="B46" t="str">
            <v>SOFTS</v>
          </cell>
          <cell r="C46" t="str">
            <v>ENA</v>
          </cell>
        </row>
        <row r="47">
          <cell r="A47" t="str">
            <v>Steel</v>
          </cell>
          <cell r="B47" t="str">
            <v>STEEL</v>
          </cell>
          <cell r="C47" t="str">
            <v>ENA</v>
          </cell>
        </row>
        <row r="48">
          <cell r="A48" t="str">
            <v>Weather Power</v>
          </cell>
          <cell r="B48" t="str">
            <v>WEATHER POWER</v>
          </cell>
          <cell r="C48" t="str">
            <v>GLOBAL PRODUCTS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Sheet1"/>
    </sheetNames>
    <sheetDataSet>
      <sheetData sheetId="0" refreshError="1"/>
      <sheetData sheetId="1">
        <row r="9">
          <cell r="B9">
            <v>14715</v>
          </cell>
          <cell r="C9">
            <v>2057</v>
          </cell>
        </row>
        <row r="10">
          <cell r="B10">
            <v>987</v>
          </cell>
          <cell r="C10">
            <v>490</v>
          </cell>
        </row>
        <row r="17">
          <cell r="B17">
            <v>1611</v>
          </cell>
          <cell r="C17">
            <v>1219</v>
          </cell>
        </row>
        <row r="18">
          <cell r="B18">
            <v>922</v>
          </cell>
          <cell r="C18">
            <v>1167</v>
          </cell>
        </row>
        <row r="19">
          <cell r="B19">
            <v>37</v>
          </cell>
          <cell r="C19">
            <v>4</v>
          </cell>
        </row>
        <row r="32">
          <cell r="B32">
            <v>1255</v>
          </cell>
          <cell r="C32">
            <v>1463</v>
          </cell>
        </row>
        <row r="33">
          <cell r="B33">
            <v>49</v>
          </cell>
          <cell r="C33">
            <v>118</v>
          </cell>
        </row>
        <row r="35">
          <cell r="B35">
            <v>8</v>
          </cell>
          <cell r="C35">
            <v>29</v>
          </cell>
        </row>
        <row r="36">
          <cell r="B36">
            <v>1</v>
          </cell>
          <cell r="C36">
            <v>25</v>
          </cell>
        </row>
        <row r="37">
          <cell r="B37">
            <v>5</v>
          </cell>
          <cell r="C37">
            <v>8</v>
          </cell>
        </row>
        <row r="39">
          <cell r="B39">
            <v>8</v>
          </cell>
          <cell r="C39">
            <v>8</v>
          </cell>
        </row>
        <row r="40">
          <cell r="B40">
            <v>0</v>
          </cell>
          <cell r="C40">
            <v>87</v>
          </cell>
        </row>
        <row r="42">
          <cell r="B42">
            <v>16</v>
          </cell>
          <cell r="C42">
            <v>10</v>
          </cell>
        </row>
        <row r="47">
          <cell r="B47">
            <v>0</v>
          </cell>
          <cell r="C47">
            <v>176</v>
          </cell>
        </row>
        <row r="51">
          <cell r="B51">
            <v>0</v>
          </cell>
          <cell r="C51">
            <v>430</v>
          </cell>
        </row>
        <row r="71">
          <cell r="B71">
            <v>2431411844</v>
          </cell>
          <cell r="C71">
            <v>1835513711.1699982</v>
          </cell>
        </row>
        <row r="72">
          <cell r="B72">
            <v>41177319.980000019</v>
          </cell>
          <cell r="C72">
            <v>63624791.289999962</v>
          </cell>
        </row>
        <row r="79">
          <cell r="B79">
            <v>16347850</v>
          </cell>
          <cell r="C79">
            <v>13985775.360000014</v>
          </cell>
        </row>
        <row r="80">
          <cell r="B80">
            <v>3208864</v>
          </cell>
          <cell r="C80">
            <v>11139645</v>
          </cell>
        </row>
        <row r="81">
          <cell r="B81">
            <v>66060</v>
          </cell>
          <cell r="C81">
            <v>36130</v>
          </cell>
        </row>
        <row r="94">
          <cell r="B94">
            <v>61779300</v>
          </cell>
          <cell r="C94">
            <v>103727043.05000019</v>
          </cell>
        </row>
        <row r="95">
          <cell r="B95">
            <v>1045000</v>
          </cell>
          <cell r="C95">
            <v>2699642.2</v>
          </cell>
        </row>
        <row r="97">
          <cell r="B97">
            <v>99000</v>
          </cell>
          <cell r="C97">
            <v>499423.98</v>
          </cell>
        </row>
        <row r="98">
          <cell r="B98">
            <v>7750</v>
          </cell>
          <cell r="C98">
            <v>1489250</v>
          </cell>
        </row>
        <row r="99">
          <cell r="B99">
            <v>225000</v>
          </cell>
          <cell r="C99">
            <v>360000</v>
          </cell>
        </row>
        <row r="101">
          <cell r="B101">
            <v>20000</v>
          </cell>
          <cell r="C101">
            <v>25750</v>
          </cell>
        </row>
        <row r="102">
          <cell r="B102">
            <v>0</v>
          </cell>
          <cell r="C102">
            <v>45684.060000000056</v>
          </cell>
        </row>
        <row r="104">
          <cell r="B104">
            <v>4200</v>
          </cell>
          <cell r="C104">
            <v>39500</v>
          </cell>
        </row>
        <row r="109">
          <cell r="B109">
            <v>0</v>
          </cell>
          <cell r="C109">
            <v>5292</v>
          </cell>
        </row>
        <row r="113">
          <cell r="B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7:W93"/>
  <sheetViews>
    <sheetView tabSelected="1" topLeftCell="A16" zoomScale="75" zoomScaleNormal="75" workbookViewId="0">
      <selection activeCell="F19" sqref="F19"/>
    </sheetView>
  </sheetViews>
  <sheetFormatPr defaultRowHeight="12.75" x14ac:dyDescent="0.2"/>
  <cols>
    <col min="1" max="1" width="13.140625" customWidth="1"/>
    <col min="2" max="2" width="12.7109375" customWidth="1"/>
    <col min="3" max="3" width="12.5703125" customWidth="1"/>
    <col min="4" max="4" width="14.42578125" customWidth="1"/>
    <col min="5" max="5" width="9.28515625" customWidth="1"/>
    <col min="6" max="6" width="15.7109375" customWidth="1"/>
    <col min="7" max="7" width="11.85546875" customWidth="1"/>
    <col min="8" max="8" width="3.28515625" customWidth="1"/>
    <col min="9" max="9" width="24.140625" customWidth="1"/>
    <col min="10" max="10" width="11.7109375" customWidth="1"/>
    <col min="11" max="11" width="11" customWidth="1"/>
    <col min="12" max="12" width="10.85546875" customWidth="1"/>
    <col min="13" max="13" width="11.5703125" customWidth="1"/>
    <col min="14" max="14" width="12.7109375" customWidth="1"/>
    <col min="15" max="15" width="11" customWidth="1"/>
    <col min="16" max="16" width="2.28515625" customWidth="1"/>
    <col min="17" max="17" width="26.7109375" customWidth="1"/>
    <col min="18" max="18" width="13.7109375" customWidth="1"/>
    <col min="19" max="19" width="12.7109375" customWidth="1"/>
    <col min="20" max="20" width="12" customWidth="1"/>
    <col min="21" max="21" width="11.5703125" bestFit="1" customWidth="1"/>
    <col min="22" max="22" width="11.5703125" customWidth="1"/>
    <col min="23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34" t="s">
        <v>104</v>
      </c>
      <c r="B8" s="35"/>
      <c r="C8" s="35"/>
      <c r="D8" s="35"/>
      <c r="E8" s="35"/>
      <c r="F8" s="35"/>
      <c r="G8" s="36"/>
      <c r="H8" s="37"/>
      <c r="I8" s="38"/>
      <c r="J8" s="274" t="s">
        <v>63</v>
      </c>
      <c r="K8" s="274"/>
      <c r="L8" s="274"/>
      <c r="M8" s="274"/>
      <c r="N8" s="274"/>
      <c r="O8" s="275"/>
      <c r="P8" s="41"/>
      <c r="Q8" s="38"/>
      <c r="R8" s="274" t="s">
        <v>203</v>
      </c>
      <c r="S8" s="274"/>
      <c r="T8" s="274"/>
      <c r="U8" s="274"/>
      <c r="V8" s="274"/>
      <c r="W8" s="275"/>
    </row>
    <row r="9" spans="1:23" ht="6.75" customHeight="1" x14ac:dyDescent="0.25">
      <c r="A9" s="38"/>
      <c r="B9" s="35"/>
      <c r="C9" s="35"/>
      <c r="D9" s="35"/>
      <c r="E9" s="35"/>
      <c r="F9" s="35"/>
      <c r="G9" s="36"/>
      <c r="H9" s="37"/>
      <c r="I9" s="38"/>
      <c r="J9" s="39"/>
      <c r="K9" s="39"/>
      <c r="L9" s="39"/>
      <c r="M9" s="39"/>
      <c r="N9" s="39"/>
      <c r="O9" s="40"/>
      <c r="P9" s="41"/>
      <c r="Q9" s="38"/>
      <c r="R9" s="39"/>
      <c r="S9" s="39"/>
      <c r="T9" s="39"/>
      <c r="U9" s="39"/>
      <c r="V9" s="39"/>
      <c r="W9" s="40"/>
    </row>
    <row r="10" spans="1:23" s="4" customFormat="1" ht="16.5" x14ac:dyDescent="0.25">
      <c r="A10" s="272"/>
      <c r="B10" s="130"/>
      <c r="C10" s="130"/>
      <c r="D10" s="130"/>
      <c r="E10" s="42"/>
      <c r="F10" s="42"/>
      <c r="G10" s="43"/>
      <c r="H10" s="44"/>
      <c r="I10" s="45"/>
      <c r="J10" s="121" t="s">
        <v>205</v>
      </c>
      <c r="K10" s="121" t="s">
        <v>208</v>
      </c>
      <c r="L10" s="121" t="s">
        <v>221</v>
      </c>
      <c r="M10" s="121" t="s">
        <v>224</v>
      </c>
      <c r="N10" s="121" t="s">
        <v>226</v>
      </c>
      <c r="O10" s="78" t="s">
        <v>31</v>
      </c>
      <c r="P10" s="46"/>
      <c r="Q10" s="45"/>
      <c r="R10" s="121" t="s">
        <v>205</v>
      </c>
      <c r="S10" s="121" t="s">
        <v>208</v>
      </c>
      <c r="T10" s="121" t="s">
        <v>221</v>
      </c>
      <c r="U10" s="121" t="s">
        <v>224</v>
      </c>
      <c r="V10" s="121" t="str">
        <f>N10</f>
        <v>5/31-6/6</v>
      </c>
      <c r="W10" s="78" t="s">
        <v>31</v>
      </c>
    </row>
    <row r="11" spans="1:23" ht="16.5" x14ac:dyDescent="0.25">
      <c r="A11" s="129" t="s">
        <v>194</v>
      </c>
      <c r="B11" s="131"/>
      <c r="C11" s="128"/>
      <c r="D11" s="128"/>
      <c r="E11" s="35"/>
      <c r="F11" s="35"/>
      <c r="G11" s="36"/>
      <c r="H11" s="41"/>
      <c r="I11" s="47" t="s">
        <v>95</v>
      </c>
      <c r="O11" s="36"/>
      <c r="P11" s="41"/>
      <c r="Q11" s="120" t="s">
        <v>134</v>
      </c>
      <c r="W11" s="36"/>
    </row>
    <row r="12" spans="1:23" s="16" customFormat="1" ht="16.5" x14ac:dyDescent="0.25">
      <c r="A12" s="191"/>
      <c r="C12" s="122"/>
      <c r="D12" s="122"/>
      <c r="E12" s="122"/>
      <c r="F12" s="122"/>
      <c r="G12" s="123"/>
      <c r="H12" s="49"/>
      <c r="I12" s="50" t="s">
        <v>64</v>
      </c>
      <c r="J12" s="122">
        <f>Data!W12</f>
        <v>20552</v>
      </c>
      <c r="K12" s="122">
        <f>Data!X12</f>
        <v>17060</v>
      </c>
      <c r="L12" s="122">
        <f>Data!Y12</f>
        <v>18249</v>
      </c>
      <c r="M12" s="192">
        <v>17677</v>
      </c>
      <c r="N12" s="192">
        <f>+Data!AB12</f>
        <v>21743</v>
      </c>
      <c r="O12" s="123">
        <f>SUM(J12:N12)</f>
        <v>95281</v>
      </c>
      <c r="P12" s="49"/>
      <c r="Q12" s="50" t="s">
        <v>156</v>
      </c>
      <c r="R12" s="125">
        <f>Data!W62</f>
        <v>4660.280191529997</v>
      </c>
      <c r="S12" s="125">
        <f>Data!X62</f>
        <v>4226.5836308100033</v>
      </c>
      <c r="T12" s="125">
        <f>Data!Y62</f>
        <v>4371.7276664399988</v>
      </c>
      <c r="U12" s="196">
        <v>5240</v>
      </c>
      <c r="V12" s="196">
        <f>+Data!AB62</f>
        <v>6063.5727965499991</v>
      </c>
      <c r="W12" s="123">
        <f>SUM(R12:V12)</f>
        <v>24562.16428533</v>
      </c>
    </row>
    <row r="13" spans="1:23" s="16" customFormat="1" ht="16.5" x14ac:dyDescent="0.25">
      <c r="A13" s="250" t="s">
        <v>232</v>
      </c>
      <c r="B13" s="251"/>
      <c r="C13" s="122"/>
      <c r="D13" s="122"/>
      <c r="E13" s="122"/>
      <c r="F13" s="122"/>
      <c r="G13" s="123"/>
      <c r="H13" s="49"/>
      <c r="I13" s="50" t="s">
        <v>71</v>
      </c>
      <c r="J13" s="122">
        <f>Data!W15</f>
        <v>6088</v>
      </c>
      <c r="K13" s="122">
        <f>Data!X15</f>
        <v>4946</v>
      </c>
      <c r="L13" s="122">
        <f>Data!Y15</f>
        <v>4960</v>
      </c>
      <c r="M13" s="192">
        <v>4845</v>
      </c>
      <c r="N13" s="192">
        <f>+Data!AB15</f>
        <v>6830</v>
      </c>
      <c r="O13" s="123">
        <f>SUM(J13:N13)</f>
        <v>27669</v>
      </c>
      <c r="P13" s="49"/>
      <c r="Q13" s="50" t="s">
        <v>157</v>
      </c>
      <c r="R13" s="125">
        <f>Data!W63</f>
        <v>55.72244239000004</v>
      </c>
      <c r="S13" s="125">
        <f>Data!X63</f>
        <v>57.430294329999981</v>
      </c>
      <c r="T13" s="125">
        <f>Data!Y63</f>
        <v>44.784324360000014</v>
      </c>
      <c r="U13" s="196">
        <v>80</v>
      </c>
      <c r="V13" s="196">
        <f>+Data!AB63</f>
        <v>76.948695799999982</v>
      </c>
      <c r="W13" s="123">
        <f>SUM(S13:V13)</f>
        <v>259.16331449</v>
      </c>
    </row>
    <row r="14" spans="1:23" s="16" customFormat="1" ht="16.5" x14ac:dyDescent="0.25">
      <c r="A14" s="191"/>
      <c r="C14" s="122"/>
      <c r="D14" s="122"/>
      <c r="E14" s="122"/>
      <c r="F14" s="122"/>
      <c r="G14" s="123"/>
      <c r="H14" s="51"/>
      <c r="I14" s="50" t="s">
        <v>170</v>
      </c>
      <c r="J14" s="165">
        <f>+Data!W18</f>
        <v>0.75409159159159156</v>
      </c>
      <c r="K14" s="165">
        <f>+Data!X18</f>
        <v>0.77206216486412793</v>
      </c>
      <c r="L14" s="165">
        <f>+Data!Y18</f>
        <v>0.78728079624283687</v>
      </c>
      <c r="M14" s="193">
        <v>0.77</v>
      </c>
      <c r="N14" s="193">
        <f>+Data!AB18</f>
        <v>0.80583067931263785</v>
      </c>
      <c r="O14" s="124"/>
      <c r="P14" s="49"/>
      <c r="Q14" s="120" t="s">
        <v>135</v>
      </c>
      <c r="U14" s="196"/>
      <c r="V14" s="196"/>
      <c r="W14" s="123"/>
    </row>
    <row r="15" spans="1:23" s="16" customFormat="1" ht="16.5" x14ac:dyDescent="0.25">
      <c r="A15" s="250" t="s">
        <v>231</v>
      </c>
      <c r="B15" s="252"/>
      <c r="C15" s="122"/>
      <c r="D15" s="122"/>
      <c r="E15" s="122"/>
      <c r="F15" s="122"/>
      <c r="G15" s="123"/>
      <c r="H15" s="49"/>
      <c r="I15" s="53" t="s">
        <v>32</v>
      </c>
      <c r="M15" s="194"/>
      <c r="N15" s="194"/>
      <c r="O15" s="123"/>
      <c r="P15" s="49"/>
      <c r="Q15" s="50" t="s">
        <v>174</v>
      </c>
      <c r="R15" s="125">
        <f>+Data!W71</f>
        <v>160871.1560899998</v>
      </c>
      <c r="S15" s="125">
        <f>+Data!X71</f>
        <v>122928.78282999995</v>
      </c>
      <c r="T15" s="125">
        <f>+Data!Y71</f>
        <v>169849.40923000019</v>
      </c>
      <c r="U15" s="196">
        <v>169988</v>
      </c>
      <c r="V15" s="196">
        <f>+Data!AB71</f>
        <v>207604.95982000043</v>
      </c>
      <c r="W15" s="123">
        <f>SUM(R15:V15)</f>
        <v>831242.30797000043</v>
      </c>
    </row>
    <row r="16" spans="1:23" s="16" customFormat="1" ht="16.5" x14ac:dyDescent="0.25">
      <c r="A16" s="191"/>
      <c r="C16" s="130"/>
      <c r="D16" s="122"/>
      <c r="E16" s="122"/>
      <c r="F16" s="122"/>
      <c r="G16" s="123"/>
      <c r="H16" s="49"/>
      <c r="I16" s="50" t="s">
        <v>0</v>
      </c>
      <c r="J16" s="122">
        <f>Data!W23</f>
        <v>477</v>
      </c>
      <c r="K16" s="122">
        <f>Data!X23</f>
        <v>357</v>
      </c>
      <c r="L16" s="122">
        <f>Data!Y23</f>
        <v>430</v>
      </c>
      <c r="M16" s="192">
        <v>357</v>
      </c>
      <c r="N16" s="192">
        <f>+Data!AB23</f>
        <v>481</v>
      </c>
      <c r="O16" s="123">
        <f>SUM(J16:N16)</f>
        <v>2102</v>
      </c>
      <c r="P16" s="49"/>
      <c r="Q16" s="50" t="s">
        <v>175</v>
      </c>
      <c r="R16" s="125">
        <f>+Data!W72</f>
        <v>5954.4979999999996</v>
      </c>
      <c r="S16" s="125">
        <f>+Data!X72</f>
        <v>500</v>
      </c>
      <c r="T16" s="125">
        <f>+Data!Y72</f>
        <v>2082</v>
      </c>
      <c r="U16" s="196">
        <v>2369</v>
      </c>
      <c r="V16" s="196">
        <f>+Data!AB72</f>
        <v>1308.5</v>
      </c>
      <c r="W16" s="123">
        <f>SUM(R16:V16)</f>
        <v>12213.998</v>
      </c>
    </row>
    <row r="17" spans="1:23" s="16" customFormat="1" ht="16.5" x14ac:dyDescent="0.25">
      <c r="A17" s="250" t="s">
        <v>236</v>
      </c>
      <c r="B17" s="251"/>
      <c r="C17" s="128"/>
      <c r="D17" s="122"/>
      <c r="E17" s="122"/>
      <c r="F17" s="122"/>
      <c r="G17" s="123"/>
      <c r="H17" s="49"/>
      <c r="I17" s="50" t="s">
        <v>5</v>
      </c>
      <c r="J17" s="122">
        <f>Data!W26</f>
        <v>2744</v>
      </c>
      <c r="K17" s="122">
        <f>Data!X26</f>
        <v>2320</v>
      </c>
      <c r="L17" s="122">
        <f>Data!Y26</f>
        <v>2922</v>
      </c>
      <c r="M17" s="192">
        <v>2999</v>
      </c>
      <c r="N17" s="192">
        <f>+Data!AB26</f>
        <v>3705</v>
      </c>
      <c r="O17" s="123">
        <f>SUM(J17:N17)</f>
        <v>14690</v>
      </c>
      <c r="P17" s="49"/>
      <c r="Q17" s="50" t="s">
        <v>158</v>
      </c>
      <c r="R17" s="125">
        <f>+Data!W73</f>
        <v>27.5</v>
      </c>
      <c r="S17" s="125">
        <f>+Data!X73</f>
        <v>75</v>
      </c>
      <c r="T17" s="125">
        <f>+Data!Y73</f>
        <v>45.75</v>
      </c>
      <c r="U17" s="196">
        <v>15</v>
      </c>
      <c r="V17" s="196">
        <f>+Data!AB73</f>
        <v>12.5</v>
      </c>
      <c r="W17" s="123">
        <f>SUM(R17:V17)</f>
        <v>175.75</v>
      </c>
    </row>
    <row r="18" spans="1:23" s="16" customFormat="1" ht="16.5" x14ac:dyDescent="0.25">
      <c r="A18" s="191"/>
      <c r="C18" s="130"/>
      <c r="D18" s="122"/>
      <c r="E18" s="122"/>
      <c r="F18" s="122"/>
      <c r="G18" s="123"/>
      <c r="H18" s="49"/>
      <c r="I18" s="50" t="s">
        <v>4</v>
      </c>
      <c r="J18" s="122">
        <f>Data!W29</f>
        <v>31</v>
      </c>
      <c r="K18" s="122">
        <f>Data!X29</f>
        <v>12</v>
      </c>
      <c r="L18" s="122">
        <f>Data!Y29</f>
        <v>39</v>
      </c>
      <c r="M18" s="192">
        <v>19</v>
      </c>
      <c r="N18" s="192">
        <f>+Data!AB29</f>
        <v>20</v>
      </c>
      <c r="O18" s="123">
        <f>SUM(J18:N18)</f>
        <v>121</v>
      </c>
      <c r="P18" s="49"/>
      <c r="Q18" s="52" t="s">
        <v>222</v>
      </c>
      <c r="R18" s="122"/>
      <c r="S18" s="122"/>
      <c r="T18" s="122"/>
      <c r="U18" s="196"/>
      <c r="V18" s="196"/>
      <c r="W18" s="123"/>
    </row>
    <row r="19" spans="1:23" s="16" customFormat="1" ht="16.5" x14ac:dyDescent="0.25">
      <c r="A19" s="250" t="s">
        <v>235</v>
      </c>
      <c r="B19" s="251"/>
      <c r="C19" s="128"/>
      <c r="D19" s="122"/>
      <c r="E19" s="122"/>
      <c r="F19" s="122"/>
      <c r="G19" s="123"/>
      <c r="H19" s="49"/>
      <c r="I19" s="50" t="s">
        <v>3</v>
      </c>
      <c r="J19" s="122">
        <f>Data!W32</f>
        <v>16</v>
      </c>
      <c r="K19" s="122">
        <f>Data!X32</f>
        <v>24</v>
      </c>
      <c r="L19" s="122">
        <f>Data!Y32</f>
        <v>26</v>
      </c>
      <c r="M19" s="192">
        <v>15</v>
      </c>
      <c r="N19" s="192">
        <f>+Data!AB32</f>
        <v>53</v>
      </c>
      <c r="O19" s="123">
        <f>SUM(J19:N19)</f>
        <v>134</v>
      </c>
      <c r="P19" s="49"/>
      <c r="Q19" s="50" t="s">
        <v>40</v>
      </c>
      <c r="R19" s="125">
        <f>Data!W66</f>
        <v>11496</v>
      </c>
      <c r="S19" s="125">
        <f>Data!X66</f>
        <v>6520</v>
      </c>
      <c r="T19" s="125">
        <f>Data!Y66</f>
        <v>6180</v>
      </c>
      <c r="U19" s="196">
        <v>2660</v>
      </c>
      <c r="V19" s="196">
        <f>+Data!AB66</f>
        <v>10535</v>
      </c>
      <c r="W19" s="123">
        <f>SUM(R19:V19)</f>
        <v>37391</v>
      </c>
    </row>
    <row r="20" spans="1:23" s="16" customFormat="1" ht="16.5" x14ac:dyDescent="0.25">
      <c r="A20" s="129"/>
      <c r="B20" s="251" t="s">
        <v>234</v>
      </c>
      <c r="C20" s="122"/>
      <c r="D20" s="122"/>
      <c r="E20" s="122"/>
      <c r="F20" s="122"/>
      <c r="G20" s="123"/>
      <c r="H20" s="49"/>
      <c r="I20" s="50" t="s">
        <v>13</v>
      </c>
      <c r="J20" s="122">
        <f>Data!W35</f>
        <v>6</v>
      </c>
      <c r="K20" s="122">
        <f>Data!X35</f>
        <v>14</v>
      </c>
      <c r="L20" s="122">
        <f>Data!Y35</f>
        <v>16</v>
      </c>
      <c r="M20" s="192">
        <v>6</v>
      </c>
      <c r="N20" s="192">
        <f>+Data!AB35</f>
        <v>5</v>
      </c>
      <c r="O20" s="123">
        <f>SUM(J20:N20)</f>
        <v>47</v>
      </c>
      <c r="P20" s="49"/>
      <c r="Q20" s="50" t="s">
        <v>70</v>
      </c>
      <c r="R20" s="125">
        <f>Data!W67</f>
        <v>56497</v>
      </c>
      <c r="S20" s="125">
        <f>Data!X67</f>
        <v>15947</v>
      </c>
      <c r="T20" s="125">
        <f>Data!Y67</f>
        <v>13890</v>
      </c>
      <c r="U20" s="196">
        <v>23943</v>
      </c>
      <c r="V20" s="196">
        <f>+Data!AB67</f>
        <v>82925</v>
      </c>
      <c r="W20" s="123">
        <f>SUM(R20:V20)</f>
        <v>193202</v>
      </c>
    </row>
    <row r="21" spans="1:23" s="16" customFormat="1" ht="16.5" x14ac:dyDescent="0.25">
      <c r="A21" s="250"/>
      <c r="B21" s="251"/>
      <c r="C21" s="122"/>
      <c r="D21" s="122"/>
      <c r="E21" s="122"/>
      <c r="F21" s="122"/>
      <c r="G21" s="123"/>
      <c r="H21" s="49"/>
      <c r="I21" s="50" t="s">
        <v>171</v>
      </c>
      <c r="J21" s="165">
        <f>+Data!W38</f>
        <v>0.31459987782529014</v>
      </c>
      <c r="K21" s="165">
        <f>+Data!X38</f>
        <v>0.4275760909424276</v>
      </c>
      <c r="L21" s="165">
        <f>+Data!Y38</f>
        <v>0.39091173900378678</v>
      </c>
      <c r="M21" s="193">
        <v>0.43</v>
      </c>
      <c r="N21" s="193">
        <f>+Data!AB38</f>
        <v>0.49484052532833023</v>
      </c>
      <c r="O21" s="123"/>
      <c r="P21" s="49"/>
      <c r="Q21" s="50" t="s">
        <v>39</v>
      </c>
      <c r="R21" s="125">
        <f>Data!W68</f>
        <v>26520.525000000001</v>
      </c>
      <c r="S21" s="125">
        <f>Data!X68</f>
        <v>17873.852999999999</v>
      </c>
      <c r="T21" s="125">
        <f>Data!Y68</f>
        <v>49474.929000000004</v>
      </c>
      <c r="U21" s="196">
        <v>17176</v>
      </c>
      <c r="V21" s="196">
        <f>+Data!AB68</f>
        <v>17335.201000000001</v>
      </c>
      <c r="W21" s="123">
        <f>SUM(S21:V21)</f>
        <v>101859.98300000001</v>
      </c>
    </row>
    <row r="22" spans="1:23" s="16" customFormat="1" ht="16.5" x14ac:dyDescent="0.25">
      <c r="A22" s="129" t="s">
        <v>228</v>
      </c>
      <c r="B22" s="251"/>
      <c r="C22" s="122"/>
      <c r="D22" s="122"/>
      <c r="E22" s="122"/>
      <c r="F22" s="122"/>
      <c r="G22" s="123"/>
      <c r="H22" s="49"/>
      <c r="I22" s="53" t="s">
        <v>33</v>
      </c>
      <c r="M22" s="194"/>
      <c r="N22" s="194"/>
      <c r="O22" s="123"/>
      <c r="P22" s="49"/>
      <c r="Q22" s="54" t="s">
        <v>41</v>
      </c>
      <c r="R22" s="126">
        <f>Data!W69</f>
        <v>0</v>
      </c>
      <c r="S22" s="126">
        <f>Data!X69</f>
        <v>0</v>
      </c>
      <c r="T22" s="126">
        <f>Data!Y69</f>
        <v>2758</v>
      </c>
      <c r="U22" s="197">
        <v>5586</v>
      </c>
      <c r="V22" s="197">
        <f>+Data!AB69</f>
        <v>26593</v>
      </c>
      <c r="W22" s="127">
        <f>SUM(R22:V22)</f>
        <v>34937</v>
      </c>
    </row>
    <row r="23" spans="1:23" s="16" customFormat="1" ht="16.5" x14ac:dyDescent="0.25">
      <c r="A23" s="250"/>
      <c r="B23" s="251"/>
      <c r="C23" s="122"/>
      <c r="D23" s="122"/>
      <c r="E23" s="122"/>
      <c r="F23" s="122"/>
      <c r="G23" s="123"/>
      <c r="H23" s="49"/>
      <c r="I23" s="50" t="s">
        <v>40</v>
      </c>
      <c r="J23" s="122">
        <f>Data!W43</f>
        <v>18</v>
      </c>
      <c r="K23" s="122">
        <f>Data!X43</f>
        <v>28</v>
      </c>
      <c r="L23" s="122">
        <f>Data!Y43</f>
        <v>53</v>
      </c>
      <c r="M23" s="192">
        <v>19</v>
      </c>
      <c r="N23" s="192">
        <f>+Data!AB43</f>
        <v>37</v>
      </c>
      <c r="O23" s="123">
        <f>SUM(J23:N23)</f>
        <v>155</v>
      </c>
      <c r="P23" s="49"/>
      <c r="Q23" s="69"/>
      <c r="R23" s="48"/>
      <c r="S23" s="48"/>
      <c r="T23" s="48"/>
      <c r="U23" s="48"/>
      <c r="V23" s="48"/>
      <c r="W23" s="48"/>
    </row>
    <row r="24" spans="1:23" s="16" customFormat="1" ht="16.5" x14ac:dyDescent="0.25">
      <c r="A24" s="250" t="s">
        <v>237</v>
      </c>
      <c r="B24" s="252"/>
      <c r="C24" s="122"/>
      <c r="D24" s="122"/>
      <c r="E24" s="122"/>
      <c r="F24" s="122"/>
      <c r="G24" s="123"/>
      <c r="H24" s="49"/>
      <c r="I24" s="50" t="s">
        <v>70</v>
      </c>
      <c r="J24" s="122">
        <f>Data!W46</f>
        <v>26</v>
      </c>
      <c r="K24" s="122">
        <f>Data!X46</f>
        <v>36</v>
      </c>
      <c r="L24" s="122">
        <f>Data!Y46</f>
        <v>23</v>
      </c>
      <c r="M24" s="192">
        <v>22</v>
      </c>
      <c r="N24" s="192">
        <f>+Data!AB46</f>
        <v>41</v>
      </c>
      <c r="O24" s="123">
        <f>SUM(J24:N24)</f>
        <v>148</v>
      </c>
      <c r="P24" s="49"/>
      <c r="Q24" s="55"/>
      <c r="R24" s="273" t="s">
        <v>19</v>
      </c>
      <c r="S24" s="273"/>
      <c r="T24" s="273"/>
      <c r="U24" s="273"/>
      <c r="V24" s="273"/>
      <c r="W24" s="56"/>
    </row>
    <row r="25" spans="1:23" ht="16.5" x14ac:dyDescent="0.25">
      <c r="A25" s="250"/>
      <c r="B25" s="130" t="s">
        <v>233</v>
      </c>
      <c r="C25" s="122"/>
      <c r="D25" s="122"/>
      <c r="E25" s="122"/>
      <c r="F25" s="128"/>
      <c r="G25" s="249"/>
      <c r="H25" s="41"/>
      <c r="I25" s="50" t="s">
        <v>39</v>
      </c>
      <c r="J25" s="122">
        <f>Data!W49</f>
        <v>131</v>
      </c>
      <c r="K25" s="122">
        <f>Data!X49</f>
        <v>102</v>
      </c>
      <c r="L25" s="122">
        <f>Data!Y49</f>
        <v>121</v>
      </c>
      <c r="M25" s="195">
        <v>90</v>
      </c>
      <c r="N25" s="195">
        <f>+Data!AB49</f>
        <v>77</v>
      </c>
      <c r="O25" s="123">
        <f>SUM(J25:N25)</f>
        <v>521</v>
      </c>
      <c r="P25" s="41"/>
      <c r="Q25" s="45"/>
      <c r="R25" s="121" t="s">
        <v>205</v>
      </c>
      <c r="S25" s="121" t="s">
        <v>208</v>
      </c>
      <c r="T25" s="121" t="s">
        <v>221</v>
      </c>
      <c r="U25" s="121" t="s">
        <v>224</v>
      </c>
      <c r="V25" s="121" t="str">
        <f>N10</f>
        <v>5/31-6/6</v>
      </c>
      <c r="W25" s="148"/>
    </row>
    <row r="26" spans="1:23" ht="16.5" x14ac:dyDescent="0.25">
      <c r="A26" s="250"/>
      <c r="B26" s="251"/>
      <c r="C26" s="122"/>
      <c r="D26" s="122"/>
      <c r="E26" s="122"/>
      <c r="F26" s="128"/>
      <c r="G26" s="249"/>
      <c r="H26" s="41"/>
      <c r="I26" s="50" t="s">
        <v>41</v>
      </c>
      <c r="J26" s="122">
        <f>Data!W52</f>
        <v>6</v>
      </c>
      <c r="K26" s="122">
        <f>Data!X52</f>
        <v>7</v>
      </c>
      <c r="L26" s="122">
        <f>Data!Y52</f>
        <v>17</v>
      </c>
      <c r="M26" s="195">
        <v>0</v>
      </c>
      <c r="N26" s="195">
        <f>+Data!AB52</f>
        <v>20</v>
      </c>
      <c r="O26" s="123">
        <f>SUM(J26:N26)</f>
        <v>50</v>
      </c>
      <c r="P26" s="41"/>
      <c r="Q26" s="120" t="s">
        <v>65</v>
      </c>
      <c r="R26" s="35">
        <v>6</v>
      </c>
      <c r="S26" s="35">
        <v>7</v>
      </c>
      <c r="T26" s="35">
        <v>7</v>
      </c>
      <c r="U26" s="184">
        <v>4</v>
      </c>
      <c r="V26" s="184">
        <f>'WE 6-6 EOL Data'!B19</f>
        <v>10</v>
      </c>
      <c r="W26" s="148"/>
    </row>
    <row r="27" spans="1:23" ht="16.5" x14ac:dyDescent="0.25">
      <c r="A27" s="253"/>
      <c r="B27" s="251"/>
      <c r="C27" s="122"/>
      <c r="D27" s="122"/>
      <c r="E27" s="122"/>
      <c r="F27" s="128"/>
      <c r="G27" s="249"/>
      <c r="H27" s="41"/>
      <c r="I27" s="50" t="s">
        <v>172</v>
      </c>
      <c r="J27" s="166">
        <f>+Data!W55</f>
        <v>2.7624309392265192E-2</v>
      </c>
      <c r="K27" s="166">
        <f>+Data!X55</f>
        <v>8.0924855491329481E-2</v>
      </c>
      <c r="L27" s="166">
        <f>+Data!Y55</f>
        <v>5.1401869158878503E-2</v>
      </c>
      <c r="M27" s="193">
        <v>0.02</v>
      </c>
      <c r="N27" s="193">
        <f>+Data!AB55</f>
        <v>3.4285714285714287E-2</v>
      </c>
      <c r="O27" s="59"/>
      <c r="P27" s="41"/>
      <c r="Q27" s="60"/>
      <c r="R27" s="35"/>
      <c r="S27" s="35"/>
      <c r="T27" s="35"/>
      <c r="U27" s="184"/>
      <c r="V27" s="184"/>
      <c r="W27" s="148"/>
    </row>
    <row r="28" spans="1:23" ht="16.5" x14ac:dyDescent="0.25">
      <c r="A28" s="129"/>
      <c r="B28" s="251"/>
      <c r="C28" s="122"/>
      <c r="D28" s="122"/>
      <c r="E28" s="122"/>
      <c r="F28" s="128"/>
      <c r="G28" s="249"/>
      <c r="H28" s="41"/>
      <c r="I28" s="58"/>
      <c r="J28" s="57"/>
      <c r="K28" s="57"/>
      <c r="L28" s="57"/>
      <c r="M28" s="57"/>
      <c r="N28" s="57"/>
      <c r="O28" s="59"/>
      <c r="P28" s="41"/>
      <c r="Q28" s="120" t="s">
        <v>80</v>
      </c>
      <c r="R28" s="35">
        <v>242</v>
      </c>
      <c r="S28" s="35">
        <v>263</v>
      </c>
      <c r="T28" s="35">
        <v>173</v>
      </c>
      <c r="U28" s="184">
        <v>146</v>
      </c>
      <c r="V28" s="184">
        <v>203</v>
      </c>
      <c r="W28" s="148"/>
    </row>
    <row r="29" spans="1:23" ht="6.75" customHeight="1" x14ac:dyDescent="0.2">
      <c r="A29" s="61"/>
      <c r="B29" s="62"/>
      <c r="C29" s="62"/>
      <c r="D29" s="62"/>
      <c r="E29" s="62"/>
      <c r="F29" s="62"/>
      <c r="G29" s="63"/>
      <c r="H29" s="41"/>
      <c r="I29" s="64"/>
      <c r="J29" s="65"/>
      <c r="K29" s="65"/>
      <c r="L29" s="65"/>
      <c r="M29" s="65"/>
      <c r="N29" s="65"/>
      <c r="O29" s="66"/>
      <c r="P29" s="41"/>
      <c r="Q29" s="67"/>
      <c r="R29" s="68"/>
      <c r="S29" s="68"/>
      <c r="T29" s="62"/>
      <c r="U29" s="62"/>
      <c r="V29" s="62"/>
      <c r="W29" s="63"/>
    </row>
    <row r="30" spans="1:23" x14ac:dyDescent="0.2">
      <c r="A30" s="160"/>
      <c r="B30" s="13"/>
      <c r="C30" s="13"/>
      <c r="D30" s="13"/>
      <c r="E30" s="13"/>
      <c r="F30" s="13"/>
      <c r="G30" s="13"/>
      <c r="I30" s="14"/>
      <c r="J30" s="14"/>
      <c r="K30" s="14"/>
      <c r="L30" s="13"/>
      <c r="M30" s="13"/>
      <c r="N30" s="13"/>
      <c r="O30" s="13"/>
      <c r="Q30" s="14"/>
      <c r="R30" s="14"/>
      <c r="S30" s="14"/>
      <c r="T30" s="13"/>
      <c r="U30" s="13"/>
      <c r="V30" s="13"/>
      <c r="W30" s="13"/>
    </row>
    <row r="31" spans="1:23" ht="12.75" customHeight="1" x14ac:dyDescent="0.2">
      <c r="A31" s="161"/>
      <c r="J31" s="13"/>
      <c r="K31" s="13"/>
      <c r="L31" s="13"/>
      <c r="M31" s="13"/>
      <c r="N31" s="13"/>
      <c r="O31" s="13"/>
      <c r="P31" s="13"/>
      <c r="Q31" s="15"/>
      <c r="R31" s="15"/>
      <c r="S31" s="15"/>
      <c r="T31" s="15"/>
      <c r="U31" s="15"/>
      <c r="V31" s="15"/>
      <c r="W31" s="15"/>
    </row>
    <row r="32" spans="1:23" ht="12.75" customHeight="1" x14ac:dyDescent="0.2">
      <c r="A32" s="162"/>
    </row>
    <row r="33" spans="1:1" ht="12.75" customHeight="1" x14ac:dyDescent="0.2">
      <c r="A33" s="162"/>
    </row>
    <row r="34" spans="1:1" ht="12.75" customHeight="1" x14ac:dyDescent="0.2">
      <c r="A34" s="14"/>
    </row>
    <row r="35" spans="1:1" ht="12.75" customHeight="1" x14ac:dyDescent="0.2">
      <c r="A35" s="14"/>
    </row>
    <row r="36" spans="1:1" ht="12.75" customHeight="1" x14ac:dyDescent="0.2">
      <c r="A36" s="14"/>
    </row>
    <row r="37" spans="1:1" ht="12.75" customHeight="1" x14ac:dyDescent="0.2">
      <c r="A37" s="14"/>
    </row>
    <row r="38" spans="1:1" ht="12.75" customHeight="1" x14ac:dyDescent="0.2">
      <c r="A38" s="14"/>
    </row>
    <row r="39" spans="1:1" ht="12.75" customHeight="1" x14ac:dyDescent="0.2">
      <c r="A39" s="14"/>
    </row>
    <row r="40" spans="1:1" ht="12.75" customHeight="1" x14ac:dyDescent="0.2">
      <c r="A40" s="14"/>
    </row>
    <row r="41" spans="1:1" ht="12.75" customHeight="1" x14ac:dyDescent="0.2">
      <c r="A41" s="13"/>
    </row>
    <row r="42" spans="1:1" ht="12.75" customHeight="1" x14ac:dyDescent="0.2">
      <c r="A42" s="13"/>
    </row>
    <row r="43" spans="1:1" ht="12.75" customHeight="1" x14ac:dyDescent="0.2">
      <c r="A43" s="13"/>
    </row>
    <row r="44" spans="1:1" ht="12.75" customHeight="1" x14ac:dyDescent="0.2">
      <c r="A44" s="13"/>
    </row>
    <row r="45" spans="1:1" ht="12.75" customHeight="1" x14ac:dyDescent="0.2">
      <c r="A45" s="13"/>
    </row>
    <row r="46" spans="1:1" ht="12.75" customHeight="1" x14ac:dyDescent="0.2">
      <c r="A46" s="163"/>
    </row>
    <row r="47" spans="1:1" ht="12.75" customHeight="1" x14ac:dyDescent="0.2">
      <c r="A47" s="163"/>
    </row>
    <row r="48" spans="1:1" ht="12.75" customHeight="1" x14ac:dyDescent="0.2">
      <c r="A48" s="164"/>
    </row>
    <row r="49" spans="1:1" ht="12.75" customHeight="1" x14ac:dyDescent="0.2">
      <c r="A49" s="164"/>
    </row>
    <row r="50" spans="1:1" ht="12.75" customHeight="1" x14ac:dyDescent="0.2">
      <c r="A50" s="164"/>
    </row>
    <row r="51" spans="1:1" ht="12.75" customHeight="1" x14ac:dyDescent="0.2">
      <c r="A51" s="164"/>
    </row>
    <row r="52" spans="1:1" ht="12.75" customHeight="1" x14ac:dyDescent="0.2">
      <c r="A52" s="164"/>
    </row>
    <row r="53" spans="1:1" ht="12.75" customHeight="1" x14ac:dyDescent="0.2">
      <c r="A53" s="164"/>
    </row>
    <row r="54" spans="1:1" ht="12.75" customHeight="1" x14ac:dyDescent="0.2">
      <c r="A54" s="164"/>
    </row>
    <row r="55" spans="1:1" ht="12.75" customHeight="1" x14ac:dyDescent="0.2">
      <c r="A55" s="164"/>
    </row>
    <row r="56" spans="1:1" ht="12.75" customHeight="1" x14ac:dyDescent="0.2">
      <c r="A56" s="164"/>
    </row>
    <row r="57" spans="1:1" ht="12.75" customHeight="1" x14ac:dyDescent="0.2">
      <c r="A57" s="164"/>
    </row>
    <row r="58" spans="1:1" ht="12.75" customHeight="1" x14ac:dyDescent="0.2">
      <c r="A58" s="164"/>
    </row>
    <row r="59" spans="1:1" ht="12.75" customHeight="1" x14ac:dyDescent="0.2">
      <c r="A59" s="164"/>
    </row>
    <row r="60" spans="1:1" ht="12.75" customHeight="1" x14ac:dyDescent="0.2">
      <c r="A60" s="164"/>
    </row>
    <row r="61" spans="1:1" ht="12.75" customHeight="1" x14ac:dyDescent="0.2">
      <c r="A61" s="164"/>
    </row>
    <row r="62" spans="1:1" ht="12.75" customHeight="1" x14ac:dyDescent="0.2">
      <c r="A62" s="164"/>
    </row>
    <row r="63" spans="1:1" ht="12.75" customHeight="1" x14ac:dyDescent="0.2">
      <c r="A63" s="164"/>
    </row>
    <row r="64" spans="1:1" ht="12.75" customHeight="1" x14ac:dyDescent="0.2">
      <c r="A64" s="164"/>
    </row>
    <row r="65" spans="1:1" ht="12.75" customHeight="1" x14ac:dyDescent="0.2">
      <c r="A65" s="164"/>
    </row>
    <row r="66" spans="1:1" ht="12.75" customHeight="1" x14ac:dyDescent="0.2">
      <c r="A66" s="164"/>
    </row>
    <row r="67" spans="1:1" ht="12.75" customHeight="1" x14ac:dyDescent="0.2">
      <c r="A67" s="164"/>
    </row>
    <row r="68" spans="1:1" ht="12.75" customHeight="1" x14ac:dyDescent="0.2">
      <c r="A68" s="74"/>
    </row>
    <row r="69" spans="1:1" ht="12.75" customHeight="1" x14ac:dyDescent="0.2">
      <c r="A69" s="158"/>
    </row>
    <row r="70" spans="1:1" ht="12.75" customHeight="1" x14ac:dyDescent="0.2">
      <c r="A70" s="162"/>
    </row>
    <row r="71" spans="1:1" ht="12.75" customHeight="1" x14ac:dyDescent="0.2">
      <c r="A71" s="162"/>
    </row>
    <row r="72" spans="1:1" ht="12.75" customHeight="1" x14ac:dyDescent="0.2">
      <c r="A72" s="162"/>
    </row>
    <row r="73" spans="1:1" ht="12.75" customHeight="1" x14ac:dyDescent="0.2">
      <c r="A73" s="162"/>
    </row>
    <row r="74" spans="1:1" ht="12.75" customHeight="1" x14ac:dyDescent="0.2">
      <c r="A74" s="162"/>
    </row>
    <row r="75" spans="1:1" ht="12.75" customHeight="1" x14ac:dyDescent="0.2">
      <c r="A75" s="162"/>
    </row>
    <row r="76" spans="1:1" ht="12.75" customHeight="1" x14ac:dyDescent="0.2">
      <c r="A76" s="14"/>
    </row>
    <row r="77" spans="1:1" ht="12.75" customHeight="1" x14ac:dyDescent="0.2">
      <c r="A77" s="13"/>
    </row>
    <row r="78" spans="1:1" ht="12.75" customHeight="1" x14ac:dyDescent="0.2">
      <c r="A78" s="163"/>
    </row>
    <row r="79" spans="1:1" ht="12.75" customHeight="1" x14ac:dyDescent="0.2">
      <c r="A79" s="163"/>
    </row>
    <row r="80" spans="1:1" ht="12.75" customHeight="1" x14ac:dyDescent="0.2">
      <c r="A80" s="164"/>
    </row>
    <row r="81" spans="1:1" ht="12.75" customHeight="1" x14ac:dyDescent="0.2">
      <c r="A81" s="164"/>
    </row>
    <row r="82" spans="1:1" ht="12.75" customHeight="1" x14ac:dyDescent="0.2">
      <c r="A82" s="164"/>
    </row>
    <row r="83" spans="1:1" ht="12.75" customHeight="1" x14ac:dyDescent="0.2">
      <c r="A83" s="164"/>
    </row>
    <row r="84" spans="1:1" ht="12.75" customHeight="1" x14ac:dyDescent="0.2">
      <c r="A84" s="164"/>
    </row>
    <row r="85" spans="1:1" ht="12.75" customHeight="1" x14ac:dyDescent="0.2">
      <c r="A85" s="164"/>
    </row>
    <row r="86" spans="1:1" ht="12.75" customHeight="1" x14ac:dyDescent="0.2">
      <c r="A86" s="164"/>
    </row>
    <row r="87" spans="1:1" ht="12.75" customHeight="1" x14ac:dyDescent="0.2">
      <c r="A87" s="13"/>
    </row>
    <row r="88" spans="1:1" ht="12.75" customHeight="1" x14ac:dyDescent="0.2"/>
    <row r="89" spans="1:1" ht="12.75" customHeight="1" x14ac:dyDescent="0.2"/>
    <row r="90" spans="1:1" ht="12.75" customHeight="1" x14ac:dyDescent="0.2"/>
    <row r="91" spans="1:1" ht="12.75" customHeight="1" x14ac:dyDescent="0.2"/>
    <row r="92" spans="1:1" ht="12.75" customHeight="1" x14ac:dyDescent="0.2"/>
    <row r="93" spans="1:1" ht="12.75" customHeight="1" x14ac:dyDescent="0.2"/>
  </sheetData>
  <mergeCells count="3">
    <mergeCell ref="R24:V24"/>
    <mergeCell ref="J8:O8"/>
    <mergeCell ref="R8:W8"/>
  </mergeCells>
  <phoneticPr fontId="0" type="noConversion"/>
  <printOptions horizontalCentered="1" verticalCentered="1"/>
  <pageMargins left="0.17" right="0.16" top="0.25" bottom="0.3" header="0.5" footer="0.09"/>
  <pageSetup scale="48" orientation="landscape" r:id="rId1"/>
  <headerFooter alignWithMargins="0">
    <oddHeader>&amp;L&amp;"Arial,Bold"&amp;18Global Risk Management Operations
Contact:    Sally Beck x35926&amp;C&amp;"Arial,Bold"&amp;18Weekly Report
Week of May 31 - June 6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61"/>
  <sheetViews>
    <sheetView topLeftCell="A31" workbookViewId="0">
      <selection activeCell="C39" sqref="C3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193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14790</v>
      </c>
      <c r="C6" s="144">
        <v>1869240046.2800009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2956</v>
      </c>
      <c r="C7" s="144">
        <v>22403354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1027</v>
      </c>
      <c r="C9" s="145">
        <v>42950999.999999985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0</v>
      </c>
      <c r="C10" s="145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1</v>
      </c>
      <c r="C11" s="145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15</v>
      </c>
      <c r="C12" s="145">
        <v>4300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7</v>
      </c>
      <c r="C14" s="135">
        <v>17500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3</v>
      </c>
      <c r="C17" s="135">
        <v>9000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17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193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3339</v>
      </c>
      <c r="C29" s="135">
        <v>2319020585.1399999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2968</v>
      </c>
      <c r="C30" s="135">
        <v>73755269.760000005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1830</v>
      </c>
      <c r="C32" s="135">
        <v>131822933.66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25</v>
      </c>
      <c r="C33" s="135">
        <v>2272500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1</v>
      </c>
      <c r="C34" s="135">
        <v>45000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7</v>
      </c>
      <c r="C35" s="135">
        <v>37000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645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10</v>
      </c>
      <c r="C37" s="135">
        <v>132600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277</v>
      </c>
      <c r="C39" s="135">
        <v>363558.61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50</v>
      </c>
      <c r="C40" s="135">
        <v>7652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193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5" x14ac:dyDescent="0.2">
      <c r="A49" s="6" t="s">
        <v>39</v>
      </c>
      <c r="B49" s="138">
        <v>5</v>
      </c>
      <c r="C49" s="138">
        <v>528000</v>
      </c>
      <c r="D49" s="141" t="s">
        <v>116</v>
      </c>
      <c r="E49" s="141"/>
    </row>
    <row r="50" spans="1:5" x14ac:dyDescent="0.2">
      <c r="A50" s="6" t="s">
        <v>40</v>
      </c>
      <c r="B50" s="138"/>
      <c r="C50" s="138"/>
      <c r="D50" s="141"/>
      <c r="E50" s="141"/>
    </row>
    <row r="51" spans="1:5" x14ac:dyDescent="0.2">
      <c r="A51" s="6" t="s">
        <v>42</v>
      </c>
      <c r="B51" s="138">
        <v>3</v>
      </c>
      <c r="C51" s="138">
        <v>520</v>
      </c>
      <c r="D51" s="141" t="s">
        <v>117</v>
      </c>
      <c r="E51" s="141"/>
    </row>
    <row r="52" spans="1:5" x14ac:dyDescent="0.2">
      <c r="B52" s="141"/>
      <c r="C52" s="141"/>
      <c r="D52" s="141"/>
      <c r="E52" s="141"/>
    </row>
    <row r="53" spans="1:5" x14ac:dyDescent="0.2">
      <c r="A53" s="2" t="s">
        <v>118</v>
      </c>
      <c r="B53" s="143">
        <v>1</v>
      </c>
      <c r="C53" s="143"/>
      <c r="D53" s="141"/>
      <c r="E53" s="141"/>
    </row>
    <row r="54" spans="1:5" x14ac:dyDescent="0.2">
      <c r="B54" s="141"/>
      <c r="C54" s="141"/>
      <c r="D54" s="141"/>
      <c r="E54" s="141"/>
    </row>
    <row r="55" spans="1:5" x14ac:dyDescent="0.2">
      <c r="A55" s="4" t="s">
        <v>119</v>
      </c>
      <c r="B55" s="141"/>
      <c r="C55" s="167">
        <v>528</v>
      </c>
      <c r="D55" s="141"/>
      <c r="E55" s="141"/>
    </row>
    <row r="56" spans="1:5" x14ac:dyDescent="0.2">
      <c r="B56" s="141"/>
      <c r="C56" s="141"/>
      <c r="D56" s="141"/>
      <c r="E56" s="141"/>
    </row>
    <row r="57" spans="1:5" x14ac:dyDescent="0.2">
      <c r="B57" s="141"/>
      <c r="C57" s="141"/>
      <c r="D57" s="141"/>
      <c r="E57" s="141"/>
    </row>
    <row r="58" spans="1:5" s="2" customFormat="1" x14ac:dyDescent="0.2">
      <c r="A58" s="5" t="s">
        <v>120</v>
      </c>
      <c r="B58" s="143"/>
      <c r="C58" s="168">
        <v>381258.61</v>
      </c>
      <c r="D58" s="143"/>
      <c r="E58" s="143"/>
    </row>
    <row r="59" spans="1:5" x14ac:dyDescent="0.2">
      <c r="B59" s="141"/>
      <c r="C59" s="141"/>
      <c r="D59" s="141"/>
    </row>
    <row r="60" spans="1:5" x14ac:dyDescent="0.2">
      <c r="B60" s="141"/>
      <c r="C60" s="141"/>
      <c r="D60" s="141"/>
    </row>
    <row r="61" spans="1:5" x14ac:dyDescent="0.2">
      <c r="B61" s="141"/>
      <c r="C61" s="141"/>
    </row>
  </sheetData>
  <mergeCells count="3">
    <mergeCell ref="B2:C2"/>
    <mergeCell ref="B25:C25"/>
    <mergeCell ref="B45:C45"/>
  </mergeCells>
  <phoneticPr fontId="0" type="noConversion"/>
  <pageMargins left="0.75" right="0.75" top="0.5" bottom="0.5" header="0.5" footer="0.2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F61"/>
  <sheetViews>
    <sheetView topLeftCell="A33" workbookViewId="0">
      <selection activeCell="U69" sqref="U6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191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10971</v>
      </c>
      <c r="C6" s="138">
        <v>1375461970.2399998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2427</v>
      </c>
      <c r="C7" s="138">
        <v>18936958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856</v>
      </c>
      <c r="C9" s="136">
        <v>41731000.010000005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0</v>
      </c>
      <c r="C10" s="136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1</v>
      </c>
      <c r="C11" s="136">
        <v>10000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0</v>
      </c>
      <c r="C12" s="136">
        <v>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2</v>
      </c>
      <c r="C14" s="135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6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191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1946</v>
      </c>
      <c r="C29" s="135">
        <v>1561334818.7699995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2267</v>
      </c>
      <c r="C30" s="135">
        <v>24032413.140000001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1469</v>
      </c>
      <c r="C32" s="135">
        <v>103904699.07999998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12</v>
      </c>
      <c r="C33" s="135">
        <v>1776500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2</v>
      </c>
      <c r="C34" s="135">
        <v>73200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3</v>
      </c>
      <c r="C35" s="135">
        <v>15000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361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2</v>
      </c>
      <c r="C37" s="135">
        <v>12500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183</v>
      </c>
      <c r="C39" s="135">
        <v>126035.8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32</v>
      </c>
      <c r="C40" s="135">
        <v>16252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191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5" x14ac:dyDescent="0.2">
      <c r="A49" s="6" t="s">
        <v>39</v>
      </c>
      <c r="B49" s="138">
        <v>1</v>
      </c>
      <c r="C49" s="138">
        <v>88000</v>
      </c>
      <c r="D49" s="141" t="s">
        <v>116</v>
      </c>
      <c r="E49" s="141"/>
    </row>
    <row r="50" spans="1:5" x14ac:dyDescent="0.2">
      <c r="A50" s="6" t="s">
        <v>40</v>
      </c>
      <c r="B50" s="138"/>
      <c r="C50" s="138"/>
      <c r="D50" s="141"/>
      <c r="E50" s="141"/>
    </row>
    <row r="51" spans="1:5" x14ac:dyDescent="0.2">
      <c r="A51" s="6" t="s">
        <v>42</v>
      </c>
      <c r="B51" s="138">
        <v>5</v>
      </c>
      <c r="C51" s="138">
        <v>2000</v>
      </c>
      <c r="D51" s="141" t="s">
        <v>117</v>
      </c>
      <c r="E51" s="141"/>
    </row>
    <row r="52" spans="1:5" x14ac:dyDescent="0.2">
      <c r="B52" s="141"/>
      <c r="C52" s="141"/>
      <c r="D52" s="141"/>
      <c r="E52" s="141"/>
    </row>
    <row r="53" spans="1:5" x14ac:dyDescent="0.2">
      <c r="A53" s="2" t="s">
        <v>118</v>
      </c>
      <c r="B53" s="143">
        <v>0</v>
      </c>
      <c r="C53" s="143"/>
      <c r="D53" s="141"/>
      <c r="E53" s="141"/>
    </row>
    <row r="54" spans="1:5" x14ac:dyDescent="0.2">
      <c r="B54" s="141"/>
      <c r="C54" s="141"/>
      <c r="D54" s="141"/>
      <c r="E54" s="141"/>
    </row>
    <row r="55" spans="1:5" x14ac:dyDescent="0.2">
      <c r="A55" s="4" t="s">
        <v>119</v>
      </c>
      <c r="B55" s="141"/>
      <c r="C55" s="167">
        <v>88</v>
      </c>
      <c r="D55" s="141"/>
      <c r="E55" s="141"/>
    </row>
    <row r="56" spans="1:5" x14ac:dyDescent="0.2">
      <c r="B56" s="141"/>
      <c r="C56" s="141"/>
      <c r="D56" s="141"/>
      <c r="E56" s="141"/>
    </row>
    <row r="57" spans="1:5" x14ac:dyDescent="0.2">
      <c r="B57" s="141"/>
      <c r="C57" s="141"/>
      <c r="D57" s="141"/>
      <c r="E57" s="141"/>
    </row>
    <row r="58" spans="1:5" s="2" customFormat="1" x14ac:dyDescent="0.2">
      <c r="A58" s="5" t="s">
        <v>120</v>
      </c>
      <c r="B58" s="143"/>
      <c r="C58" s="168">
        <v>144375.79999999999</v>
      </c>
      <c r="D58" s="143"/>
      <c r="E58" s="143"/>
    </row>
    <row r="59" spans="1:5" x14ac:dyDescent="0.2">
      <c r="B59" s="141"/>
      <c r="C59" s="141"/>
      <c r="D59" s="141"/>
    </row>
    <row r="60" spans="1:5" x14ac:dyDescent="0.2">
      <c r="B60" s="141"/>
      <c r="C60" s="141"/>
      <c r="D60" s="141"/>
    </row>
    <row r="61" spans="1:5" x14ac:dyDescent="0.2">
      <c r="B61" s="141"/>
      <c r="C61" s="141"/>
    </row>
  </sheetData>
  <mergeCells count="3">
    <mergeCell ref="B2:C2"/>
    <mergeCell ref="B25:C25"/>
    <mergeCell ref="B45:C45"/>
  </mergeCells>
  <phoneticPr fontId="0" type="noConversion"/>
  <pageMargins left="0.75" right="0.75" top="0.5" bottom="0.5" header="0.5" footer="0.25"/>
  <pageSetup scale="9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58"/>
  <sheetViews>
    <sheetView topLeftCell="A6" workbookViewId="0">
      <selection activeCell="C36" sqref="C36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1" t="s">
        <v>35</v>
      </c>
    </row>
    <row r="2" spans="1:32" x14ac:dyDescent="0.2">
      <c r="B2" s="297" t="s">
        <v>141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10211</v>
      </c>
      <c r="C6" s="144">
        <v>1100132468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1796</v>
      </c>
      <c r="C7" s="144">
        <v>15451320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1548</v>
      </c>
      <c r="C9" s="145">
        <v>40624000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1</v>
      </c>
      <c r="C10" s="145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3</v>
      </c>
      <c r="C11" s="145">
        <v>135000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1</v>
      </c>
      <c r="C12" s="145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0</v>
      </c>
      <c r="C14" s="135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6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tr">
        <f>B2</f>
        <v>Week ending 2/22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2449</v>
      </c>
      <c r="C29" s="135">
        <v>1765555183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1860</v>
      </c>
      <c r="C30" s="135">
        <v>22539170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1587</v>
      </c>
      <c r="C32" s="135">
        <v>107025834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14</v>
      </c>
      <c r="C33" s="135">
        <v>1613000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10</v>
      </c>
      <c r="C34" s="135">
        <v>640000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23</v>
      </c>
      <c r="C35" s="135">
        <v>377500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142</v>
      </c>
      <c r="C36" s="135">
        <v>5786000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6</v>
      </c>
      <c r="C37" s="135">
        <v>37500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72</v>
      </c>
      <c r="C39" s="135">
        <v>56436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tr">
        <f>B2</f>
        <v>Week ending 2/22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4" x14ac:dyDescent="0.2">
      <c r="A49" s="6" t="s">
        <v>39</v>
      </c>
      <c r="B49" s="79">
        <v>4</v>
      </c>
      <c r="C49" s="79">
        <v>176000</v>
      </c>
      <c r="D49" t="s">
        <v>116</v>
      </c>
    </row>
    <row r="50" spans="1:4" x14ac:dyDescent="0.2">
      <c r="A50" s="6" t="s">
        <v>40</v>
      </c>
      <c r="B50" s="79"/>
      <c r="C50" s="79"/>
    </row>
    <row r="51" spans="1:4" x14ac:dyDescent="0.2">
      <c r="A51" s="6" t="s">
        <v>42</v>
      </c>
      <c r="B51" s="79"/>
      <c r="C51" s="79"/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0">
        <f>C49/1000</f>
        <v>176</v>
      </c>
    </row>
    <row r="58" spans="1:4" s="2" customFormat="1" x14ac:dyDescent="0.2">
      <c r="A58" s="5" t="s">
        <v>120</v>
      </c>
      <c r="C58" s="81">
        <f>C55+C51+C40+C39+C17+C16</f>
        <v>56612</v>
      </c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58"/>
  <sheetViews>
    <sheetView topLeftCell="A8" workbookViewId="0">
      <pane xSplit="1" topLeftCell="B1" activePane="topRight" state="frozen"/>
      <selection activeCell="X7" sqref="X7"/>
      <selection pane="topRight" activeCell="X7" sqref="X7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45.140625" customWidth="1"/>
  </cols>
  <sheetData>
    <row r="1" spans="1:32" ht="23.25" x14ac:dyDescent="0.35">
      <c r="A1" s="71" t="s">
        <v>35</v>
      </c>
    </row>
    <row r="2" spans="1:32" x14ac:dyDescent="0.2">
      <c r="B2" s="297" t="s">
        <v>150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12043</v>
      </c>
      <c r="C6" s="138">
        <v>1626706705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1776</v>
      </c>
      <c r="C7" s="138">
        <v>19123325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1184</v>
      </c>
      <c r="C9" s="136">
        <v>33587500.009999998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1</v>
      </c>
      <c r="C10" s="136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2</v>
      </c>
      <c r="C11" s="136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4</v>
      </c>
      <c r="C12" s="136">
        <v>1200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0</v>
      </c>
      <c r="C14" s="135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7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150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3029</v>
      </c>
      <c r="C29" s="135">
        <v>1755371946.1900001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1995</v>
      </c>
      <c r="C30" s="135">
        <v>24524311.379999999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1409</v>
      </c>
      <c r="C32" s="135">
        <v>113725513.07000001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9</v>
      </c>
      <c r="C33" s="135">
        <v>705250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0</v>
      </c>
      <c r="C34" s="135">
        <v>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14</v>
      </c>
      <c r="C35" s="135">
        <v>68000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102</v>
      </c>
      <c r="C36" s="135">
        <v>4422278</v>
      </c>
      <c r="D36" s="33" t="s">
        <v>102</v>
      </c>
      <c r="E36" s="33"/>
      <c r="F36" s="157"/>
      <c r="G36" s="33"/>
      <c r="H36" s="33"/>
      <c r="I36" s="33"/>
      <c r="J36" s="33"/>
    </row>
    <row r="37" spans="1:10" x14ac:dyDescent="0.2">
      <c r="A37" s="6" t="s">
        <v>13</v>
      </c>
      <c r="B37" s="135">
        <v>3</v>
      </c>
      <c r="C37" s="135">
        <v>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107</v>
      </c>
      <c r="C39" s="135">
        <v>161955.196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150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4" x14ac:dyDescent="0.2">
      <c r="A49" s="6" t="s">
        <v>39</v>
      </c>
      <c r="B49" s="79">
        <v>5</v>
      </c>
      <c r="C49" s="79">
        <v>401000</v>
      </c>
      <c r="D49" t="s">
        <v>116</v>
      </c>
    </row>
    <row r="50" spans="1:4" x14ac:dyDescent="0.2">
      <c r="A50" s="6" t="s">
        <v>40</v>
      </c>
      <c r="B50" s="79"/>
      <c r="C50" s="79"/>
    </row>
    <row r="51" spans="1:4" x14ac:dyDescent="0.2">
      <c r="A51" s="6" t="s">
        <v>42</v>
      </c>
      <c r="B51" s="79">
        <v>5</v>
      </c>
      <c r="C51" s="79">
        <v>947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0">
        <v>401</v>
      </c>
    </row>
    <row r="58" spans="1:4" s="2" customFormat="1" x14ac:dyDescent="0.2">
      <c r="A58" s="5" t="s">
        <v>120</v>
      </c>
      <c r="C58" s="81">
        <v>163303.196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58"/>
  <sheetViews>
    <sheetView topLeftCell="A41" workbookViewId="0">
      <selection activeCell="H3" sqref="H3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1" t="s">
        <v>35</v>
      </c>
    </row>
    <row r="2" spans="1:32" x14ac:dyDescent="0.2">
      <c r="B2" s="297" t="s">
        <v>152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14417</v>
      </c>
      <c r="C6" s="138">
        <v>1693251006.4300001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2005</v>
      </c>
      <c r="C7" s="138">
        <v>15858405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1348</v>
      </c>
      <c r="C9" s="136">
        <v>37581000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1</v>
      </c>
      <c r="C10" s="136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3</v>
      </c>
      <c r="C11" s="136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7</v>
      </c>
      <c r="C12" s="136">
        <v>2100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0</v>
      </c>
      <c r="C14" s="135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6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152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2892</v>
      </c>
      <c r="C29" s="135">
        <v>2616814896.4299998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2410</v>
      </c>
      <c r="C30" s="135">
        <v>33742855.310000002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1753</v>
      </c>
      <c r="C32" s="135">
        <v>126016308.16000001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31</v>
      </c>
      <c r="C33" s="135">
        <v>2711200.02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1</v>
      </c>
      <c r="C34" s="135">
        <v>57000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15</v>
      </c>
      <c r="C35" s="135">
        <v>97500</v>
      </c>
      <c r="D35" s="33" t="s">
        <v>101</v>
      </c>
      <c r="E35" s="33">
        <v>4176550</v>
      </c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174</v>
      </c>
      <c r="C36" s="135">
        <v>4982000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3</v>
      </c>
      <c r="C37" s="135">
        <v>5200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117</v>
      </c>
      <c r="C39" s="135">
        <v>119654.16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152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4" x14ac:dyDescent="0.2">
      <c r="A49" s="6" t="s">
        <v>39</v>
      </c>
      <c r="B49" s="79">
        <v>7</v>
      </c>
      <c r="C49" s="79">
        <v>646000</v>
      </c>
      <c r="D49" t="s">
        <v>116</v>
      </c>
    </row>
    <row r="50" spans="1:4" x14ac:dyDescent="0.2">
      <c r="A50" s="6" t="s">
        <v>40</v>
      </c>
      <c r="B50" s="79"/>
      <c r="C50" s="79"/>
    </row>
    <row r="51" spans="1:4" x14ac:dyDescent="0.2">
      <c r="A51" s="6" t="s">
        <v>42</v>
      </c>
      <c r="B51" s="79">
        <v>4</v>
      </c>
      <c r="C51" s="79">
        <v>683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0">
        <v>646</v>
      </c>
    </row>
    <row r="58" spans="1:4" s="2" customFormat="1" x14ac:dyDescent="0.2">
      <c r="A58" s="5" t="s">
        <v>120</v>
      </c>
      <c r="C58" s="81">
        <v>120983.16</v>
      </c>
    </row>
  </sheetData>
  <mergeCells count="3">
    <mergeCell ref="B2:C2"/>
    <mergeCell ref="B25:C25"/>
    <mergeCell ref="B45:C45"/>
  </mergeCells>
  <phoneticPr fontId="0" type="noConversion"/>
  <pageMargins left="0" right="0" top="0" bottom="0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58"/>
  <sheetViews>
    <sheetView topLeftCell="A7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140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f>'[2]Thrusday 02-15-01'!S9+'[2]Thrusday 02-15-01'!S10+-'[2]Thursday 02-08-01'!S9-'[2]Thursday 02-08-01'!S10</f>
        <v>14423</v>
      </c>
      <c r="C6" s="138">
        <f>'[2]Thrusday 02-15-01'!S67+'[2]Thrusday 02-15-01'!S68-'[2]Thursday 02-08-01'!S67-'[2]Thursday 02-08-01'!S68</f>
        <v>1547814272.2600002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f>'[2]Thrusday 02-15-01'!S17+'[2]Thrusday 02-15-01'!S18-'[2]Thursday 02-08-01'!S17-'[2]Thursday 02-08-01'!S18</f>
        <v>2195</v>
      </c>
      <c r="C7" s="138">
        <f>'[2]Thrusday 02-15-01'!S75+'[2]Thrusday 02-15-01'!S76-'[2]Thursday 02-08-01'!S75-'[2]Thursday 02-08-01'!S76</f>
        <v>19115360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f>'[2]Thrusday 02-15-01'!S30+'[2]Thrusday 02-15-01'!S31+'[2]Thrusday 02-15-01'!S33-'[2]Thursday 02-08-01'!S30-'[2]Thursday 02-08-01'!S31-'[2]Thursday 02-08-01'!S33</f>
        <v>1567</v>
      </c>
      <c r="C9" s="136">
        <f>'[2]Thrusday 02-15-01'!S88+'[2]Thrusday 02-15-01'!S89+'[2]Thrusday 02-15-01'!S91-'[2]Thursday 02-08-01'!S88-'[2]Thursday 02-08-01'!S89-'[2]Thursday 02-08-01'!S91</f>
        <v>40310000.009999976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f>'[2]Thrusday 02-15-01'!S34-'[2]Thursday 02-08-01'!S34</f>
        <v>3</v>
      </c>
      <c r="C10" s="136">
        <f>'[2]Thrusday 02-15-01'!S92-'[2]Thursday 02-08-01'!S92</f>
        <v>82750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f>'[2]Thrusday 02-15-01'!S35-'[2]Thursday 02-08-01'!S35</f>
        <v>19</v>
      </c>
      <c r="C11" s="136">
        <f>'[2]Thrusday 02-15-01'!S93-'[2]Thursday 02-08-01'!S93</f>
        <v>825000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f>'[2]Thrusday 02-15-01'!S39-'[2]Thursday 02-08-01'!S39</f>
        <v>10</v>
      </c>
      <c r="C12" s="136">
        <f>'[2]Thrusday 02-15-01'!S97-'[2]Thursday 02-08-01'!S97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f>'[2]Thrusday 02-15-01'!S48-'[2]Thursday 02-08-01'!S47</f>
        <v>0</v>
      </c>
      <c r="C13" s="136">
        <f>'[2]Thrusday 02-15-01'!S105-'[2]Thursday 02-08-01'!S105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f>'[2]Thrusday 02-15-01'!S37-'[2]Thursday 02-08-01'!S37</f>
        <v>8</v>
      </c>
      <c r="C14" s="136">
        <f>'[2]Thrusday 02-15-01'!S95-'[2]Thursday 02-08-01'!S95</f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f>'[2]Thrusday 02-15-01'!S38-'[2]Thursday 02-08-01'!S38</f>
        <v>0</v>
      </c>
      <c r="C16" s="136">
        <f>'[2]Thrusday 02-15-01'!S96-'[2]Thursday 02-08-01'!S96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f>'[2]Thrusday 02-15-01'!S44-'[2]Thursday 02-08-01'!S44</f>
        <v>0</v>
      </c>
      <c r="C17" s="136">
        <f>'[2]Thrusday 02-15-01'!S102-'[2]Thursday 02-08-01'!S101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4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140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f>'[2]Thrusday 02-15-01'!T9+'[2]Thrusday 02-15-01'!T10-'[2]Thursday 02-08-01'!T9-'[2]Thursday 02-08-01'!T10</f>
        <v>2800</v>
      </c>
      <c r="C29" s="135">
        <f>'[2]Thrusday 02-15-01'!T67+'[2]Thrusday 02-15-01'!T68-'[2]Thursday 02-08-01'!T67-'[2]Thursday 02-08-01'!T68</f>
        <v>2702923729.9499989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f>'[2]Thrusday 02-15-01'!T17+'[2]Thrusday 02-15-01'!T18-'[2]Thursday 02-08-01'!T17-'[2]Thursday 02-08-01'!T18</f>
        <v>2392</v>
      </c>
      <c r="C30" s="135">
        <f>'[2]Thrusday 02-15-01'!T75+'[2]Thrusday 02-15-01'!T76-'[2]Thursday 02-08-01'!T75-'[2]Thursday 02-08-01'!T76</f>
        <v>29975959.190000027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f>'[2]Thrusday 02-15-01'!T30+'[2]Thrusday 02-15-01'!T31+'[2]Thrusday 02-15-01'!T33-'[2]Thursday 02-08-01'!T30-'[2]Thursday 02-08-01'!T31-'[2]Thursday 02-08-01'!T33</f>
        <v>1786</v>
      </c>
      <c r="C32" s="135">
        <f>'[2]Thrusday 02-15-01'!T88+'[2]Thrusday 02-15-01'!T89+'[2]Thrusday 02-15-01'!T91-'[2]Thursday 02-08-01'!T88-'[2]Thursday 02-08-01'!T89-'[2]Thursday 02-08-01'!T91</f>
        <v>134484274.45999992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f>'[2]Thrusday 02-15-01'!T34-'[2]Thursday 02-08-01'!T34</f>
        <v>13</v>
      </c>
      <c r="C33" s="135">
        <f>'[2]Thrusday 02-15-01'!T92-'[2]Thursday 02-08-01'!T92</f>
        <v>1827699.9600000009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f>'[2]Thrusday 02-15-01'!T35-'[2]Thursday 02-08-01'!T35</f>
        <v>23</v>
      </c>
      <c r="C34" s="135">
        <f>'[2]Thrusday 02-15-01'!T93-'[2]Thursday 02-08-01'!T93</f>
        <v>1302500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f>'[2]Thrusday 02-15-01'!T39-'[2]Thursday 02-08-01'!T39</f>
        <v>29</v>
      </c>
      <c r="C35" s="135">
        <f>'[2]Thrusday 02-15-01'!T97-'[2]Thursday 02-08-01'!T97</f>
        <v>140000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f>'[2]Thrusday 02-15-01'!T48-'[2]Thursday 02-08-01'!T47</f>
        <v>122</v>
      </c>
      <c r="C36" s="135">
        <f>'[2]Thrusday 02-15-01'!T106-'[2]Thursday 02-08-01'!T105</f>
        <v>4975000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f>'[2]Thrusday 02-15-01'!T37-'[2]Thursday 02-08-01'!T37</f>
        <v>12</v>
      </c>
      <c r="C37" s="135">
        <f>'[2]Thrusday 02-15-01'!T95-'[2]Thursday 02-08-01'!T95</f>
        <v>30000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f>'[2]Thrusday 02-15-01'!T38-'[2]Thursday 02-08-01'!T38+34</f>
        <v>82</v>
      </c>
      <c r="C39" s="135">
        <v>9638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f>'[2]Thrusday 02-15-01'!T44-'[2]Thursday 02-08-01'!T43</f>
        <v>1</v>
      </c>
      <c r="C40" s="135">
        <f>'[2]Thrusday 02-15-01'!T102-'[2]Thursday 02-08-01'!T101</f>
        <v>1270.5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140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4" x14ac:dyDescent="0.2">
      <c r="A49" s="6" t="s">
        <v>39</v>
      </c>
      <c r="B49" s="79">
        <v>4</v>
      </c>
      <c r="C49" s="79">
        <v>374000</v>
      </c>
      <c r="D49" t="s">
        <v>116</v>
      </c>
    </row>
    <row r="50" spans="1:4" x14ac:dyDescent="0.2">
      <c r="A50" s="6" t="s">
        <v>40</v>
      </c>
      <c r="B50" s="79"/>
      <c r="C50" s="79"/>
    </row>
    <row r="51" spans="1:4" x14ac:dyDescent="0.2">
      <c r="A51" s="6" t="s">
        <v>42</v>
      </c>
      <c r="B51" s="79">
        <v>3</v>
      </c>
      <c r="C51" s="79">
        <v>680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0">
        <f>C49/1000</f>
        <v>374</v>
      </c>
    </row>
    <row r="58" spans="1:4" s="2" customFormat="1" x14ac:dyDescent="0.2">
      <c r="A58" s="5" t="s">
        <v>120</v>
      </c>
      <c r="C58" s="81">
        <f>C55+C51+C40+C39+C17+C16</f>
        <v>11962.5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F58"/>
  <sheetViews>
    <sheetView topLeftCell="A8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138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33">
        <f>'[1]Thrusday 02-08-01'!S9+'[1]Thrusday 02-08-01'!S10+-'[1]Thursday 02-01-01'!S9-'[1]Thursday 02-01-01'!S10</f>
        <v>15960</v>
      </c>
      <c r="C6" s="79">
        <f>'[1]Thrusday 02-08-01'!S67+'[1]Thrusday 02-08-01'!S68-'[1]Thursday 02-01-01'!S67-'[1]Thursday 02-01-01'!S68</f>
        <v>1917251550.2199991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33">
        <f>'[1]Thrusday 02-08-01'!S17+'[1]Thrusday 02-08-01'!S18-'[1]Thursday 02-01-01'!S17-'[1]Thursday 02-01-01'!S18</f>
        <v>2251</v>
      </c>
      <c r="C7" s="79">
        <f>'[1]Thrusday 02-08-01'!S75+'[1]Thrusday 02-08-01'!S76-'[1]Thursday 02-01-01'!S75-'[1]Thursday 02-01-01'!S76</f>
        <v>23577055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76"/>
      <c r="C8" s="117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33">
        <f>'[1]Thrusday 02-08-01'!S30+'[1]Thrusday 02-08-01'!S31+'[1]Thrusday 02-08-01'!S33-'[1]Thursday 02-01-01'!S30-'[1]Thursday 02-01-01'!S31-'[1]Thursday 02-01-01'!S33</f>
        <v>1758</v>
      </c>
      <c r="C9" s="133">
        <f>'[1]Thrusday 02-08-01'!S88+'[1]Thrusday 02-08-01'!S89+'[1]Thrusday 02-08-01'!S91-'[1]Thursday 02-01-01'!S88-'[1]Thursday 02-01-01'!S89-'[1]Thursday 02-01-01'!S91</f>
        <v>44727857.139999986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33">
        <f>'[1]Thrusday 02-08-01'!S34-'[1]Thursday 02-01-01'!S34</f>
        <v>6</v>
      </c>
      <c r="C10" s="133">
        <f>'[1]Thrusday 02-08-01'!S92-'[1]Thursday 02-01-01'!S92</f>
        <v>225000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33">
        <f>'[1]Thrusday 02-08-01'!S35-'[1]Thursday 02-01-01'!S35</f>
        <v>2</v>
      </c>
      <c r="C11" s="133">
        <f>'[1]Thrusday 02-08-01'!S93-'[1]Thursday 02-01-01'!S93</f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33">
        <f>'[1]Thrusday 02-08-01'!S39-'[1]Thursday 02-01-01'!S39</f>
        <v>13</v>
      </c>
      <c r="C12" s="133">
        <f>'[1]Thrusday 02-08-01'!S97-'[1]Thursday 02-01-01'!S97</f>
        <v>6400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f>'[1]Thrusday 02-08-01'!S47-'[1]Thursday 02-01-01'!S47</f>
        <v>0</v>
      </c>
      <c r="C13" s="133">
        <f>'[1]Thrusday 02-08-01'!S105-'[1]Thursday 02-01-01'!S105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33">
        <f>'[1]Thrusday 02-08-01'!S37-'[1]Thursday 02-01-01'!S37</f>
        <v>16</v>
      </c>
      <c r="C14" s="133">
        <f>'[1]Thrusday 02-08-01'!S95-'[1]Thursday 02-01-01'!S95</f>
        <v>40000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76"/>
      <c r="C15" s="117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f>'[1]Thrusday 02-08-01'!S38-'[1]Thursday 02-01-01'!S38+11</f>
        <v>11</v>
      </c>
      <c r="C16" s="136">
        <f>'[1]Thrusday 02-08-01'!S96-'[1]Thursday 02-01-01'!S96+1068</f>
        <v>1068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33">
        <f>'[1]Thrusday 02-08-01'!S43-'[1]Thursday 02-01-01'!S43</f>
        <v>0</v>
      </c>
      <c r="C17" s="133">
        <f>'[1]Thrusday 02-08-01'!S101-'[1]Thursday 02-01-01'!S101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76">
        <v>12</v>
      </c>
      <c r="C20" s="7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</row>
    <row r="25" spans="1:32" x14ac:dyDescent="0.2">
      <c r="B25" s="297" t="s">
        <v>138</v>
      </c>
      <c r="C25" s="298"/>
      <c r="D25" s="72" t="s">
        <v>109</v>
      </c>
    </row>
    <row r="26" spans="1:32" x14ac:dyDescent="0.2">
      <c r="A26" s="73" t="s">
        <v>110</v>
      </c>
      <c r="B26" s="74" t="s">
        <v>63</v>
      </c>
      <c r="C26" s="74" t="s">
        <v>111</v>
      </c>
      <c r="D26" s="75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33">
        <f>'[1]Thrusday 02-08-01'!T9+'[1]Thrusday 02-08-01'!T10-'[1]Thursday 02-01-01'!T9-'[1]Thursday 02-01-01'!T10</f>
        <v>2561</v>
      </c>
      <c r="C29" s="33">
        <f>'[1]Thrusday 02-08-01'!T67+'[1]Thrusday 02-08-01'!T68-'[1]Thursday 02-01-01'!T67-'[1]Thursday 02-01-01'!T68</f>
        <v>1668926814.4200001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33">
        <f>'[1]Thrusday 02-08-01'!T17+'[1]Thrusday 02-08-01'!T18-'[1]Thursday 02-01-01'!T17-'[1]Thursday 02-01-01'!T18</f>
        <v>2380</v>
      </c>
      <c r="C30" s="33">
        <f>'[1]Thrusday 02-08-01'!T75+'[1]Thrusday 02-08-01'!T76-'[1]Thursday 02-01-01'!T75-'[1]Thursday 02-01-01'!T76</f>
        <v>27822910.140000008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76"/>
      <c r="C31" s="33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33">
        <f>'[1]Thrusday 02-08-01'!T30+'[1]Thrusday 02-08-01'!T31+'[1]Thrusday 02-08-01'!T33-'[1]Thursday 02-01-01'!T30-'[1]Thursday 02-01-01'!T31-'[1]Thursday 02-01-01'!T33</f>
        <v>1617</v>
      </c>
      <c r="C32" s="33">
        <f>'[1]Thrusday 02-08-01'!T88+'[1]Thrusday 02-08-01'!T89+'[1]Thrusday 02-08-01'!T91-'[1]Thursday 02-01-01'!T88-'[1]Thursday 02-01-01'!T89-'[1]Thursday 02-01-01'!T91</f>
        <v>109669662.09000002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33">
        <f>'[1]Thrusday 02-08-01'!T34-'[1]Thursday 02-01-01'!T34</f>
        <v>23</v>
      </c>
      <c r="C33" s="33">
        <f>'[1]Thrusday 02-08-01'!T92-'[1]Thursday 02-01-01'!T92</f>
        <v>3909990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33">
        <f>'[1]Thrusday 02-08-01'!T35-'[1]Thursday 02-01-01'!T35</f>
        <v>21</v>
      </c>
      <c r="C34" s="33">
        <f>'[1]Thrusday 02-08-01'!T93-'[1]Thursday 02-01-01'!T93</f>
        <v>1437499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33">
        <f>'[1]Thrusday 02-08-01'!T39-'[1]Thursday 02-01-01'!T39</f>
        <v>11</v>
      </c>
      <c r="C35" s="33">
        <f>'[1]Thrusday 02-08-01'!T97-'[1]Thursday 02-01-01'!T97</f>
        <v>97000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f>'[1]Thrusday 02-08-01'!T47-'[1]Thursday 02-01-01'!T47</f>
        <v>153</v>
      </c>
      <c r="C36" s="33">
        <f>'[1]Thrusday 02-08-01'!T105-'[1]Thursday 02-01-01'!T105</f>
        <v>8754250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33">
        <f>'[1]Thrusday 02-08-01'!T37-'[1]Thursday 02-01-01'!T37</f>
        <v>17</v>
      </c>
      <c r="C37" s="33">
        <f>'[1]Thrusday 02-08-01'!T95-'[1]Thursday 02-01-01'!T95</f>
        <v>60100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76"/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f>'[1]Thrusday 02-08-01'!T38-'[1]Thursday 02-01-01'!T38+25</f>
        <v>88</v>
      </c>
      <c r="C39" s="135">
        <f>'[1]Thrusday 02-08-01'!T96-'[1]Thursday 02-01-01'!T96+24083</f>
        <v>83999.899999999965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33">
        <f>'[1]Thrusday 02-08-01'!T43-'[1]Thursday 02-01-01'!T43</f>
        <v>10</v>
      </c>
      <c r="C40" s="33">
        <f>'[1]Thrusday 02-08-01'!T101-'[1]Thursday 02-01-01'!T101</f>
        <v>20000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</row>
    <row r="45" spans="1:10" x14ac:dyDescent="0.2">
      <c r="B45" s="297" t="s">
        <v>138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4" x14ac:dyDescent="0.2">
      <c r="A49" s="6" t="s">
        <v>39</v>
      </c>
      <c r="B49" s="79">
        <v>7</v>
      </c>
      <c r="C49" s="79">
        <v>668000</v>
      </c>
      <c r="D49" t="s">
        <v>116</v>
      </c>
    </row>
    <row r="50" spans="1:4" x14ac:dyDescent="0.2">
      <c r="A50" s="6" t="s">
        <v>40</v>
      </c>
      <c r="B50" s="79"/>
      <c r="C50" s="79"/>
    </row>
    <row r="51" spans="1:4" x14ac:dyDescent="0.2">
      <c r="A51" s="6" t="s">
        <v>42</v>
      </c>
      <c r="B51" s="79">
        <v>5</v>
      </c>
      <c r="C51" s="79">
        <v>1130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0">
        <f>C49/1000</f>
        <v>668</v>
      </c>
    </row>
    <row r="58" spans="1:4" s="2" customFormat="1" x14ac:dyDescent="0.2">
      <c r="A58" s="5" t="s">
        <v>120</v>
      </c>
      <c r="C58" s="81">
        <f>C55+C51+C40+C39+C17+C16</f>
        <v>106865.89999999997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58"/>
  <sheetViews>
    <sheetView topLeftCell="A30" workbookViewId="0">
      <pane xSplit="1" topLeftCell="B1" activePane="topRight" state="frozen"/>
      <selection activeCell="Q10" sqref="Q10"/>
      <selection pane="topRight" activeCell="Q10" sqref="Q10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173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15177</v>
      </c>
      <c r="C6" s="138">
        <v>1871114782.54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2512</v>
      </c>
      <c r="C7" s="138">
        <v>26007420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1324</v>
      </c>
      <c r="C9" s="136">
        <v>37574000.020000011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1</v>
      </c>
      <c r="C10" s="136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4</v>
      </c>
      <c r="C11" s="136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2</v>
      </c>
      <c r="C12" s="136">
        <v>600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9</v>
      </c>
      <c r="C14" s="135">
        <v>22500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2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173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2680</v>
      </c>
      <c r="C29" s="135">
        <v>1759586008.0200002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2417</v>
      </c>
      <c r="C30" s="135">
        <v>26887997.969999999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1693</v>
      </c>
      <c r="C32" s="135">
        <v>146278275.05000001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11</v>
      </c>
      <c r="C33" s="135">
        <v>1684250.08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4</v>
      </c>
      <c r="C34" s="135">
        <v>82500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9</v>
      </c>
      <c r="C35" s="135">
        <v>45000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596</v>
      </c>
      <c r="C36" s="135">
        <v>17863222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7</v>
      </c>
      <c r="C37" s="135">
        <v>10350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155</v>
      </c>
      <c r="C39" s="135">
        <v>87311.55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173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4" x14ac:dyDescent="0.2">
      <c r="A49" s="6" t="s">
        <v>39</v>
      </c>
      <c r="B49" s="79">
        <v>7</v>
      </c>
      <c r="C49" s="79">
        <v>792000</v>
      </c>
      <c r="D49" t="s">
        <v>116</v>
      </c>
    </row>
    <row r="50" spans="1:4" x14ac:dyDescent="0.2">
      <c r="A50" s="6" t="s">
        <v>40</v>
      </c>
      <c r="B50" s="79"/>
      <c r="C50" s="79"/>
    </row>
    <row r="51" spans="1:4" x14ac:dyDescent="0.2">
      <c r="A51" s="6" t="s">
        <v>42</v>
      </c>
      <c r="B51" s="79">
        <v>11</v>
      </c>
      <c r="C51" s="79">
        <v>4480</v>
      </c>
      <c r="D51" t="s">
        <v>117</v>
      </c>
    </row>
    <row r="53" spans="1:4" x14ac:dyDescent="0.2">
      <c r="A53" s="2" t="s">
        <v>118</v>
      </c>
      <c r="B53" s="2">
        <v>2</v>
      </c>
      <c r="C53" s="2"/>
    </row>
    <row r="55" spans="1:4" x14ac:dyDescent="0.2">
      <c r="A55" s="4" t="s">
        <v>119</v>
      </c>
      <c r="C55" s="80">
        <v>792</v>
      </c>
    </row>
    <row r="58" spans="1:4" s="2" customFormat="1" x14ac:dyDescent="0.2">
      <c r="A58" s="5" t="s">
        <v>120</v>
      </c>
      <c r="C58" s="81">
        <v>92583.55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58"/>
  <sheetViews>
    <sheetView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1" t="s">
        <v>35</v>
      </c>
    </row>
    <row r="2" spans="1:32" x14ac:dyDescent="0.2">
      <c r="B2" s="297" t="s">
        <v>181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14137</v>
      </c>
      <c r="C6" s="138">
        <v>1754284573.9000001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2252</v>
      </c>
      <c r="C7" s="138">
        <v>18605150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1314</v>
      </c>
      <c r="C9" s="136">
        <v>44978000.00999999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1</v>
      </c>
      <c r="C10" s="136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0</v>
      </c>
      <c r="C11" s="136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5</v>
      </c>
      <c r="C12" s="136">
        <v>1500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2</v>
      </c>
      <c r="C14" s="135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2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181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2558</v>
      </c>
      <c r="C29" s="135">
        <v>1717688901.2599998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2521</v>
      </c>
      <c r="C30" s="135">
        <v>30972225.48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1583</v>
      </c>
      <c r="C32" s="135">
        <v>165861721.75999996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27</v>
      </c>
      <c r="C33" s="135">
        <v>1028500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5</v>
      </c>
      <c r="C34" s="135">
        <v>206200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12</v>
      </c>
      <c r="C35" s="135">
        <v>52500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306</v>
      </c>
      <c r="C36" s="135">
        <v>8685000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14</v>
      </c>
      <c r="C37" s="135">
        <v>67050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207</v>
      </c>
      <c r="C39" s="135">
        <v>268130.31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14</v>
      </c>
      <c r="C40" s="135">
        <v>5600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181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4" x14ac:dyDescent="0.2">
      <c r="A49" s="6" t="s">
        <v>39</v>
      </c>
      <c r="B49" s="79">
        <v>5</v>
      </c>
      <c r="C49" s="79">
        <v>612000</v>
      </c>
      <c r="D49" t="s">
        <v>116</v>
      </c>
    </row>
    <row r="50" spans="1:4" x14ac:dyDescent="0.2">
      <c r="A50" s="6" t="s">
        <v>40</v>
      </c>
      <c r="B50" s="79"/>
      <c r="C50" s="79"/>
    </row>
    <row r="51" spans="1:4" x14ac:dyDescent="0.2">
      <c r="A51" s="6" t="s">
        <v>42</v>
      </c>
      <c r="B51" s="79">
        <v>3</v>
      </c>
      <c r="C51" s="79">
        <v>1420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0">
        <v>612</v>
      </c>
    </row>
    <row r="58" spans="1:4" s="2" customFormat="1" x14ac:dyDescent="0.2">
      <c r="A58" s="5" t="s">
        <v>120</v>
      </c>
      <c r="C58" s="81">
        <v>275762.31</v>
      </c>
    </row>
  </sheetData>
  <mergeCells count="3">
    <mergeCell ref="B2:C2"/>
    <mergeCell ref="B25:C25"/>
    <mergeCell ref="B45:C45"/>
  </mergeCells>
  <phoneticPr fontId="0" type="noConversion"/>
  <pageMargins left="0" right="0" top="0.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F58"/>
  <sheetViews>
    <sheetView topLeftCell="A36"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1" t="s">
        <v>35</v>
      </c>
    </row>
    <row r="2" spans="1:32" x14ac:dyDescent="0.2">
      <c r="B2" s="297" t="s">
        <v>183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16658</v>
      </c>
      <c r="C6" s="138">
        <v>2284624434.1600003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2303</v>
      </c>
      <c r="C7" s="138">
        <v>19431220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1074</v>
      </c>
      <c r="C9" s="136">
        <v>52381000.00999999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0</v>
      </c>
      <c r="C10" s="136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1</v>
      </c>
      <c r="C11" s="136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1</v>
      </c>
      <c r="C12" s="136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8</v>
      </c>
      <c r="C14" s="135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3</v>
      </c>
      <c r="C17" s="135">
        <v>3000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4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183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3926</v>
      </c>
      <c r="C29" s="135">
        <v>2650733445.7600007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2493</v>
      </c>
      <c r="C30" s="135">
        <v>27769371.540000003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1746</v>
      </c>
      <c r="C32" s="135">
        <v>141361829.88000003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14</v>
      </c>
      <c r="C33" s="135">
        <v>2047003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10</v>
      </c>
      <c r="C34" s="135">
        <v>1188000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6</v>
      </c>
      <c r="C35" s="135">
        <v>25500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552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15</v>
      </c>
      <c r="C37" s="135">
        <v>81950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81</v>
      </c>
      <c r="C39" s="135">
        <v>111616.08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183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5" x14ac:dyDescent="0.2">
      <c r="A49" s="6" t="s">
        <v>39</v>
      </c>
      <c r="B49" s="138">
        <v>9</v>
      </c>
      <c r="C49" s="138">
        <v>1112000</v>
      </c>
      <c r="D49" s="141" t="s">
        <v>116</v>
      </c>
      <c r="E49" s="141"/>
    </row>
    <row r="50" spans="1:5" x14ac:dyDescent="0.2">
      <c r="A50" s="6" t="s">
        <v>40</v>
      </c>
      <c r="B50" s="138"/>
      <c r="C50" s="138"/>
      <c r="D50" s="141"/>
      <c r="E50" s="141"/>
    </row>
    <row r="51" spans="1:5" x14ac:dyDescent="0.2">
      <c r="A51" s="6" t="s">
        <v>42</v>
      </c>
      <c r="B51" s="138">
        <v>12</v>
      </c>
      <c r="C51" s="138">
        <v>53500</v>
      </c>
      <c r="D51" s="141" t="s">
        <v>117</v>
      </c>
      <c r="E51" s="141"/>
    </row>
    <row r="52" spans="1:5" x14ac:dyDescent="0.2">
      <c r="B52" s="141"/>
      <c r="C52" s="141"/>
      <c r="D52" s="141"/>
      <c r="E52" s="141"/>
    </row>
    <row r="53" spans="1:5" x14ac:dyDescent="0.2">
      <c r="A53" s="2" t="s">
        <v>118</v>
      </c>
      <c r="B53" s="143">
        <v>1</v>
      </c>
      <c r="C53" s="143"/>
      <c r="D53" s="141"/>
      <c r="E53" s="141"/>
    </row>
    <row r="54" spans="1:5" x14ac:dyDescent="0.2">
      <c r="B54" s="141"/>
      <c r="C54" s="141"/>
      <c r="D54" s="141"/>
      <c r="E54" s="141"/>
    </row>
    <row r="55" spans="1:5" x14ac:dyDescent="0.2">
      <c r="A55" s="4" t="s">
        <v>119</v>
      </c>
      <c r="B55" s="141"/>
      <c r="C55" s="167">
        <v>1112</v>
      </c>
      <c r="D55" s="141"/>
      <c r="E55" s="141"/>
    </row>
    <row r="56" spans="1:5" x14ac:dyDescent="0.2">
      <c r="B56" s="141"/>
      <c r="C56" s="141"/>
      <c r="D56" s="141"/>
      <c r="E56" s="141"/>
    </row>
    <row r="57" spans="1:5" x14ac:dyDescent="0.2">
      <c r="B57" s="141"/>
      <c r="C57" s="141"/>
      <c r="D57" s="141"/>
      <c r="E57" s="141"/>
    </row>
    <row r="58" spans="1:5" s="2" customFormat="1" x14ac:dyDescent="0.2">
      <c r="A58" s="5" t="s">
        <v>120</v>
      </c>
      <c r="B58" s="143"/>
      <c r="C58" s="168">
        <v>169228.08</v>
      </c>
      <c r="D58" s="143"/>
      <c r="E58" s="143"/>
    </row>
  </sheetData>
  <mergeCells count="3">
    <mergeCell ref="B2:C2"/>
    <mergeCell ref="B25:C25"/>
    <mergeCell ref="B45:C45"/>
  </mergeCells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111"/>
  <sheetViews>
    <sheetView topLeftCell="E29" workbookViewId="0">
      <pane xSplit="1" topLeftCell="X1" activePane="topRight" state="frozen"/>
      <selection activeCell="V26" sqref="V26"/>
      <selection pane="topRight" activeCell="AA61" sqref="AA61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5" max="5" width="13.7109375" customWidth="1"/>
    <col min="6" max="6" width="11.5703125" customWidth="1"/>
    <col min="7" max="7" width="14.42578125" bestFit="1" customWidth="1"/>
    <col min="8" max="8" width="10.85546875" bestFit="1" customWidth="1"/>
    <col min="9" max="9" width="10.85546875" style="16" bestFit="1" customWidth="1"/>
    <col min="10" max="10" width="9.7109375" bestFit="1" customWidth="1"/>
    <col min="11" max="12" width="9.7109375" customWidth="1"/>
    <col min="13" max="14" width="10.5703125" customWidth="1"/>
    <col min="15" max="15" width="11.140625" bestFit="1" customWidth="1"/>
    <col min="16" max="24" width="11.140625" customWidth="1"/>
    <col min="25" max="26" width="12.7109375" bestFit="1" customWidth="1"/>
    <col min="27" max="27" width="12.7109375" customWidth="1"/>
    <col min="28" max="28" width="15.85546875" customWidth="1"/>
    <col min="29" max="29" width="6.140625" customWidth="1"/>
    <col min="30" max="30" width="13.85546875" bestFit="1" customWidth="1"/>
  </cols>
  <sheetData>
    <row r="1" spans="1:30" hidden="1" x14ac:dyDescent="0.2">
      <c r="A1" s="7" t="s">
        <v>63</v>
      </c>
      <c r="E1" t="s">
        <v>77</v>
      </c>
    </row>
    <row r="2" spans="1:30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30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30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30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30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30" hidden="1" x14ac:dyDescent="0.2">
      <c r="A7" s="7" t="s">
        <v>54</v>
      </c>
      <c r="B7">
        <v>5</v>
      </c>
    </row>
    <row r="8" spans="1:30" hidden="1" x14ac:dyDescent="0.2">
      <c r="A8" s="7" t="s">
        <v>56</v>
      </c>
      <c r="B8">
        <v>10</v>
      </c>
    </row>
    <row r="9" spans="1:30" hidden="1" x14ac:dyDescent="0.2">
      <c r="A9" s="7" t="s">
        <v>55</v>
      </c>
      <c r="B9">
        <v>20</v>
      </c>
    </row>
    <row r="10" spans="1:30" x14ac:dyDescent="0.2">
      <c r="E10" s="85" t="s">
        <v>63</v>
      </c>
    </row>
    <row r="11" spans="1:30" ht="15" x14ac:dyDescent="0.25">
      <c r="A11" s="7" t="s">
        <v>62</v>
      </c>
      <c r="B11">
        <v>50</v>
      </c>
      <c r="F11" s="82" t="s">
        <v>121</v>
      </c>
      <c r="G11" s="82" t="s">
        <v>122</v>
      </c>
      <c r="H11" s="82" t="s">
        <v>123</v>
      </c>
      <c r="I11" s="82" t="s">
        <v>124</v>
      </c>
      <c r="J11" s="82" t="s">
        <v>136</v>
      </c>
      <c r="K11" s="82" t="s">
        <v>137</v>
      </c>
      <c r="L11" s="82" t="s">
        <v>139</v>
      </c>
      <c r="M11" s="82" t="s">
        <v>143</v>
      </c>
      <c r="N11" s="82" t="s">
        <v>144</v>
      </c>
      <c r="O11" s="82" t="s">
        <v>151</v>
      </c>
      <c r="P11" s="82" t="s">
        <v>167</v>
      </c>
      <c r="Q11" s="82" t="s">
        <v>180</v>
      </c>
      <c r="R11" s="82" t="s">
        <v>186</v>
      </c>
      <c r="S11" s="82" t="s">
        <v>187</v>
      </c>
      <c r="T11" s="82" t="s">
        <v>188</v>
      </c>
      <c r="U11" s="82" t="s">
        <v>190</v>
      </c>
      <c r="V11" s="82" t="s">
        <v>192</v>
      </c>
      <c r="W11" s="82" t="s">
        <v>201</v>
      </c>
      <c r="X11" s="82" t="s">
        <v>204</v>
      </c>
      <c r="Y11" s="82" t="s">
        <v>207</v>
      </c>
      <c r="Z11" s="82" t="s">
        <v>220</v>
      </c>
      <c r="AA11" s="82" t="s">
        <v>225</v>
      </c>
      <c r="AB11" s="82" t="s">
        <v>227</v>
      </c>
      <c r="AC11" s="201"/>
    </row>
    <row r="12" spans="1:30" x14ac:dyDescent="0.2">
      <c r="A12" s="7" t="s">
        <v>0</v>
      </c>
      <c r="B12">
        <v>175</v>
      </c>
      <c r="E12" t="s">
        <v>165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16">
        <f>+'template from individuals'!H37+'template from individuals'!I37</f>
        <v>16623</v>
      </c>
      <c r="J12" s="33">
        <f>+'WE 2-1 EOL Data'!B6+'WE 2-1 EOL Data'!B29</f>
        <v>19791</v>
      </c>
      <c r="K12" s="33">
        <f>+'WE 2-8 EOL Data'!B6+'WE 2-8 EOL Data'!B29</f>
        <v>18521</v>
      </c>
      <c r="L12" s="33">
        <f>+'WE 2-15 EOL Data'!$B6+'WE 2-15 EOL Data'!$B29</f>
        <v>17223</v>
      </c>
      <c r="M12" s="33">
        <f>+'WE 2-22 EOL Data'!$B6+'WE 2-22 EOL Data'!$B29</f>
        <v>12660</v>
      </c>
      <c r="N12" s="33">
        <f>+'WE 2-28 EOL Data'!B6+'WE 2-28 EOL Data'!B29</f>
        <v>15072</v>
      </c>
      <c r="O12" s="33">
        <f>+'WE 3-7 EOL Data'!B6+'WE 3-7 EOL Data'!B29</f>
        <v>17309</v>
      </c>
      <c r="P12" s="33">
        <f>+'WE 3-14 EOL Data'!B6+'WE 3-14 EOL Data'!B29</f>
        <v>17857</v>
      </c>
      <c r="Q12" s="33">
        <f t="shared" ref="Q12:V12" si="0">+Q13+Q14</f>
        <v>16695</v>
      </c>
      <c r="R12" s="33">
        <f t="shared" si="0"/>
        <v>20584</v>
      </c>
      <c r="S12" s="33">
        <f t="shared" si="0"/>
        <v>20385</v>
      </c>
      <c r="T12" s="33">
        <f t="shared" si="0"/>
        <v>18454</v>
      </c>
      <c r="U12" s="33">
        <f t="shared" si="0"/>
        <v>12917</v>
      </c>
      <c r="V12" s="33">
        <f t="shared" si="0"/>
        <v>18129</v>
      </c>
      <c r="W12" s="33">
        <f t="shared" ref="W12:AB12" si="1">+W13+W14</f>
        <v>20552</v>
      </c>
      <c r="X12" s="33">
        <f t="shared" si="1"/>
        <v>17060</v>
      </c>
      <c r="Y12" s="33">
        <f t="shared" si="1"/>
        <v>18249</v>
      </c>
      <c r="Z12" s="33">
        <f t="shared" si="1"/>
        <v>18093</v>
      </c>
      <c r="AA12" s="33">
        <f>SUM(AA13:AA14)</f>
        <v>17677</v>
      </c>
      <c r="AB12" s="33">
        <f t="shared" si="1"/>
        <v>21743</v>
      </c>
      <c r="AC12" s="33"/>
      <c r="AD12" s="83" t="s">
        <v>81</v>
      </c>
    </row>
    <row r="13" spans="1:30" x14ac:dyDescent="0.2">
      <c r="E13" s="1" t="s">
        <v>168</v>
      </c>
      <c r="J13" s="33"/>
      <c r="K13" s="33">
        <f>+'WE 2-8 EOL Data'!B29</f>
        <v>2561</v>
      </c>
      <c r="L13" s="33">
        <f>+'WE 2-15 EOL Data'!B29</f>
        <v>2800</v>
      </c>
      <c r="M13" s="33">
        <f>+'WE 2-22 EOL Data'!B29</f>
        <v>2449</v>
      </c>
      <c r="N13" s="33">
        <f>+'WE 2-28 EOL Data'!B29</f>
        <v>3029</v>
      </c>
      <c r="O13" s="33">
        <f>+'WE 3-7 EOL Data'!B29</f>
        <v>2892</v>
      </c>
      <c r="P13" s="33">
        <f>+'WE 3-14 EOL Data'!B29</f>
        <v>2680</v>
      </c>
      <c r="Q13" s="33">
        <f>+'WE 3-21 EOL Data'!B29</f>
        <v>2558</v>
      </c>
      <c r="R13" s="33">
        <f>+'WE 3-28 EOL Data'!B29</f>
        <v>3926</v>
      </c>
      <c r="S13" s="33">
        <f>+'WE 4-4 EOL Data'!B29</f>
        <v>3413</v>
      </c>
      <c r="T13" s="33">
        <f>+'WE 4-11 EOL Data'!B29</f>
        <v>2556</v>
      </c>
      <c r="U13" s="33">
        <f>+'WE 4-18 EOL Data'!B29</f>
        <v>1946</v>
      </c>
      <c r="V13" s="33">
        <f>+'WE 4-25 EOL Data'!B29</f>
        <v>3339</v>
      </c>
      <c r="W13" s="33">
        <f>+'WE 5-2 EOL Data'!B29</f>
        <v>3627</v>
      </c>
      <c r="X13" s="33">
        <f>+'WE 5-9 EOL Data'!B29</f>
        <v>2542</v>
      </c>
      <c r="Y13" s="33">
        <f>+'WE 5-16 EOL Data'!B29</f>
        <v>2547</v>
      </c>
      <c r="Z13" s="33">
        <f>+'WE 5-23 EOL Data'!B28</f>
        <v>2608</v>
      </c>
      <c r="AA13" s="33">
        <v>3281</v>
      </c>
      <c r="AB13" s="33">
        <f>+'WE 6-6 EOL Data'!$B$28</f>
        <v>2935</v>
      </c>
      <c r="AC13" s="33"/>
      <c r="AD13" s="83"/>
    </row>
    <row r="14" spans="1:30" x14ac:dyDescent="0.2">
      <c r="E14" s="1" t="s">
        <v>35</v>
      </c>
      <c r="J14" s="33"/>
      <c r="K14" s="33">
        <f>+'WE 2-8 EOL Data'!B6</f>
        <v>15960</v>
      </c>
      <c r="L14" s="33">
        <f>+'WE 2-15 EOL Data'!B6</f>
        <v>14423</v>
      </c>
      <c r="M14" s="33">
        <f>+'WE 2-22 EOL Data'!B6</f>
        <v>10211</v>
      </c>
      <c r="N14" s="33">
        <f>+'WE 2-28 EOL Data'!B6</f>
        <v>12043</v>
      </c>
      <c r="O14" s="33">
        <f>+'WE 3-7 EOL Data'!B6</f>
        <v>14417</v>
      </c>
      <c r="P14" s="33">
        <f>+'WE 3-14 EOL Data'!B6</f>
        <v>15177</v>
      </c>
      <c r="Q14" s="33">
        <f>+'WE 3-21 EOL Data'!B6</f>
        <v>14137</v>
      </c>
      <c r="R14" s="33">
        <f>+'WE 3-28 EOL Data'!B6</f>
        <v>16658</v>
      </c>
      <c r="S14" s="33">
        <f>+'WE 4-4 EOL Data'!B6</f>
        <v>16972</v>
      </c>
      <c r="T14" s="33">
        <f>+'WE 4-11 EOL Data'!B6</f>
        <v>15898</v>
      </c>
      <c r="U14" s="33">
        <f>+'WE 4-18 EOL Data'!B6</f>
        <v>10971</v>
      </c>
      <c r="V14" s="33">
        <f>+'WE 4-25 EOL Data'!B6</f>
        <v>14790</v>
      </c>
      <c r="W14" s="33">
        <f>+'WE 5-2 EOL Data'!B6</f>
        <v>16925</v>
      </c>
      <c r="X14" s="33">
        <f>+'WE 5-9 EOL Data'!B6</f>
        <v>14518</v>
      </c>
      <c r="Y14" s="33">
        <f>+'WE 5-16 EOL Data'!B6</f>
        <v>15702</v>
      </c>
      <c r="Z14" s="33">
        <f>+'WE 5-23 EOL Data'!B6</f>
        <v>15485</v>
      </c>
      <c r="AA14" s="33">
        <v>14396</v>
      </c>
      <c r="AB14" s="33">
        <f>+'WE 6-6 EOL Data'!$B$6</f>
        <v>18808</v>
      </c>
      <c r="AC14" s="33"/>
      <c r="AD14" s="83"/>
    </row>
    <row r="15" spans="1:30" x14ac:dyDescent="0.2">
      <c r="A15" s="7" t="s">
        <v>3</v>
      </c>
      <c r="B15">
        <v>2</v>
      </c>
      <c r="E15" t="s">
        <v>164</v>
      </c>
      <c r="F15">
        <f>+'template from individuals'!B38+'template from individuals'!C38</f>
        <v>1730</v>
      </c>
      <c r="G15">
        <f>+'template from individuals'!D38+'template from individuals'!E38</f>
        <v>3436</v>
      </c>
      <c r="H15">
        <f>+'template from individuals'!F38+'template from individuals'!G38</f>
        <v>3781</v>
      </c>
      <c r="I15" s="16">
        <f>+'template from individuals'!H38+'template from individuals'!I38</f>
        <v>3695</v>
      </c>
      <c r="J15" s="33">
        <f>+'WE 2-1 EOL Data'!B7+'WE 2-1 EOL Data'!B30</f>
        <v>4599</v>
      </c>
      <c r="K15" s="33">
        <f>+'WE 2-8 EOL Data'!B7+'WE 2-8 EOL Data'!B30</f>
        <v>4631</v>
      </c>
      <c r="L15" s="33">
        <f>+'WE 2-15 EOL Data'!$B7+'WE 2-15 EOL Data'!$B30</f>
        <v>4587</v>
      </c>
      <c r="M15" s="33">
        <f>+'WE 2-22 EOL Data'!$B7+'WE 2-22 EOL Data'!$B30</f>
        <v>3656</v>
      </c>
      <c r="N15" s="33">
        <f>+'WE 2-28 EOL Data'!B7+'WE 2-28 EOL Data'!B30</f>
        <v>3771</v>
      </c>
      <c r="O15" s="33">
        <f>+'WE 3-7 EOL Data'!B7+'WE 3-7 EOL Data'!B30</f>
        <v>4415</v>
      </c>
      <c r="P15" s="33">
        <f>+'WE 3-14 EOL Data'!B7+'WE 3-14 EOL Data'!B30</f>
        <v>4929</v>
      </c>
      <c r="Q15" s="33">
        <f t="shared" ref="Q15:V15" si="2">+Q16+Q17</f>
        <v>4773</v>
      </c>
      <c r="R15" s="33">
        <f t="shared" si="2"/>
        <v>4796</v>
      </c>
      <c r="S15" s="33">
        <f t="shared" si="2"/>
        <v>5262</v>
      </c>
      <c r="T15" s="33">
        <f t="shared" si="2"/>
        <v>5391</v>
      </c>
      <c r="U15" s="33">
        <f t="shared" si="2"/>
        <v>4694</v>
      </c>
      <c r="V15" s="33">
        <f t="shared" si="2"/>
        <v>5924</v>
      </c>
      <c r="W15" s="33">
        <f t="shared" ref="W15:AB15" si="3">+W16+W17</f>
        <v>6088</v>
      </c>
      <c r="X15" s="33">
        <f t="shared" si="3"/>
        <v>4946</v>
      </c>
      <c r="Y15" s="33">
        <f t="shared" si="3"/>
        <v>4960</v>
      </c>
      <c r="Z15" s="33">
        <f t="shared" si="3"/>
        <v>5325</v>
      </c>
      <c r="AA15" s="33">
        <f>SUM(AA16:AA17)</f>
        <v>4845</v>
      </c>
      <c r="AB15" s="33">
        <f t="shared" si="3"/>
        <v>6830</v>
      </c>
      <c r="AC15" s="33"/>
      <c r="AD15" s="83" t="s">
        <v>82</v>
      </c>
    </row>
    <row r="16" spans="1:30" x14ac:dyDescent="0.2">
      <c r="E16" s="1" t="s">
        <v>168</v>
      </c>
      <c r="J16" s="33"/>
      <c r="K16" s="33">
        <f>+'WE 2-8 EOL Data'!B30</f>
        <v>2380</v>
      </c>
      <c r="L16" s="33">
        <f>+'WE 2-15 EOL Data'!B30</f>
        <v>2392</v>
      </c>
      <c r="M16" s="33">
        <f>+'WE 2-22 EOL Data'!B30</f>
        <v>1860</v>
      </c>
      <c r="N16" s="33">
        <f>+'WE 2-28 EOL Data'!B30</f>
        <v>1995</v>
      </c>
      <c r="O16" s="33">
        <f>+'WE 3-7 EOL Data'!B30</f>
        <v>2410</v>
      </c>
      <c r="P16" s="33">
        <f>+'WE 3-14 EOL Data'!B30</f>
        <v>2417</v>
      </c>
      <c r="Q16" s="33">
        <f>+'WE 3-21 EOL Data'!B30</f>
        <v>2521</v>
      </c>
      <c r="R16" s="33">
        <f>+'WE 3-28 EOL Data'!B30</f>
        <v>2493</v>
      </c>
      <c r="S16" s="33">
        <f>+'WE 4-4 EOL Data'!B30</f>
        <v>2588</v>
      </c>
      <c r="T16" s="33">
        <f>+'WE 4-11 EOL Data'!B30</f>
        <v>2667</v>
      </c>
      <c r="U16" s="33">
        <f>+'WE 4-18 EOL Data'!B30</f>
        <v>2267</v>
      </c>
      <c r="V16" s="33">
        <f>+'WE 4-25 EOL Data'!B30</f>
        <v>2968</v>
      </c>
      <c r="W16" s="33">
        <f>+'WE 5-2 EOL Data'!B30</f>
        <v>2924</v>
      </c>
      <c r="X16" s="33">
        <f>+'WE 5-9 EOL Data'!B30</f>
        <v>2474</v>
      </c>
      <c r="Y16" s="33">
        <f>+'WE 5-16 EOL Data'!B30</f>
        <v>2390</v>
      </c>
      <c r="Z16" s="33">
        <f>+'WE 5-23 EOL Data'!B29</f>
        <v>2447</v>
      </c>
      <c r="AA16" s="33">
        <v>1904</v>
      </c>
      <c r="AB16" s="33">
        <f>+'WE 6-6 EOL Data'!$B$29</f>
        <v>2613</v>
      </c>
      <c r="AC16" s="33"/>
      <c r="AD16" s="83"/>
    </row>
    <row r="17" spans="1:30" x14ac:dyDescent="0.2">
      <c r="E17" s="1" t="s">
        <v>35</v>
      </c>
      <c r="J17" s="33"/>
      <c r="K17" s="33">
        <f>+'WE 2-8 EOL Data'!B7</f>
        <v>2251</v>
      </c>
      <c r="L17" s="33">
        <f>+'WE 2-15 EOL Data'!B7</f>
        <v>2195</v>
      </c>
      <c r="M17" s="33">
        <f>+'WE 2-22 EOL Data'!B7</f>
        <v>1796</v>
      </c>
      <c r="N17" s="33">
        <f>+'WE 2-28 EOL Data'!B7</f>
        <v>1776</v>
      </c>
      <c r="O17" s="33">
        <f>+'WE 3-7 EOL Data'!B7</f>
        <v>2005</v>
      </c>
      <c r="P17" s="33">
        <f>+'WE 3-14 EOL Data'!B7</f>
        <v>2512</v>
      </c>
      <c r="Q17" s="33">
        <f>+'WE 3-21 EOL Data'!B7</f>
        <v>2252</v>
      </c>
      <c r="R17" s="33">
        <f>+'WE 3-28 EOL Data'!B7</f>
        <v>2303</v>
      </c>
      <c r="S17" s="33">
        <f>+'WE 4-4 EOL Data'!B7</f>
        <v>2674</v>
      </c>
      <c r="T17" s="33">
        <f>+'WE 4-11 EOL Data'!B7</f>
        <v>2724</v>
      </c>
      <c r="U17" s="33">
        <f>+'WE 4-18 EOL Data'!B7</f>
        <v>2427</v>
      </c>
      <c r="V17" s="33">
        <f>+'WE 4-25 EOL Data'!B7</f>
        <v>2956</v>
      </c>
      <c r="W17" s="33">
        <f>+'WE 5-2 EOL Data'!B7</f>
        <v>3164</v>
      </c>
      <c r="X17" s="33">
        <f>+'WE 5-9 EOL Data'!B7</f>
        <v>2472</v>
      </c>
      <c r="Y17" s="33">
        <f>+'WE 5-16 EOL Data'!B7</f>
        <v>2570</v>
      </c>
      <c r="Z17" s="33">
        <f>+'WE 5-23 EOL Data'!B7</f>
        <v>2878</v>
      </c>
      <c r="AA17" s="33">
        <v>2941</v>
      </c>
      <c r="AB17" s="33">
        <f>+'WE 6-6 EOL Data'!$B$7</f>
        <v>4217</v>
      </c>
      <c r="AC17" s="33"/>
      <c r="AD17" s="83"/>
    </row>
    <row r="18" spans="1:30" x14ac:dyDescent="0.2">
      <c r="E18" t="s">
        <v>169</v>
      </c>
      <c r="J18" s="33"/>
      <c r="K18" s="159">
        <f t="shared" ref="K18:Q18" si="4">(+K17+K14)/(K15+K12)</f>
        <v>0.78658431237042159</v>
      </c>
      <c r="L18" s="159">
        <f t="shared" si="4"/>
        <v>0.76194406235671708</v>
      </c>
      <c r="M18" s="159">
        <f t="shared" si="4"/>
        <v>0.73590340769796514</v>
      </c>
      <c r="N18" s="159">
        <f t="shared" si="4"/>
        <v>0.73337578941782089</v>
      </c>
      <c r="O18" s="159">
        <f t="shared" si="4"/>
        <v>0.75593813294052659</v>
      </c>
      <c r="P18" s="159">
        <f t="shared" si="4"/>
        <v>0.77631001492144303</v>
      </c>
      <c r="Q18" s="159">
        <f t="shared" si="4"/>
        <v>0.76341531581889321</v>
      </c>
      <c r="R18" s="159">
        <f t="shared" ref="R18:AB18" si="5">(+R17+R14)/(R15+R12)</f>
        <v>0.74708431836091416</v>
      </c>
      <c r="S18" s="159">
        <f t="shared" si="5"/>
        <v>0.76601551838421644</v>
      </c>
      <c r="T18" s="159">
        <f t="shared" si="5"/>
        <v>0.78096036905011534</v>
      </c>
      <c r="U18" s="159">
        <f t="shared" si="5"/>
        <v>0.7607745159275453</v>
      </c>
      <c r="V18" s="159">
        <f t="shared" si="5"/>
        <v>0.73778738618883299</v>
      </c>
      <c r="W18" s="159">
        <f t="shared" si="5"/>
        <v>0.75409159159159156</v>
      </c>
      <c r="X18" s="159">
        <f t="shared" si="5"/>
        <v>0.77206216486412793</v>
      </c>
      <c r="Y18" s="159">
        <f t="shared" si="5"/>
        <v>0.78728079624283687</v>
      </c>
      <c r="Z18" s="159">
        <f t="shared" si="5"/>
        <v>0.78414040481680758</v>
      </c>
      <c r="AA18" s="159">
        <f t="shared" si="5"/>
        <v>0.76978065891128677</v>
      </c>
      <c r="AB18" s="159">
        <f t="shared" si="5"/>
        <v>0.80583067931263785</v>
      </c>
      <c r="AC18" s="159"/>
      <c r="AD18" s="83"/>
    </row>
    <row r="19" spans="1:30" x14ac:dyDescent="0.2">
      <c r="E19" s="5" t="s">
        <v>95</v>
      </c>
      <c r="J19" s="33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83"/>
    </row>
    <row r="20" spans="1:30" x14ac:dyDescent="0.2">
      <c r="E20" s="5" t="s">
        <v>182</v>
      </c>
      <c r="J20" s="33"/>
      <c r="K20" s="118">
        <f>+K13+K16</f>
        <v>4941</v>
      </c>
      <c r="L20" s="118">
        <f t="shared" ref="L20:Q20" si="6">+L13+L16</f>
        <v>5192</v>
      </c>
      <c r="M20" s="118">
        <f t="shared" si="6"/>
        <v>4309</v>
      </c>
      <c r="N20" s="118">
        <f t="shared" si="6"/>
        <v>5024</v>
      </c>
      <c r="O20" s="118">
        <f t="shared" si="6"/>
        <v>5302</v>
      </c>
      <c r="P20" s="118">
        <f t="shared" si="6"/>
        <v>5097</v>
      </c>
      <c r="Q20" s="118">
        <f t="shared" si="6"/>
        <v>5079</v>
      </c>
      <c r="R20" s="118">
        <f t="shared" ref="R20:W20" si="7">+R13+R16</f>
        <v>6419</v>
      </c>
      <c r="S20" s="118">
        <f t="shared" si="7"/>
        <v>6001</v>
      </c>
      <c r="T20" s="118">
        <f t="shared" si="7"/>
        <v>5223</v>
      </c>
      <c r="U20" s="118">
        <f t="shared" si="7"/>
        <v>4213</v>
      </c>
      <c r="V20" s="118">
        <f t="shared" si="7"/>
        <v>6307</v>
      </c>
      <c r="W20" s="118">
        <f t="shared" si="7"/>
        <v>6551</v>
      </c>
      <c r="X20" s="118">
        <f>+X13+X16</f>
        <v>5016</v>
      </c>
      <c r="Y20" s="118">
        <f>+Y13+Y16</f>
        <v>4937</v>
      </c>
      <c r="Z20" s="118">
        <f>+Z13+Z16</f>
        <v>5055</v>
      </c>
      <c r="AA20" s="118">
        <f>+AA13+AA16</f>
        <v>5185</v>
      </c>
      <c r="AB20" s="118">
        <f>+AB13+AB16</f>
        <v>5548</v>
      </c>
      <c r="AC20" s="118"/>
      <c r="AD20" s="83"/>
    </row>
    <row r="21" spans="1:30" x14ac:dyDescent="0.2">
      <c r="E21" s="5" t="s">
        <v>96</v>
      </c>
      <c r="J21" s="33"/>
      <c r="K21" s="118">
        <f>+K17+K14</f>
        <v>18211</v>
      </c>
      <c r="L21" s="118">
        <f t="shared" ref="L21:Q21" si="8">+L17+L14</f>
        <v>16618</v>
      </c>
      <c r="M21" s="118">
        <f t="shared" si="8"/>
        <v>12007</v>
      </c>
      <c r="N21" s="118">
        <f t="shared" si="8"/>
        <v>13819</v>
      </c>
      <c r="O21" s="118">
        <f t="shared" si="8"/>
        <v>16422</v>
      </c>
      <c r="P21" s="118">
        <f t="shared" si="8"/>
        <v>17689</v>
      </c>
      <c r="Q21" s="118">
        <f t="shared" si="8"/>
        <v>16389</v>
      </c>
      <c r="R21" s="118">
        <f t="shared" ref="R21:W21" si="9">+R17+R14</f>
        <v>18961</v>
      </c>
      <c r="S21" s="118">
        <f t="shared" si="9"/>
        <v>19646</v>
      </c>
      <c r="T21" s="118">
        <f t="shared" si="9"/>
        <v>18622</v>
      </c>
      <c r="U21" s="118">
        <f t="shared" si="9"/>
        <v>13398</v>
      </c>
      <c r="V21" s="118">
        <f t="shared" si="9"/>
        <v>17746</v>
      </c>
      <c r="W21" s="118">
        <f t="shared" si="9"/>
        <v>20089</v>
      </c>
      <c r="X21" s="118">
        <f>+X17+X14</f>
        <v>16990</v>
      </c>
      <c r="Y21" s="118">
        <f>+Y17+Y14</f>
        <v>18272</v>
      </c>
      <c r="Z21" s="118">
        <f>+Z17+Z14</f>
        <v>18363</v>
      </c>
      <c r="AA21" s="118">
        <f>+AA17+AA14</f>
        <v>17337</v>
      </c>
      <c r="AB21" s="118">
        <f>+AB17+AB14</f>
        <v>23025</v>
      </c>
      <c r="AC21" s="118"/>
      <c r="AD21" s="83"/>
    </row>
    <row r="22" spans="1:30" ht="15" x14ac:dyDescent="0.25">
      <c r="A22" s="7" t="s">
        <v>57</v>
      </c>
      <c r="B22">
        <v>20</v>
      </c>
      <c r="F22" s="82" t="s">
        <v>121</v>
      </c>
      <c r="G22" s="82" t="s">
        <v>122</v>
      </c>
      <c r="H22" s="82" t="s">
        <v>123</v>
      </c>
      <c r="I22" s="82" t="s">
        <v>124</v>
      </c>
      <c r="J22" s="82" t="s">
        <v>136</v>
      </c>
      <c r="K22" s="82" t="str">
        <f t="shared" ref="K22:P22" si="10">+K11</f>
        <v>2/2 - 2/8</v>
      </c>
      <c r="L22" s="82" t="str">
        <f t="shared" si="10"/>
        <v>2/9 - 2/15</v>
      </c>
      <c r="M22" s="82" t="str">
        <f t="shared" si="10"/>
        <v>2/16 - 2/22</v>
      </c>
      <c r="N22" s="82" t="str">
        <f t="shared" si="10"/>
        <v>2/23 - 2/28</v>
      </c>
      <c r="O22" s="82" t="str">
        <f t="shared" si="10"/>
        <v>3/1 - 3/7</v>
      </c>
      <c r="P22" s="82" t="str">
        <f t="shared" si="10"/>
        <v>3/8 - 3/14</v>
      </c>
      <c r="Q22" s="82" t="str">
        <f t="shared" ref="Q22:V22" si="11">+Q11</f>
        <v>3/15 - 3/21</v>
      </c>
      <c r="R22" s="82" t="str">
        <f t="shared" si="11"/>
        <v>3/22 - 3/28</v>
      </c>
      <c r="S22" s="82" t="str">
        <f t="shared" si="11"/>
        <v>3/29 - 4/4</v>
      </c>
      <c r="T22" s="82" t="str">
        <f t="shared" si="11"/>
        <v>4/5 - 4/11</v>
      </c>
      <c r="U22" s="82" t="str">
        <f t="shared" si="11"/>
        <v>4/12 - 4/18</v>
      </c>
      <c r="V22" s="82" t="str">
        <f t="shared" si="11"/>
        <v>4/19 - 4/25</v>
      </c>
      <c r="W22" s="82" t="str">
        <f>+W11</f>
        <v>4/26 - 5/2</v>
      </c>
      <c r="X22" s="82" t="str">
        <f>+X11</f>
        <v>5/3 - 5/9</v>
      </c>
      <c r="Y22" s="82" t="str">
        <f>+Y11</f>
        <v>5/10 - 5/16</v>
      </c>
      <c r="Z22" s="82" t="str">
        <f>+Z11</f>
        <v>5/17 - 5/23</v>
      </c>
      <c r="AA22" s="82" t="s">
        <v>225</v>
      </c>
      <c r="AB22" s="82" t="str">
        <f>AB11</f>
        <v>5/31 - 6/6</v>
      </c>
      <c r="AC22" s="201"/>
      <c r="AD22" s="84"/>
    </row>
    <row r="23" spans="1:30" x14ac:dyDescent="0.2">
      <c r="A23" s="7" t="s">
        <v>58</v>
      </c>
      <c r="B23">
        <v>30</v>
      </c>
      <c r="E23" t="s">
        <v>163</v>
      </c>
      <c r="F23">
        <f>+'template from individuals'!B45+'template from individuals'!C45</f>
        <v>91</v>
      </c>
      <c r="G23">
        <f>+'template from individuals'!D45+'template from individuals'!E45</f>
        <v>130</v>
      </c>
      <c r="H23">
        <f>+'template from individuals'!F45+'template from individuals'!G45</f>
        <v>103</v>
      </c>
      <c r="I23" s="16">
        <f>+'template from individuals'!H45+'template from individuals'!I45</f>
        <v>169</v>
      </c>
      <c r="J23" s="33">
        <f>+'WE 2-1 EOL Data'!B13+'WE 2-1 EOL Data'!B36</f>
        <v>145</v>
      </c>
      <c r="K23" s="33">
        <f>+'WE 2-8 EOL Data'!B13+'WE 2-8 EOL Data'!B36</f>
        <v>153</v>
      </c>
      <c r="L23" s="33">
        <f>+'WE 2-15 EOL Data'!$B13+'WE 2-15 EOL Data'!$B36</f>
        <v>122</v>
      </c>
      <c r="M23" s="33">
        <f>+'WE 2-22 EOL Data'!$B13+'WE 2-22 EOL Data'!$B36</f>
        <v>142</v>
      </c>
      <c r="N23" s="33">
        <f>+'WE 2-28 EOL Data'!B13+'WE 2-28 EOL Data'!B36</f>
        <v>102</v>
      </c>
      <c r="O23" s="33">
        <f>+'WE 3-7 EOL Data'!B13+'WE 3-7 EOL Data'!B36</f>
        <v>174</v>
      </c>
      <c r="P23" s="33">
        <f>+'WE 3-14 EOL Data'!B13+'WE 3-14 EOL Data'!B36</f>
        <v>596</v>
      </c>
      <c r="Q23" s="33">
        <f t="shared" ref="Q23:V23" si="12">+Q24+Q25</f>
        <v>306</v>
      </c>
      <c r="R23" s="33">
        <f t="shared" si="12"/>
        <v>552</v>
      </c>
      <c r="S23" s="33">
        <f t="shared" si="12"/>
        <v>537</v>
      </c>
      <c r="T23" s="33">
        <f t="shared" si="12"/>
        <v>580</v>
      </c>
      <c r="U23" s="33">
        <f t="shared" si="12"/>
        <v>361</v>
      </c>
      <c r="V23" s="33">
        <f t="shared" si="12"/>
        <v>645</v>
      </c>
      <c r="W23" s="33">
        <f t="shared" ref="W23:AB23" si="13">+W24+W25</f>
        <v>477</v>
      </c>
      <c r="X23" s="33">
        <f t="shared" si="13"/>
        <v>357</v>
      </c>
      <c r="Y23" s="33">
        <f t="shared" si="13"/>
        <v>430</v>
      </c>
      <c r="Z23" s="33">
        <f t="shared" si="13"/>
        <v>532</v>
      </c>
      <c r="AA23" s="33">
        <f t="shared" si="13"/>
        <v>357</v>
      </c>
      <c r="AB23" s="33">
        <f t="shared" si="13"/>
        <v>481</v>
      </c>
      <c r="AC23" s="33"/>
      <c r="AD23" s="83" t="s">
        <v>99</v>
      </c>
    </row>
    <row r="24" spans="1:30" x14ac:dyDescent="0.2">
      <c r="E24" s="1" t="s">
        <v>168</v>
      </c>
      <c r="J24" s="33"/>
      <c r="K24" s="33">
        <f>+'WE 2-8 EOL Data'!B36</f>
        <v>153</v>
      </c>
      <c r="L24" s="33">
        <f>+'WE 2-15 EOL Data'!B36</f>
        <v>122</v>
      </c>
      <c r="M24" s="33">
        <f>+'WE 2-22 EOL Data'!B36</f>
        <v>142</v>
      </c>
      <c r="N24" s="33">
        <f>+'WE 2-28 EOL Data'!B36</f>
        <v>102</v>
      </c>
      <c r="O24" s="33">
        <f>+'WE 3-7 EOL Data'!B36</f>
        <v>174</v>
      </c>
      <c r="P24" s="33">
        <f>+'WE 3-14 EOL Data'!B36</f>
        <v>596</v>
      </c>
      <c r="Q24" s="33">
        <f>+'WE 3-21 EOL Data'!B36</f>
        <v>306</v>
      </c>
      <c r="R24" s="33">
        <f>+'WE 3-28 EOL Data'!B36</f>
        <v>552</v>
      </c>
      <c r="S24" s="33">
        <f>+'WE 4-4 EOL Data'!B36</f>
        <v>537</v>
      </c>
      <c r="T24" s="33">
        <f>+'WE 4-11 EOL Data'!B36</f>
        <v>580</v>
      </c>
      <c r="U24" s="33">
        <f>+'WE 4-18 EOL Data'!B36</f>
        <v>361</v>
      </c>
      <c r="V24" s="33">
        <f>+'WE 4-25 EOL Data'!B36</f>
        <v>645</v>
      </c>
      <c r="W24" s="33">
        <f>+'WE 5-2 EOL Data'!B36</f>
        <v>477</v>
      </c>
      <c r="X24" s="33">
        <f>+'WE 5-9 EOL Data'!B36</f>
        <v>357</v>
      </c>
      <c r="Y24" s="33">
        <f>+'WE 5-16 EOL Data'!B36</f>
        <v>430</v>
      </c>
      <c r="Z24" s="33">
        <f>+'WE 5-23 EOL Data'!B35</f>
        <v>532</v>
      </c>
      <c r="AA24" s="33">
        <v>357</v>
      </c>
      <c r="AB24" s="33">
        <f>+'WE 6-6 EOL Data'!$B$35</f>
        <v>481</v>
      </c>
      <c r="AC24" s="33"/>
      <c r="AD24" s="83"/>
    </row>
    <row r="25" spans="1:30" x14ac:dyDescent="0.2">
      <c r="E25" s="1" t="s">
        <v>35</v>
      </c>
      <c r="J25" s="33"/>
      <c r="K25" s="33">
        <f>+'WE 2-8 EOL Data'!B13</f>
        <v>0</v>
      </c>
      <c r="L25" s="33">
        <f>+'WE 2-15 EOL Data'!B13</f>
        <v>0</v>
      </c>
      <c r="M25" s="33">
        <f>+'WE 2-22 EOL Data'!B13</f>
        <v>0</v>
      </c>
      <c r="N25" s="33">
        <f>+'WE 2-28 EOL Data'!B13</f>
        <v>0</v>
      </c>
      <c r="O25" s="33">
        <f>+'WE 3-7 EOL Data'!B13</f>
        <v>0</v>
      </c>
      <c r="P25" s="33">
        <f>+'WE 3-14 EOL Data'!B13</f>
        <v>0</v>
      </c>
      <c r="Q25" s="33">
        <f>+'WE 3-21 EOL Data'!B13</f>
        <v>0</v>
      </c>
      <c r="R25" s="33">
        <f>+'WE 3-28 EOL Data'!C13</f>
        <v>0</v>
      </c>
      <c r="S25" s="33">
        <f>+'WE 4-4 EOL Data'!B13</f>
        <v>0</v>
      </c>
      <c r="T25" s="33">
        <f>+'WE 4-11 EOL Data'!B13</f>
        <v>0</v>
      </c>
      <c r="U25" s="33">
        <f>+'WE 4-18 EOL Data'!B13</f>
        <v>0</v>
      </c>
      <c r="V25" s="33">
        <f>+'WE 4-25 EOL Data'!B13</f>
        <v>0</v>
      </c>
      <c r="W25" s="33">
        <f>+'WE 5-2 EOL Data'!B13</f>
        <v>0</v>
      </c>
      <c r="X25" s="33">
        <f>+'WE 5-9 EOL Data'!B13</f>
        <v>0</v>
      </c>
      <c r="Y25" s="33">
        <f>+'WE 5-16 EOL Data'!B13</f>
        <v>0</v>
      </c>
      <c r="Z25" s="33">
        <f>+'WE 5-23 EOL Data'!B13</f>
        <v>0</v>
      </c>
      <c r="AA25" s="33">
        <f>+'WE 6-6 EOL Data'!$B$13</f>
        <v>0</v>
      </c>
      <c r="AB25" s="33">
        <f>+'WE 6-6 EOL Data'!$B$13</f>
        <v>0</v>
      </c>
      <c r="AC25" s="33"/>
      <c r="AD25" s="83"/>
    </row>
    <row r="26" spans="1:30" x14ac:dyDescent="0.2">
      <c r="A26" s="7" t="s">
        <v>59</v>
      </c>
      <c r="B26">
        <v>1</v>
      </c>
      <c r="E26" t="s">
        <v>162</v>
      </c>
      <c r="F26">
        <f>+'template from individuals'!B47+'template from individuals'!C47</f>
        <v>1835</v>
      </c>
      <c r="G26">
        <f>+'template from individuals'!D47+'template from individuals'!E47</f>
        <v>3258</v>
      </c>
      <c r="H26">
        <f>+'template from individuals'!F47+'template from individuals'!G47</f>
        <v>2199</v>
      </c>
      <c r="I26" s="16">
        <f>+'template from individuals'!H47+'template from individuals'!I47</f>
        <v>3063</v>
      </c>
      <c r="J26" s="33">
        <f>+'WE 2-1 EOL Data'!B9+'WE 2-1 EOL Data'!B32</f>
        <v>3322</v>
      </c>
      <c r="K26" s="33">
        <f>+'WE 2-8 EOL Data'!B9+'WE 2-8 EOL Data'!B32</f>
        <v>3375</v>
      </c>
      <c r="L26" s="33">
        <f>+'WE 2-15 EOL Data'!$B9+'WE 2-15 EOL Data'!$B32</f>
        <v>3353</v>
      </c>
      <c r="M26" s="33">
        <f>+'WE 2-22 EOL Data'!$B9+'WE 2-22 EOL Data'!$B32</f>
        <v>3135</v>
      </c>
      <c r="N26" s="33">
        <f>+'WE 2-28 EOL Data'!B9+'WE 2-28 EOL Data'!B32</f>
        <v>2593</v>
      </c>
      <c r="O26" s="33">
        <f>+'WE 3-7 EOL Data'!B9+'WE 3-7 EOL Data'!B32</f>
        <v>3101</v>
      </c>
      <c r="P26" s="33">
        <f>+'WE 3-14 EOL Data'!B9+'WE 3-14 EOL Data'!B32</f>
        <v>3017</v>
      </c>
      <c r="Q26" s="33">
        <f t="shared" ref="Q26:V26" si="14">+Q27+Q28</f>
        <v>2897</v>
      </c>
      <c r="R26" s="33">
        <f t="shared" si="14"/>
        <v>2820</v>
      </c>
      <c r="S26" s="33">
        <f t="shared" si="14"/>
        <v>2992</v>
      </c>
      <c r="T26" s="33">
        <f t="shared" si="14"/>
        <v>2646</v>
      </c>
      <c r="U26" s="33">
        <f t="shared" si="14"/>
        <v>2325</v>
      </c>
      <c r="V26" s="33">
        <f t="shared" si="14"/>
        <v>2857</v>
      </c>
      <c r="W26" s="33">
        <f t="shared" ref="W26:AB26" si="15">+W27+W28</f>
        <v>2744</v>
      </c>
      <c r="X26" s="33">
        <f t="shared" si="15"/>
        <v>2320</v>
      </c>
      <c r="Y26" s="33">
        <f t="shared" si="15"/>
        <v>2922</v>
      </c>
      <c r="Z26" s="33">
        <f t="shared" si="15"/>
        <v>3442</v>
      </c>
      <c r="AA26" s="33">
        <f t="shared" si="15"/>
        <v>2999</v>
      </c>
      <c r="AB26" s="33">
        <f t="shared" si="15"/>
        <v>3705</v>
      </c>
      <c r="AC26" s="33"/>
      <c r="AD26" s="83" t="s">
        <v>100</v>
      </c>
    </row>
    <row r="27" spans="1:30" x14ac:dyDescent="0.2">
      <c r="E27" s="1" t="s">
        <v>168</v>
      </c>
      <c r="J27" s="33"/>
      <c r="K27" s="33">
        <f>+'WE 2-8 EOL Data'!B32</f>
        <v>1617</v>
      </c>
      <c r="L27" s="33">
        <f>+'WE 2-15 EOL Data'!B32</f>
        <v>1786</v>
      </c>
      <c r="M27" s="33">
        <f>+'WE 2-22 EOL Data'!B32</f>
        <v>1587</v>
      </c>
      <c r="N27" s="33">
        <f>+'WE 2-28 EOL Data'!B32</f>
        <v>1409</v>
      </c>
      <c r="O27" s="33">
        <f>+'WE 3-7 EOL Data'!B32</f>
        <v>1753</v>
      </c>
      <c r="P27" s="33">
        <f>+'WE 3-14 EOL Data'!B32</f>
        <v>1693</v>
      </c>
      <c r="Q27" s="33">
        <f>+'WE 3-21 EOL Data'!B32</f>
        <v>1583</v>
      </c>
      <c r="R27" s="33">
        <f>+'WE 3-28 EOL Data'!B32</f>
        <v>1746</v>
      </c>
      <c r="S27" s="33">
        <f>+'WE 4-4 EOL Data'!B32</f>
        <v>1861</v>
      </c>
      <c r="T27" s="33">
        <f>+'WE 4-11 EOL Data'!B32</f>
        <v>1690</v>
      </c>
      <c r="U27" s="33">
        <f>+'WE 4-18 EOL Data'!B32</f>
        <v>1469</v>
      </c>
      <c r="V27" s="33">
        <f>+'WE 4-25 EOL Data'!B32</f>
        <v>1830</v>
      </c>
      <c r="W27" s="33">
        <f>+'WE 5-2 EOL Data'!B32</f>
        <v>1728</v>
      </c>
      <c r="X27" s="33">
        <f>+'WE 5-9 EOL Data'!B32</f>
        <v>1174</v>
      </c>
      <c r="Y27" s="33">
        <f>+'WE 5-16 EOL Data'!B32</f>
        <v>1610</v>
      </c>
      <c r="Z27" s="33">
        <f>+'WE 5-23 EOL Data'!B31</f>
        <v>1864</v>
      </c>
      <c r="AA27" s="33">
        <v>1539</v>
      </c>
      <c r="AB27" s="33">
        <f>+'WE 6-6 EOL Data'!$B$31</f>
        <v>1643</v>
      </c>
      <c r="AC27" s="33"/>
      <c r="AD27" s="83"/>
    </row>
    <row r="28" spans="1:30" x14ac:dyDescent="0.2">
      <c r="E28" s="1" t="s">
        <v>35</v>
      </c>
      <c r="J28" s="33"/>
      <c r="K28" s="33">
        <f>+'WE 2-8 EOL Data'!B9</f>
        <v>1758</v>
      </c>
      <c r="L28" s="33">
        <f>+'WE 2-15 EOL Data'!B9</f>
        <v>1567</v>
      </c>
      <c r="M28" s="33">
        <f>+'WE 2-22 EOL Data'!B9</f>
        <v>1548</v>
      </c>
      <c r="N28" s="33">
        <f>+'WE 2-28 EOL Data'!B9</f>
        <v>1184</v>
      </c>
      <c r="O28" s="33">
        <f>+'WE 3-7 EOL Data'!B9</f>
        <v>1348</v>
      </c>
      <c r="P28" s="33">
        <f>+'WE 3-14 EOL Data'!B9</f>
        <v>1324</v>
      </c>
      <c r="Q28" s="33">
        <f>+'WE 3-21 EOL Data'!B9</f>
        <v>1314</v>
      </c>
      <c r="R28" s="33">
        <f>+'WE 3-28 EOL Data'!B9</f>
        <v>1074</v>
      </c>
      <c r="S28" s="33">
        <f>+'WE 4-4 EOL Data'!B9</f>
        <v>1131</v>
      </c>
      <c r="T28" s="33">
        <f>+'WE 4-11 EOL Data'!B9</f>
        <v>956</v>
      </c>
      <c r="U28" s="33">
        <f>+'WE 4-18 EOL Data'!B9</f>
        <v>856</v>
      </c>
      <c r="V28" s="33">
        <f>+'WE 4-25 EOL Data'!B9</f>
        <v>1027</v>
      </c>
      <c r="W28" s="33">
        <f>+'WE 5-2 EOL Data'!B9</f>
        <v>1016</v>
      </c>
      <c r="X28" s="33">
        <f>+'WE 5-9 EOL Data'!B9</f>
        <v>1146</v>
      </c>
      <c r="Y28" s="33">
        <f>+'WE 5-16 EOL Data'!B9</f>
        <v>1312</v>
      </c>
      <c r="Z28" s="33">
        <f>+'WE 5-23 EOL Data'!B9</f>
        <v>1578</v>
      </c>
      <c r="AA28" s="33">
        <v>1460</v>
      </c>
      <c r="AB28" s="33">
        <f>+'WE 6-6 EOL Data'!$B$9</f>
        <v>2062</v>
      </c>
      <c r="AC28" s="135"/>
      <c r="AD28" s="83"/>
    </row>
    <row r="29" spans="1:30" x14ac:dyDescent="0.2">
      <c r="A29" s="7" t="s">
        <v>60</v>
      </c>
      <c r="B29">
        <v>3</v>
      </c>
      <c r="E29" t="s">
        <v>161</v>
      </c>
      <c r="F29">
        <f>+'template from individuals'!B49+'template from individuals'!C49</f>
        <v>52</v>
      </c>
      <c r="G29">
        <f>+'template from individuals'!D49+'template from individuals'!E49</f>
        <v>83</v>
      </c>
      <c r="H29">
        <f>+'template from individuals'!F49+'template from individuals'!G49</f>
        <v>84</v>
      </c>
      <c r="I29" s="16">
        <f>+'template from individuals'!H49+'template from individuals'!I49</f>
        <v>75</v>
      </c>
      <c r="J29" s="33">
        <f>+'WE 2-1 EOL Data'!B10+'WE 2-1 EOL Data'!B11+'WE 2-1 EOL Data'!B33+'WE 2-1 EOL Data'!B34</f>
        <v>83</v>
      </c>
      <c r="K29" s="33">
        <f>+'WE 2-8 EOL Data'!B10+'WE 2-8 EOL Data'!B33+'WE 2-8 EOL Data'!B11+'WE 2-8 EOL Data'!B34</f>
        <v>52</v>
      </c>
      <c r="L29" s="33">
        <f>+'WE 2-15 EOL Data'!$B10+'WE 2-15 EOL Data'!$B11+'WE 2-15 EOL Data'!$B33+'WE 2-15 EOL Data'!$B34</f>
        <v>58</v>
      </c>
      <c r="M29" s="33">
        <f>+'WE 2-22 EOL Data'!$B10+'WE 2-22 EOL Data'!$B11+'WE 2-22 EOL Data'!$B33+'WE 2-22 EOL Data'!$B34</f>
        <v>28</v>
      </c>
      <c r="N29" s="33">
        <f>+'WE 2-28 EOL Data'!B10+'WE 2-28 EOL Data'!B33+'WE 2-28 EOL Data'!B11+'WE 2-28 EOL Data'!B34</f>
        <v>12</v>
      </c>
      <c r="O29" s="33">
        <f>+'WE 3-7 EOL Data'!B10+'WE 3-7 EOL Data'!B11+'WE 3-7 EOL Data'!B33+'WE 3-7 EOL Data'!B34</f>
        <v>36</v>
      </c>
      <c r="P29" s="33">
        <f>+'WE 3-14 EOL Data'!B10+'WE 3-14 EOL Data'!B11+'WE 3-14 EOL Data'!B33+'WE 3-14 EOL Data'!B34</f>
        <v>20</v>
      </c>
      <c r="Q29" s="33">
        <f t="shared" ref="Q29:V29" si="16">+Q30+Q31</f>
        <v>33</v>
      </c>
      <c r="R29" s="33">
        <f t="shared" si="16"/>
        <v>25</v>
      </c>
      <c r="S29" s="33">
        <f t="shared" si="16"/>
        <v>20</v>
      </c>
      <c r="T29" s="33">
        <f t="shared" si="16"/>
        <v>21</v>
      </c>
      <c r="U29" s="33">
        <f t="shared" si="16"/>
        <v>15</v>
      </c>
      <c r="V29" s="33">
        <f t="shared" si="16"/>
        <v>27</v>
      </c>
      <c r="W29" s="33">
        <f t="shared" ref="W29:AB29" si="17">+W30+W31</f>
        <v>31</v>
      </c>
      <c r="X29" s="33">
        <f t="shared" si="17"/>
        <v>12</v>
      </c>
      <c r="Y29" s="33">
        <f t="shared" si="17"/>
        <v>39</v>
      </c>
      <c r="Z29" s="33">
        <f t="shared" si="17"/>
        <v>22</v>
      </c>
      <c r="AA29" s="33">
        <f t="shared" si="17"/>
        <v>19</v>
      </c>
      <c r="AB29" s="33">
        <f t="shared" si="17"/>
        <v>20</v>
      </c>
      <c r="AC29" s="33"/>
      <c r="AD29" s="83" t="s">
        <v>101</v>
      </c>
    </row>
    <row r="30" spans="1:30" x14ac:dyDescent="0.2">
      <c r="E30" s="1" t="s">
        <v>168</v>
      </c>
      <c r="J30" s="33"/>
      <c r="K30" s="33">
        <f>+'WE 2-8 EOL Data'!B33+'WE 2-8 EOL Data'!B34</f>
        <v>44</v>
      </c>
      <c r="L30" s="33">
        <f>+'WE 2-15 EOL Data'!B33+'WE 2-15 EOL Data'!B34</f>
        <v>36</v>
      </c>
      <c r="M30" s="33">
        <f>+'WE 2-22 EOL Data'!B33+'WE 2-22 EOL Data'!B34</f>
        <v>24</v>
      </c>
      <c r="N30" s="33">
        <f>+'WE 2-28 EOL Data'!B33+'WE 2-28 EOL Data'!B34</f>
        <v>9</v>
      </c>
      <c r="O30" s="33">
        <f>+'WE 3-7 EOL Data'!B33+'WE 3-7 EOL Data'!B34</f>
        <v>32</v>
      </c>
      <c r="P30" s="33">
        <f>+'WE 3-14 EOL Data'!B33+'WE 3-14 EOL Data'!B34</f>
        <v>15</v>
      </c>
      <c r="Q30" s="33">
        <f>+'WE 3-21 EOL Data'!B33+'WE 3-21 EOL Data'!B34</f>
        <v>32</v>
      </c>
      <c r="R30" s="33">
        <f>+'WE 3-28 EOL Data'!B33+'WE 3-28 EOL Data'!B34</f>
        <v>24</v>
      </c>
      <c r="S30" s="33">
        <f>+'WE 4-4 EOL Data'!B33+'WE 4-4 EOL Data'!B34</f>
        <v>17</v>
      </c>
      <c r="T30" s="33">
        <f>+'WE 4-11 EOL Data'!B33+'WE 4-11 EOL Data'!B34</f>
        <v>16</v>
      </c>
      <c r="U30" s="33">
        <f>+'WE 4-18 EOL Data'!B33+'WE 4-18 EOL Data'!B34</f>
        <v>14</v>
      </c>
      <c r="V30" s="33">
        <f>+'WE 4-25 EOL Data'!B33+'WE 4-25 EOL Data'!B34</f>
        <v>26</v>
      </c>
      <c r="W30" s="33">
        <f>+'WE 5-2 EOL Data'!B33+'WE 5-2 EOL Data'!B34</f>
        <v>26</v>
      </c>
      <c r="X30" s="33">
        <f>+'WE 5-9 EOL Data'!B33+'WE 5-9 EOL Data'!B34</f>
        <v>11</v>
      </c>
      <c r="Y30" s="33">
        <f>+'WE 5-16 EOL Data'!B33+'WE 5-16 EOL Data'!B34</f>
        <v>33</v>
      </c>
      <c r="Z30" s="33">
        <f>+'WE 5-23 EOL Data'!B33+'WE 5-23 EOL Data'!B32</f>
        <v>21</v>
      </c>
      <c r="AA30" s="33">
        <v>18</v>
      </c>
      <c r="AB30" s="33">
        <f>+'WE 6-6 EOL Data'!$B$32+'WE 6-6 EOL Data'!$B$33</f>
        <v>17</v>
      </c>
      <c r="AC30" s="33"/>
      <c r="AD30" s="83"/>
    </row>
    <row r="31" spans="1:30" x14ac:dyDescent="0.2">
      <c r="E31" s="1" t="s">
        <v>35</v>
      </c>
      <c r="J31" s="33"/>
      <c r="K31" s="33">
        <f>+'WE 2-8 EOL Data'!B10+'WE 2-8 EOL Data'!B11</f>
        <v>8</v>
      </c>
      <c r="L31" s="33">
        <f>+'WE 2-15 EOL Data'!B10+'WE 2-15 EOL Data'!B11</f>
        <v>22</v>
      </c>
      <c r="M31" s="33">
        <f>+'WE 2-22 EOL Data'!B10+'WE 2-22 EOL Data'!B11</f>
        <v>4</v>
      </c>
      <c r="N31" s="33">
        <f>+'WE 2-28 EOL Data'!B10+'WE 2-28 EOL Data'!B11</f>
        <v>3</v>
      </c>
      <c r="O31" s="33">
        <f>+'WE 3-7 EOL Data'!B10+'WE 3-7 EOL Data'!B11</f>
        <v>4</v>
      </c>
      <c r="P31" s="33">
        <f>+'WE 3-14 EOL Data'!B10+'WE 3-14 EOL Data'!B11</f>
        <v>5</v>
      </c>
      <c r="Q31" s="33">
        <f>+'WE 3-21 EOL Data'!B10+'WE 3-21 EOL Data'!B11</f>
        <v>1</v>
      </c>
      <c r="R31" s="33">
        <f>+'WE 3-28 EOL Data'!B10+'WE 3-28 EOL Data'!B11</f>
        <v>1</v>
      </c>
      <c r="S31" s="33">
        <f>+'WE 4-4 EOL Data'!B10+'WE 4-4 EOL Data'!B11</f>
        <v>3</v>
      </c>
      <c r="T31" s="33">
        <f>+'WE 4-11 EOL Data'!B10+'WE 4-11 EOL Data'!B11</f>
        <v>5</v>
      </c>
      <c r="U31" s="33">
        <f>+'WE 4-18 EOL Data'!B10+'WE 4-18 EOL Data'!B11</f>
        <v>1</v>
      </c>
      <c r="V31" s="33">
        <f>+'WE 4-25 EOL Data'!B10+'WE 4-25 EOL Data'!B11</f>
        <v>1</v>
      </c>
      <c r="W31" s="33">
        <f>+'WE 5-2 EOL Data'!B10+'WE 5-2 EOL Data'!B11</f>
        <v>5</v>
      </c>
      <c r="X31" s="33">
        <f>+'WE 5-9 EOL Data'!B10+'WE 5-9 EOL Data'!B11</f>
        <v>1</v>
      </c>
      <c r="Y31" s="33">
        <f>+'WE 5-16 EOL Data'!B10+'WE 5-16 EOL Data'!B11</f>
        <v>6</v>
      </c>
      <c r="Z31" s="33">
        <f>+'WE 5-23 EOL Data'!B10+'WE 5-23 EOL Data'!B11</f>
        <v>1</v>
      </c>
      <c r="AA31" s="33">
        <v>1</v>
      </c>
      <c r="AB31" s="33">
        <f>+'WE 6-6 EOL Data'!$B$10+'WE 6-6 EOL Data'!$B$11</f>
        <v>3</v>
      </c>
      <c r="AC31" s="33"/>
      <c r="AD31" s="83"/>
    </row>
    <row r="32" spans="1:30" x14ac:dyDescent="0.2">
      <c r="A32" s="7" t="s">
        <v>4</v>
      </c>
      <c r="B32">
        <v>2</v>
      </c>
      <c r="E32" t="s">
        <v>160</v>
      </c>
      <c r="F32">
        <f>+'template from individuals'!B46+'template from individuals'!C46</f>
        <v>13</v>
      </c>
      <c r="G32">
        <f>+'template from individuals'!D46+'template from individuals'!E46</f>
        <v>27</v>
      </c>
      <c r="H32">
        <f>+'template from individuals'!F46+'template from individuals'!G46</f>
        <v>37</v>
      </c>
      <c r="I32" s="16">
        <f>+'template from individuals'!H46+'template from individuals'!I46</f>
        <v>36</v>
      </c>
      <c r="J32" s="33">
        <f>+'WE 2-1 EOL Data'!B12+'WE 2-1 EOL Data'!B35</f>
        <v>19</v>
      </c>
      <c r="K32" s="33">
        <f>+'WE 2-8 EOL Data'!B12+'WE 2-8 EOL Data'!B35</f>
        <v>24</v>
      </c>
      <c r="L32" s="33">
        <f>+'WE 2-15 EOL Data'!$B12+'WE 2-15 EOL Data'!$B35</f>
        <v>39</v>
      </c>
      <c r="M32" s="33">
        <f>+'WE 2-22 EOL Data'!$B12+'WE 2-22 EOL Data'!$B35</f>
        <v>24</v>
      </c>
      <c r="N32" s="33">
        <f>+'WE 2-28 EOL Data'!B12+'WE 2-28 EOL Data'!B35</f>
        <v>18</v>
      </c>
      <c r="O32" s="33">
        <f>+'WE 3-7 EOL Data'!B12+'WE 3-7 EOL Data'!B35</f>
        <v>22</v>
      </c>
      <c r="P32" s="33">
        <f>+'WE 3-14 EOL Data'!B12+'WE 3-14 EOL Data'!B35</f>
        <v>11</v>
      </c>
      <c r="Q32" s="33">
        <f t="shared" ref="Q32:V32" si="18">+Q33+Q34</f>
        <v>17</v>
      </c>
      <c r="R32" s="33">
        <f t="shared" si="18"/>
        <v>7</v>
      </c>
      <c r="S32" s="33">
        <f t="shared" si="18"/>
        <v>10</v>
      </c>
      <c r="T32" s="33">
        <f t="shared" si="18"/>
        <v>9</v>
      </c>
      <c r="U32" s="33">
        <f t="shared" si="18"/>
        <v>3</v>
      </c>
      <c r="V32" s="33">
        <f t="shared" si="18"/>
        <v>22</v>
      </c>
      <c r="W32" s="33">
        <f t="shared" ref="W32:AB32" si="19">+W33+W34</f>
        <v>16</v>
      </c>
      <c r="X32" s="33">
        <f t="shared" si="19"/>
        <v>24</v>
      </c>
      <c r="Y32" s="33">
        <f t="shared" si="19"/>
        <v>26</v>
      </c>
      <c r="Z32" s="33">
        <f t="shared" si="19"/>
        <v>36</v>
      </c>
      <c r="AA32" s="33">
        <f t="shared" si="19"/>
        <v>15</v>
      </c>
      <c r="AB32" s="33">
        <f t="shared" si="19"/>
        <v>53</v>
      </c>
      <c r="AC32" s="33"/>
      <c r="AD32" s="83" t="s">
        <v>102</v>
      </c>
    </row>
    <row r="33" spans="1:30" x14ac:dyDescent="0.2">
      <c r="E33" s="1" t="s">
        <v>168</v>
      </c>
      <c r="J33" s="33"/>
      <c r="K33" s="33">
        <f>+'WE 2-8 EOL Data'!B35</f>
        <v>11</v>
      </c>
      <c r="L33" s="33">
        <f>+'WE 2-15 EOL Data'!B35</f>
        <v>29</v>
      </c>
      <c r="M33" s="33">
        <f>+'WE 2-22 EOL Data'!B35</f>
        <v>23</v>
      </c>
      <c r="N33" s="33">
        <f>+'WE 2-28 EOL Data'!B35</f>
        <v>14</v>
      </c>
      <c r="O33" s="33">
        <f>+'WE 3-7 EOL Data'!B35</f>
        <v>15</v>
      </c>
      <c r="P33" s="33">
        <f>+'WE 3-14 EOL Data'!B35</f>
        <v>9</v>
      </c>
      <c r="Q33" s="33">
        <f>+'WE 3-21 EOL Data'!B35</f>
        <v>12</v>
      </c>
      <c r="R33" s="33">
        <f>+'WE 3-28 EOL Data'!B35</f>
        <v>6</v>
      </c>
      <c r="S33" s="33">
        <f>+'WE 4-4 EOL Data'!B35</f>
        <v>10</v>
      </c>
      <c r="T33" s="33">
        <f>+'WE 4-11 EOL Data'!B35</f>
        <v>5</v>
      </c>
      <c r="U33" s="33">
        <f>+'WE 4-18 EOL Data'!B35</f>
        <v>3</v>
      </c>
      <c r="V33" s="33">
        <f>+'WE 4-25 EOL Data'!B35</f>
        <v>7</v>
      </c>
      <c r="W33" s="33">
        <f>+'WE 5-2 EOL Data'!B35</f>
        <v>8</v>
      </c>
      <c r="X33" s="33">
        <f>+'WE 5-9 EOL Data'!B35</f>
        <v>9</v>
      </c>
      <c r="Y33" s="33">
        <f>+'WE 5-16 EOL Data'!B35</f>
        <v>10</v>
      </c>
      <c r="Z33" s="33">
        <f>+'WE 5-23 EOL Data'!B34</f>
        <v>18</v>
      </c>
      <c r="AA33" s="33">
        <v>4</v>
      </c>
      <c r="AB33" s="33">
        <f>+'WE 6-6 EOL Data'!$B$34</f>
        <v>11</v>
      </c>
      <c r="AC33" s="33"/>
      <c r="AD33" s="83"/>
    </row>
    <row r="34" spans="1:30" x14ac:dyDescent="0.2">
      <c r="E34" s="1" t="s">
        <v>35</v>
      </c>
      <c r="J34" s="33"/>
      <c r="K34" s="33">
        <f>+'WE 2-8 EOL Data'!B12</f>
        <v>13</v>
      </c>
      <c r="L34" s="33">
        <f>+'WE 2-15 EOL Data'!B12</f>
        <v>10</v>
      </c>
      <c r="M34" s="33">
        <f>+'WE 2-22 EOL Data'!B12</f>
        <v>1</v>
      </c>
      <c r="N34" s="33">
        <f>+'WE 2-28 EOL Data'!B12</f>
        <v>4</v>
      </c>
      <c r="O34" s="33">
        <f>+'WE 3-7 EOL Data'!B12</f>
        <v>7</v>
      </c>
      <c r="P34" s="33">
        <f>+'WE 3-14 EOL Data'!B12</f>
        <v>2</v>
      </c>
      <c r="Q34" s="33">
        <f>+'WE 3-21 EOL Data'!B12</f>
        <v>5</v>
      </c>
      <c r="R34" s="33">
        <f>+'WE 3-28 EOL Data'!B12</f>
        <v>1</v>
      </c>
      <c r="S34" s="33">
        <f>+'WE 4-4 EOL Data'!B12</f>
        <v>0</v>
      </c>
      <c r="T34" s="33">
        <f>+'WE 4-11 EOL Data'!B12</f>
        <v>4</v>
      </c>
      <c r="U34" s="33">
        <f>+'WE 4-18 EOL Data'!B12</f>
        <v>0</v>
      </c>
      <c r="V34" s="33">
        <f>+'WE 4-25 EOL Data'!B12</f>
        <v>15</v>
      </c>
      <c r="W34" s="33">
        <f>+'WE 5-2 EOL Data'!B12</f>
        <v>8</v>
      </c>
      <c r="X34" s="33">
        <f>+'WE 5-9 EOL Data'!B12</f>
        <v>15</v>
      </c>
      <c r="Y34" s="33">
        <f>+'WE 5-16 EOL Data'!B12</f>
        <v>16</v>
      </c>
      <c r="Z34" s="33">
        <f>+'WE 5-23 EOL Data'!B12</f>
        <v>18</v>
      </c>
      <c r="AA34" s="33">
        <v>11</v>
      </c>
      <c r="AB34" s="33">
        <f>+'WE 6-6 EOL Data'!$B$12</f>
        <v>42</v>
      </c>
      <c r="AC34" s="33"/>
      <c r="AD34" s="83"/>
    </row>
    <row r="35" spans="1:30" x14ac:dyDescent="0.2">
      <c r="A35" s="7" t="s">
        <v>61</v>
      </c>
      <c r="B35">
        <v>65</v>
      </c>
      <c r="E35" t="s">
        <v>13</v>
      </c>
      <c r="F35">
        <f>+'template from individuals'!B48+'template from individuals'!C48</f>
        <v>2</v>
      </c>
      <c r="G35">
        <f>+'template from individuals'!D48+'template from individuals'!E48</f>
        <v>2</v>
      </c>
      <c r="H35">
        <f>+'template from individuals'!F48+'template from individuals'!G48</f>
        <v>14</v>
      </c>
      <c r="I35" s="16">
        <f>+'template from individuals'!H48+'template from individuals'!I48</f>
        <v>13</v>
      </c>
      <c r="J35" s="33">
        <f>+'WE 2-1 EOL Data'!B14+'WE 2-1 EOL Data'!B37</f>
        <v>14</v>
      </c>
      <c r="K35" s="33">
        <f>+'WE 2-8 EOL Data'!B14+'WE 2-8 EOL Data'!B37</f>
        <v>33</v>
      </c>
      <c r="L35" s="33">
        <f>+'WE 2-15 EOL Data'!$B14+'WE 2-15 EOL Data'!$B37</f>
        <v>20</v>
      </c>
      <c r="M35" s="33">
        <f>+'WE 2-22 EOL Data'!$B14+'WE 2-22 EOL Data'!$B37</f>
        <v>6</v>
      </c>
      <c r="N35" s="33">
        <f>+'WE 2-28 EOL Data'!B14+'WE 2-28 EOL Data'!B37</f>
        <v>3</v>
      </c>
      <c r="O35" s="33">
        <f>+'WE 3-7 EOL Data'!B14+'WE 3-7 EOL Data'!B37</f>
        <v>3</v>
      </c>
      <c r="P35" s="33">
        <f>+'WE 3-14 EOL Data'!B14+'WE 3-14 EOL Data'!B37</f>
        <v>16</v>
      </c>
      <c r="Q35" s="33">
        <f t="shared" ref="Q35:V35" si="20">+Q36+Q37</f>
        <v>16</v>
      </c>
      <c r="R35" s="33">
        <f t="shared" si="20"/>
        <v>23</v>
      </c>
      <c r="S35" s="33">
        <f t="shared" si="20"/>
        <v>17</v>
      </c>
      <c r="T35" s="33">
        <f t="shared" si="20"/>
        <v>25</v>
      </c>
      <c r="U35" s="33">
        <f t="shared" si="20"/>
        <v>4</v>
      </c>
      <c r="V35" s="33">
        <f t="shared" si="20"/>
        <v>17</v>
      </c>
      <c r="W35" s="33">
        <f t="shared" ref="W35:AB35" si="21">+W36+W37</f>
        <v>6</v>
      </c>
      <c r="X35" s="33">
        <f t="shared" si="21"/>
        <v>14</v>
      </c>
      <c r="Y35" s="33">
        <f t="shared" si="21"/>
        <v>16</v>
      </c>
      <c r="Z35" s="33">
        <f t="shared" si="21"/>
        <v>17</v>
      </c>
      <c r="AA35" s="33">
        <f t="shared" si="21"/>
        <v>6</v>
      </c>
      <c r="AB35" s="33">
        <f t="shared" si="21"/>
        <v>5</v>
      </c>
      <c r="AC35" s="33"/>
      <c r="AD35" s="83" t="s">
        <v>103</v>
      </c>
    </row>
    <row r="36" spans="1:30" x14ac:dyDescent="0.2">
      <c r="E36" s="1" t="s">
        <v>168</v>
      </c>
      <c r="J36" s="33"/>
      <c r="K36" s="33">
        <f>+'WE 2-8 EOL Data'!B37</f>
        <v>17</v>
      </c>
      <c r="L36" s="33">
        <f>+'WE 2-15 EOL Data'!B37</f>
        <v>12</v>
      </c>
      <c r="M36" s="33">
        <f>+'WE 2-22 EOL Data'!B37</f>
        <v>6</v>
      </c>
      <c r="N36" s="33">
        <f>+'WE 2-28 EOL Data'!B37</f>
        <v>3</v>
      </c>
      <c r="O36" s="33">
        <f>+'WE 3-7 EOL Data'!B37</f>
        <v>3</v>
      </c>
      <c r="P36" s="33">
        <f>+'WE 3-14 EOL Data'!B37</f>
        <v>7</v>
      </c>
      <c r="Q36" s="33">
        <f>+'WE 3-21 EOL Data'!B37</f>
        <v>14</v>
      </c>
      <c r="R36" s="33">
        <f>+'WE 3-28 EOL Data'!B14</f>
        <v>8</v>
      </c>
      <c r="S36" s="33">
        <f>+'WE 4-4 EOL Data'!B37</f>
        <v>9</v>
      </c>
      <c r="T36" s="33">
        <f>+'WE 4-11 EOL Data'!B37</f>
        <v>14</v>
      </c>
      <c r="U36" s="33">
        <f>+'WE 4-18 EOL Data'!B37</f>
        <v>2</v>
      </c>
      <c r="V36" s="33">
        <f>+'WE 4-25 EOL Data'!B37</f>
        <v>10</v>
      </c>
      <c r="W36" s="33">
        <f>+'WE 5-2 EOL Data'!B37</f>
        <v>5</v>
      </c>
      <c r="X36" s="33">
        <f>+'WE 5-9 EOL Data'!B37</f>
        <v>10</v>
      </c>
      <c r="Y36" s="33">
        <f>+'WE 5-16 EOL Data'!B37</f>
        <v>8</v>
      </c>
      <c r="Z36" s="33">
        <f>+'WE 5-23 EOL Data'!B36</f>
        <v>15</v>
      </c>
      <c r="AA36" s="33">
        <v>4</v>
      </c>
      <c r="AB36" s="33">
        <f>+'WE 6-6 EOL Data'!$B$36</f>
        <v>2</v>
      </c>
      <c r="AC36" s="33"/>
      <c r="AD36" s="83"/>
    </row>
    <row r="37" spans="1:30" x14ac:dyDescent="0.2">
      <c r="E37" s="1" t="s">
        <v>35</v>
      </c>
      <c r="J37" s="33"/>
      <c r="K37" s="33">
        <f>+'WE 2-8 EOL Data'!B14</f>
        <v>16</v>
      </c>
      <c r="L37" s="33">
        <f>+'WE 2-15 EOL Data'!B14</f>
        <v>8</v>
      </c>
      <c r="M37" s="33">
        <f>+'WE 2-22 EOL Data'!B14</f>
        <v>0</v>
      </c>
      <c r="N37" s="33">
        <f>+'WE 2-28 EOL Data'!B14</f>
        <v>0</v>
      </c>
      <c r="O37" s="33">
        <f>+'WE 3-7 EOL Data'!B14</f>
        <v>0</v>
      </c>
      <c r="P37" s="33">
        <f>+'WE 3-14 EOL Data'!B14</f>
        <v>9</v>
      </c>
      <c r="Q37" s="33">
        <f>+'WE 3-21 EOL Data'!B14</f>
        <v>2</v>
      </c>
      <c r="R37" s="33">
        <f>+'WE 3-28 EOL Data'!B37</f>
        <v>15</v>
      </c>
      <c r="S37" s="33">
        <f>+'WE 4-4 EOL Data'!B14</f>
        <v>8</v>
      </c>
      <c r="T37" s="33">
        <f>+'WE 4-11 EOL Data'!B14</f>
        <v>11</v>
      </c>
      <c r="U37" s="33">
        <f>+'WE 4-18 EOL Data'!B14</f>
        <v>2</v>
      </c>
      <c r="V37" s="33">
        <f>+'WE 4-25 EOL Data'!B14</f>
        <v>7</v>
      </c>
      <c r="W37" s="33">
        <f>+'WE 5-2 EOL Data'!B14</f>
        <v>1</v>
      </c>
      <c r="X37" s="33">
        <f>+'WE 5-9 EOL Data'!B14</f>
        <v>4</v>
      </c>
      <c r="Y37" s="33">
        <f>+'WE 5-16 EOL Data'!B14</f>
        <v>8</v>
      </c>
      <c r="Z37" s="33">
        <f>+'WE 5-23 EOL Data'!B14</f>
        <v>2</v>
      </c>
      <c r="AA37" s="33">
        <v>2</v>
      </c>
      <c r="AB37" s="33">
        <f>+'WE 6-6 EOL Data'!$B$14</f>
        <v>3</v>
      </c>
      <c r="AC37" s="33"/>
      <c r="AD37" s="83"/>
    </row>
    <row r="38" spans="1:30" x14ac:dyDescent="0.2">
      <c r="E38" t="s">
        <v>169</v>
      </c>
      <c r="J38" s="33"/>
      <c r="K38" s="159">
        <f t="shared" ref="K38:Q38" si="22">+(K37+K34+K31+K28+K25)/(K35+K32+K29+K26+K23)</f>
        <v>0.49353863073962057</v>
      </c>
      <c r="L38" s="159">
        <f t="shared" si="22"/>
        <v>0.44738307349665923</v>
      </c>
      <c r="M38" s="159">
        <f t="shared" si="22"/>
        <v>0.46566716641679162</v>
      </c>
      <c r="N38" s="159">
        <f t="shared" si="22"/>
        <v>0.43658357771260997</v>
      </c>
      <c r="O38" s="159">
        <f t="shared" si="22"/>
        <v>0.40737410071942448</v>
      </c>
      <c r="P38" s="159">
        <f t="shared" si="22"/>
        <v>0.36612021857923499</v>
      </c>
      <c r="Q38" s="159">
        <f t="shared" si="22"/>
        <v>0.40440501682471702</v>
      </c>
      <c r="R38" s="159">
        <f t="shared" ref="R38:AB38" si="23">+(R37+R34+R31+R28+R25)/(R35+R32+R29+R26+R23)</f>
        <v>0.31835424569594395</v>
      </c>
      <c r="S38" s="159">
        <f t="shared" si="23"/>
        <v>0.31935123042505592</v>
      </c>
      <c r="T38" s="159">
        <f t="shared" si="23"/>
        <v>0.29747028345016763</v>
      </c>
      <c r="U38" s="159">
        <f t="shared" si="23"/>
        <v>0.31720827178729688</v>
      </c>
      <c r="V38" s="159">
        <f t="shared" si="23"/>
        <v>0.29428251121076232</v>
      </c>
      <c r="W38" s="159">
        <f t="shared" si="23"/>
        <v>0.31459987782529014</v>
      </c>
      <c r="X38" s="159">
        <f t="shared" si="23"/>
        <v>0.4275760909424276</v>
      </c>
      <c r="Y38" s="159">
        <f t="shared" si="23"/>
        <v>0.39091173900378678</v>
      </c>
      <c r="Z38" s="159">
        <f t="shared" si="23"/>
        <v>0.39491232403062487</v>
      </c>
      <c r="AA38" s="159">
        <f t="shared" si="23"/>
        <v>0.43404004711425204</v>
      </c>
      <c r="AB38" s="159">
        <f t="shared" si="23"/>
        <v>0.49484052532833023</v>
      </c>
      <c r="AC38" s="159"/>
      <c r="AD38" s="83"/>
    </row>
    <row r="39" spans="1:30" x14ac:dyDescent="0.2">
      <c r="E39" s="5" t="s">
        <v>32</v>
      </c>
      <c r="I39"/>
      <c r="K39">
        <f t="shared" ref="K39:AA39" si="24">+K40+K41</f>
        <v>3637</v>
      </c>
      <c r="L39">
        <f t="shared" si="24"/>
        <v>3592</v>
      </c>
      <c r="M39">
        <f t="shared" si="24"/>
        <v>3335</v>
      </c>
      <c r="N39">
        <f t="shared" si="24"/>
        <v>2728</v>
      </c>
      <c r="O39">
        <f t="shared" si="24"/>
        <v>3336</v>
      </c>
      <c r="P39">
        <f t="shared" si="24"/>
        <v>3660</v>
      </c>
      <c r="Q39">
        <f t="shared" si="24"/>
        <v>3269</v>
      </c>
      <c r="R39">
        <f t="shared" si="24"/>
        <v>3427</v>
      </c>
      <c r="S39">
        <f t="shared" si="24"/>
        <v>3576</v>
      </c>
      <c r="T39">
        <f t="shared" si="24"/>
        <v>3281</v>
      </c>
      <c r="U39">
        <f t="shared" si="24"/>
        <v>2708</v>
      </c>
      <c r="V39">
        <f t="shared" si="24"/>
        <v>3568</v>
      </c>
      <c r="W39">
        <f t="shared" si="24"/>
        <v>3274</v>
      </c>
      <c r="X39">
        <f t="shared" si="24"/>
        <v>2727</v>
      </c>
      <c r="Y39">
        <f t="shared" si="24"/>
        <v>3433</v>
      </c>
      <c r="Z39">
        <f t="shared" si="24"/>
        <v>4049</v>
      </c>
      <c r="AA39">
        <f t="shared" si="24"/>
        <v>3396</v>
      </c>
      <c r="AB39">
        <f>+AB40+AB41</f>
        <v>4264</v>
      </c>
      <c r="AD39" s="83"/>
    </row>
    <row r="40" spans="1:30" x14ac:dyDescent="0.2">
      <c r="E40" s="5" t="s">
        <v>182</v>
      </c>
      <c r="J40" s="33"/>
      <c r="K40" s="118">
        <f>+K36+K33+K30+K27+K24</f>
        <v>1842</v>
      </c>
      <c r="L40" s="118">
        <f t="shared" ref="L40:Q40" si="25">+L36+L33+L30+L27+L24</f>
        <v>1985</v>
      </c>
      <c r="M40" s="118">
        <f t="shared" si="25"/>
        <v>1782</v>
      </c>
      <c r="N40" s="118">
        <f t="shared" si="25"/>
        <v>1537</v>
      </c>
      <c r="O40" s="118">
        <f t="shared" si="25"/>
        <v>1977</v>
      </c>
      <c r="P40" s="118">
        <f t="shared" si="25"/>
        <v>2320</v>
      </c>
      <c r="Q40" s="118">
        <f t="shared" si="25"/>
        <v>1947</v>
      </c>
      <c r="R40" s="118">
        <f t="shared" ref="R40:T41" si="26">+R36+R33+R30+R27+R24</f>
        <v>2336</v>
      </c>
      <c r="S40" s="118">
        <f t="shared" si="26"/>
        <v>2434</v>
      </c>
      <c r="T40" s="118">
        <f t="shared" si="26"/>
        <v>2305</v>
      </c>
      <c r="U40" s="118">
        <f t="shared" ref="U40:W41" si="27">+U36+U33+U30+U27+U24</f>
        <v>1849</v>
      </c>
      <c r="V40" s="118">
        <f t="shared" si="27"/>
        <v>2518</v>
      </c>
      <c r="W40" s="118">
        <f t="shared" si="27"/>
        <v>2244</v>
      </c>
      <c r="X40" s="118">
        <f t="shared" ref="X40:AA41" si="28">+X36+X33+X30+X27+X24</f>
        <v>1561</v>
      </c>
      <c r="Y40" s="118">
        <f t="shared" si="28"/>
        <v>2091</v>
      </c>
      <c r="Z40" s="118">
        <f t="shared" si="28"/>
        <v>2450</v>
      </c>
      <c r="AA40" s="118">
        <f t="shared" si="28"/>
        <v>1922</v>
      </c>
      <c r="AB40" s="118">
        <f>+AB36+AB33+AB30+AB27+AB24</f>
        <v>2154</v>
      </c>
      <c r="AC40" s="118"/>
      <c r="AD40" s="83"/>
    </row>
    <row r="41" spans="1:30" x14ac:dyDescent="0.2">
      <c r="E41" s="5" t="s">
        <v>96</v>
      </c>
      <c r="J41" s="33"/>
      <c r="K41" s="118">
        <f>+K37+K34+K31+K28+K25</f>
        <v>1795</v>
      </c>
      <c r="L41" s="118">
        <f t="shared" ref="L41:Q41" si="29">+L37+L34+L31+L28+L25</f>
        <v>1607</v>
      </c>
      <c r="M41" s="118">
        <f t="shared" si="29"/>
        <v>1553</v>
      </c>
      <c r="N41" s="118">
        <f t="shared" si="29"/>
        <v>1191</v>
      </c>
      <c r="O41" s="118">
        <f t="shared" si="29"/>
        <v>1359</v>
      </c>
      <c r="P41" s="118">
        <f t="shared" si="29"/>
        <v>1340</v>
      </c>
      <c r="Q41" s="118">
        <f t="shared" si="29"/>
        <v>1322</v>
      </c>
      <c r="R41" s="118">
        <f t="shared" si="26"/>
        <v>1091</v>
      </c>
      <c r="S41" s="118">
        <f t="shared" si="26"/>
        <v>1142</v>
      </c>
      <c r="T41" s="118">
        <f t="shared" si="26"/>
        <v>976</v>
      </c>
      <c r="U41" s="118">
        <f t="shared" si="27"/>
        <v>859</v>
      </c>
      <c r="V41" s="118">
        <f t="shared" si="27"/>
        <v>1050</v>
      </c>
      <c r="W41" s="118">
        <f t="shared" si="27"/>
        <v>1030</v>
      </c>
      <c r="X41" s="118">
        <f t="shared" si="28"/>
        <v>1166</v>
      </c>
      <c r="Y41" s="118">
        <f t="shared" si="28"/>
        <v>1342</v>
      </c>
      <c r="Z41" s="118">
        <f t="shared" si="28"/>
        <v>1599</v>
      </c>
      <c r="AA41" s="118">
        <f t="shared" si="28"/>
        <v>1474</v>
      </c>
      <c r="AB41" s="118">
        <f>+AB37+AB34+AB31+AB28+AB25</f>
        <v>2110</v>
      </c>
      <c r="AC41" s="118"/>
      <c r="AD41" s="83"/>
    </row>
    <row r="42" spans="1:30" ht="15" x14ac:dyDescent="0.25">
      <c r="A42" s="7" t="s">
        <v>13</v>
      </c>
      <c r="B42">
        <v>10</v>
      </c>
      <c r="F42" s="82" t="s">
        <v>121</v>
      </c>
      <c r="G42" s="82" t="s">
        <v>122</v>
      </c>
      <c r="H42" s="82" t="s">
        <v>123</v>
      </c>
      <c r="I42" s="82" t="s">
        <v>124</v>
      </c>
      <c r="J42" s="82" t="s">
        <v>136</v>
      </c>
      <c r="K42" s="82" t="str">
        <f t="shared" ref="K42:P42" si="30">+K22</f>
        <v>2/2 - 2/8</v>
      </c>
      <c r="L42" s="82" t="str">
        <f t="shared" si="30"/>
        <v>2/9 - 2/15</v>
      </c>
      <c r="M42" s="82" t="str">
        <f t="shared" si="30"/>
        <v>2/16 - 2/22</v>
      </c>
      <c r="N42" s="82" t="str">
        <f t="shared" si="30"/>
        <v>2/23 - 2/28</v>
      </c>
      <c r="O42" s="82" t="str">
        <f t="shared" si="30"/>
        <v>3/1 - 3/7</v>
      </c>
      <c r="P42" s="82" t="str">
        <f t="shared" si="30"/>
        <v>3/8 - 3/14</v>
      </c>
      <c r="Q42" s="82" t="str">
        <f t="shared" ref="Q42:V42" si="31">+Q22</f>
        <v>3/15 - 3/21</v>
      </c>
      <c r="R42" s="82" t="str">
        <f t="shared" si="31"/>
        <v>3/22 - 3/28</v>
      </c>
      <c r="S42" s="82" t="str">
        <f t="shared" si="31"/>
        <v>3/29 - 4/4</v>
      </c>
      <c r="T42" s="82" t="str">
        <f t="shared" si="31"/>
        <v>4/5 - 4/11</v>
      </c>
      <c r="U42" s="82" t="str">
        <f t="shared" si="31"/>
        <v>4/12 - 4/18</v>
      </c>
      <c r="V42" s="82" t="str">
        <f t="shared" si="31"/>
        <v>4/19 - 4/25</v>
      </c>
      <c r="W42" s="82" t="str">
        <f>+W22</f>
        <v>4/26 - 5/2</v>
      </c>
      <c r="X42" s="82" t="str">
        <f>+X22</f>
        <v>5/3 - 5/9</v>
      </c>
      <c r="Y42" s="82" t="str">
        <f>+Y22</f>
        <v>5/10 - 5/16</v>
      </c>
      <c r="Z42" s="82" t="str">
        <f>+Z22</f>
        <v>5/17 - 5/23</v>
      </c>
      <c r="AA42" s="82" t="s">
        <v>225</v>
      </c>
      <c r="AB42" s="82" t="str">
        <f>AB11</f>
        <v>5/31 - 6/6</v>
      </c>
      <c r="AC42" s="201"/>
      <c r="AD42" s="84"/>
    </row>
    <row r="43" spans="1:30" x14ac:dyDescent="0.2">
      <c r="E43" t="s">
        <v>159</v>
      </c>
      <c r="F43">
        <f>+'template from individuals'!B56+'template from individuals'!C56</f>
        <v>5</v>
      </c>
      <c r="G43">
        <f>+'template from individuals'!D56+'template from individuals'!E56</f>
        <v>17</v>
      </c>
      <c r="H43">
        <f>+'template from individuals'!F56+'template from individuals'!G56</f>
        <v>9</v>
      </c>
      <c r="I43" s="16">
        <f>+'template from individuals'!H56+'template from individuals'!I56</f>
        <v>24</v>
      </c>
      <c r="J43" s="33">
        <f>+'EIM New Deals'!J7+'EIM New Deals'!K7+'EIM New Deals'!J14+'EIM New Deals'!K14</f>
        <v>4</v>
      </c>
      <c r="K43" s="33">
        <f>+'EIM New Deals'!L7+'EIM New Deals'!M7+'EIM New Deals'!L14+'EIM New Deals'!M14</f>
        <v>12</v>
      </c>
      <c r="L43" s="33">
        <f>+'EIM New Deals'!N$7+'EIM New Deals'!O$7+'EIM New Deals'!N$14+'EIM New Deals'!O$14</f>
        <v>30</v>
      </c>
      <c r="M43" s="33">
        <f>+'EIM New Deals'!P$7+'EIM New Deals'!Q$7+'EIM New Deals'!P$14+'EIM New Deals'!Q$14</f>
        <v>17</v>
      </c>
      <c r="N43" s="33">
        <f>+'EIM New Deals'!S7+'EIM New Deals'!R7+'EIM New Deals'!R14+'EIM New Deals'!S14</f>
        <v>18</v>
      </c>
      <c r="O43" s="33">
        <f>+'EIM New Deals'!T7+'EIM New Deals'!U7+'EIM New Deals'!T14+'EIM New Deals'!U14</f>
        <v>20</v>
      </c>
      <c r="P43" s="33">
        <f>+'EIM New Deals'!V7+'EIM New Deals'!W7+'EIM New Deals'!V14+'EIM New Deals'!W14</f>
        <v>46</v>
      </c>
      <c r="Q43" s="33">
        <f t="shared" ref="Q43:V43" si="32">+Q44+Q45</f>
        <v>25</v>
      </c>
      <c r="R43" s="33">
        <f t="shared" si="32"/>
        <v>19</v>
      </c>
      <c r="S43" s="33">
        <f t="shared" si="32"/>
        <v>25</v>
      </c>
      <c r="T43" s="33">
        <f t="shared" si="32"/>
        <v>42</v>
      </c>
      <c r="U43" s="33">
        <f t="shared" si="32"/>
        <v>40</v>
      </c>
      <c r="V43" s="33">
        <f t="shared" si="32"/>
        <v>24</v>
      </c>
      <c r="W43" s="33">
        <f t="shared" ref="W43:AB43" si="33">+W44+W45</f>
        <v>18</v>
      </c>
      <c r="X43" s="33">
        <f t="shared" si="33"/>
        <v>28</v>
      </c>
      <c r="Y43" s="33">
        <f t="shared" si="33"/>
        <v>53</v>
      </c>
      <c r="Z43" s="33">
        <f t="shared" si="33"/>
        <v>81</v>
      </c>
      <c r="AA43" s="33">
        <f t="shared" si="33"/>
        <v>19</v>
      </c>
      <c r="AB43" s="33">
        <f t="shared" si="33"/>
        <v>37</v>
      </c>
      <c r="AC43" s="33"/>
      <c r="AD43" s="83" t="s">
        <v>100</v>
      </c>
    </row>
    <row r="44" spans="1:30" x14ac:dyDescent="0.2">
      <c r="E44" s="1" t="s">
        <v>168</v>
      </c>
      <c r="J44" s="33"/>
      <c r="K44" s="33">
        <f>+'EIM New Deals'!M7+'EIM New Deals'!M14</f>
        <v>12</v>
      </c>
      <c r="L44" s="33">
        <f>+'EIM New Deals'!O7+'EIM New Deals'!O14</f>
        <v>30</v>
      </c>
      <c r="M44" s="33">
        <f>+'EIM New Deals'!Q7+'EIM New Deals'!Q14</f>
        <v>17</v>
      </c>
      <c r="N44" s="33">
        <f>+'EIM New Deals'!S7+'EIM New Deals'!S14</f>
        <v>18</v>
      </c>
      <c r="O44" s="33">
        <f>+'EIM New Deals'!U7+'EIM New Deals'!U14</f>
        <v>20</v>
      </c>
      <c r="P44" s="33">
        <f>+'EIM New Deals'!W7+'EIM New Deals'!W14</f>
        <v>44</v>
      </c>
      <c r="Q44" s="33">
        <f>+'EIM New Deals'!Y7+'EIM New Deals'!Y14</f>
        <v>24</v>
      </c>
      <c r="R44" s="33">
        <f>+'EIM New Deals'!AA7+'EIM New Deals'!AA14</f>
        <v>9</v>
      </c>
      <c r="S44" s="33">
        <f>+'EIM New Deals'!AC7+'EIM New Deals'!AC14</f>
        <v>24</v>
      </c>
      <c r="T44" s="33">
        <f>+'EIM New Deals'!AE7+'EIM New Deals'!AE14</f>
        <v>37</v>
      </c>
      <c r="U44" s="33">
        <f>+'EIM New Deals'!AG7+'EIM New Deals'!AG14</f>
        <v>37</v>
      </c>
      <c r="V44" s="33">
        <f>+'EIM New Deals'!AI7+'EIM New Deals'!AI14</f>
        <v>23</v>
      </c>
      <c r="W44" s="33">
        <f>+'EIM New Deals'!AK7+'EIM New Deals'!AK14</f>
        <v>17</v>
      </c>
      <c r="X44" s="33">
        <f>+'EIM New Deals'!AM7+'EIM New Deals'!AM14</f>
        <v>25</v>
      </c>
      <c r="Y44" s="33">
        <f>+'EIM New Deals'!AO7+'EIM New Deals'!AO14</f>
        <v>52</v>
      </c>
      <c r="Z44" s="33">
        <f>+'EIM New Deals'!AQ7+'EIM New Deals'!AQ14</f>
        <v>81</v>
      </c>
      <c r="AA44" s="33">
        <v>18</v>
      </c>
      <c r="AB44" s="33">
        <f>+'EIM New Deals'!AU7+'EIM New Deals'!AU14</f>
        <v>36</v>
      </c>
      <c r="AC44" s="33"/>
      <c r="AD44" s="83"/>
    </row>
    <row r="45" spans="1:30" x14ac:dyDescent="0.2">
      <c r="E45" s="1" t="s">
        <v>35</v>
      </c>
      <c r="J45" s="33"/>
      <c r="K45" s="33">
        <f>+'EIM New Deals'!L7+'EIM New Deals'!L14</f>
        <v>0</v>
      </c>
      <c r="L45" s="33">
        <f>+'EIM New Deals'!N7+'EIM New Deals'!N14</f>
        <v>0</v>
      </c>
      <c r="M45" s="33">
        <f>+'EIM New Deals'!P7+'EIM New Deals'!P14</f>
        <v>0</v>
      </c>
      <c r="N45" s="33">
        <f>+'EIM New Deals'!R7+'EIM New Deals'!R14</f>
        <v>0</v>
      </c>
      <c r="O45" s="33">
        <f>+'EIM New Deals'!T7+'EIM New Deals'!T14</f>
        <v>0</v>
      </c>
      <c r="P45" s="33">
        <f>+'EIM New Deals'!V7+'EIM New Deals'!V14</f>
        <v>2</v>
      </c>
      <c r="Q45" s="33">
        <f>+'EIM New Deals'!X7+'EIM New Deals'!X14</f>
        <v>1</v>
      </c>
      <c r="R45" s="33">
        <f>+'EIM New Deals'!Z7+'EIM New Deals'!Z14</f>
        <v>10</v>
      </c>
      <c r="S45" s="33">
        <f>+'EIM New Deals'!AB7+'EIM New Deals'!AB14</f>
        <v>1</v>
      </c>
      <c r="T45" s="33">
        <f>+'EIM New Deals'!AD7+'EIM New Deals'!AD14</f>
        <v>5</v>
      </c>
      <c r="U45" s="33">
        <f>+'EIM New Deals'!AF7+'EIM New Deals'!AF14</f>
        <v>3</v>
      </c>
      <c r="V45" s="33">
        <f>+'EIM New Deals'!AH7+'EIM New Deals'!AH14</f>
        <v>1</v>
      </c>
      <c r="W45" s="33">
        <f>+'EIM New Deals'!AJ7+'EIM New Deals'!AJ14</f>
        <v>1</v>
      </c>
      <c r="X45" s="33">
        <f>+'EIM New Deals'!AL7+'EIM New Deals'!AL14</f>
        <v>3</v>
      </c>
      <c r="Y45" s="33">
        <f>+'EIM New Deals'!AN7+'EIM New Deals'!AN14</f>
        <v>1</v>
      </c>
      <c r="Z45" s="33">
        <f>+'EIM New Deals'!AP7+'EIM New Deals'!AP14</f>
        <v>0</v>
      </c>
      <c r="AA45" s="33">
        <v>1</v>
      </c>
      <c r="AB45" s="33">
        <f>+'EIM New Deals'!AT7+'EIM New Deals'!AT14</f>
        <v>1</v>
      </c>
      <c r="AC45" s="33"/>
      <c r="AD45" s="83"/>
    </row>
    <row r="46" spans="1:30" x14ac:dyDescent="0.2">
      <c r="A46" s="7" t="s">
        <v>66</v>
      </c>
      <c r="B46">
        <v>0</v>
      </c>
      <c r="E46" t="s">
        <v>70</v>
      </c>
      <c r="F46">
        <f>+'template from individuals'!B57+'template from individuals'!C57</f>
        <v>6</v>
      </c>
      <c r="G46">
        <f>+'template from individuals'!D57+'template from individuals'!E57</f>
        <v>17</v>
      </c>
      <c r="H46">
        <f>+'template from individuals'!F57+'template from individuals'!G57</f>
        <v>24</v>
      </c>
      <c r="I46" s="16">
        <f>+'template from individuals'!H57+'template from individuals'!I57</f>
        <v>19</v>
      </c>
      <c r="J46" s="33">
        <f>+'EIM New Deals'!J8+'EIM New Deals'!K8+'EIM New Deals'!J15+'EIM New Deals'!K15</f>
        <v>29</v>
      </c>
      <c r="K46" s="33">
        <f>+'EIM New Deals'!L8+'EIM New Deals'!M8+'EIM New Deals'!L15+'EIM New Deals'!M15</f>
        <v>17</v>
      </c>
      <c r="L46" s="33">
        <f>+'EIM New Deals'!$N8+'EIM New Deals'!$O8+'EIM New Deals'!$N15+'EIM New Deals'!$O15</f>
        <v>15</v>
      </c>
      <c r="M46" s="33">
        <f>+'EIM New Deals'!P8+'EIM New Deals'!Q8+'EIM New Deals'!P15+'EIM New Deals'!Q15</f>
        <v>23</v>
      </c>
      <c r="N46" s="33">
        <f>+'EIM New Deals'!R8+'EIM New Deals'!S8+'EIM New Deals'!R15+'EIM New Deals'!S15</f>
        <v>57</v>
      </c>
      <c r="O46" s="33">
        <f>+'EIM New Deals'!T8+'EIM New Deals'!U8+'EIM New Deals'!T15+'EIM New Deals'!U15</f>
        <v>32</v>
      </c>
      <c r="P46" s="33">
        <f>+'EIM New Deals'!V8+'EIM New Deals'!W8+'EIM New Deals'!V15+'EIM New Deals'!W15</f>
        <v>26</v>
      </c>
      <c r="Q46" s="33">
        <f t="shared" ref="Q46:V46" si="34">+Q47+Q48</f>
        <v>40</v>
      </c>
      <c r="R46" s="33">
        <f t="shared" si="34"/>
        <v>32</v>
      </c>
      <c r="S46" s="33">
        <f t="shared" si="34"/>
        <v>30</v>
      </c>
      <c r="T46" s="33">
        <f t="shared" si="34"/>
        <v>30</v>
      </c>
      <c r="U46" s="33">
        <f t="shared" si="34"/>
        <v>19</v>
      </c>
      <c r="V46" s="33">
        <f t="shared" si="34"/>
        <v>17</v>
      </c>
      <c r="W46" s="33">
        <f t="shared" ref="W46:AB46" si="35">+W47+W48</f>
        <v>26</v>
      </c>
      <c r="X46" s="33">
        <f t="shared" si="35"/>
        <v>36</v>
      </c>
      <c r="Y46" s="33">
        <f t="shared" si="35"/>
        <v>23</v>
      </c>
      <c r="Z46" s="33">
        <f t="shared" si="35"/>
        <v>19</v>
      </c>
      <c r="AA46" s="33">
        <f t="shared" si="35"/>
        <v>22</v>
      </c>
      <c r="AB46" s="33">
        <f t="shared" si="35"/>
        <v>41</v>
      </c>
      <c r="AC46" s="33"/>
      <c r="AD46" s="83" t="s">
        <v>100</v>
      </c>
    </row>
    <row r="47" spans="1:30" x14ac:dyDescent="0.2">
      <c r="E47" s="1" t="s">
        <v>168</v>
      </c>
      <c r="J47" s="33"/>
      <c r="K47" s="33">
        <f>+'EIM New Deals'!M8+'EIM New Deals'!M15</f>
        <v>13</v>
      </c>
      <c r="L47" s="33">
        <f>+'EIM New Deals'!O8+'EIM New Deals'!O15</f>
        <v>12</v>
      </c>
      <c r="M47" s="33">
        <f>+'EIM New Deals'!Q8+'EIM New Deals'!Q15</f>
        <v>20</v>
      </c>
      <c r="N47" s="33">
        <f>+'EIM New Deals'!S8+'EIM New Deals'!S15</f>
        <v>52</v>
      </c>
      <c r="O47" s="33">
        <f>+'EIM New Deals'!U8+'EIM New Deals'!U15</f>
        <v>28</v>
      </c>
      <c r="P47" s="33">
        <f>+'EIM New Deals'!W8+'EIM New Deals'!W15</f>
        <v>17</v>
      </c>
      <c r="Q47" s="33">
        <f>+'EIM New Deals'!Y8+'EIM New Deals'!Y15</f>
        <v>38</v>
      </c>
      <c r="R47" s="33">
        <f>+'EIM New Deals'!AA8+'EIM New Deals'!AA15</f>
        <v>30</v>
      </c>
      <c r="S47" s="33">
        <f>+'EIM New Deals'!AC8+'EIM New Deals'!AC15</f>
        <v>27</v>
      </c>
      <c r="T47" s="33">
        <f>+'EIM New Deals'!AE8+'EIM New Deals'!AE15</f>
        <v>28</v>
      </c>
      <c r="U47" s="33">
        <f>+'EIM New Deals'!AG8+'EIM New Deals'!AG15</f>
        <v>17</v>
      </c>
      <c r="V47" s="33">
        <f>+'EIM New Deals'!AI8+'EIM New Deals'!AI15</f>
        <v>15</v>
      </c>
      <c r="W47" s="33">
        <f>+'EIM New Deals'!AK8+'EIM New Deals'!AK15</f>
        <v>26</v>
      </c>
      <c r="X47" s="33">
        <f>+'EIM New Deals'!AM8+'EIM New Deals'!AM15</f>
        <v>33</v>
      </c>
      <c r="Y47" s="33">
        <f>+'EIM New Deals'!AO8+'EIM New Deals'!AO15</f>
        <v>19</v>
      </c>
      <c r="Z47" s="33">
        <f>+'EIM New Deals'!AQ8+'EIM New Deals'!AQ15</f>
        <v>17</v>
      </c>
      <c r="AA47" s="33">
        <v>21</v>
      </c>
      <c r="AB47" s="33">
        <f>+'EIM New Deals'!AU8+'EIM New Deals'!AU15</f>
        <v>41</v>
      </c>
      <c r="AC47" s="33"/>
      <c r="AD47" s="83"/>
    </row>
    <row r="48" spans="1:30" x14ac:dyDescent="0.2">
      <c r="E48" s="1" t="s">
        <v>35</v>
      </c>
      <c r="J48" s="33"/>
      <c r="K48" s="33">
        <f>+'EIM New Deals'!L8+'EIM New Deals'!L15</f>
        <v>4</v>
      </c>
      <c r="L48" s="33">
        <f>+'EIM New Deals'!N8+'EIM New Deals'!N15</f>
        <v>3</v>
      </c>
      <c r="M48" s="33">
        <f>+'EIM New Deals'!P8+'EIM New Deals'!P15</f>
        <v>3</v>
      </c>
      <c r="N48" s="33">
        <f>+'EIM New Deals'!R8+'EIM New Deals'!R15</f>
        <v>5</v>
      </c>
      <c r="O48" s="33">
        <f>+'EIM New Deals'!T8+'EIM New Deals'!T15</f>
        <v>4</v>
      </c>
      <c r="P48" s="33">
        <f>+'EIM New Deals'!V8+'EIM New Deals'!V15</f>
        <v>9</v>
      </c>
      <c r="Q48" s="33">
        <f>+'EIM New Deals'!X8+'EIM New Deals'!X15</f>
        <v>2</v>
      </c>
      <c r="R48" s="33">
        <f>+'EIM New Deals'!Z8+'EIM New Deals'!Z15</f>
        <v>2</v>
      </c>
      <c r="S48" s="33">
        <f>+'EIM New Deals'!AB8+'EIM New Deals'!AB15</f>
        <v>3</v>
      </c>
      <c r="T48" s="33">
        <f>+'EIM New Deals'!AD8+'EIM New Deals'!AD15</f>
        <v>2</v>
      </c>
      <c r="U48" s="33">
        <f>+'EIM New Deals'!AF8+'EIM New Deals'!AF15</f>
        <v>2</v>
      </c>
      <c r="V48" s="33">
        <f>+'EIM New Deals'!AH8+'EIM New Deals'!AH15</f>
        <v>2</v>
      </c>
      <c r="W48" s="33">
        <f>+'EIM New Deals'!AJ8+'EIM New Deals'!AJ15</f>
        <v>0</v>
      </c>
      <c r="X48" s="33">
        <f>+'EIM New Deals'!AL8+'EIM New Deals'!AL15</f>
        <v>3</v>
      </c>
      <c r="Y48" s="33">
        <f>+'EIM New Deals'!AN8+'EIM New Deals'!AN15</f>
        <v>4</v>
      </c>
      <c r="Z48" s="33">
        <f>+'EIM New Deals'!AP8+'EIM New Deals'!AP15</f>
        <v>2</v>
      </c>
      <c r="AA48" s="33">
        <v>1</v>
      </c>
      <c r="AB48" s="33">
        <f>+'EIM New Deals'!AT8+'EIM New Deals'!AT15</f>
        <v>0</v>
      </c>
      <c r="AC48" s="33"/>
      <c r="AD48" s="83"/>
    </row>
    <row r="49" spans="1:30" x14ac:dyDescent="0.2">
      <c r="A49" s="7" t="s">
        <v>67</v>
      </c>
      <c r="B49">
        <v>0</v>
      </c>
      <c r="E49" t="s">
        <v>39</v>
      </c>
      <c r="F49">
        <f>+'template from individuals'!B55+'template from individuals'!C55</f>
        <v>86</v>
      </c>
      <c r="G49">
        <f>+'template from individuals'!D55+'template from individuals'!E55</f>
        <v>126</v>
      </c>
      <c r="H49">
        <f>+'template from individuals'!F55+'template from individuals'!G55</f>
        <v>103</v>
      </c>
      <c r="I49" s="16">
        <f>+'template from individuals'!H55+'template from individuals'!I55</f>
        <v>124</v>
      </c>
      <c r="J49" s="33">
        <f>+'EIM New Deals'!J6+'EIM New Deals'!K6+'EIM New Deals'!J13+'EIM New Deals'!K13</f>
        <v>86</v>
      </c>
      <c r="K49" s="33">
        <f>+'EIM New Deals'!L6+'EIM New Deals'!M6+'EIM New Deals'!L13+'EIM New Deals'!M13</f>
        <v>69</v>
      </c>
      <c r="L49" s="33">
        <f>+'EIM New Deals'!$N6+'EIM New Deals'!$O6+'EIM New Deals'!$N13+'EIM New Deals'!$O13</f>
        <v>38</v>
      </c>
      <c r="M49" s="33">
        <f>+'EIM New Deals'!P6+'EIM New Deals'!Q6+'EIM New Deals'!P13+'EIM New Deals'!Q13</f>
        <v>41</v>
      </c>
      <c r="N49" s="33">
        <f>+'EIM New Deals'!R6+'EIM New Deals'!S6+'EIM New Deals'!R13+'EIM New Deals'!S13</f>
        <v>69</v>
      </c>
      <c r="O49" s="33">
        <f>+'EIM New Deals'!T6+'EIM New Deals'!U6+'EIM New Deals'!T13+'EIM New Deals'!U13</f>
        <v>84</v>
      </c>
      <c r="P49" s="33">
        <f>+'EIM New Deals'!V6+'EIM New Deals'!W6+'EIM New Deals'!V13+'EIM New Deals'!W13</f>
        <v>80</v>
      </c>
      <c r="Q49" s="33">
        <f t="shared" ref="Q49:V49" si="36">+Q50+Q51</f>
        <v>94</v>
      </c>
      <c r="R49" s="33">
        <f t="shared" si="36"/>
        <v>123</v>
      </c>
      <c r="S49" s="33">
        <f t="shared" si="36"/>
        <v>145</v>
      </c>
      <c r="T49" s="33">
        <f t="shared" si="36"/>
        <v>112</v>
      </c>
      <c r="U49" s="33">
        <f t="shared" si="36"/>
        <v>114</v>
      </c>
      <c r="V49" s="33">
        <f t="shared" si="36"/>
        <v>172</v>
      </c>
      <c r="W49" s="33">
        <f t="shared" ref="W49:AB49" si="37">+W50+W51</f>
        <v>131</v>
      </c>
      <c r="X49" s="33">
        <f t="shared" si="37"/>
        <v>102</v>
      </c>
      <c r="Y49" s="33">
        <f t="shared" si="37"/>
        <v>121</v>
      </c>
      <c r="Z49" s="33">
        <f t="shared" si="37"/>
        <v>67</v>
      </c>
      <c r="AA49" s="33">
        <f t="shared" si="37"/>
        <v>90</v>
      </c>
      <c r="AB49" s="33">
        <f t="shared" si="37"/>
        <v>77</v>
      </c>
      <c r="AC49" s="33"/>
      <c r="AD49" s="83" t="s">
        <v>100</v>
      </c>
    </row>
    <row r="50" spans="1:30" x14ac:dyDescent="0.2">
      <c r="E50" s="1" t="s">
        <v>168</v>
      </c>
      <c r="J50" s="33"/>
      <c r="K50" s="33">
        <f>+'EIM New Deals'!M6+'EIM New Deals'!M13</f>
        <v>62</v>
      </c>
      <c r="L50" s="33">
        <f>+'EIM New Deals'!O6+'EIM New Deals'!O13</f>
        <v>34</v>
      </c>
      <c r="M50" s="33">
        <f>+'EIM New Deals'!Q6+'EIM New Deals'!Q13</f>
        <v>39</v>
      </c>
      <c r="N50" s="33">
        <f>+'EIM New Deals'!S6+'EIM New Deals'!S13</f>
        <v>64</v>
      </c>
      <c r="O50" s="33">
        <f>+'EIM New Deals'!U6+'EIM New Deals'!U13</f>
        <v>77</v>
      </c>
      <c r="P50" s="33">
        <f>+'EIM New Deals'!W6+'EIM New Deals'!W13</f>
        <v>73</v>
      </c>
      <c r="Q50" s="33">
        <f>+'EIM New Deals'!Y6+'EIM New Deals'!Y13</f>
        <v>89</v>
      </c>
      <c r="R50" s="33">
        <f>+'EIM New Deals'!AA6+'EIM New Deals'!AA13</f>
        <v>114</v>
      </c>
      <c r="S50" s="33">
        <f>+'EIM New Deals'!AC6+'EIM New Deals'!AC13</f>
        <v>142</v>
      </c>
      <c r="T50" s="33">
        <f>+'EIM New Deals'!AE6+'EIM New Deals'!AE13</f>
        <v>109</v>
      </c>
      <c r="U50" s="33">
        <f>+'EIM New Deals'!AG6+'EIM New Deals'!AG13</f>
        <v>113</v>
      </c>
      <c r="V50" s="33">
        <f>+'EIM New Deals'!AI6+'EIM New Deals'!AI13</f>
        <v>168</v>
      </c>
      <c r="W50" s="33">
        <f>+'EIM New Deals'!AK6+'EIM New Deals'!AK13</f>
        <v>127</v>
      </c>
      <c r="X50" s="33">
        <f>+'EIM New Deals'!AM6+'EIM New Deals'!AM13</f>
        <v>94</v>
      </c>
      <c r="Y50" s="33">
        <f>+'EIM New Deals'!AO6+'EIM New Deals'!AO13</f>
        <v>115</v>
      </c>
      <c r="Z50" s="33">
        <f>+'EIM New Deals'!AQ6+'EIM New Deals'!AQ13</f>
        <v>62</v>
      </c>
      <c r="AA50" s="33">
        <v>89</v>
      </c>
      <c r="AB50" s="33">
        <f>+'EIM New Deals'!AU6+'EIM New Deals'!AU13</f>
        <v>73</v>
      </c>
      <c r="AC50" s="33"/>
      <c r="AD50" s="83"/>
    </row>
    <row r="51" spans="1:30" x14ac:dyDescent="0.2">
      <c r="E51" s="1" t="s">
        <v>35</v>
      </c>
      <c r="J51" s="33"/>
      <c r="K51" s="33">
        <f>+'EIM New Deals'!L6+'EIM New Deals'!L13</f>
        <v>7</v>
      </c>
      <c r="L51" s="33">
        <f>+'EIM New Deals'!N6+'EIM New Deals'!N13</f>
        <v>4</v>
      </c>
      <c r="M51" s="33">
        <f>+'EIM New Deals'!P6+'EIM New Deals'!P13</f>
        <v>2</v>
      </c>
      <c r="N51" s="33">
        <f>+'EIM New Deals'!R6+'EIM New Deals'!R13</f>
        <v>5</v>
      </c>
      <c r="O51" s="33">
        <f>+'EIM New Deals'!T6+'EIM New Deals'!T13</f>
        <v>7</v>
      </c>
      <c r="P51" s="33">
        <f>+'EIM New Deals'!V6+'EIM New Deals'!V13</f>
        <v>7</v>
      </c>
      <c r="Q51" s="33">
        <f>+'EIM New Deals'!X6+'EIM New Deals'!X13</f>
        <v>5</v>
      </c>
      <c r="R51" s="33">
        <f>+'EIM New Deals'!Z6+'EIM New Deals'!Z13</f>
        <v>9</v>
      </c>
      <c r="S51" s="33">
        <f>+'EIM New Deals'!AB6+'EIM New Deals'!AB13</f>
        <v>3</v>
      </c>
      <c r="T51" s="33">
        <f>+'EIM New Deals'!AD6+'EIM New Deals'!AD13</f>
        <v>3</v>
      </c>
      <c r="U51" s="33">
        <f>+'EIM New Deals'!AF6+'EIM New Deals'!AF13</f>
        <v>1</v>
      </c>
      <c r="V51" s="33">
        <f>+'EIM New Deals'!AH6+'EIM New Deals'!AH13</f>
        <v>4</v>
      </c>
      <c r="W51" s="33">
        <f>+'EIM New Deals'!AJ6+'EIM New Deals'!AJ13</f>
        <v>4</v>
      </c>
      <c r="X51" s="33">
        <f>+'EIM New Deals'!AL6+'EIM New Deals'!AL13</f>
        <v>8</v>
      </c>
      <c r="Y51" s="33">
        <f>+'EIM New Deals'!AN6+'EIM New Deals'!AN13</f>
        <v>6</v>
      </c>
      <c r="Z51" s="33">
        <f>+'EIM New Deals'!AP6+'EIM New Deals'!AP13</f>
        <v>5</v>
      </c>
      <c r="AA51" s="33">
        <v>1</v>
      </c>
      <c r="AB51" s="33">
        <f>'EIM New Deals'!AT6+'EIM New Deals'!AT13</f>
        <v>4</v>
      </c>
      <c r="AC51" s="33"/>
      <c r="AD51" s="83"/>
    </row>
    <row r="52" spans="1:30" x14ac:dyDescent="0.2">
      <c r="A52" s="7" t="s">
        <v>68</v>
      </c>
      <c r="B52">
        <v>0</v>
      </c>
      <c r="E52" t="s">
        <v>41</v>
      </c>
      <c r="F52">
        <f>+'template from individuals'!B58+'template from individuals'!C58</f>
        <v>0</v>
      </c>
      <c r="G52">
        <v>0</v>
      </c>
      <c r="H52">
        <v>0</v>
      </c>
      <c r="I52" s="16">
        <v>0</v>
      </c>
      <c r="J52" s="33">
        <f>+'EIM New Deals'!J9+'EIM New Deals'!K9+'EIM New Deals'!J16+'EIM New Deals'!K16</f>
        <v>1</v>
      </c>
      <c r="K52" s="33">
        <f>+'EIM New Deals'!L9+'EIM New Deals'!M9+'EIM New Deals'!L16+'EIM New Deals'!M16</f>
        <v>1</v>
      </c>
      <c r="L52" s="33">
        <f>+'EIM New Deals'!$N9+'EIM New Deals'!$O9+'EIM New Deals'!$N16+'EIM New Deals'!$O16</f>
        <v>2</v>
      </c>
      <c r="M52" s="33">
        <f>+'EIM New Deals'!P9+'EIM New Deals'!Q9+'EIM New Deals'!P16+'EIM New Deals'!Q16</f>
        <v>0</v>
      </c>
      <c r="N52" s="33">
        <f>+'EIM New Deals'!R9+'EIM New Deals'!S9+'EIM New Deals'!R16+'EIM New Deals'!S16</f>
        <v>1</v>
      </c>
      <c r="O52" s="33">
        <f>+'EIM New Deals'!T9+'EIM New Deals'!U9+'EIM New Deals'!T16+'EIM New Deals'!U16</f>
        <v>0</v>
      </c>
      <c r="P52" s="33">
        <f>+'EIM New Deals'!V9+'EIM New Deals'!W9+'EIM New Deals'!V16+'EIM New Deals'!W16</f>
        <v>0</v>
      </c>
      <c r="Q52" s="33">
        <f t="shared" ref="Q52:V52" si="38">+Q53+Q54</f>
        <v>2</v>
      </c>
      <c r="R52" s="33">
        <f t="shared" si="38"/>
        <v>7</v>
      </c>
      <c r="S52" s="33">
        <f t="shared" si="38"/>
        <v>1</v>
      </c>
      <c r="T52" s="33">
        <f t="shared" si="38"/>
        <v>5</v>
      </c>
      <c r="U52" s="33">
        <f t="shared" si="38"/>
        <v>4</v>
      </c>
      <c r="V52" s="33">
        <f t="shared" si="38"/>
        <v>11</v>
      </c>
      <c r="W52" s="33">
        <f t="shared" ref="W52:AB52" si="39">+W53+W54</f>
        <v>6</v>
      </c>
      <c r="X52" s="33">
        <f t="shared" si="39"/>
        <v>7</v>
      </c>
      <c r="Y52" s="33">
        <f t="shared" si="39"/>
        <v>17</v>
      </c>
      <c r="Z52" s="33">
        <f t="shared" si="39"/>
        <v>17</v>
      </c>
      <c r="AA52" s="33">
        <f t="shared" si="39"/>
        <v>0</v>
      </c>
      <c r="AB52" s="33">
        <f t="shared" si="39"/>
        <v>20</v>
      </c>
      <c r="AC52" s="33"/>
      <c r="AD52" s="83" t="s">
        <v>100</v>
      </c>
    </row>
    <row r="53" spans="1:30" x14ac:dyDescent="0.2">
      <c r="E53" s="1" t="s">
        <v>168</v>
      </c>
      <c r="J53" s="33"/>
      <c r="K53" s="33">
        <f>+'EIM New Deals'!M9+'EIM New Deals'!M16</f>
        <v>1</v>
      </c>
      <c r="L53" s="33">
        <f>+'EIM New Deals'!O9+'EIM New Deals'!O16</f>
        <v>2</v>
      </c>
      <c r="M53" s="33">
        <f>+'EIM New Deals'!Q9+'EIM New Deals'!Q16</f>
        <v>0</v>
      </c>
      <c r="N53" s="33">
        <f>+'EIM New Deals'!S9+'EIM New Deals'!S16</f>
        <v>1</v>
      </c>
      <c r="O53" s="33">
        <f>+'EIM New Deals'!U9+'EIM New Deals'!U16</f>
        <v>0</v>
      </c>
      <c r="P53" s="33">
        <f>+'EIM New Deals'!W9+'EIM New Deals'!W16</f>
        <v>0</v>
      </c>
      <c r="Q53" s="33">
        <f>+'EIM New Deals'!Y9+'EIM New Deals'!Y16</f>
        <v>2</v>
      </c>
      <c r="R53" s="33">
        <f>+'EIM New Deals'!AA9+'EIM New Deals'!AA16</f>
        <v>7</v>
      </c>
      <c r="S53" s="33">
        <f>+'EIM New Deals'!AC9+'EIM New Deals'!AC16</f>
        <v>1</v>
      </c>
      <c r="T53" s="33">
        <f>+'EIM New Deals'!AE9+'EIM New Deals'!AE16</f>
        <v>0</v>
      </c>
      <c r="U53" s="33">
        <f>+'EIM New Deals'!AG9+'EIM New Deals'!AG16</f>
        <v>4</v>
      </c>
      <c r="V53" s="33">
        <f>+'EIM New Deals'!AI9+'EIM New Deals'!AI16</f>
        <v>8</v>
      </c>
      <c r="W53" s="33">
        <f>+'EIM New Deals'!AK9+'EIM New Deals'!AK16</f>
        <v>6</v>
      </c>
      <c r="X53" s="33">
        <f>+'EIM New Deals'!AM9+'EIM New Deals'!AM16</f>
        <v>7</v>
      </c>
      <c r="Y53" s="33">
        <f>+'EIM New Deals'!AO9+'EIM New Deals'!AO16</f>
        <v>17</v>
      </c>
      <c r="Z53" s="33">
        <f>+'EIM New Deals'!AQ9+'EIM New Deals'!AQ16</f>
        <v>17</v>
      </c>
      <c r="AA53" s="33">
        <v>0</v>
      </c>
      <c r="AB53" s="33">
        <f>+'EIM New Deals'!AU9+'EIM New Deals'!AU16</f>
        <v>19</v>
      </c>
      <c r="AC53" s="33"/>
      <c r="AD53" s="83"/>
    </row>
    <row r="54" spans="1:30" x14ac:dyDescent="0.2">
      <c r="E54" s="1" t="s">
        <v>35</v>
      </c>
      <c r="J54" s="33"/>
      <c r="K54" s="33">
        <f>+'EIM New Deals'!L9+'EIM New Deals'!L16</f>
        <v>0</v>
      </c>
      <c r="L54" s="33">
        <f>+'EIM New Deals'!N9+'EIM New Deals'!N16</f>
        <v>0</v>
      </c>
      <c r="M54" s="33">
        <f>+'EIM New Deals'!P9+'EIM New Deals'!P16</f>
        <v>0</v>
      </c>
      <c r="N54" s="33">
        <f>+'EIM New Deals'!R9+'EIM New Deals'!R16</f>
        <v>0</v>
      </c>
      <c r="O54" s="33">
        <f>+'EIM New Deals'!T9+'EIM New Deals'!T16</f>
        <v>0</v>
      </c>
      <c r="P54" s="33">
        <f>+'EIM New Deals'!V9+'EIM New Deals'!V16</f>
        <v>0</v>
      </c>
      <c r="Q54" s="33">
        <f>+'EIM New Deals'!X9+'EIM New Deals'!X16</f>
        <v>0</v>
      </c>
      <c r="R54" s="33">
        <f>+'EIM New Deals'!Z9+'EIM New Deals'!Z16</f>
        <v>0</v>
      </c>
      <c r="S54" s="33">
        <f>+'EIM New Deals'!AB9+'EIM New Deals'!AB16</f>
        <v>0</v>
      </c>
      <c r="T54" s="33">
        <f>+'EIM New Deals'!AD9+'EIM New Deals'!AD16</f>
        <v>5</v>
      </c>
      <c r="U54" s="33">
        <f>+'EIM New Deals'!AF9+'EIM New Deals'!AF16</f>
        <v>0</v>
      </c>
      <c r="V54" s="33">
        <f>+'EIM New Deals'!AH9+'EIM New Deals'!AH16</f>
        <v>3</v>
      </c>
      <c r="W54" s="33">
        <f>+'EIM New Deals'!AJ9+'EIM New Deals'!AJ16</f>
        <v>0</v>
      </c>
      <c r="X54" s="33">
        <f>+'EIM New Deals'!AL9+'EIM New Deals'!AL16</f>
        <v>0</v>
      </c>
      <c r="Y54" s="33">
        <f>+'EIM New Deals'!AN9+'EIM New Deals'!AN16</f>
        <v>0</v>
      </c>
      <c r="Z54" s="33">
        <f>+'EIM New Deals'!AP9+'EIM New Deals'!AP16</f>
        <v>0</v>
      </c>
      <c r="AA54" s="33">
        <v>0</v>
      </c>
      <c r="AB54" s="33">
        <f>+'EIM New Deals'!AT9+'EIM New Deals'!AT16</f>
        <v>1</v>
      </c>
      <c r="AC54" s="33"/>
      <c r="AD54" s="83"/>
    </row>
    <row r="55" spans="1:30" x14ac:dyDescent="0.2">
      <c r="E55" t="s">
        <v>169</v>
      </c>
      <c r="J55" s="33"/>
      <c r="K55" s="159">
        <f t="shared" ref="K55:Q55" si="40">(K54+K51+K48+K45)/(K52+K49+K46+K43)</f>
        <v>0.1111111111111111</v>
      </c>
      <c r="L55" s="159">
        <f t="shared" si="40"/>
        <v>8.2352941176470587E-2</v>
      </c>
      <c r="M55" s="159">
        <f t="shared" si="40"/>
        <v>6.1728395061728392E-2</v>
      </c>
      <c r="N55" s="159">
        <f t="shared" si="40"/>
        <v>6.8965517241379309E-2</v>
      </c>
      <c r="O55" s="159">
        <f t="shared" si="40"/>
        <v>8.0882352941176475E-2</v>
      </c>
      <c r="P55" s="159">
        <f t="shared" si="40"/>
        <v>0.11842105263157894</v>
      </c>
      <c r="Q55" s="159">
        <f t="shared" si="40"/>
        <v>4.9689440993788817E-2</v>
      </c>
      <c r="R55" s="159">
        <f t="shared" ref="R55:AB55" si="41">(R54+R51+R48+R45)/(R52+R49+R46+R43)</f>
        <v>0.11602209944751381</v>
      </c>
      <c r="S55" s="159">
        <f t="shared" si="41"/>
        <v>3.482587064676617E-2</v>
      </c>
      <c r="T55" s="159">
        <f t="shared" si="41"/>
        <v>7.9365079365079361E-2</v>
      </c>
      <c r="U55" s="159">
        <f t="shared" si="41"/>
        <v>3.3898305084745763E-2</v>
      </c>
      <c r="V55" s="159">
        <f t="shared" si="41"/>
        <v>4.4642857142857144E-2</v>
      </c>
      <c r="W55" s="159">
        <f t="shared" si="41"/>
        <v>2.7624309392265192E-2</v>
      </c>
      <c r="X55" s="159">
        <f t="shared" si="41"/>
        <v>8.0924855491329481E-2</v>
      </c>
      <c r="Y55" s="159">
        <f t="shared" si="41"/>
        <v>5.1401869158878503E-2</v>
      </c>
      <c r="Z55" s="159">
        <f t="shared" si="41"/>
        <v>3.8043478260869568E-2</v>
      </c>
      <c r="AA55" s="159">
        <f t="shared" si="41"/>
        <v>2.2900763358778626E-2</v>
      </c>
      <c r="AB55" s="159">
        <f t="shared" si="41"/>
        <v>3.4285714285714287E-2</v>
      </c>
      <c r="AC55" s="159"/>
      <c r="AD55" s="83"/>
    </row>
    <row r="56" spans="1:30" x14ac:dyDescent="0.2">
      <c r="E56" s="5" t="s">
        <v>33</v>
      </c>
      <c r="I56"/>
      <c r="K56">
        <f t="shared" ref="K56:AA56" si="42">+K57+K58</f>
        <v>99</v>
      </c>
      <c r="L56">
        <f t="shared" si="42"/>
        <v>85</v>
      </c>
      <c r="M56">
        <f t="shared" si="42"/>
        <v>81</v>
      </c>
      <c r="N56">
        <f t="shared" si="42"/>
        <v>145</v>
      </c>
      <c r="O56">
        <f t="shared" si="42"/>
        <v>136</v>
      </c>
      <c r="P56">
        <f t="shared" si="42"/>
        <v>152</v>
      </c>
      <c r="Q56">
        <f t="shared" si="42"/>
        <v>161</v>
      </c>
      <c r="R56">
        <f t="shared" si="42"/>
        <v>181</v>
      </c>
      <c r="S56">
        <f t="shared" si="42"/>
        <v>201</v>
      </c>
      <c r="T56">
        <f t="shared" si="42"/>
        <v>189</v>
      </c>
      <c r="U56">
        <f t="shared" si="42"/>
        <v>177</v>
      </c>
      <c r="V56">
        <f t="shared" si="42"/>
        <v>224</v>
      </c>
      <c r="W56">
        <f t="shared" si="42"/>
        <v>181</v>
      </c>
      <c r="X56">
        <f t="shared" si="42"/>
        <v>173</v>
      </c>
      <c r="Y56">
        <f t="shared" si="42"/>
        <v>214</v>
      </c>
      <c r="Z56">
        <f t="shared" si="42"/>
        <v>184</v>
      </c>
      <c r="AA56">
        <f t="shared" si="42"/>
        <v>131</v>
      </c>
      <c r="AB56">
        <f>+AB57+AB58</f>
        <v>175</v>
      </c>
      <c r="AD56" s="83"/>
    </row>
    <row r="57" spans="1:30" x14ac:dyDescent="0.2">
      <c r="E57" s="5" t="s">
        <v>182</v>
      </c>
      <c r="J57" s="33"/>
      <c r="K57" s="118">
        <f>+K44+K47+K50+K53</f>
        <v>88</v>
      </c>
      <c r="L57" s="118">
        <f t="shared" ref="L57:Q57" si="43">+L44+L47+L50+L53</f>
        <v>78</v>
      </c>
      <c r="M57" s="118">
        <f t="shared" si="43"/>
        <v>76</v>
      </c>
      <c r="N57" s="118">
        <f t="shared" si="43"/>
        <v>135</v>
      </c>
      <c r="O57" s="118">
        <f t="shared" si="43"/>
        <v>125</v>
      </c>
      <c r="P57" s="118">
        <f t="shared" si="43"/>
        <v>134</v>
      </c>
      <c r="Q57" s="118">
        <f t="shared" si="43"/>
        <v>153</v>
      </c>
      <c r="R57" s="118">
        <f t="shared" ref="R57:T58" si="44">+R44+R47+R50+R53</f>
        <v>160</v>
      </c>
      <c r="S57" s="118">
        <f t="shared" si="44"/>
        <v>194</v>
      </c>
      <c r="T57" s="118">
        <f t="shared" si="44"/>
        <v>174</v>
      </c>
      <c r="U57" s="118">
        <f t="shared" ref="U57:W58" si="45">+U44+U47+U50+U53</f>
        <v>171</v>
      </c>
      <c r="V57" s="118">
        <f t="shared" si="45"/>
        <v>214</v>
      </c>
      <c r="W57" s="118">
        <f t="shared" si="45"/>
        <v>176</v>
      </c>
      <c r="X57" s="118">
        <f t="shared" ref="X57:AA58" si="46">+X44+X47+X50+X53</f>
        <v>159</v>
      </c>
      <c r="Y57" s="118">
        <f t="shared" si="46"/>
        <v>203</v>
      </c>
      <c r="Z57" s="118">
        <f t="shared" si="46"/>
        <v>177</v>
      </c>
      <c r="AA57" s="118">
        <f t="shared" si="46"/>
        <v>128</v>
      </c>
      <c r="AB57" s="118">
        <f>+AB44+AB47+AB50+AB53</f>
        <v>169</v>
      </c>
      <c r="AC57" s="118"/>
      <c r="AD57" s="83"/>
    </row>
    <row r="58" spans="1:30" x14ac:dyDescent="0.2">
      <c r="E58" s="5" t="s">
        <v>96</v>
      </c>
      <c r="J58" s="33"/>
      <c r="K58" s="118">
        <f>+K45+K48+K51+K54</f>
        <v>11</v>
      </c>
      <c r="L58" s="118">
        <f t="shared" ref="L58:Q58" si="47">+L45+L48+L51+L54</f>
        <v>7</v>
      </c>
      <c r="M58" s="118">
        <f t="shared" si="47"/>
        <v>5</v>
      </c>
      <c r="N58" s="118">
        <f t="shared" si="47"/>
        <v>10</v>
      </c>
      <c r="O58" s="118">
        <f t="shared" si="47"/>
        <v>11</v>
      </c>
      <c r="P58" s="118">
        <f t="shared" si="47"/>
        <v>18</v>
      </c>
      <c r="Q58" s="118">
        <f t="shared" si="47"/>
        <v>8</v>
      </c>
      <c r="R58" s="118">
        <f t="shared" si="44"/>
        <v>21</v>
      </c>
      <c r="S58" s="118">
        <f t="shared" si="44"/>
        <v>7</v>
      </c>
      <c r="T58" s="118">
        <f t="shared" si="44"/>
        <v>15</v>
      </c>
      <c r="U58" s="118">
        <f t="shared" si="45"/>
        <v>6</v>
      </c>
      <c r="V58" s="118">
        <f t="shared" si="45"/>
        <v>10</v>
      </c>
      <c r="W58" s="118">
        <f t="shared" si="45"/>
        <v>5</v>
      </c>
      <c r="X58" s="118">
        <f t="shared" si="46"/>
        <v>14</v>
      </c>
      <c r="Y58" s="118">
        <f t="shared" si="46"/>
        <v>11</v>
      </c>
      <c r="Z58" s="118">
        <f t="shared" si="46"/>
        <v>7</v>
      </c>
      <c r="AA58" s="118">
        <f t="shared" si="46"/>
        <v>3</v>
      </c>
      <c r="AB58" s="118">
        <f>+AB45+AB48+AB51+AB54</f>
        <v>6</v>
      </c>
      <c r="AC58" s="118"/>
      <c r="AD58" s="83"/>
    </row>
    <row r="59" spans="1:30" x14ac:dyDescent="0.2">
      <c r="A59" s="7" t="s">
        <v>69</v>
      </c>
      <c r="B59">
        <v>1</v>
      </c>
      <c r="AD59" s="84"/>
    </row>
    <row r="60" spans="1:30" x14ac:dyDescent="0.2">
      <c r="A60" s="7" t="s">
        <v>64</v>
      </c>
      <c r="B60">
        <v>1300</v>
      </c>
      <c r="E60" s="85" t="s">
        <v>94</v>
      </c>
      <c r="AD60" s="84"/>
    </row>
    <row r="61" spans="1:30" ht="15" x14ac:dyDescent="0.25">
      <c r="A61" s="7" t="s">
        <v>71</v>
      </c>
      <c r="B61">
        <v>250</v>
      </c>
      <c r="F61" s="82" t="s">
        <v>121</v>
      </c>
      <c r="G61" s="82" t="s">
        <v>122</v>
      </c>
      <c r="H61" s="82" t="s">
        <v>123</v>
      </c>
      <c r="I61" s="82" t="s">
        <v>124</v>
      </c>
      <c r="J61" s="82" t="s">
        <v>136</v>
      </c>
      <c r="K61" s="82" t="str">
        <f t="shared" ref="K61:P61" si="48">+K42</f>
        <v>2/2 - 2/8</v>
      </c>
      <c r="L61" s="82" t="str">
        <f t="shared" si="48"/>
        <v>2/9 - 2/15</v>
      </c>
      <c r="M61" s="82" t="str">
        <f t="shared" si="48"/>
        <v>2/16 - 2/22</v>
      </c>
      <c r="N61" s="82" t="str">
        <f t="shared" si="48"/>
        <v>2/23 - 2/28</v>
      </c>
      <c r="O61" s="82" t="str">
        <f t="shared" si="48"/>
        <v>3/1 - 3/7</v>
      </c>
      <c r="P61" s="82" t="str">
        <f t="shared" si="48"/>
        <v>3/8 - 3/14</v>
      </c>
      <c r="Q61" s="82" t="str">
        <f t="shared" ref="Q61:V61" si="49">+Q42</f>
        <v>3/15 - 3/21</v>
      </c>
      <c r="R61" s="82" t="str">
        <f t="shared" si="49"/>
        <v>3/22 - 3/28</v>
      </c>
      <c r="S61" s="82" t="str">
        <f t="shared" si="49"/>
        <v>3/29 - 4/4</v>
      </c>
      <c r="T61" s="82" t="str">
        <f t="shared" si="49"/>
        <v>4/5 - 4/11</v>
      </c>
      <c r="U61" s="82" t="str">
        <f t="shared" si="49"/>
        <v>4/12 - 4/18</v>
      </c>
      <c r="V61" s="82" t="str">
        <f t="shared" si="49"/>
        <v>4/19 - 4/25</v>
      </c>
      <c r="W61" s="82" t="str">
        <f>+W42</f>
        <v>4/26 - 5/2</v>
      </c>
      <c r="X61" s="82" t="str">
        <f>+X42</f>
        <v>5/3 - 5/9</v>
      </c>
      <c r="Y61" s="82" t="str">
        <f>+Y42</f>
        <v>5/10 - 5/16</v>
      </c>
      <c r="Z61" s="82" t="str">
        <f>+Z42</f>
        <v>5/17 - 5/23</v>
      </c>
      <c r="AA61" s="82" t="s">
        <v>225</v>
      </c>
      <c r="AB61" s="82" t="str">
        <f>AB11</f>
        <v>5/31 - 6/6</v>
      </c>
      <c r="AC61" s="201"/>
    </row>
    <row r="62" spans="1:30" x14ac:dyDescent="0.2">
      <c r="A62" s="7" t="s">
        <v>72</v>
      </c>
      <c r="B62">
        <v>50</v>
      </c>
      <c r="E62" s="4" t="s">
        <v>153</v>
      </c>
      <c r="F62" s="32">
        <f>1758331589/1000000</f>
        <v>1758.3315889999999</v>
      </c>
      <c r="G62" s="32">
        <f>3201106470/1000000</f>
        <v>3201.1064700000002</v>
      </c>
      <c r="H62" s="16">
        <f>1942345461/1000000</f>
        <v>1942.3454609999999</v>
      </c>
      <c r="I62" s="16">
        <f>4952206066/1000000</f>
        <v>4952.2060659999997</v>
      </c>
      <c r="J62" s="119">
        <f>(+'WE 2-1 EOL Data'!C6+'WE 2-1 EOL Data'!C29)/1000000</f>
        <v>4273.2712199999996</v>
      </c>
      <c r="K62" s="119">
        <f>(+'WE 2-8 EOL Data'!C6+'WE 2-8 EOL Data'!C29)/1000000</f>
        <v>3586.1783646399995</v>
      </c>
      <c r="L62" s="119">
        <f>(+'WE 2-15 EOL Data'!$C6+'WE 2-15 EOL Data'!$C29)/1000000</f>
        <v>4250.7380022099987</v>
      </c>
      <c r="M62" s="119">
        <f>(+'WE 2-22 EOL Data'!$C6+'WE 2-22 EOL Data'!$C29)/1000000</f>
        <v>2865.6876510000002</v>
      </c>
      <c r="N62" s="119">
        <f>(+'WE 2-28 EOL Data'!C6+'WE 2-28 EOL Data'!C29)/1000000</f>
        <v>3382.0786511900001</v>
      </c>
      <c r="O62" s="119">
        <f>(+'WE 3-7 EOL Data'!C6+'WE 3-7 EOL Data'!C29)/1000000</f>
        <v>4310.0659028599994</v>
      </c>
      <c r="P62" s="119">
        <f>(+'WE 3-14 EOL Data'!C6+'WE 3-14 EOL Data'!C29)/1000000</f>
        <v>3630.7007905600003</v>
      </c>
      <c r="Q62" s="119">
        <f>(+'WE 3-21 EOL Data'!C6+'WE 3-21 EOL Data'!C29)/1000000</f>
        <v>3471.9734751599999</v>
      </c>
      <c r="R62" s="119">
        <f>(+'WE 3-28 EOL Data'!C6+'WE 3-28 EOL Data'!C29)/1000000</f>
        <v>4935.3578799200013</v>
      </c>
      <c r="S62" s="119">
        <f>(+'WE 4-4 EOL Data'!C6+'WE 4-4 EOL Data'!C29)/1000000</f>
        <v>4600.9169952699995</v>
      </c>
      <c r="T62" s="119">
        <f>(+'WE 4-11 EOL Data'!C6+'WE 4-11 EOL Data'!C29)/1000000</f>
        <v>4395.5360208000002</v>
      </c>
      <c r="U62" s="119">
        <f>(+'WE 4-18 EOL Data'!C6+'WE 4-18 EOL Data'!C29)/1000000</f>
        <v>2936.7967890099994</v>
      </c>
      <c r="V62" s="119">
        <f>(+'WE 4-25 EOL Data'!C6+'WE 4-25 EOL Data'!C29)/1000000</f>
        <v>4188.2606314200011</v>
      </c>
      <c r="W62" s="119">
        <f>(+'WE 5-2 EOL Data'!C6+'WE 5-2 EOL Data'!C29)/1000000</f>
        <v>4660.280191529997</v>
      </c>
      <c r="X62" s="119">
        <f>(+'WE 5-9 EOL Data'!C6+'WE 5-9 EOL Data'!C29)/1000000</f>
        <v>4226.5836308100033</v>
      </c>
      <c r="Y62" s="119">
        <f>(+'WE 5-16 EOL Data'!C6+'WE 5-16 EOL Data'!C29)/1000000</f>
        <v>4371.7276664399988</v>
      </c>
      <c r="Z62" s="119">
        <f>(+'WE 5-23 EOL Data'!C28+'WE 5-23 EOL Data'!C6)/1000000</f>
        <v>5698.3712623199981</v>
      </c>
      <c r="AA62" s="119">
        <v>5240</v>
      </c>
      <c r="AB62" s="119">
        <f>(+'WE 6-6 EOL Data'!$C$6+'WE 6-6 EOL Data'!$C$28)/1000000</f>
        <v>6063.5727965499991</v>
      </c>
      <c r="AC62" s="119"/>
    </row>
    <row r="63" spans="1:30" ht="13.5" customHeight="1" x14ac:dyDescent="0.2">
      <c r="A63" s="7" t="s">
        <v>39</v>
      </c>
      <c r="B63">
        <v>0</v>
      </c>
      <c r="E63" s="4" t="s">
        <v>154</v>
      </c>
      <c r="F63" s="32">
        <f>16046241/1000000</f>
        <v>16.046240999999998</v>
      </c>
      <c r="G63" s="32">
        <f>52662791/1000000</f>
        <v>52.662790999999999</v>
      </c>
      <c r="H63" s="16">
        <f>48150655/1000000</f>
        <v>48.150655</v>
      </c>
      <c r="I63" s="16">
        <f>37589241/1000000</f>
        <v>37.589241000000001</v>
      </c>
      <c r="J63" s="119">
        <f>(+'WE 2-1 EOL Data'!C7+'WE 2-1 EOL Data'!C30)/1000000</f>
        <v>53.945233000000002</v>
      </c>
      <c r="K63" s="119">
        <f>(+'WE 2-8 EOL Data'!C7+'WE 2-8 EOL Data'!C30)/1000000</f>
        <v>51.399965140000006</v>
      </c>
      <c r="L63" s="119">
        <f>(+'WE 2-15 EOL Data'!$C7+'WE 2-15 EOL Data'!$C30)/1000000</f>
        <v>49.091319190000029</v>
      </c>
      <c r="M63" s="119">
        <f>(+'WE 2-22 EOL Data'!$C7+'WE 2-22 EOL Data'!$C30)/1000000</f>
        <v>37.990490000000001</v>
      </c>
      <c r="N63" s="119">
        <f>(+'WE 2-28 EOL Data'!C7+'WE 2-28 EOL Data'!C30)/1000000</f>
        <v>43.647636379999994</v>
      </c>
      <c r="O63" s="119">
        <f>(+'WE 3-7 EOL Data'!C7+'WE 3-7 EOL Data'!C30)/1000000</f>
        <v>49.601260310000001</v>
      </c>
      <c r="P63" s="119">
        <f>(+'WE 3-14 EOL Data'!C7+'WE 3-14 EOL Data'!C30)/1000000</f>
        <v>52.895417969999997</v>
      </c>
      <c r="Q63" s="119">
        <f>(+'WE 3-21 EOL Data'!C7+'WE 3-21 EOL Data'!C30)/1000000</f>
        <v>49.577375480000008</v>
      </c>
      <c r="R63" s="119">
        <f>(+'WE 3-28 EOL Data'!C7+'WE 3-28 EOL Data'!C30)/1000000</f>
        <v>47.200591540000005</v>
      </c>
      <c r="S63" s="119">
        <f>(+'WE 4-4 EOL Data'!C7+'WE 4-4 EOL Data'!C30)/1000000</f>
        <v>51.522265300000015</v>
      </c>
      <c r="T63" s="119">
        <f>(+'WE 4-11 EOL Data'!C7+'WE 4-11 EOL Data'!C30)/1000000</f>
        <v>47.796267070000006</v>
      </c>
      <c r="U63" s="119">
        <f>(+'WE 4-18 EOL Data'!C7+'WE 4-18 EOL Data'!C30)/1000000</f>
        <v>42.96937114</v>
      </c>
      <c r="V63" s="119">
        <f>(+'WE 4-25 EOL Data'!C7+'WE 4-25 EOL Data'!C30)/1000000</f>
        <v>96.158623760000012</v>
      </c>
      <c r="W63" s="119">
        <f>(+'WE 5-2 EOL Data'!C7+'WE 5-2 EOL Data'!C30)/1000000</f>
        <v>55.72244239000004</v>
      </c>
      <c r="X63" s="119">
        <f>(+'WE 5-9 EOL Data'!C7+'WE 5-9 EOL Data'!C30)/1000000</f>
        <v>57.430294329999981</v>
      </c>
      <c r="Y63" s="119">
        <f>(+'WE 5-16 EOL Data'!C7+'WE 5-16 EOL Data'!C30)/1000000</f>
        <v>44.784324360000014</v>
      </c>
      <c r="Z63" s="119">
        <f>(+'WE 5-23 EOL Data'!C7+'WE 5-23 EOL Data'!C29)/1000000</f>
        <v>49.627620599999986</v>
      </c>
      <c r="AA63" s="119">
        <v>80</v>
      </c>
      <c r="AB63" s="119">
        <f>(+'WE 6-6 EOL Data'!$C$7+'WE 6-6 EOL Data'!$C$29)/1000000</f>
        <v>76.948695799999982</v>
      </c>
      <c r="AC63" s="119"/>
    </row>
    <row r="64" spans="1:30" ht="15" x14ac:dyDescent="0.25">
      <c r="A64" s="7" t="s">
        <v>71</v>
      </c>
      <c r="B64">
        <v>250</v>
      </c>
      <c r="F64" s="82" t="s">
        <v>121</v>
      </c>
      <c r="G64" s="82" t="s">
        <v>122</v>
      </c>
      <c r="H64" s="82" t="s">
        <v>123</v>
      </c>
      <c r="I64" s="82" t="s">
        <v>124</v>
      </c>
      <c r="J64" s="82" t="s">
        <v>136</v>
      </c>
      <c r="K64" s="82" t="str">
        <f t="shared" ref="K64:P64" si="50">+K61</f>
        <v>2/2 - 2/8</v>
      </c>
      <c r="L64" s="82" t="str">
        <f t="shared" si="50"/>
        <v>2/9 - 2/15</v>
      </c>
      <c r="M64" s="82" t="str">
        <f t="shared" si="50"/>
        <v>2/16 - 2/22</v>
      </c>
      <c r="N64" s="82" t="str">
        <f t="shared" si="50"/>
        <v>2/23 - 2/28</v>
      </c>
      <c r="O64" s="82" t="str">
        <f t="shared" si="50"/>
        <v>3/1 - 3/7</v>
      </c>
      <c r="P64" s="82" t="str">
        <f t="shared" si="50"/>
        <v>3/8 - 3/14</v>
      </c>
      <c r="Q64" s="82" t="str">
        <f t="shared" ref="Q64:V64" si="51">+Q61</f>
        <v>3/15 - 3/21</v>
      </c>
      <c r="R64" s="82" t="str">
        <f t="shared" si="51"/>
        <v>3/22 - 3/28</v>
      </c>
      <c r="S64" s="82" t="str">
        <f t="shared" si="51"/>
        <v>3/29 - 4/4</v>
      </c>
      <c r="T64" s="82" t="str">
        <f t="shared" si="51"/>
        <v>4/5 - 4/11</v>
      </c>
      <c r="U64" s="82" t="str">
        <f t="shared" si="51"/>
        <v>4/12 - 4/18</v>
      </c>
      <c r="V64" s="82" t="str">
        <f t="shared" si="51"/>
        <v>4/19 - 4/25</v>
      </c>
      <c r="W64" s="82" t="str">
        <f>+W61</f>
        <v>4/26 - 5/2</v>
      </c>
      <c r="X64" s="82" t="str">
        <f>+X61</f>
        <v>5/3 - 5/9</v>
      </c>
      <c r="Y64" s="82" t="str">
        <f>+Y61</f>
        <v>5/10 - 5/16</v>
      </c>
      <c r="Z64" s="82" t="str">
        <f>+Z61</f>
        <v>5/17 - 5/23</v>
      </c>
      <c r="AA64" s="82" t="s">
        <v>225</v>
      </c>
      <c r="AB64" s="82" t="str">
        <f>AB11</f>
        <v>5/31 - 6/6</v>
      </c>
      <c r="AC64" s="201"/>
    </row>
    <row r="65" spans="1:30" x14ac:dyDescent="0.2">
      <c r="E65" t="s">
        <v>166</v>
      </c>
      <c r="F65" s="32">
        <f>'template from eol'!C58</f>
        <v>60842.591799999995</v>
      </c>
      <c r="G65" s="32">
        <f>'template from eol'!E58</f>
        <v>36861.769800000002</v>
      </c>
      <c r="H65" s="16">
        <f>'template from eol'!G58</f>
        <v>213594.89320000002</v>
      </c>
      <c r="I65" s="16">
        <f>'template from eol'!I58</f>
        <v>19607.182999999997</v>
      </c>
      <c r="J65">
        <f>+'WE 2-1 EOL Data'!C58</f>
        <v>25872</v>
      </c>
      <c r="K65" s="137">
        <f>+'WE 2-8 EOL Data'!C58</f>
        <v>106865.89999999997</v>
      </c>
      <c r="L65" s="137">
        <f>+'WE 2-15 EOL Data'!$C58</f>
        <v>11962.5</v>
      </c>
      <c r="M65" s="137">
        <f>+'WE 2-22 EOL Data'!$C58</f>
        <v>56612</v>
      </c>
      <c r="N65" s="137">
        <f>+'WE 2-28 EOL Data'!C58</f>
        <v>163303.196</v>
      </c>
      <c r="O65" s="137">
        <f>+'WE 3-7 EOL Data'!C58</f>
        <v>120983.16</v>
      </c>
      <c r="P65" s="137">
        <f>+'WE 3-14 EOL Data'!C58</f>
        <v>92583.55</v>
      </c>
      <c r="Q65" s="137">
        <f>+'WE 3-21 EOL Data'!C58</f>
        <v>275762.31</v>
      </c>
      <c r="R65" s="137">
        <f>+'WE 3-28 EOL Data'!C58</f>
        <v>169228.08</v>
      </c>
      <c r="S65" s="137">
        <f>+'WE 4-4 EOL Data'!C58</f>
        <v>203727</v>
      </c>
      <c r="T65" s="137">
        <f>+'WE 4-11 EOL Data'!C58</f>
        <v>54469.222999999998</v>
      </c>
      <c r="U65" s="137">
        <f>+'WE 4-18 EOL Data'!C58</f>
        <v>144375.79999999999</v>
      </c>
      <c r="V65" s="137">
        <f>+'WE 4-25 EOL Data'!C58</f>
        <v>381258.61</v>
      </c>
      <c r="W65" s="137">
        <f>+'WE 5-2 EOL Data'!C58</f>
        <v>134543.14000000001</v>
      </c>
      <c r="X65" s="137">
        <f>+'WE 5-9 EOL Data'!C58</f>
        <v>56024.179999999935</v>
      </c>
      <c r="Y65" s="137">
        <f>+'WE 5-16 EOL Data'!C58</f>
        <v>121921.06000000006</v>
      </c>
      <c r="Z65" s="137">
        <v>0</v>
      </c>
      <c r="AA65" s="137"/>
      <c r="AB65" s="137"/>
      <c r="AC65" s="137"/>
      <c r="AD65" s="137"/>
    </row>
    <row r="66" spans="1:30" x14ac:dyDescent="0.2">
      <c r="A66" s="7" t="s">
        <v>40</v>
      </c>
      <c r="B66">
        <v>0</v>
      </c>
      <c r="E66" t="s">
        <v>40</v>
      </c>
      <c r="F66" s="32"/>
      <c r="G66" s="32"/>
      <c r="H66" s="16"/>
      <c r="U66" s="119">
        <f>+'EIM Volumes'!C7+'EIM Volumes'!B7+'EIM Volumes'!C13+'EIM Volumes'!B13</f>
        <v>25952</v>
      </c>
      <c r="V66" s="119">
        <f>+'EIM Volumes'!D7+'EIM Volumes'!E7+'EIM Volumes'!D13+'EIM Volumes'!E13</f>
        <v>5000</v>
      </c>
      <c r="W66" s="119">
        <f>+'EIM Volumes'!F7+'EIM Volumes'!G7+'EIM Volumes'!F13+'EIM Volumes'!G13</f>
        <v>11496</v>
      </c>
      <c r="X66" s="119">
        <f>+'EIM Volumes'!H7+'EIM Volumes'!I7+'EIM Volumes'!H13+'EIM Volumes'!I13</f>
        <v>6520</v>
      </c>
      <c r="Y66" s="119">
        <f>+'EIM Volumes'!J7+'EIM Volumes'!K7+'EIM Volumes'!J13+'EIM Volumes'!K13</f>
        <v>6180</v>
      </c>
      <c r="Z66" s="119">
        <f>+'EIM Volumes'!L7+'EIM Volumes'!M7+'EIM Volumes'!L13+'EIM Volumes'!M13</f>
        <v>14480</v>
      </c>
      <c r="AA66" s="119">
        <v>2660</v>
      </c>
      <c r="AB66" s="119">
        <f>+'EIM Volumes'!P7+'EIM Volumes'!Q7+'EIM Volumes'!P13+'EIM Volumes'!Q13</f>
        <v>10535</v>
      </c>
      <c r="AC66" s="119"/>
    </row>
    <row r="67" spans="1:30" x14ac:dyDescent="0.2">
      <c r="A67" s="7" t="s">
        <v>70</v>
      </c>
      <c r="B67">
        <v>5</v>
      </c>
      <c r="E67" t="s">
        <v>70</v>
      </c>
      <c r="F67" s="32"/>
      <c r="G67" s="32"/>
      <c r="H67" s="16"/>
      <c r="U67" s="119">
        <f>+'EIM Volumes'!B8+'EIM Volumes'!C8+'EIM Volumes'!B14+'EIM Volumes'!C14</f>
        <v>5526</v>
      </c>
      <c r="V67" s="119">
        <f>+'EIM Volumes'!D8+'EIM Volumes'!E8+'EIM Volumes'!D14+'EIM Volumes'!E14</f>
        <v>202604</v>
      </c>
      <c r="W67" s="119">
        <f>+'EIM Volumes'!F8+'EIM Volumes'!G8+'EIM Volumes'!F14+'EIM Volumes'!G14</f>
        <v>56497</v>
      </c>
      <c r="X67" s="119">
        <f>+'EIM Volumes'!H8+'EIM Volumes'!I8+'EIM Volumes'!H14+'EIM Volumes'!I14</f>
        <v>15947</v>
      </c>
      <c r="Y67" s="119">
        <f>+'EIM Volumes'!J8+'EIM Volumes'!K8+'EIM Volumes'!J14+'EIM Volumes'!K14</f>
        <v>13890</v>
      </c>
      <c r="Z67" s="119">
        <f>+'EIM Volumes'!L8+'EIM Volumes'!M8+'EIM Volumes'!L14+'EIM Volumes'!M14</f>
        <v>151944</v>
      </c>
      <c r="AA67" s="119">
        <v>23943</v>
      </c>
      <c r="AB67" s="119">
        <f>+'EIM Volumes'!P8+'EIM Volumes'!Q8+'EIM Volumes'!P14+'EIM Volumes'!Q14</f>
        <v>82925</v>
      </c>
      <c r="AC67" s="119"/>
    </row>
    <row r="68" spans="1:30" x14ac:dyDescent="0.2">
      <c r="A68" s="7" t="s">
        <v>41</v>
      </c>
      <c r="B68">
        <v>0</v>
      </c>
      <c r="E68" t="s">
        <v>39</v>
      </c>
      <c r="F68" s="32"/>
      <c r="G68" s="32"/>
      <c r="H68" s="16"/>
      <c r="U68" s="119">
        <f>+'EIM Volumes'!B6+'EIM Volumes'!C6+'EIM Volumes'!C12+'EIM Volumes'!B12</f>
        <v>16759.334999999999</v>
      </c>
      <c r="V68" s="119">
        <f>+'EIM Volumes'!D6+'EIM Volumes'!E6+'EIM Volumes'!D12+'EIM Volumes'!E12</f>
        <v>82871.455000000002</v>
      </c>
      <c r="W68" s="119">
        <f>+'EIM Volumes'!F6+'EIM Volumes'!G6+'EIM Volumes'!F12+'EIM Volumes'!G12</f>
        <v>26520.525000000001</v>
      </c>
      <c r="X68" s="119">
        <f>+'EIM Volumes'!H6+'EIM Volumes'!I6+'EIM Volumes'!H12+'EIM Volumes'!I12</f>
        <v>17873.852999999999</v>
      </c>
      <c r="Y68" s="119">
        <f>+'EIM Volumes'!J6+'EIM Volumes'!K6+'EIM Volumes'!J12+'EIM Volumes'!K12</f>
        <v>49474.929000000004</v>
      </c>
      <c r="Z68" s="119">
        <f>+'EIM Volumes'!L6+'EIM Volumes'!M6+'EIM Volumes'!L12+'EIM Volumes'!M12</f>
        <v>20144.013999999999</v>
      </c>
      <c r="AA68" s="119">
        <v>17176</v>
      </c>
      <c r="AB68" s="119">
        <f>+'EIM Volumes'!P6+'EIM Volumes'!Q6+'EIM Volumes'!P12+'EIM Volumes'!Q12</f>
        <v>17335.201000000001</v>
      </c>
      <c r="AC68" s="119"/>
    </row>
    <row r="69" spans="1:30" x14ac:dyDescent="0.2">
      <c r="E69" t="s">
        <v>41</v>
      </c>
      <c r="F69" s="32"/>
      <c r="G69" s="32"/>
      <c r="H69" s="16"/>
      <c r="U69" s="119"/>
      <c r="V69" s="119"/>
      <c r="W69" s="119"/>
      <c r="X69" s="119"/>
      <c r="Y69" s="119">
        <f>+'EIM Volumes'!J9+'EIM Volumes'!K9+'EIM Volumes'!J15+'EIM Volumes'!K15</f>
        <v>2758</v>
      </c>
      <c r="Z69" s="119">
        <f>+'EIM Volumes'!L9+'EIM Volumes'!M9+'EIM Volumes'!L15+'EIM Volumes'!M15</f>
        <v>6549.8396000000002</v>
      </c>
      <c r="AA69" s="119">
        <v>5586</v>
      </c>
      <c r="AB69" s="119">
        <f>+'EIM Volumes'!P9+'EIM Volumes'!Q9+'EIM Volumes'!P15+'EIM Volumes'!Q15</f>
        <v>26593</v>
      </c>
      <c r="AC69" s="119"/>
    </row>
    <row r="70" spans="1:30" ht="15" x14ac:dyDescent="0.25">
      <c r="A70" s="7" t="s">
        <v>71</v>
      </c>
      <c r="B70">
        <v>250</v>
      </c>
      <c r="F70" s="82" t="s">
        <v>121</v>
      </c>
      <c r="G70" s="82" t="s">
        <v>122</v>
      </c>
      <c r="H70" s="82" t="s">
        <v>123</v>
      </c>
      <c r="I70" s="82" t="s">
        <v>124</v>
      </c>
      <c r="J70" s="82" t="s">
        <v>136</v>
      </c>
      <c r="K70" s="82" t="str">
        <f t="shared" ref="K70:P70" si="52">+K64</f>
        <v>2/2 - 2/8</v>
      </c>
      <c r="L70" s="82" t="str">
        <f t="shared" si="52"/>
        <v>2/9 - 2/15</v>
      </c>
      <c r="M70" s="82" t="str">
        <f t="shared" si="52"/>
        <v>2/16 - 2/22</v>
      </c>
      <c r="N70" s="82" t="str">
        <f t="shared" si="52"/>
        <v>2/23 - 2/28</v>
      </c>
      <c r="O70" s="82" t="str">
        <f t="shared" si="52"/>
        <v>3/1 - 3/7</v>
      </c>
      <c r="P70" s="82" t="str">
        <f t="shared" si="52"/>
        <v>3/8 - 3/14</v>
      </c>
      <c r="Q70" s="82" t="str">
        <f t="shared" ref="Q70:V70" si="53">+Q64</f>
        <v>3/15 - 3/21</v>
      </c>
      <c r="R70" s="82" t="str">
        <f t="shared" si="53"/>
        <v>3/22 - 3/28</v>
      </c>
      <c r="S70" s="82" t="str">
        <f t="shared" si="53"/>
        <v>3/29 - 4/4</v>
      </c>
      <c r="T70" s="82" t="str">
        <f t="shared" si="53"/>
        <v>4/5 - 4/11</v>
      </c>
      <c r="U70" s="82" t="str">
        <f t="shared" si="53"/>
        <v>4/12 - 4/18</v>
      </c>
      <c r="V70" s="82" t="str">
        <f t="shared" si="53"/>
        <v>4/19 - 4/25</v>
      </c>
      <c r="W70" s="82" t="str">
        <f>+W64</f>
        <v>4/26 - 5/2</v>
      </c>
      <c r="X70" s="82" t="str">
        <f>+X64</f>
        <v>5/3 - 5/9</v>
      </c>
      <c r="Y70" s="82" t="str">
        <f>+Y64</f>
        <v>5/10 - 5/16</v>
      </c>
      <c r="Z70" s="82" t="str">
        <f>+Z64</f>
        <v>5/17 - 5/23</v>
      </c>
      <c r="AA70" s="82" t="s">
        <v>225</v>
      </c>
      <c r="AB70" s="82" t="str">
        <f>AB11</f>
        <v>5/31 - 6/6</v>
      </c>
      <c r="AC70" s="201"/>
    </row>
    <row r="71" spans="1:30" x14ac:dyDescent="0.2">
      <c r="E71" t="s">
        <v>176</v>
      </c>
      <c r="F71" s="32">
        <f>90430383/1000</f>
        <v>90430.383000000002</v>
      </c>
      <c r="G71" s="32">
        <f>172783348/1000</f>
        <v>172783.348</v>
      </c>
      <c r="H71" s="16">
        <f>107852720/1000</f>
        <v>107852.72</v>
      </c>
      <c r="I71" s="16">
        <f>150981588/1000</f>
        <v>150981.58799999999</v>
      </c>
      <c r="J71" s="119">
        <f>(+'WE 2-1 EOL Data'!C9+'WE 2-1 EOL Data'!C32)/1000</f>
        <v>171949.351</v>
      </c>
      <c r="K71" s="119">
        <f>(+'WE 2-8 EOL Data'!C9+'WE 2-8 EOL Data'!C32)/1000</f>
        <v>154397.51923000001</v>
      </c>
      <c r="L71" s="119">
        <f>(+'WE 2-15 EOL Data'!$C9+'WE 2-15 EOL Data'!$C32)/1000</f>
        <v>174794.27446999992</v>
      </c>
      <c r="M71" s="119">
        <f>(+'WE 2-22 EOL Data'!$C9+'WE 2-22 EOL Data'!$C32)/1000</f>
        <v>147649.834</v>
      </c>
      <c r="N71" s="119">
        <f>(+'WE 2-28 EOL Data'!C9+'WE 2-28 EOL Data'!C32)/1000</f>
        <v>147313.01308</v>
      </c>
      <c r="O71" s="119">
        <f>(+'WE 3-7 EOL Data'!C32+'WE 3-7 EOL Data'!C9)/1000</f>
        <v>163597.30816000002</v>
      </c>
      <c r="P71" s="119">
        <f>(+'WE 3-14 EOL Data'!C9+'WE 3-14 EOL Data'!C32)/1000</f>
        <v>183852.27507000003</v>
      </c>
      <c r="Q71" s="119">
        <f>(+'WE 3-21 EOL Data'!C9+'WE 3-21 EOL Data'!C32)/1000</f>
        <v>210839.72176999995</v>
      </c>
      <c r="R71" s="119">
        <f>(+'WE 3-28 EOL Data'!C9+'WE 3-28 EOL Data'!C32)/1000</f>
        <v>193742.82989000002</v>
      </c>
      <c r="S71" s="119">
        <f>(+'WE 4-4 EOL Data'!C9+'WE 4-4 EOL Data'!C32)/1000</f>
        <v>195484.89110000004</v>
      </c>
      <c r="T71" s="119">
        <f>(+'WE 4-11 EOL Data'!C9+'WE 4-11 EOL Data'!C32)/1000</f>
        <v>182589.65992000001</v>
      </c>
      <c r="U71" s="119">
        <f>(+'WE 4-18 EOL Data'!C9+'WE 4-18 EOL Data'!C32)/1000</f>
        <v>145635.69908999998</v>
      </c>
      <c r="V71" s="119">
        <f>(+'WE 4-25 EOL Data'!C32+'WE 4-25 EOL Data'!C9)/1000</f>
        <v>174773.93365999998</v>
      </c>
      <c r="W71" s="119">
        <f>(+'WE 5-2 EOL Data'!C9+'WE 5-2 EOL Data'!C32)/1000</f>
        <v>160871.1560899998</v>
      </c>
      <c r="X71" s="119">
        <f>(+'WE 5-9 EOL Data'!C9+'WE 5-9 EOL Data'!C32)/1000</f>
        <v>122928.78282999995</v>
      </c>
      <c r="Y71" s="119">
        <f>(+'WE 5-16 EOL Data'!C9+'WE 5-16 EOL Data'!C32)/1000</f>
        <v>169849.40923000019</v>
      </c>
      <c r="Z71" s="119">
        <f>(+'WE 5-23 EOL Data'!C9+'WE 5-23 EOL Data'!C31)/1000</f>
        <v>310566.31707999966</v>
      </c>
      <c r="AA71" s="119">
        <v>169988</v>
      </c>
      <c r="AB71" s="119">
        <f>(+'WE 6-6 EOL Data'!$C$9+'WE 6-6 EOL Data'!$C$31)/1000</f>
        <v>207604.95982000043</v>
      </c>
      <c r="AC71" s="119"/>
    </row>
    <row r="72" spans="1:30" x14ac:dyDescent="0.2">
      <c r="A72" s="2" t="s">
        <v>32</v>
      </c>
      <c r="B72" s="2"/>
      <c r="C72" s="2"/>
      <c r="D72" s="2"/>
      <c r="E72" t="s">
        <v>177</v>
      </c>
      <c r="F72" s="16">
        <f>(1745341+1242373)/1000</f>
        <v>2987.7139999999999</v>
      </c>
      <c r="G72" s="16">
        <f>(2854306+534627)/1000</f>
        <v>3388.933</v>
      </c>
      <c r="H72" s="16">
        <f>(3053119+1631000)/1000</f>
        <v>4684.1189999999997</v>
      </c>
      <c r="I72" s="16">
        <f>(1974010+1990000)/1000</f>
        <v>3964.01</v>
      </c>
      <c r="J72" s="119">
        <f>(+'WE 2-1 EOL Data'!C10+'WE 2-1 EOL Data'!C11+'WE 2-1 EOL Data'!C33+'WE 2-1 EOL Data'!C34)/1000</f>
        <v>6572.3270000000002</v>
      </c>
      <c r="K72" s="119">
        <f>(+'WE 2-8 EOL Data'!C10+'WE 2-8 EOL Data'!C11+'WE 2-8 EOL Data'!C33+'WE 2-8 EOL Data'!C34)/1000</f>
        <v>5662.4889999999996</v>
      </c>
      <c r="L72" s="119">
        <f>(+'WE 2-15 EOL Data'!$C10+'WE 2-15 EOL Data'!$C11+'WE 2-15 EOL Data'!$C33+'WE 2-15 EOL Data'!$C34)/1000</f>
        <v>4037.9499600000008</v>
      </c>
      <c r="M72" s="119">
        <f>(+'WE 2-22 EOL Data'!$C10+'WE 2-22 EOL Data'!$C11+'WE 2-22 EOL Data'!$C33+'WE 2-22 EOL Data'!$C34)/1000</f>
        <v>2425.5</v>
      </c>
      <c r="N72" s="119">
        <f>(+'WE 2-28 EOL Data'!C10+'WE 2-28 EOL Data'!C11+'WE 2-28 EOL Data'!C33+'WE 2-28 EOL Data'!C34)/1000</f>
        <v>818.5</v>
      </c>
      <c r="O72" s="119">
        <f>(+'WE 3-7 EOL Data'!C10+'WE 3-7 EOL Data'!C33)/1000</f>
        <v>2748.7000200000002</v>
      </c>
      <c r="P72" s="119">
        <f>(+'WE 3-14 EOL Data'!C10+'WE 3-14 EOL Data'!C11+'WE 3-14 EOL Data'!C33+'WE 3-14 EOL Data'!C34)/1000</f>
        <v>1955.00008</v>
      </c>
      <c r="Q72" s="119">
        <f>(+'WE 3-21 EOL Data'!C10+'WE 3-21 EOL Data'!C11+'WE 3-21 EOL Data'!C33+'WE 3-21 EOL Data'!C34)/1000</f>
        <v>1257.95</v>
      </c>
      <c r="R72" s="119">
        <f>(+'WE 3-28 EOL Data'!C11+'WE 3-28 EOL Data'!C10+'WE 3-28 EOL Data'!C33+'WE 3-28 EOL Data'!C34)/1000</f>
        <v>3280.0030000000002</v>
      </c>
      <c r="S72" s="119">
        <f>(+'WE 4-4 EOL Data'!C10+'WE 4-4 EOL Data'!C11+'WE 4-4 EOL Data'!C33+'WE 4-4 EOL Data'!C34)/1000</f>
        <v>1233</v>
      </c>
      <c r="T72" s="119">
        <f>(+'WE 4-11 EOL Data'!C10+'WE 4-11 EOL Data'!C11+'WE 4-11 EOL Data'!C33+'WE 4-11 EOL Data'!C34)/1000</f>
        <v>1066.385</v>
      </c>
      <c r="U72" s="119">
        <f>(+'WE 4-18 EOL Data'!C10+'WE 4-18 EOL Data'!C11+'WE 4-18 EOL Data'!C33+'WE 4-18 EOL Data'!C34)/1000</f>
        <v>1859.7</v>
      </c>
      <c r="V72" s="119">
        <f>(+'WE 4-25 EOL Data'!C10+'WE 4-25 EOL Data'!C11+'WE 4-25 EOL Data'!C34+'WE 4-25 EOL Data'!C33)/1000</f>
        <v>2362.5</v>
      </c>
      <c r="W72" s="119">
        <f>(+'WE 5-2 EOL Data'!C10+'WE 5-2 EOL Data'!C11+'WE 5-2 EOL Data'!C33+'WE 5-2 EOL Data'!C34)/1000</f>
        <v>5954.4979999999996</v>
      </c>
      <c r="X72" s="119">
        <f>(+'WE 5-9 EOL Data'!C10+'WE 5-9 EOL Data'!C11+'WE 5-9 EOL Data'!C33+'WE 5-9 EOL Data'!C34)/1000</f>
        <v>500</v>
      </c>
      <c r="Y72" s="119">
        <f>(+'WE 5-16 EOL Data'!C10+'WE 5-16 EOL Data'!C11+'WE 5-16 EOL Data'!C33+'WE 5-16 EOL Data'!C34)/1000</f>
        <v>2082</v>
      </c>
      <c r="Z72" s="119">
        <f>(+'WE 5-23 EOL Data'!C10+'WE 5-23 EOL Data'!C11+'WE 5-23 EOL Data'!C32+'WE 5-23 EOL Data'!C33)/1000</f>
        <v>735.5</v>
      </c>
      <c r="AA72" s="119">
        <v>2369</v>
      </c>
      <c r="AB72" s="119">
        <f>(+'WE 6-6 EOL Data'!$C$10+'WE 6-6 EOL Data'!$C$11+'WE 6-6 EOL Data'!$C$32+'WE 6-6 EOL Data'!$C$33)/1000</f>
        <v>1308.5</v>
      </c>
      <c r="AC72" s="119"/>
    </row>
    <row r="73" spans="1:30" x14ac:dyDescent="0.2">
      <c r="A73" s="8" t="s">
        <v>5</v>
      </c>
      <c r="B73">
        <v>45</v>
      </c>
      <c r="C73">
        <v>40</v>
      </c>
      <c r="D73">
        <v>55</v>
      </c>
      <c r="E73" t="s">
        <v>155</v>
      </c>
      <c r="F73" s="16">
        <v>5</v>
      </c>
      <c r="G73" s="16">
        <v>5</v>
      </c>
      <c r="H73" s="16">
        <f>34100/1000</f>
        <v>34.1</v>
      </c>
      <c r="I73" s="16">
        <f>107570/1000</f>
        <v>107.57</v>
      </c>
      <c r="J73" s="119">
        <f>(+'WE 2-1 EOL Data'!C14+'WE 2-1 EOL Data'!C37)/1000</f>
        <v>46.35</v>
      </c>
      <c r="K73" s="119">
        <f>(+'WE 2-8 EOL Data'!C14+'WE 2-8 EOL Data'!C37)/1000</f>
        <v>100.1</v>
      </c>
      <c r="L73" s="119">
        <f>(+'WE 2-15 EOL Data'!$C14+'WE 2-15 EOL Data'!$C37)/1000</f>
        <v>40</v>
      </c>
      <c r="M73" s="119">
        <f>(+'WE 2-22 EOL Data'!$C14+'WE 2-22 EOL Data'!$C37)/1000</f>
        <v>37.5</v>
      </c>
      <c r="N73" s="119">
        <f>(+'WE 2-28 EOL Data'!C14+'WE 2-28 EOL Data'!C37)/1000</f>
        <v>7.5</v>
      </c>
      <c r="O73" s="119">
        <f>(+'WE 3-7 EOL Data'!C14+'WE 3-7 EOL Data'!C37)/1000</f>
        <v>5.2</v>
      </c>
      <c r="P73" s="119">
        <f>(+'WE 3-14 EOL Data'!C37+'WE 3-14 EOL Data'!C14)/1000</f>
        <v>32.85</v>
      </c>
      <c r="Q73" s="119">
        <f>(+'WE 3-21 EOL Data'!C14+'WE 3-21 EOL Data'!C37)/1000</f>
        <v>72.05</v>
      </c>
      <c r="R73" s="119">
        <f>(+'WE 3-28 EOL Data'!C14+'WE 3-28 EOL Data'!C37)/1000</f>
        <v>101.95</v>
      </c>
      <c r="S73" s="119">
        <f>(+'WE 4-4 EOL Data'!C14+'WE 4-4 EOL Data'!C37)/1000</f>
        <v>179</v>
      </c>
      <c r="T73" s="119">
        <f>(+'WE 4-11 EOL Data'!C14+'WE 4-11 EOL Data'!C37)/1000</f>
        <v>108.774</v>
      </c>
      <c r="U73" s="119">
        <f>(+'WE 4-18 EOL Data'!C14+'WE 4-18 EOL Data'!C37)/1000</f>
        <v>17.5</v>
      </c>
      <c r="V73" s="119">
        <f>(+'WE 4-25 EOL Data'!C14+'WE 4-25 EOL Data'!C37)/1000</f>
        <v>150.1</v>
      </c>
      <c r="W73" s="119">
        <f>(+'WE 5-2 EOL Data'!C14+'WE 5-2 EOL Data'!C37)/1000</f>
        <v>27.5</v>
      </c>
      <c r="X73" s="119">
        <f>(+'WE 5-9 EOL Data'!C14+'WE 5-9 EOL Data'!C37)/1000</f>
        <v>75</v>
      </c>
      <c r="Y73" s="119">
        <f>(+'WE 5-16 EOL Data'!C14+'WE 5-16 EOL Data'!C37)/1000</f>
        <v>45.75</v>
      </c>
      <c r="Z73" s="119">
        <f>(+'WE 5-23 EOL Data'!C14+'WE 5-23 EOL Data'!C36)/1000</f>
        <v>57.5</v>
      </c>
      <c r="AA73" s="119">
        <v>15</v>
      </c>
      <c r="AB73" s="119">
        <f>(+'WE 6-6 EOL Data'!$C$14+'WE 6-6 EOL Data'!$C$36)/1000</f>
        <v>12.5</v>
      </c>
      <c r="AC73" s="119"/>
    </row>
    <row r="74" spans="1:30" x14ac:dyDescent="0.2">
      <c r="A74" s="8" t="s">
        <v>0</v>
      </c>
      <c r="B74">
        <v>150</v>
      </c>
      <c r="C74">
        <v>120</v>
      </c>
      <c r="D74">
        <v>125</v>
      </c>
      <c r="E74" t="s">
        <v>178</v>
      </c>
      <c r="F74" s="16">
        <v>49250</v>
      </c>
      <c r="G74" s="16">
        <v>45350</v>
      </c>
      <c r="H74" s="16">
        <v>120900</v>
      </c>
      <c r="I74" s="16">
        <v>115500</v>
      </c>
      <c r="J74" s="119">
        <f>+'WE 2-1 EOL Data'!C12+'WE 2-1 EOL Data'!C35</f>
        <v>56000</v>
      </c>
      <c r="K74" s="119">
        <f>+'WE 2-8 EOL Data'!C12+'WE 2-8 EOL Data'!C35</f>
        <v>103400</v>
      </c>
      <c r="L74" s="119">
        <f>+'WE 2-15 EOL Data'!$C12+'WE 2-15 EOL Data'!$C35</f>
        <v>143000</v>
      </c>
      <c r="M74" s="119">
        <f>+'WE 2-22 EOL Data'!$C12+'WE 2-22 EOL Data'!$C35</f>
        <v>377800</v>
      </c>
      <c r="N74" s="119">
        <f>+'WE 2-28 EOL Data'!C12+'WE 2-28 EOL Data'!C35</f>
        <v>69200</v>
      </c>
      <c r="O74" s="119">
        <f>+'WE 3-7 EOL Data'!C12+'WE 3-7 EOL Data'!C35</f>
        <v>99600</v>
      </c>
      <c r="P74" s="119">
        <f>+'WE 3-14 EOL Data'!C12+'WE 3-14 EOL Data'!C35</f>
        <v>45600</v>
      </c>
      <c r="Q74" s="119">
        <f>+'WE 3-21 EOL Data'!C12+'WE 3-21 EOL Data'!C35</f>
        <v>54000</v>
      </c>
      <c r="R74" s="119">
        <f>+'WE 3-28 EOL Data'!C12+'WE 3-28 EOL Data'!C35</f>
        <v>25800</v>
      </c>
      <c r="S74" s="119">
        <f>+'WE 4-4 EOL Data'!C12+'WE 4-4 EOL Data'!C35</f>
        <v>50000</v>
      </c>
      <c r="T74" s="119">
        <f>+'WE 4-11 EOL Data'!C12+'WE 4-11 EOL Data'!C35</f>
        <v>33800</v>
      </c>
      <c r="U74" s="119">
        <f>+'WE 4-18 EOL Data'!C12+'WE 4-18 EOL Data'!C35</f>
        <v>15000</v>
      </c>
      <c r="V74" s="119">
        <f>+'WE 4-25 EOL Data'!C12+'WE 4-25 EOL Data'!C35</f>
        <v>41300</v>
      </c>
      <c r="W74" s="119">
        <f>+'WE 5-2 EOL Data'!C12+'WE 5-2 EOL Data'!C35</f>
        <v>30000</v>
      </c>
      <c r="X74" s="119">
        <f>+'WE 5-9 EOL Data'!C12+'WE 5-9 EOL Data'!C35</f>
        <v>40500</v>
      </c>
      <c r="Y74" s="119">
        <f>+'WE 5-16 EOL Data'!C12+'WE 5-16 EOL Data'!C35</f>
        <v>43700</v>
      </c>
      <c r="Z74" s="119">
        <f>+'WE 5-23 EOL Data'!C12+'WE 5-23 EOL Data'!C34</f>
        <v>93760</v>
      </c>
      <c r="AA74" s="119">
        <v>23300</v>
      </c>
      <c r="AB74" s="119">
        <f>+'WE 6-6 EOL Data'!$C$12+'WE 6-6 EOL Data'!$C$34</f>
        <v>141600</v>
      </c>
      <c r="AC74" s="119"/>
      <c r="AD74" s="119"/>
    </row>
    <row r="75" spans="1:30" x14ac:dyDescent="0.2">
      <c r="E75" t="s">
        <v>179</v>
      </c>
      <c r="F75" s="32">
        <v>6275000</v>
      </c>
      <c r="G75" s="32">
        <v>6398750</v>
      </c>
      <c r="H75" s="16">
        <v>3718000</v>
      </c>
      <c r="I75" s="16">
        <v>6618000</v>
      </c>
      <c r="J75" s="119">
        <f>+'WE 2-1 EOL Data'!C13+'WE 2-1 EOL Data'!C36</f>
        <v>5632500</v>
      </c>
      <c r="K75" s="119">
        <f>+'WE 2-8 EOL Data'!C13+'WE 2-8 EOL Data'!C36</f>
        <v>8754250</v>
      </c>
      <c r="L75" s="119">
        <f>+'WE 2-15 EOL Data'!$C13+'WE 2-15 EOL Data'!$C36</f>
        <v>4975000</v>
      </c>
      <c r="M75" s="119">
        <f>+'WE 2-22 EOL Data'!$C13+'WE 2-22 EOL Data'!$C36</f>
        <v>5786000</v>
      </c>
      <c r="N75" s="119">
        <f>+'WE 2-28 EOL Data'!C13+'WE 2-28 EOL Data'!C36</f>
        <v>4422278</v>
      </c>
      <c r="O75" s="119">
        <f>+'WE 3-7 EOL Data'!C13+'WE 3-7 EOL Data'!C36</f>
        <v>4982000</v>
      </c>
      <c r="P75" s="119">
        <f>+'WE 3-14 EOL Data'!C13+'WE 3-14 EOL Data'!C36</f>
        <v>17863222</v>
      </c>
      <c r="Q75" s="119">
        <f>+'WE 3-21 EOL Data'!C13+'WE 3-21 EOL Data'!C36</f>
        <v>8685000</v>
      </c>
      <c r="R75" s="119">
        <f>+'WE 3-28 EOL Data'!C13+'WE 3-28 EOL Data'!C36</f>
        <v>0</v>
      </c>
      <c r="S75" s="119">
        <f>+'WE 4-4 EOL Data'!C13+'WE 4-4 EOL Data'!C36</f>
        <v>0</v>
      </c>
      <c r="T75" s="119">
        <f>+'WE 4-11 EOL Data'!C13+'WE 4-11 EOL Data'!C36</f>
        <v>0</v>
      </c>
      <c r="U75" s="119">
        <f>+'WE 4-18 EOL Data'!C13+'WE 4-18 EOL Data'!C36</f>
        <v>0</v>
      </c>
      <c r="V75" s="119">
        <f>+'WE 4-25 EOL Data'!C13+'WE 4-25 EOL Data'!C36</f>
        <v>0</v>
      </c>
      <c r="W75" s="119">
        <v>0</v>
      </c>
      <c r="X75" s="119">
        <v>0</v>
      </c>
      <c r="Y75" s="119">
        <v>0</v>
      </c>
      <c r="Z75" s="119">
        <v>0</v>
      </c>
      <c r="AA75" s="119">
        <f>+'WE 6-6 EOL Data'!$C$35+'WE 6-6 EOL Data'!$C$13</f>
        <v>0</v>
      </c>
      <c r="AB75" s="119">
        <f>+'WE 6-6 EOL Data'!$C$35+'WE 6-6 EOL Data'!$C$13</f>
        <v>0</v>
      </c>
      <c r="AC75" s="119"/>
      <c r="AD75" s="119"/>
    </row>
    <row r="76" spans="1:30" x14ac:dyDescent="0.2">
      <c r="A76" s="8" t="s">
        <v>3</v>
      </c>
      <c r="B76">
        <v>2</v>
      </c>
      <c r="C76">
        <v>5</v>
      </c>
      <c r="D76">
        <v>2</v>
      </c>
    </row>
    <row r="77" spans="1:30" x14ac:dyDescent="0.2">
      <c r="A77" s="8" t="s">
        <v>13</v>
      </c>
      <c r="B77">
        <v>2</v>
      </c>
      <c r="C77">
        <v>1</v>
      </c>
      <c r="D77">
        <v>10</v>
      </c>
      <c r="AD77" s="16"/>
    </row>
    <row r="78" spans="1:30" x14ac:dyDescent="0.2">
      <c r="A78" s="2" t="s">
        <v>34</v>
      </c>
    </row>
    <row r="79" spans="1:30" x14ac:dyDescent="0.2">
      <c r="A79" s="8" t="s">
        <v>64</v>
      </c>
      <c r="B79">
        <v>11000</v>
      </c>
      <c r="C79">
        <v>12500</v>
      </c>
      <c r="D79">
        <v>12000</v>
      </c>
    </row>
    <row r="80" spans="1:30" x14ac:dyDescent="0.2">
      <c r="A80" s="8" t="s">
        <v>71</v>
      </c>
      <c r="B80">
        <v>5500</v>
      </c>
      <c r="C80">
        <v>5000</v>
      </c>
      <c r="D80">
        <v>4055</v>
      </c>
    </row>
    <row r="81" spans="1:6" x14ac:dyDescent="0.2">
      <c r="A81" s="2" t="s">
        <v>33</v>
      </c>
    </row>
    <row r="82" spans="1:6" x14ac:dyDescent="0.2">
      <c r="A82" s="8" t="s">
        <v>40</v>
      </c>
      <c r="B82">
        <v>25</v>
      </c>
      <c r="C82">
        <v>52</v>
      </c>
      <c r="D82">
        <v>30</v>
      </c>
    </row>
    <row r="83" spans="1:6" x14ac:dyDescent="0.2">
      <c r="A83" s="8" t="s">
        <v>70</v>
      </c>
      <c r="B83">
        <v>10</v>
      </c>
      <c r="C83">
        <v>42</v>
      </c>
      <c r="D83">
        <v>50</v>
      </c>
    </row>
    <row r="84" spans="1:6" x14ac:dyDescent="0.2">
      <c r="A84" s="8" t="s">
        <v>39</v>
      </c>
      <c r="B84">
        <v>8</v>
      </c>
      <c r="C84">
        <v>8</v>
      </c>
      <c r="D84">
        <v>8</v>
      </c>
    </row>
    <row r="85" spans="1:6" x14ac:dyDescent="0.2">
      <c r="A85" s="8" t="s">
        <v>41</v>
      </c>
      <c r="B85">
        <v>3</v>
      </c>
      <c r="C85">
        <v>1</v>
      </c>
      <c r="D85">
        <v>4</v>
      </c>
    </row>
    <row r="87" spans="1:6" x14ac:dyDescent="0.2">
      <c r="A87" t="s">
        <v>90</v>
      </c>
      <c r="B87" t="s">
        <v>91</v>
      </c>
      <c r="C87" t="s">
        <v>89</v>
      </c>
      <c r="D87" t="s">
        <v>92</v>
      </c>
      <c r="E87" s="9" t="s">
        <v>63</v>
      </c>
      <c r="F87" s="9"/>
    </row>
    <row r="88" spans="1:6" x14ac:dyDescent="0.2">
      <c r="A88" s="2" t="s">
        <v>36</v>
      </c>
      <c r="B88" s="4" t="s">
        <v>81</v>
      </c>
      <c r="C88" t="s">
        <v>64</v>
      </c>
      <c r="D88" s="4">
        <v>1350</v>
      </c>
      <c r="E88">
        <f>B79</f>
        <v>11000</v>
      </c>
    </row>
    <row r="89" spans="1:6" x14ac:dyDescent="0.2">
      <c r="A89" s="2" t="s">
        <v>36</v>
      </c>
      <c r="B89" s="4" t="s">
        <v>82</v>
      </c>
      <c r="C89" t="s">
        <v>71</v>
      </c>
      <c r="D89" s="4">
        <v>180</v>
      </c>
      <c r="E89">
        <v>5500</v>
      </c>
    </row>
    <row r="90" spans="1:6" x14ac:dyDescent="0.2">
      <c r="A90" s="2" t="s">
        <v>36</v>
      </c>
      <c r="B90" s="4" t="s">
        <v>83</v>
      </c>
      <c r="C90" t="s">
        <v>39</v>
      </c>
      <c r="D90" s="4">
        <v>8</v>
      </c>
      <c r="E90">
        <v>8</v>
      </c>
    </row>
    <row r="91" spans="1:6" x14ac:dyDescent="0.2">
      <c r="A91" s="2" t="s">
        <v>36</v>
      </c>
      <c r="B91" s="4" t="s">
        <v>84</v>
      </c>
      <c r="C91" t="s">
        <v>40</v>
      </c>
      <c r="D91" s="4">
        <v>15</v>
      </c>
      <c r="E91">
        <v>25</v>
      </c>
    </row>
    <row r="92" spans="1:6" x14ac:dyDescent="0.2">
      <c r="A92" s="2" t="s">
        <v>36</v>
      </c>
      <c r="B92" s="4" t="s">
        <v>85</v>
      </c>
      <c r="C92" t="s">
        <v>41</v>
      </c>
      <c r="D92" s="4">
        <v>5</v>
      </c>
      <c r="E92">
        <v>3</v>
      </c>
    </row>
    <row r="93" spans="1:6" x14ac:dyDescent="0.2">
      <c r="A93" s="2" t="s">
        <v>36</v>
      </c>
      <c r="B93" s="4" t="s">
        <v>86</v>
      </c>
      <c r="C93" t="s">
        <v>70</v>
      </c>
      <c r="D93" s="4">
        <v>10</v>
      </c>
      <c r="E93">
        <v>10</v>
      </c>
    </row>
    <row r="94" spans="1:6" x14ac:dyDescent="0.2">
      <c r="A94" s="2" t="s">
        <v>36</v>
      </c>
      <c r="B94" s="4" t="s">
        <v>87</v>
      </c>
      <c r="C94" t="s">
        <v>93</v>
      </c>
      <c r="D94" s="4">
        <v>45</v>
      </c>
      <c r="E94">
        <v>45</v>
      </c>
    </row>
    <row r="95" spans="1:6" x14ac:dyDescent="0.2">
      <c r="A95" s="2" t="s">
        <v>36</v>
      </c>
      <c r="B95" s="4" t="s">
        <v>88</v>
      </c>
      <c r="C95" t="s">
        <v>4</v>
      </c>
      <c r="D95" s="4">
        <v>2</v>
      </c>
      <c r="E95">
        <v>2</v>
      </c>
    </row>
    <row r="96" spans="1:6" x14ac:dyDescent="0.2">
      <c r="A96" s="7" t="s">
        <v>37</v>
      </c>
      <c r="B96" s="4" t="s">
        <v>81</v>
      </c>
      <c r="C96" t="s">
        <v>64</v>
      </c>
      <c r="D96" s="4">
        <v>1505</v>
      </c>
      <c r="E96">
        <f>C79</f>
        <v>12500</v>
      </c>
    </row>
    <row r="97" spans="1:5" x14ac:dyDescent="0.2">
      <c r="A97" s="7" t="s">
        <v>37</v>
      </c>
      <c r="B97" s="4" t="s">
        <v>82</v>
      </c>
      <c r="C97" t="s">
        <v>71</v>
      </c>
      <c r="D97" s="4">
        <v>175</v>
      </c>
      <c r="E97">
        <v>5000</v>
      </c>
    </row>
    <row r="98" spans="1:5" x14ac:dyDescent="0.2">
      <c r="A98" s="7" t="s">
        <v>37</v>
      </c>
      <c r="B98" s="4" t="s">
        <v>83</v>
      </c>
      <c r="C98" t="s">
        <v>39</v>
      </c>
      <c r="D98" s="4">
        <v>10</v>
      </c>
      <c r="E98">
        <v>8</v>
      </c>
    </row>
    <row r="99" spans="1:5" x14ac:dyDescent="0.2">
      <c r="A99" s="7" t="s">
        <v>37</v>
      </c>
      <c r="B99" s="4" t="s">
        <v>84</v>
      </c>
      <c r="C99" t="s">
        <v>40</v>
      </c>
      <c r="D99" s="4">
        <v>25</v>
      </c>
      <c r="E99">
        <v>52</v>
      </c>
    </row>
    <row r="100" spans="1:5" x14ac:dyDescent="0.2">
      <c r="A100" s="7" t="s">
        <v>37</v>
      </c>
      <c r="B100" s="4" t="s">
        <v>85</v>
      </c>
      <c r="C100" t="s">
        <v>41</v>
      </c>
      <c r="D100" s="4">
        <v>7</v>
      </c>
      <c r="E100">
        <v>1</v>
      </c>
    </row>
    <row r="101" spans="1:5" x14ac:dyDescent="0.2">
      <c r="A101" s="7" t="s">
        <v>37</v>
      </c>
      <c r="B101" s="4" t="s">
        <v>86</v>
      </c>
      <c r="C101" t="s">
        <v>70</v>
      </c>
      <c r="D101" s="4">
        <v>30</v>
      </c>
      <c r="E101">
        <v>42</v>
      </c>
    </row>
    <row r="102" spans="1:5" x14ac:dyDescent="0.2">
      <c r="A102" s="7" t="s">
        <v>37</v>
      </c>
      <c r="B102" s="4" t="s">
        <v>87</v>
      </c>
      <c r="C102" t="s">
        <v>93</v>
      </c>
      <c r="D102" s="4">
        <v>32</v>
      </c>
      <c r="E102">
        <v>40</v>
      </c>
    </row>
    <row r="103" spans="1:5" x14ac:dyDescent="0.2">
      <c r="A103" s="7" t="s">
        <v>37</v>
      </c>
      <c r="B103" s="4" t="s">
        <v>88</v>
      </c>
      <c r="C103" t="s">
        <v>4</v>
      </c>
      <c r="D103" s="4">
        <v>2</v>
      </c>
      <c r="E103">
        <v>1</v>
      </c>
    </row>
    <row r="104" spans="1:5" x14ac:dyDescent="0.2">
      <c r="A104" s="7" t="s">
        <v>38</v>
      </c>
      <c r="B104" s="4" t="s">
        <v>81</v>
      </c>
      <c r="C104" t="s">
        <v>64</v>
      </c>
      <c r="D104">
        <v>1600</v>
      </c>
      <c r="E104">
        <f>D79</f>
        <v>12000</v>
      </c>
    </row>
    <row r="105" spans="1:5" x14ac:dyDescent="0.2">
      <c r="A105" s="7" t="s">
        <v>38</v>
      </c>
      <c r="B105" s="4" t="s">
        <v>82</v>
      </c>
      <c r="C105" t="s">
        <v>71</v>
      </c>
      <c r="D105">
        <v>190</v>
      </c>
      <c r="E105">
        <v>4055</v>
      </c>
    </row>
    <row r="106" spans="1:5" x14ac:dyDescent="0.2">
      <c r="A106" s="7" t="s">
        <v>38</v>
      </c>
      <c r="B106" s="4" t="s">
        <v>83</v>
      </c>
      <c r="C106" t="s">
        <v>39</v>
      </c>
      <c r="D106">
        <v>10</v>
      </c>
      <c r="E106">
        <v>8</v>
      </c>
    </row>
    <row r="107" spans="1:5" x14ac:dyDescent="0.2">
      <c r="A107" s="7" t="s">
        <v>38</v>
      </c>
      <c r="B107" s="4" t="s">
        <v>84</v>
      </c>
      <c r="C107" t="s">
        <v>40</v>
      </c>
      <c r="D107">
        <v>25</v>
      </c>
      <c r="E107">
        <v>30</v>
      </c>
    </row>
    <row r="108" spans="1:5" x14ac:dyDescent="0.2">
      <c r="A108" s="7" t="s">
        <v>38</v>
      </c>
      <c r="B108" s="4" t="s">
        <v>85</v>
      </c>
      <c r="C108" t="s">
        <v>41</v>
      </c>
      <c r="D108">
        <v>8</v>
      </c>
      <c r="E108">
        <v>4</v>
      </c>
    </row>
    <row r="109" spans="1:5" x14ac:dyDescent="0.2">
      <c r="A109" s="7" t="s">
        <v>38</v>
      </c>
      <c r="B109" s="4" t="s">
        <v>86</v>
      </c>
      <c r="C109" t="s">
        <v>70</v>
      </c>
      <c r="D109">
        <v>40</v>
      </c>
      <c r="E109">
        <v>50</v>
      </c>
    </row>
    <row r="110" spans="1:5" x14ac:dyDescent="0.2">
      <c r="A110" s="7" t="s">
        <v>38</v>
      </c>
      <c r="B110" s="4" t="s">
        <v>87</v>
      </c>
      <c r="C110" t="s">
        <v>93</v>
      </c>
      <c r="D110">
        <v>37</v>
      </c>
      <c r="E110">
        <v>55</v>
      </c>
    </row>
    <row r="111" spans="1:5" x14ac:dyDescent="0.2">
      <c r="A111" s="7" t="s">
        <v>38</v>
      </c>
      <c r="B111" s="4" t="s">
        <v>88</v>
      </c>
      <c r="C111" t="s">
        <v>4</v>
      </c>
      <c r="D111">
        <v>2</v>
      </c>
      <c r="E111">
        <v>2</v>
      </c>
    </row>
  </sheetData>
  <phoneticPr fontId="0" type="noConversion"/>
  <pageMargins left="0" right="0" top="0.5" bottom="0.5" header="0.25" footer="0.25"/>
  <pageSetup scale="75" fitToHeight="2" orientation="landscape" r:id="rId1"/>
  <headerFooter alignWithMargins="0"/>
  <rowBreaks count="1" manualBreakCount="1">
    <brk id="59" min="10" max="24" man="1"/>
  </rowBreak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F60"/>
  <sheetViews>
    <sheetView topLeftCell="A33"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1" t="s">
        <v>35</v>
      </c>
    </row>
    <row r="2" spans="1:32" x14ac:dyDescent="0.2">
      <c r="B2" s="297" t="s">
        <v>184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16972</v>
      </c>
      <c r="C6" s="138">
        <v>2417136104.1599998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2674</v>
      </c>
      <c r="C7" s="138">
        <v>20730564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1131</v>
      </c>
      <c r="C9" s="136">
        <v>54572000.00999999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1</v>
      </c>
      <c r="C10" s="136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2</v>
      </c>
      <c r="C11" s="136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0</v>
      </c>
      <c r="C12" s="136">
        <v>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8</v>
      </c>
      <c r="C14" s="135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12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184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3413</v>
      </c>
      <c r="C29" s="135">
        <v>2183780891.1099997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2588</v>
      </c>
      <c r="C30" s="135">
        <v>30791701.300000012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1861</v>
      </c>
      <c r="C32" s="135">
        <v>140912891.09000003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16</v>
      </c>
      <c r="C33" s="135">
        <v>1104750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1</v>
      </c>
      <c r="C34" s="135">
        <v>15000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10</v>
      </c>
      <c r="C35" s="135">
        <v>50000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537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9</v>
      </c>
      <c r="C37" s="135">
        <v>159000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387</v>
      </c>
      <c r="C39" s="135">
        <v>201955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184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5" x14ac:dyDescent="0.2">
      <c r="A49" s="6" t="s">
        <v>39</v>
      </c>
      <c r="B49" s="138">
        <v>3</v>
      </c>
      <c r="C49" s="138">
        <v>352000</v>
      </c>
      <c r="D49" s="141" t="s">
        <v>116</v>
      </c>
      <c r="E49" s="141"/>
    </row>
    <row r="50" spans="1:5" x14ac:dyDescent="0.2">
      <c r="A50" s="6" t="s">
        <v>40</v>
      </c>
      <c r="B50" s="138"/>
      <c r="C50" s="138"/>
      <c r="D50" s="141"/>
      <c r="E50" s="141"/>
    </row>
    <row r="51" spans="1:5" x14ac:dyDescent="0.2">
      <c r="A51" s="6" t="s">
        <v>42</v>
      </c>
      <c r="B51" s="138">
        <v>4</v>
      </c>
      <c r="C51" s="138">
        <v>1420</v>
      </c>
      <c r="D51" s="141" t="s">
        <v>117</v>
      </c>
      <c r="E51" s="141"/>
    </row>
    <row r="52" spans="1:5" x14ac:dyDescent="0.2">
      <c r="B52" s="141"/>
      <c r="C52" s="141"/>
      <c r="D52" s="141"/>
      <c r="E52" s="141"/>
    </row>
    <row r="53" spans="1:5" x14ac:dyDescent="0.2">
      <c r="A53" s="2" t="s">
        <v>118</v>
      </c>
      <c r="B53" s="143">
        <v>1</v>
      </c>
      <c r="C53" s="143"/>
      <c r="D53" s="141"/>
      <c r="E53" s="141"/>
    </row>
    <row r="54" spans="1:5" x14ac:dyDescent="0.2">
      <c r="B54" s="141"/>
      <c r="C54" s="141"/>
      <c r="D54" s="141"/>
      <c r="E54" s="141"/>
    </row>
    <row r="55" spans="1:5" x14ac:dyDescent="0.2">
      <c r="A55" s="4" t="s">
        <v>119</v>
      </c>
      <c r="B55" s="141"/>
      <c r="C55" s="167">
        <v>352</v>
      </c>
      <c r="D55" s="141"/>
      <c r="E55" s="141"/>
    </row>
    <row r="56" spans="1:5" x14ac:dyDescent="0.2">
      <c r="B56" s="141"/>
      <c r="C56" s="141"/>
      <c r="D56" s="141"/>
      <c r="E56" s="141"/>
    </row>
    <row r="57" spans="1:5" x14ac:dyDescent="0.2">
      <c r="B57" s="141"/>
      <c r="C57" s="141"/>
      <c r="D57" s="141"/>
      <c r="E57" s="141"/>
    </row>
    <row r="58" spans="1:5" s="2" customFormat="1" x14ac:dyDescent="0.2">
      <c r="A58" s="5" t="s">
        <v>120</v>
      </c>
      <c r="B58" s="143"/>
      <c r="C58" s="168">
        <v>203727</v>
      </c>
      <c r="D58" s="143"/>
      <c r="E58" s="143"/>
    </row>
    <row r="59" spans="1:5" x14ac:dyDescent="0.2">
      <c r="B59" s="141"/>
      <c r="C59" s="141"/>
      <c r="D59" s="141"/>
    </row>
    <row r="60" spans="1:5" x14ac:dyDescent="0.2">
      <c r="B60" s="141"/>
      <c r="C60" s="141"/>
      <c r="D60" s="141"/>
    </row>
  </sheetData>
  <mergeCells count="3">
    <mergeCell ref="B2:C2"/>
    <mergeCell ref="B25:C25"/>
    <mergeCell ref="B45:C45"/>
  </mergeCells>
  <phoneticPr fontId="0" type="noConversion"/>
  <pageMargins left="0.5" right="0" top="0.25" bottom="0.25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61"/>
  <sheetViews>
    <sheetView topLeftCell="A25" workbookViewId="0">
      <selection activeCell="U69" sqref="U6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189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15898</v>
      </c>
      <c r="C6" s="138">
        <v>1962374289.6999998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2724</v>
      </c>
      <c r="C7" s="138">
        <v>22859310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956</v>
      </c>
      <c r="C9" s="136">
        <v>46692000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1</v>
      </c>
      <c r="C10" s="136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4</v>
      </c>
      <c r="C11" s="136">
        <v>100000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4</v>
      </c>
      <c r="C12" s="136">
        <v>800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11</v>
      </c>
      <c r="C14" s="135">
        <v>27500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5</v>
      </c>
      <c r="C17" s="135">
        <v>5000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6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189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2556</v>
      </c>
      <c r="C29" s="135">
        <v>2433161731.1000004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2667</v>
      </c>
      <c r="C30" s="135">
        <v>24936957.070000004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1690</v>
      </c>
      <c r="C32" s="135">
        <v>135897659.92000002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13</v>
      </c>
      <c r="C33" s="135">
        <v>823500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3</v>
      </c>
      <c r="C34" s="135">
        <v>119635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5</v>
      </c>
      <c r="C35" s="135">
        <v>33000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580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14</v>
      </c>
      <c r="C37" s="135">
        <v>81274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183</v>
      </c>
      <c r="C39" s="135">
        <v>46671.222999999998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189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5" x14ac:dyDescent="0.2">
      <c r="A49" s="6" t="s">
        <v>39</v>
      </c>
      <c r="B49" s="138">
        <v>3</v>
      </c>
      <c r="C49" s="138">
        <v>308000</v>
      </c>
      <c r="D49" s="141" t="s">
        <v>116</v>
      </c>
      <c r="E49" s="141"/>
    </row>
    <row r="50" spans="1:5" x14ac:dyDescent="0.2">
      <c r="A50" s="6" t="s">
        <v>40</v>
      </c>
      <c r="B50" s="138"/>
      <c r="C50" s="138"/>
      <c r="D50" s="141"/>
      <c r="E50" s="141"/>
    </row>
    <row r="51" spans="1:5" x14ac:dyDescent="0.2">
      <c r="A51" s="6" t="s">
        <v>42</v>
      </c>
      <c r="B51" s="138">
        <v>7</v>
      </c>
      <c r="C51" s="138">
        <v>2490</v>
      </c>
      <c r="D51" s="141" t="s">
        <v>117</v>
      </c>
      <c r="E51" s="141"/>
    </row>
    <row r="52" spans="1:5" x14ac:dyDescent="0.2">
      <c r="B52" s="141"/>
      <c r="C52" s="141"/>
      <c r="D52" s="141"/>
      <c r="E52" s="141"/>
    </row>
    <row r="53" spans="1:5" x14ac:dyDescent="0.2">
      <c r="A53" s="2" t="s">
        <v>118</v>
      </c>
      <c r="B53" s="143">
        <v>1</v>
      </c>
      <c r="C53" s="143"/>
      <c r="D53" s="141"/>
      <c r="E53" s="141"/>
    </row>
    <row r="54" spans="1:5" x14ac:dyDescent="0.2">
      <c r="B54" s="141"/>
      <c r="C54" s="141"/>
      <c r="D54" s="141"/>
      <c r="E54" s="141"/>
    </row>
    <row r="55" spans="1:5" x14ac:dyDescent="0.2">
      <c r="A55" s="4" t="s">
        <v>119</v>
      </c>
      <c r="B55" s="141"/>
      <c r="C55" s="167">
        <v>308</v>
      </c>
      <c r="D55" s="141"/>
      <c r="E55" s="141"/>
    </row>
    <row r="56" spans="1:5" x14ac:dyDescent="0.2">
      <c r="B56" s="141"/>
      <c r="C56" s="141"/>
      <c r="D56" s="141"/>
      <c r="E56" s="141"/>
    </row>
    <row r="57" spans="1:5" x14ac:dyDescent="0.2">
      <c r="B57" s="141"/>
      <c r="C57" s="141"/>
      <c r="D57" s="141"/>
      <c r="E57" s="141"/>
    </row>
    <row r="58" spans="1:5" s="2" customFormat="1" x14ac:dyDescent="0.2">
      <c r="A58" s="5" t="s">
        <v>120</v>
      </c>
      <c r="B58" s="143"/>
      <c r="C58" s="168">
        <v>54469.222999999998</v>
      </c>
      <c r="D58" s="143"/>
      <c r="E58" s="143"/>
    </row>
    <row r="59" spans="1:5" x14ac:dyDescent="0.2">
      <c r="B59" s="141"/>
      <c r="C59" s="141"/>
      <c r="D59" s="141"/>
    </row>
    <row r="60" spans="1:5" x14ac:dyDescent="0.2">
      <c r="B60" s="141"/>
      <c r="C60" s="141"/>
      <c r="D60" s="141"/>
    </row>
    <row r="61" spans="1:5" x14ac:dyDescent="0.2">
      <c r="B61" s="141"/>
      <c r="C61" s="141"/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125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33">
        <f>55132+4311-40529-3176</f>
        <v>15738</v>
      </c>
      <c r="C6" s="16">
        <f>6859190070+194044764-4773993265-135849441</f>
        <v>2143392128</v>
      </c>
      <c r="D6" s="33" t="s">
        <v>81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33">
        <f>5867+1788-4158-1400</f>
        <v>2097</v>
      </c>
      <c r="C7" s="16">
        <f>64951720+6934050-47669640-5710650</f>
        <v>18505480</v>
      </c>
      <c r="D7" s="33" t="s">
        <v>82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76"/>
      <c r="C8" s="117"/>
      <c r="D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33">
        <f>6109+469+36-4592-397-33</f>
        <v>1592</v>
      </c>
      <c r="C9" s="118">
        <f>152947000+7757000+832595-114735000-6753000-804595</f>
        <v>39244000</v>
      </c>
      <c r="D9" s="33" t="s">
        <v>99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33">
        <f>110-91</f>
        <v>19</v>
      </c>
      <c r="C10" s="118">
        <f>3234500-2686250</f>
        <v>548250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33">
        <f>29-24</f>
        <v>5</v>
      </c>
      <c r="C11" s="118">
        <f>1215000-1020000</f>
        <v>195000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33">
        <f>64-56</f>
        <v>8</v>
      </c>
      <c r="C12" s="118">
        <f>20400-17400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6" t="s">
        <v>0</v>
      </c>
      <c r="B13" s="33">
        <v>0</v>
      </c>
      <c r="C13" s="118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33">
        <f>26-18</f>
        <v>8</v>
      </c>
      <c r="C14" s="118">
        <f>65000-45000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76"/>
      <c r="C15" s="117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33">
        <v>5</v>
      </c>
      <c r="C16" s="118">
        <v>286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33">
        <v>0</v>
      </c>
      <c r="C17" s="118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76">
        <v>8</v>
      </c>
      <c r="C20" s="7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</row>
    <row r="25" spans="1:32" x14ac:dyDescent="0.2">
      <c r="B25" s="297" t="s">
        <v>125</v>
      </c>
      <c r="C25" s="298"/>
      <c r="D25" s="72" t="s">
        <v>109</v>
      </c>
    </row>
    <row r="26" spans="1:32" x14ac:dyDescent="0.2">
      <c r="A26" s="73" t="s">
        <v>110</v>
      </c>
      <c r="B26" s="74" t="s">
        <v>63</v>
      </c>
      <c r="C26" s="74" t="s">
        <v>111</v>
      </c>
      <c r="D26" s="75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33">
        <f>13338+2004-9715-1574</f>
        <v>4053</v>
      </c>
      <c r="C29" s="33">
        <f>7577517320+538599790-5634611180-351626838</f>
        <v>2129879092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33">
        <f>5554+4032-3997-3087</f>
        <v>2502</v>
      </c>
      <c r="C30" s="33">
        <f>76427909+60080482-57787682-43280956</f>
        <v>35439753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33">
        <f>6483+397+180-4893-294-143</f>
        <v>1730</v>
      </c>
      <c r="C32" s="33">
        <f>510007317+10867017+7486462-381986081-7339728-6329636</f>
        <v>132705351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33">
        <f>133-105</f>
        <v>28</v>
      </c>
      <c r="C33" s="33">
        <f>11572096-6940526</f>
        <v>4631570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33">
        <f>106-75</f>
        <v>31</v>
      </c>
      <c r="C34" s="33">
        <f>5575507-4378000</f>
        <v>1197507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33">
        <f>68-57</f>
        <v>11</v>
      </c>
      <c r="C35" s="33">
        <f>366600-313600</f>
        <v>53000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33">
        <f>638-493</f>
        <v>145</v>
      </c>
      <c r="C36" s="33">
        <f>28642250-23009750</f>
        <v>5632500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33">
        <f>19-13</f>
        <v>6</v>
      </c>
      <c r="C37" s="33">
        <f>133020-106670</f>
        <v>26350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33"/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33">
        <f>196-146+81</f>
        <v>131</v>
      </c>
      <c r="C39" s="33">
        <v>24860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33">
        <v>0</v>
      </c>
      <c r="C40" s="33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</row>
    <row r="45" spans="1:10" x14ac:dyDescent="0.2">
      <c r="B45" s="297" t="s">
        <v>125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4" x14ac:dyDescent="0.2">
      <c r="A49" s="6" t="s">
        <v>39</v>
      </c>
      <c r="B49" s="79">
        <v>5</v>
      </c>
      <c r="C49" s="79">
        <v>286000</v>
      </c>
      <c r="D49" t="s">
        <v>116</v>
      </c>
    </row>
    <row r="50" spans="1:4" x14ac:dyDescent="0.2">
      <c r="A50" s="6" t="s">
        <v>40</v>
      </c>
      <c r="B50" s="79"/>
      <c r="C50" s="79"/>
    </row>
    <row r="51" spans="1:4" x14ac:dyDescent="0.2">
      <c r="A51" s="6" t="s">
        <v>42</v>
      </c>
      <c r="B51" s="79">
        <v>2</v>
      </c>
      <c r="C51" s="79">
        <v>440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0">
        <f>C49/1000</f>
        <v>286</v>
      </c>
    </row>
    <row r="58" spans="1:4" s="2" customFormat="1" x14ac:dyDescent="0.2">
      <c r="A58" s="5" t="s">
        <v>120</v>
      </c>
      <c r="C58" s="81">
        <f>C55+C51+C40+C39+C17+C16</f>
        <v>25872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J80"/>
  <sheetViews>
    <sheetView workbookViewId="0">
      <selection activeCell="W29" sqref="W29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302" t="s">
        <v>48</v>
      </c>
      <c r="C1" s="302"/>
      <c r="D1" s="302"/>
      <c r="E1" s="302"/>
      <c r="F1" s="302"/>
      <c r="G1" s="302"/>
      <c r="H1" s="302"/>
      <c r="I1" s="302"/>
    </row>
    <row r="2" spans="1:9" x14ac:dyDescent="0.2">
      <c r="B2" s="303" t="s">
        <v>47</v>
      </c>
      <c r="C2" s="303"/>
      <c r="D2" s="303" t="s">
        <v>46</v>
      </c>
      <c r="E2" s="303"/>
      <c r="F2" s="303" t="s">
        <v>44</v>
      </c>
      <c r="G2" s="303"/>
      <c r="H2" s="303" t="s">
        <v>45</v>
      </c>
      <c r="I2" s="303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5"/>
      <c r="C4" s="15"/>
      <c r="D4" s="15"/>
      <c r="E4" s="15"/>
      <c r="F4" s="15"/>
      <c r="G4" s="15"/>
      <c r="H4" s="15"/>
      <c r="I4" s="15"/>
    </row>
    <row r="5" spans="1:9" x14ac:dyDescent="0.2">
      <c r="A5" s="5" t="s">
        <v>34</v>
      </c>
      <c r="B5" s="15"/>
      <c r="C5" s="15"/>
      <c r="D5" s="15"/>
      <c r="E5" s="15"/>
      <c r="F5" s="15"/>
      <c r="G5" s="15"/>
      <c r="H5" s="15"/>
      <c r="I5" s="15"/>
    </row>
    <row r="6" spans="1:9" x14ac:dyDescent="0.2">
      <c r="A6" s="6" t="s">
        <v>22</v>
      </c>
      <c r="B6" s="17">
        <v>184</v>
      </c>
      <c r="C6" s="17">
        <v>20</v>
      </c>
      <c r="D6" s="17">
        <v>204</v>
      </c>
      <c r="E6" s="17">
        <v>25</v>
      </c>
      <c r="F6" s="17">
        <v>159</v>
      </c>
      <c r="G6" s="17">
        <v>27</v>
      </c>
      <c r="H6" s="17">
        <v>227</v>
      </c>
      <c r="I6" s="17">
        <v>43</v>
      </c>
    </row>
    <row r="7" spans="1:9" x14ac:dyDescent="0.2">
      <c r="A7" s="6" t="s">
        <v>21</v>
      </c>
      <c r="B7" s="15"/>
      <c r="C7" s="15"/>
      <c r="D7" s="15"/>
      <c r="E7" s="15"/>
      <c r="F7" s="15"/>
      <c r="G7" s="15"/>
      <c r="H7" s="15"/>
      <c r="I7" s="15"/>
    </row>
    <row r="8" spans="1:9" x14ac:dyDescent="0.2">
      <c r="A8" s="6" t="s">
        <v>28</v>
      </c>
      <c r="B8" s="19">
        <v>24</v>
      </c>
      <c r="C8" s="19">
        <v>38</v>
      </c>
      <c r="D8" s="19">
        <v>57</v>
      </c>
      <c r="E8" s="19">
        <v>114</v>
      </c>
      <c r="F8" s="19">
        <v>68</v>
      </c>
      <c r="G8" s="19">
        <v>79</v>
      </c>
      <c r="H8" s="19">
        <v>1463</v>
      </c>
      <c r="I8" s="19">
        <v>2294</v>
      </c>
    </row>
    <row r="9" spans="1:9" x14ac:dyDescent="0.2">
      <c r="A9" s="6" t="s">
        <v>29</v>
      </c>
      <c r="B9" s="17"/>
      <c r="C9" s="17"/>
      <c r="D9" s="17">
        <v>6</v>
      </c>
      <c r="E9" s="17">
        <v>5</v>
      </c>
      <c r="F9" s="17">
        <v>34</v>
      </c>
      <c r="G9" s="17">
        <v>10</v>
      </c>
      <c r="H9" s="17">
        <v>51</v>
      </c>
      <c r="I9" s="17">
        <v>16</v>
      </c>
    </row>
    <row r="10" spans="1:9" x14ac:dyDescent="0.2">
      <c r="A10" s="5" t="s">
        <v>33</v>
      </c>
      <c r="B10" s="15"/>
      <c r="C10" s="15"/>
      <c r="D10" s="15"/>
      <c r="E10" s="15"/>
      <c r="F10" s="15"/>
      <c r="G10" s="15"/>
      <c r="H10" s="15"/>
      <c r="I10" s="15"/>
    </row>
    <row r="11" spans="1:9" x14ac:dyDescent="0.2">
      <c r="A11" s="6" t="s">
        <v>39</v>
      </c>
      <c r="B11" s="18">
        <v>0</v>
      </c>
      <c r="C11" s="18">
        <v>23</v>
      </c>
      <c r="D11" s="18">
        <v>0</v>
      </c>
      <c r="E11" s="18">
        <v>7</v>
      </c>
      <c r="F11" s="18">
        <v>0</v>
      </c>
      <c r="G11" s="18">
        <v>10</v>
      </c>
      <c r="H11" s="18">
        <v>0</v>
      </c>
      <c r="I11" s="18">
        <v>19</v>
      </c>
    </row>
    <row r="12" spans="1:9" x14ac:dyDescent="0.2">
      <c r="A12" s="6" t="s">
        <v>40</v>
      </c>
      <c r="B12" s="18">
        <v>0</v>
      </c>
      <c r="C12" s="18">
        <v>2</v>
      </c>
      <c r="D12" s="18">
        <v>2</v>
      </c>
      <c r="E12" s="18">
        <v>0</v>
      </c>
      <c r="F12" s="18">
        <v>0</v>
      </c>
      <c r="G12" s="18">
        <v>2</v>
      </c>
      <c r="H12" s="18">
        <v>0</v>
      </c>
      <c r="I12" s="18">
        <v>2</v>
      </c>
    </row>
    <row r="13" spans="1:9" x14ac:dyDescent="0.2">
      <c r="A13" s="6" t="s">
        <v>42</v>
      </c>
      <c r="B13" s="18">
        <v>0</v>
      </c>
      <c r="C13" s="18">
        <v>1</v>
      </c>
      <c r="D13" s="18">
        <v>0</v>
      </c>
      <c r="E13" s="18">
        <v>4</v>
      </c>
      <c r="F13" s="18">
        <v>0</v>
      </c>
      <c r="G13" s="18">
        <v>12</v>
      </c>
      <c r="H13" s="18">
        <v>0</v>
      </c>
      <c r="I13" s="18">
        <v>10</v>
      </c>
    </row>
    <row r="14" spans="1:9" x14ac:dyDescent="0.2">
      <c r="A14" s="6" t="s">
        <v>41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9" x14ac:dyDescent="0.2">
      <c r="A15" s="5" t="s">
        <v>32</v>
      </c>
      <c r="B15" s="15"/>
      <c r="C15" s="15"/>
      <c r="D15" s="15"/>
      <c r="E15" s="15"/>
      <c r="F15" s="15"/>
      <c r="G15" s="15"/>
      <c r="H15" s="15"/>
      <c r="I15" s="15"/>
    </row>
    <row r="16" spans="1:9" x14ac:dyDescent="0.2">
      <c r="A16" s="6" t="s">
        <v>0</v>
      </c>
      <c r="B16" s="15"/>
      <c r="C16" s="15"/>
      <c r="D16" s="15"/>
      <c r="E16" s="15"/>
      <c r="F16" s="15"/>
      <c r="G16" s="15"/>
      <c r="H16" s="15"/>
      <c r="I16" s="15"/>
    </row>
    <row r="17" spans="1:9" x14ac:dyDescent="0.2">
      <c r="A17" s="6" t="s">
        <v>3</v>
      </c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5"/>
      <c r="C19" s="15"/>
      <c r="D19" s="15"/>
      <c r="E19" s="15"/>
      <c r="F19" s="15"/>
      <c r="G19" s="15"/>
      <c r="H19" s="15"/>
      <c r="I19" s="15"/>
    </row>
    <row r="20" spans="1:9" x14ac:dyDescent="0.2">
      <c r="A20" s="2" t="s">
        <v>7</v>
      </c>
      <c r="B20" s="15"/>
      <c r="C20" s="15"/>
      <c r="D20" s="15"/>
      <c r="E20" s="15"/>
      <c r="F20" s="15"/>
      <c r="G20" s="15"/>
      <c r="H20" s="15"/>
      <c r="I20" s="15"/>
    </row>
    <row r="21" spans="1:9" x14ac:dyDescent="0.2">
      <c r="A21" s="5" t="s">
        <v>34</v>
      </c>
      <c r="B21" s="15"/>
      <c r="C21" s="15"/>
      <c r="D21" s="15"/>
      <c r="E21" s="15"/>
      <c r="F21" s="15"/>
      <c r="G21" s="15"/>
      <c r="H21" s="15"/>
      <c r="I21" s="15"/>
    </row>
    <row r="22" spans="1:9" x14ac:dyDescent="0.2">
      <c r="A22" s="6" t="s">
        <v>21</v>
      </c>
      <c r="B22" s="15">
        <v>5224</v>
      </c>
      <c r="C22" s="15">
        <v>1151</v>
      </c>
      <c r="D22" s="15"/>
      <c r="E22" s="15"/>
      <c r="F22" s="15"/>
      <c r="G22" s="15"/>
      <c r="H22" s="15"/>
      <c r="I22" s="15"/>
    </row>
    <row r="23" spans="1:9" x14ac:dyDescent="0.2">
      <c r="A23" s="6" t="s">
        <v>22</v>
      </c>
      <c r="B23" s="17">
        <v>573</v>
      </c>
      <c r="C23" s="17">
        <v>388</v>
      </c>
      <c r="D23" s="17">
        <v>778</v>
      </c>
      <c r="E23" s="17">
        <v>473</v>
      </c>
      <c r="F23" s="17">
        <v>778</v>
      </c>
      <c r="G23" s="17">
        <v>304</v>
      </c>
      <c r="H23" s="17">
        <v>1013</v>
      </c>
      <c r="I23" s="17">
        <v>436</v>
      </c>
    </row>
    <row r="24" spans="1:9" x14ac:dyDescent="0.2">
      <c r="A24" s="6" t="s">
        <v>28</v>
      </c>
      <c r="B24" s="19">
        <v>633</v>
      </c>
      <c r="C24" s="19">
        <v>1263</v>
      </c>
      <c r="D24" s="19">
        <v>1573</v>
      </c>
      <c r="E24" s="19">
        <v>2577</v>
      </c>
      <c r="F24" s="19">
        <v>1657</v>
      </c>
      <c r="G24" s="19">
        <v>2093</v>
      </c>
      <c r="H24" s="19">
        <v>83</v>
      </c>
      <c r="I24" s="19">
        <v>139</v>
      </c>
    </row>
    <row r="25" spans="1:9" x14ac:dyDescent="0.2">
      <c r="A25" s="6" t="s">
        <v>29</v>
      </c>
      <c r="B25" s="17"/>
      <c r="C25" s="17">
        <v>9</v>
      </c>
      <c r="D25" s="17"/>
      <c r="E25" s="17">
        <v>23</v>
      </c>
      <c r="F25" s="17"/>
      <c r="G25" s="17">
        <v>22</v>
      </c>
      <c r="H25" s="17"/>
      <c r="I25" s="17">
        <v>10</v>
      </c>
    </row>
    <row r="26" spans="1:9" x14ac:dyDescent="0.2">
      <c r="A26" s="5" t="s">
        <v>33</v>
      </c>
      <c r="B26" s="15"/>
      <c r="C26" s="15"/>
      <c r="D26" s="15"/>
      <c r="E26" s="15"/>
      <c r="F26" s="15"/>
      <c r="G26" s="15"/>
      <c r="H26" s="15"/>
      <c r="I26" s="15"/>
    </row>
    <row r="27" spans="1:9" x14ac:dyDescent="0.2">
      <c r="A27" s="6" t="s">
        <v>39</v>
      </c>
      <c r="B27" s="18">
        <v>1</v>
      </c>
      <c r="C27" s="18">
        <v>62</v>
      </c>
      <c r="D27" s="18">
        <v>12</v>
      </c>
      <c r="E27" s="18">
        <v>107</v>
      </c>
      <c r="F27" s="18">
        <v>10</v>
      </c>
      <c r="G27" s="18">
        <v>83</v>
      </c>
      <c r="H27" s="18">
        <v>2</v>
      </c>
      <c r="I27" s="18">
        <v>103</v>
      </c>
    </row>
    <row r="28" spans="1:9" x14ac:dyDescent="0.2">
      <c r="A28" s="6" t="s">
        <v>40</v>
      </c>
      <c r="B28" s="18">
        <v>0</v>
      </c>
      <c r="C28" s="18">
        <v>3</v>
      </c>
      <c r="D28" s="18">
        <v>0</v>
      </c>
      <c r="E28" s="18">
        <v>15</v>
      </c>
      <c r="F28" s="18">
        <v>1</v>
      </c>
      <c r="G28" s="18">
        <v>6</v>
      </c>
      <c r="H28" s="18">
        <v>0</v>
      </c>
      <c r="I28" s="18">
        <v>22</v>
      </c>
    </row>
    <row r="29" spans="1:9" x14ac:dyDescent="0.2">
      <c r="A29" s="6" t="s">
        <v>42</v>
      </c>
      <c r="B29" s="18">
        <v>4</v>
      </c>
      <c r="C29" s="18">
        <v>1</v>
      </c>
      <c r="D29" s="18">
        <v>3</v>
      </c>
      <c r="E29" s="18">
        <v>10</v>
      </c>
      <c r="F29" s="18">
        <v>0</v>
      </c>
      <c r="G29" s="18">
        <v>12</v>
      </c>
      <c r="H29" s="18">
        <v>0</v>
      </c>
      <c r="I29" s="18">
        <v>9</v>
      </c>
    </row>
    <row r="30" spans="1:9" x14ac:dyDescent="0.2">
      <c r="A30" s="6" t="s">
        <v>41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 x14ac:dyDescent="0.2">
      <c r="A31" s="5" t="s">
        <v>32</v>
      </c>
      <c r="B31" s="15"/>
      <c r="C31" s="15"/>
      <c r="D31" s="15"/>
      <c r="E31" s="15"/>
      <c r="F31" s="15"/>
      <c r="G31" s="15"/>
      <c r="H31" s="15"/>
      <c r="I31" s="15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303" t="s">
        <v>47</v>
      </c>
      <c r="C34" s="303"/>
      <c r="D34" s="303" t="s">
        <v>46</v>
      </c>
      <c r="E34" s="303"/>
      <c r="F34" s="303" t="s">
        <v>44</v>
      </c>
      <c r="G34" s="303"/>
      <c r="H34" s="303" t="s">
        <v>45</v>
      </c>
      <c r="I34" s="303"/>
    </row>
    <row r="35" spans="1:10" x14ac:dyDescent="0.2">
      <c r="A35" s="19" t="s">
        <v>96</v>
      </c>
      <c r="B35" s="19" t="s">
        <v>35</v>
      </c>
      <c r="C35" s="19" t="s">
        <v>30</v>
      </c>
      <c r="D35" s="19" t="s">
        <v>35</v>
      </c>
      <c r="E35" s="19" t="s">
        <v>30</v>
      </c>
      <c r="F35" s="19" t="s">
        <v>35</v>
      </c>
      <c r="G35" s="19" t="s">
        <v>30</v>
      </c>
      <c r="H35" s="19" t="s">
        <v>35</v>
      </c>
      <c r="I35" s="19" t="s">
        <v>30</v>
      </c>
    </row>
    <row r="36" spans="1:10" x14ac:dyDescent="0.2">
      <c r="A36" s="20" t="s">
        <v>34</v>
      </c>
      <c r="B36" s="17"/>
      <c r="C36" s="17"/>
      <c r="D36" s="17"/>
      <c r="E36" s="17"/>
      <c r="F36" s="17"/>
      <c r="G36" s="17"/>
      <c r="H36" s="17"/>
      <c r="I36" s="17"/>
    </row>
    <row r="37" spans="1:10" x14ac:dyDescent="0.2">
      <c r="A37" s="21" t="s">
        <v>64</v>
      </c>
      <c r="B37" s="22">
        <v>8160</v>
      </c>
      <c r="C37" s="22">
        <v>1993</v>
      </c>
      <c r="D37" s="22">
        <v>12264</v>
      </c>
      <c r="E37" s="22">
        <v>3200</v>
      </c>
      <c r="F37" s="22">
        <v>10083</v>
      </c>
      <c r="G37" s="22">
        <v>2671</v>
      </c>
      <c r="H37" s="22">
        <v>13198</v>
      </c>
      <c r="I37" s="22">
        <v>3425</v>
      </c>
      <c r="J37">
        <f>SUM(B37:I37)</f>
        <v>54994</v>
      </c>
    </row>
    <row r="38" spans="1:10" x14ac:dyDescent="0.2">
      <c r="A38" s="21" t="s">
        <v>71</v>
      </c>
      <c r="B38" s="22">
        <v>657</v>
      </c>
      <c r="C38" s="22">
        <v>1073</v>
      </c>
      <c r="D38" s="22">
        <v>1630</v>
      </c>
      <c r="E38" s="22">
        <v>1806</v>
      </c>
      <c r="F38" s="22">
        <v>1725</v>
      </c>
      <c r="G38" s="22">
        <v>2056</v>
      </c>
      <c r="H38" s="22">
        <v>1546</v>
      </c>
      <c r="I38" s="22">
        <v>2149</v>
      </c>
      <c r="J38">
        <f t="shared" ref="J38:J49" si="0">SUM(B38:I38)</f>
        <v>12642</v>
      </c>
    </row>
    <row r="39" spans="1:10" x14ac:dyDescent="0.2">
      <c r="A39" s="20" t="s">
        <v>33</v>
      </c>
      <c r="B39" s="22"/>
      <c r="C39" s="22">
        <v>29</v>
      </c>
      <c r="D39" s="22"/>
      <c r="E39" s="22">
        <v>33</v>
      </c>
      <c r="F39" s="22"/>
      <c r="G39" s="22">
        <v>31</v>
      </c>
      <c r="H39" s="22"/>
      <c r="I39" s="22">
        <v>53</v>
      </c>
      <c r="J39">
        <f>SUM(B39:I39)</f>
        <v>146</v>
      </c>
    </row>
    <row r="40" spans="1:10" x14ac:dyDescent="0.2">
      <c r="A40" s="21" t="s">
        <v>39</v>
      </c>
      <c r="B40" s="23">
        <v>4</v>
      </c>
      <c r="C40" s="23"/>
      <c r="D40" s="23">
        <v>9</v>
      </c>
      <c r="E40" s="23"/>
      <c r="F40" s="23">
        <v>4</v>
      </c>
      <c r="G40" s="23"/>
      <c r="H40" s="23">
        <v>2</v>
      </c>
      <c r="I40" s="23"/>
      <c r="J40">
        <f t="shared" si="0"/>
        <v>19</v>
      </c>
    </row>
    <row r="41" spans="1:10" x14ac:dyDescent="0.2">
      <c r="A41" s="21" t="s">
        <v>40</v>
      </c>
      <c r="B41" s="23"/>
      <c r="C41" s="23"/>
      <c r="D41" s="23"/>
      <c r="E41" s="23"/>
      <c r="F41" s="23"/>
      <c r="G41" s="23"/>
      <c r="H41" s="23"/>
      <c r="I41" s="23"/>
      <c r="J41">
        <f t="shared" si="0"/>
        <v>0</v>
      </c>
    </row>
    <row r="42" spans="1:10" x14ac:dyDescent="0.2">
      <c r="A42" s="21" t="s">
        <v>42</v>
      </c>
      <c r="B42" s="23">
        <f>+B13+B29</f>
        <v>4</v>
      </c>
      <c r="C42" s="23">
        <v>0</v>
      </c>
      <c r="D42" s="23">
        <v>4</v>
      </c>
      <c r="E42" s="23">
        <v>0</v>
      </c>
      <c r="F42" s="23">
        <v>1</v>
      </c>
      <c r="G42" s="23">
        <v>0</v>
      </c>
      <c r="H42" s="23">
        <f>+H13+H29</f>
        <v>0</v>
      </c>
      <c r="I42" s="23">
        <v>0</v>
      </c>
      <c r="J42">
        <f t="shared" si="0"/>
        <v>9</v>
      </c>
    </row>
    <row r="43" spans="1:10" x14ac:dyDescent="0.2">
      <c r="A43" s="21" t="s">
        <v>41</v>
      </c>
      <c r="B43" s="23">
        <f t="shared" ref="B43:I43" si="1">+B14+B30</f>
        <v>0</v>
      </c>
      <c r="C43" s="23">
        <f t="shared" si="1"/>
        <v>0</v>
      </c>
      <c r="D43" s="23">
        <f t="shared" si="1"/>
        <v>0</v>
      </c>
      <c r="E43" s="23">
        <f t="shared" si="1"/>
        <v>0</v>
      </c>
      <c r="F43" s="23">
        <f t="shared" si="1"/>
        <v>0</v>
      </c>
      <c r="G43" s="23">
        <f t="shared" si="1"/>
        <v>0</v>
      </c>
      <c r="H43" s="23">
        <f t="shared" si="1"/>
        <v>0</v>
      </c>
      <c r="I43" s="23">
        <f t="shared" si="1"/>
        <v>0</v>
      </c>
      <c r="J43">
        <f t="shared" si="0"/>
        <v>0</v>
      </c>
    </row>
    <row r="44" spans="1:10" x14ac:dyDescent="0.2">
      <c r="A44" s="20" t="s">
        <v>32</v>
      </c>
      <c r="B44" s="22"/>
      <c r="C44" s="22"/>
      <c r="D44" s="22"/>
      <c r="E44" s="22"/>
      <c r="F44" s="22"/>
      <c r="G44" s="22"/>
      <c r="H44" s="22"/>
      <c r="I44" s="22"/>
      <c r="J44">
        <f t="shared" si="0"/>
        <v>0</v>
      </c>
    </row>
    <row r="45" spans="1:10" x14ac:dyDescent="0.2">
      <c r="A45" s="21" t="s">
        <v>0</v>
      </c>
      <c r="B45" s="22">
        <v>0</v>
      </c>
      <c r="C45" s="22">
        <v>91</v>
      </c>
      <c r="D45" s="22"/>
      <c r="E45" s="22">
        <v>130</v>
      </c>
      <c r="F45" s="22"/>
      <c r="G45" s="22">
        <v>103</v>
      </c>
      <c r="H45" s="22"/>
      <c r="I45" s="22">
        <v>169</v>
      </c>
      <c r="J45">
        <f t="shared" si="0"/>
        <v>493</v>
      </c>
    </row>
    <row r="46" spans="1:10" x14ac:dyDescent="0.2">
      <c r="A46" s="21" t="s">
        <v>3</v>
      </c>
      <c r="B46" s="22">
        <v>9</v>
      </c>
      <c r="C46" s="22">
        <v>4</v>
      </c>
      <c r="D46" s="22">
        <v>8</v>
      </c>
      <c r="E46" s="22">
        <v>19</v>
      </c>
      <c r="F46" s="22">
        <v>26</v>
      </c>
      <c r="G46" s="22">
        <v>11</v>
      </c>
      <c r="H46" s="22">
        <v>13</v>
      </c>
      <c r="I46" s="22">
        <v>23</v>
      </c>
      <c r="J46">
        <f t="shared" si="0"/>
        <v>113</v>
      </c>
    </row>
    <row r="47" spans="1:10" x14ac:dyDescent="0.2">
      <c r="A47" s="21" t="s">
        <v>5</v>
      </c>
      <c r="B47" s="22">
        <v>840</v>
      </c>
      <c r="C47" s="22">
        <v>995</v>
      </c>
      <c r="D47" s="22">
        <v>1580</v>
      </c>
      <c r="E47" s="22">
        <v>1678</v>
      </c>
      <c r="F47" s="22">
        <v>1052</v>
      </c>
      <c r="G47" s="22">
        <v>1147</v>
      </c>
      <c r="H47" s="22">
        <v>1552</v>
      </c>
      <c r="I47" s="22">
        <v>1511</v>
      </c>
      <c r="J47">
        <f t="shared" si="0"/>
        <v>10355</v>
      </c>
    </row>
    <row r="48" spans="1:10" x14ac:dyDescent="0.2">
      <c r="A48" s="21" t="s">
        <v>13</v>
      </c>
      <c r="B48" s="22">
        <v>2</v>
      </c>
      <c r="C48" s="22">
        <v>0</v>
      </c>
      <c r="D48" s="22">
        <v>2</v>
      </c>
      <c r="E48" s="22">
        <v>0</v>
      </c>
      <c r="F48" s="22">
        <v>10</v>
      </c>
      <c r="G48" s="22">
        <v>4</v>
      </c>
      <c r="H48" s="22">
        <v>4</v>
      </c>
      <c r="I48" s="22">
        <v>9</v>
      </c>
      <c r="J48">
        <f t="shared" si="0"/>
        <v>31</v>
      </c>
    </row>
    <row r="49" spans="1:10" x14ac:dyDescent="0.2">
      <c r="A49" s="21" t="s">
        <v>4</v>
      </c>
      <c r="B49" s="22">
        <v>29</v>
      </c>
      <c r="C49" s="22">
        <v>23</v>
      </c>
      <c r="D49" s="22">
        <v>36</v>
      </c>
      <c r="E49" s="22">
        <v>47</v>
      </c>
      <c r="F49" s="22">
        <v>32</v>
      </c>
      <c r="G49" s="22">
        <v>52</v>
      </c>
      <c r="H49" s="22">
        <v>17</v>
      </c>
      <c r="I49" s="22">
        <v>58</v>
      </c>
      <c r="J49">
        <f t="shared" si="0"/>
        <v>294</v>
      </c>
    </row>
    <row r="50" spans="1:10" x14ac:dyDescent="0.2">
      <c r="A50" s="24" t="s">
        <v>97</v>
      </c>
      <c r="B50" s="24"/>
      <c r="C50" s="24"/>
      <c r="D50" s="24"/>
      <c r="E50" s="24"/>
      <c r="F50" s="24"/>
      <c r="G50" s="24"/>
      <c r="H50" s="24"/>
      <c r="I50" s="24"/>
    </row>
    <row r="51" spans="1:10" x14ac:dyDescent="0.2">
      <c r="A51" s="25" t="s">
        <v>34</v>
      </c>
      <c r="B51" s="26"/>
      <c r="C51" s="26"/>
      <c r="D51" s="26"/>
      <c r="E51" s="26"/>
      <c r="F51" s="26"/>
      <c r="G51" s="26"/>
      <c r="H51" s="26"/>
      <c r="I51" s="26"/>
    </row>
    <row r="52" spans="1:10" x14ac:dyDescent="0.2">
      <c r="A52" s="27" t="s">
        <v>64</v>
      </c>
      <c r="B52" s="28">
        <f>+B6+B7+B22+B23</f>
        <v>5981</v>
      </c>
      <c r="C52" s="28">
        <f t="shared" ref="C52:I52" si="2">+C6+C7+C22+C23</f>
        <v>1559</v>
      </c>
      <c r="D52" s="28">
        <f t="shared" si="2"/>
        <v>982</v>
      </c>
      <c r="E52" s="28">
        <f t="shared" si="2"/>
        <v>498</v>
      </c>
      <c r="F52" s="28">
        <f t="shared" si="2"/>
        <v>937</v>
      </c>
      <c r="G52" s="28">
        <f t="shared" si="2"/>
        <v>331</v>
      </c>
      <c r="H52" s="28">
        <f t="shared" si="2"/>
        <v>1240</v>
      </c>
      <c r="I52" s="28">
        <f t="shared" si="2"/>
        <v>479</v>
      </c>
    </row>
    <row r="53" spans="1:10" x14ac:dyDescent="0.2">
      <c r="A53" s="27" t="s">
        <v>71</v>
      </c>
      <c r="B53" s="28">
        <f>+B8+B9+B24+B25</f>
        <v>657</v>
      </c>
      <c r="C53" s="28">
        <f t="shared" ref="C53:I53" si="3">+C8+C9+C24+C25</f>
        <v>1310</v>
      </c>
      <c r="D53" s="28">
        <f t="shared" si="3"/>
        <v>1636</v>
      </c>
      <c r="E53" s="28">
        <f t="shared" si="3"/>
        <v>2719</v>
      </c>
      <c r="F53" s="28">
        <f t="shared" si="3"/>
        <v>1759</v>
      </c>
      <c r="G53" s="28">
        <f t="shared" si="3"/>
        <v>2204</v>
      </c>
      <c r="H53" s="28">
        <f t="shared" si="3"/>
        <v>1597</v>
      </c>
      <c r="I53" s="28">
        <f t="shared" si="3"/>
        <v>2459</v>
      </c>
    </row>
    <row r="54" spans="1:10" x14ac:dyDescent="0.2">
      <c r="A54" s="25" t="s">
        <v>33</v>
      </c>
      <c r="B54" s="28"/>
      <c r="C54" s="28"/>
      <c r="D54" s="28"/>
      <c r="E54" s="28"/>
      <c r="F54" s="28"/>
      <c r="G54" s="28"/>
      <c r="H54" s="28"/>
      <c r="I54" s="28"/>
    </row>
    <row r="55" spans="1:10" x14ac:dyDescent="0.2">
      <c r="A55" s="27" t="s">
        <v>39</v>
      </c>
      <c r="B55" s="29">
        <f>+B11+B27</f>
        <v>1</v>
      </c>
      <c r="C55" s="29">
        <f t="shared" ref="C55:I55" si="4">+C11+C27</f>
        <v>85</v>
      </c>
      <c r="D55" s="29">
        <f t="shared" si="4"/>
        <v>12</v>
      </c>
      <c r="E55" s="29">
        <f t="shared" si="4"/>
        <v>114</v>
      </c>
      <c r="F55" s="29">
        <f t="shared" si="4"/>
        <v>10</v>
      </c>
      <c r="G55" s="29">
        <f t="shared" si="4"/>
        <v>93</v>
      </c>
      <c r="H55" s="29">
        <f t="shared" si="4"/>
        <v>2</v>
      </c>
      <c r="I55" s="29">
        <f t="shared" si="4"/>
        <v>122</v>
      </c>
      <c r="J55" s="77">
        <f>SUM(B55:I55)</f>
        <v>439</v>
      </c>
    </row>
    <row r="56" spans="1:10" x14ac:dyDescent="0.2">
      <c r="A56" s="27" t="s">
        <v>40</v>
      </c>
      <c r="B56" s="29">
        <f>+B12+B28</f>
        <v>0</v>
      </c>
      <c r="C56" s="29">
        <f t="shared" ref="C56:I56" si="5">+C12+C28</f>
        <v>5</v>
      </c>
      <c r="D56" s="29">
        <f t="shared" si="5"/>
        <v>2</v>
      </c>
      <c r="E56" s="29">
        <f t="shared" si="5"/>
        <v>15</v>
      </c>
      <c r="F56" s="29">
        <f t="shared" si="5"/>
        <v>1</v>
      </c>
      <c r="G56" s="29">
        <f t="shared" si="5"/>
        <v>8</v>
      </c>
      <c r="H56" s="29">
        <f t="shared" si="5"/>
        <v>0</v>
      </c>
      <c r="I56" s="29">
        <f t="shared" si="5"/>
        <v>24</v>
      </c>
      <c r="J56" s="77">
        <f>SUM(B56:I56)</f>
        <v>55</v>
      </c>
    </row>
    <row r="57" spans="1:10" x14ac:dyDescent="0.2">
      <c r="A57" s="27" t="s">
        <v>42</v>
      </c>
      <c r="B57" s="29">
        <f t="shared" ref="B57:I57" si="6">+B13+B29</f>
        <v>4</v>
      </c>
      <c r="C57" s="29">
        <f t="shared" si="6"/>
        <v>2</v>
      </c>
      <c r="D57" s="29">
        <f t="shared" si="6"/>
        <v>3</v>
      </c>
      <c r="E57" s="29">
        <f t="shared" si="6"/>
        <v>14</v>
      </c>
      <c r="F57" s="29">
        <f t="shared" si="6"/>
        <v>0</v>
      </c>
      <c r="G57" s="29">
        <f t="shared" si="6"/>
        <v>24</v>
      </c>
      <c r="H57" s="29">
        <f t="shared" si="6"/>
        <v>0</v>
      </c>
      <c r="I57" s="29">
        <f t="shared" si="6"/>
        <v>19</v>
      </c>
      <c r="J57" s="77">
        <f>SUM(B57:I57)</f>
        <v>66</v>
      </c>
    </row>
    <row r="58" spans="1:10" x14ac:dyDescent="0.2">
      <c r="A58" s="27" t="s">
        <v>41</v>
      </c>
      <c r="B58" s="29">
        <f t="shared" ref="B58:I58" si="7">+B14+B30</f>
        <v>0</v>
      </c>
      <c r="C58" s="29">
        <f t="shared" si="7"/>
        <v>0</v>
      </c>
      <c r="D58" s="29">
        <f t="shared" si="7"/>
        <v>0</v>
      </c>
      <c r="E58" s="29">
        <f t="shared" si="7"/>
        <v>0</v>
      </c>
      <c r="F58" s="29">
        <f t="shared" si="7"/>
        <v>0</v>
      </c>
      <c r="G58" s="29">
        <f t="shared" si="7"/>
        <v>0</v>
      </c>
      <c r="H58" s="29">
        <f t="shared" si="7"/>
        <v>0</v>
      </c>
      <c r="I58" s="29">
        <f t="shared" si="7"/>
        <v>0</v>
      </c>
    </row>
    <row r="59" spans="1:10" x14ac:dyDescent="0.2">
      <c r="A59" s="25" t="s">
        <v>32</v>
      </c>
      <c r="B59" s="28"/>
      <c r="C59" s="28"/>
      <c r="D59" s="28"/>
      <c r="E59" s="28"/>
      <c r="F59" s="28"/>
      <c r="G59" s="28"/>
      <c r="H59" s="28"/>
      <c r="I59" s="28"/>
    </row>
    <row r="60" spans="1:10" x14ac:dyDescent="0.2">
      <c r="A60" s="27" t="s">
        <v>0</v>
      </c>
      <c r="B60" s="28">
        <f>+B16</f>
        <v>0</v>
      </c>
      <c r="C60" s="28">
        <f t="shared" ref="C60:I60" si="8">+C16</f>
        <v>0</v>
      </c>
      <c r="D60" s="28">
        <f t="shared" si="8"/>
        <v>0</v>
      </c>
      <c r="E60" s="28">
        <f t="shared" si="8"/>
        <v>0</v>
      </c>
      <c r="F60" s="28">
        <f t="shared" si="8"/>
        <v>0</v>
      </c>
      <c r="G60" s="28">
        <f t="shared" si="8"/>
        <v>0</v>
      </c>
      <c r="H60" s="28">
        <f t="shared" si="8"/>
        <v>0</v>
      </c>
      <c r="I60" s="28">
        <f t="shared" si="8"/>
        <v>0</v>
      </c>
    </row>
    <row r="61" spans="1:10" x14ac:dyDescent="0.2">
      <c r="A61" s="27" t="s">
        <v>3</v>
      </c>
      <c r="B61" s="28"/>
      <c r="C61" s="28"/>
      <c r="D61" s="28"/>
      <c r="E61" s="28"/>
      <c r="F61" s="28"/>
      <c r="G61" s="28"/>
      <c r="H61" s="28"/>
      <c r="I61" s="28"/>
    </row>
    <row r="62" spans="1:10" x14ac:dyDescent="0.2">
      <c r="A62" s="27" t="s">
        <v>5</v>
      </c>
      <c r="B62" s="28">
        <f>+B18+B32</f>
        <v>840</v>
      </c>
      <c r="C62" s="28">
        <f t="shared" ref="C62:I62" si="9">+C18+C32</f>
        <v>191</v>
      </c>
      <c r="D62" s="28">
        <f t="shared" si="9"/>
        <v>1580</v>
      </c>
      <c r="E62" s="28">
        <f t="shared" si="9"/>
        <v>456</v>
      </c>
      <c r="F62" s="28">
        <f t="shared" si="9"/>
        <v>1051</v>
      </c>
      <c r="G62" s="28">
        <f t="shared" si="9"/>
        <v>249</v>
      </c>
      <c r="H62" s="28">
        <f t="shared" si="9"/>
        <v>1544</v>
      </c>
      <c r="I62" s="28">
        <f t="shared" si="9"/>
        <v>299</v>
      </c>
    </row>
    <row r="63" spans="1:10" x14ac:dyDescent="0.2">
      <c r="A63" s="27" t="s">
        <v>13</v>
      </c>
      <c r="B63" s="30"/>
      <c r="C63" s="30"/>
      <c r="D63" s="30"/>
      <c r="E63" s="30"/>
      <c r="F63" s="30"/>
      <c r="G63" s="30"/>
      <c r="H63" s="30"/>
      <c r="I63" s="30"/>
    </row>
    <row r="64" spans="1:10" x14ac:dyDescent="0.2">
      <c r="A64" s="31" t="s">
        <v>4</v>
      </c>
      <c r="B64" s="28"/>
      <c r="C64" s="28"/>
      <c r="D64" s="28"/>
      <c r="E64" s="28"/>
      <c r="F64" s="28"/>
      <c r="G64" s="28"/>
      <c r="H64" s="28"/>
      <c r="I64" s="28"/>
    </row>
    <row r="66" spans="1:9" x14ac:dyDescent="0.2">
      <c r="A66" s="19" t="s">
        <v>98</v>
      </c>
      <c r="B66" s="19" t="s">
        <v>35</v>
      </c>
      <c r="C66" s="19" t="s">
        <v>30</v>
      </c>
      <c r="D66" s="19" t="s">
        <v>35</v>
      </c>
      <c r="E66" s="19" t="s">
        <v>30</v>
      </c>
      <c r="F66" s="19" t="s">
        <v>35</v>
      </c>
      <c r="G66" s="19" t="s">
        <v>30</v>
      </c>
      <c r="H66" s="19" t="s">
        <v>35</v>
      </c>
      <c r="I66" s="19" t="s">
        <v>30</v>
      </c>
    </row>
    <row r="67" spans="1:9" x14ac:dyDescent="0.2">
      <c r="A67" s="20" t="s">
        <v>34</v>
      </c>
      <c r="B67" s="17"/>
      <c r="C67" s="17"/>
      <c r="D67" s="17"/>
      <c r="E67" s="17"/>
      <c r="F67" s="17"/>
      <c r="G67" s="17"/>
      <c r="H67" s="17"/>
      <c r="I67" s="17"/>
    </row>
    <row r="68" spans="1:9" x14ac:dyDescent="0.2">
      <c r="A68" s="21" t="s">
        <v>64</v>
      </c>
      <c r="B68" s="22">
        <f t="shared" ref="B68:B78" si="10">B37-B52</f>
        <v>2179</v>
      </c>
      <c r="C68" s="22">
        <f t="shared" ref="C68:I68" si="11">C37-C52</f>
        <v>434</v>
      </c>
      <c r="D68" s="22">
        <f t="shared" si="11"/>
        <v>11282</v>
      </c>
      <c r="E68" s="22">
        <f t="shared" si="11"/>
        <v>2702</v>
      </c>
      <c r="F68" s="22">
        <f t="shared" si="11"/>
        <v>9146</v>
      </c>
      <c r="G68" s="22">
        <f t="shared" si="11"/>
        <v>2340</v>
      </c>
      <c r="H68" s="22">
        <f t="shared" si="11"/>
        <v>11958</v>
      </c>
      <c r="I68" s="22">
        <f t="shared" si="11"/>
        <v>2946</v>
      </c>
    </row>
    <row r="69" spans="1:9" x14ac:dyDescent="0.2">
      <c r="A69" s="21" t="s">
        <v>71</v>
      </c>
      <c r="B69" s="22">
        <f t="shared" si="10"/>
        <v>0</v>
      </c>
      <c r="C69" s="22">
        <f t="shared" ref="C69:I78" si="12">C38-C53</f>
        <v>-237</v>
      </c>
      <c r="D69" s="22">
        <f t="shared" si="12"/>
        <v>-6</v>
      </c>
      <c r="E69" s="22">
        <f t="shared" si="12"/>
        <v>-913</v>
      </c>
      <c r="F69" s="22">
        <f t="shared" si="12"/>
        <v>-34</v>
      </c>
      <c r="G69" s="22">
        <f t="shared" si="12"/>
        <v>-148</v>
      </c>
      <c r="H69" s="22">
        <f t="shared" si="12"/>
        <v>-51</v>
      </c>
      <c r="I69" s="22">
        <f t="shared" si="12"/>
        <v>-310</v>
      </c>
    </row>
    <row r="70" spans="1:9" x14ac:dyDescent="0.2">
      <c r="A70" s="20" t="s">
        <v>33</v>
      </c>
      <c r="B70" s="22">
        <f t="shared" si="10"/>
        <v>0</v>
      </c>
      <c r="C70" s="22">
        <f t="shared" si="12"/>
        <v>29</v>
      </c>
      <c r="D70" s="22">
        <f t="shared" si="12"/>
        <v>0</v>
      </c>
      <c r="E70" s="22">
        <f t="shared" si="12"/>
        <v>33</v>
      </c>
      <c r="F70" s="22">
        <f t="shared" si="12"/>
        <v>0</v>
      </c>
      <c r="G70" s="22">
        <f t="shared" si="12"/>
        <v>31</v>
      </c>
      <c r="H70" s="22">
        <f t="shared" si="12"/>
        <v>0</v>
      </c>
      <c r="I70" s="22">
        <f t="shared" si="12"/>
        <v>53</v>
      </c>
    </row>
    <row r="71" spans="1:9" x14ac:dyDescent="0.2">
      <c r="A71" s="21" t="s">
        <v>39</v>
      </c>
      <c r="B71" s="22">
        <f t="shared" si="10"/>
        <v>3</v>
      </c>
      <c r="C71" s="22">
        <f t="shared" si="12"/>
        <v>-85</v>
      </c>
      <c r="D71" s="22">
        <f t="shared" si="12"/>
        <v>-3</v>
      </c>
      <c r="E71" s="22">
        <f t="shared" si="12"/>
        <v>-114</v>
      </c>
      <c r="F71" s="22">
        <f t="shared" si="12"/>
        <v>-6</v>
      </c>
      <c r="G71" s="22">
        <f t="shared" si="12"/>
        <v>-93</v>
      </c>
      <c r="H71" s="22">
        <f t="shared" si="12"/>
        <v>0</v>
      </c>
      <c r="I71" s="22">
        <f t="shared" si="12"/>
        <v>-122</v>
      </c>
    </row>
    <row r="72" spans="1:9" x14ac:dyDescent="0.2">
      <c r="A72" s="21" t="s">
        <v>40</v>
      </c>
      <c r="B72" s="22">
        <f t="shared" si="10"/>
        <v>0</v>
      </c>
      <c r="C72" s="22">
        <f t="shared" si="12"/>
        <v>-5</v>
      </c>
      <c r="D72" s="22">
        <f t="shared" si="12"/>
        <v>-2</v>
      </c>
      <c r="E72" s="22">
        <f t="shared" si="12"/>
        <v>-15</v>
      </c>
      <c r="F72" s="22">
        <f t="shared" si="12"/>
        <v>-1</v>
      </c>
      <c r="G72" s="22">
        <f t="shared" si="12"/>
        <v>-8</v>
      </c>
      <c r="H72" s="22">
        <f t="shared" si="12"/>
        <v>0</v>
      </c>
      <c r="I72" s="22">
        <f t="shared" si="12"/>
        <v>-24</v>
      </c>
    </row>
    <row r="73" spans="1:9" x14ac:dyDescent="0.2">
      <c r="A73" s="21" t="s">
        <v>42</v>
      </c>
      <c r="B73" s="22">
        <f t="shared" si="10"/>
        <v>0</v>
      </c>
      <c r="C73" s="22">
        <f t="shared" si="12"/>
        <v>-2</v>
      </c>
      <c r="D73" s="22">
        <f t="shared" si="12"/>
        <v>1</v>
      </c>
      <c r="E73" s="22">
        <f t="shared" si="12"/>
        <v>-14</v>
      </c>
      <c r="F73" s="22">
        <f t="shared" si="12"/>
        <v>1</v>
      </c>
      <c r="G73" s="22">
        <f t="shared" si="12"/>
        <v>-24</v>
      </c>
      <c r="H73" s="22">
        <f t="shared" si="12"/>
        <v>0</v>
      </c>
      <c r="I73" s="22">
        <f t="shared" si="12"/>
        <v>-19</v>
      </c>
    </row>
    <row r="74" spans="1:9" x14ac:dyDescent="0.2">
      <c r="A74" s="21" t="s">
        <v>41</v>
      </c>
      <c r="B74" s="22">
        <f t="shared" si="10"/>
        <v>0</v>
      </c>
      <c r="C74" s="22">
        <f t="shared" si="12"/>
        <v>0</v>
      </c>
      <c r="D74" s="22">
        <f t="shared" si="12"/>
        <v>0</v>
      </c>
      <c r="E74" s="22">
        <f t="shared" si="12"/>
        <v>0</v>
      </c>
      <c r="F74" s="22">
        <f t="shared" si="12"/>
        <v>0</v>
      </c>
      <c r="G74" s="22">
        <f t="shared" si="12"/>
        <v>0</v>
      </c>
      <c r="H74" s="22">
        <f t="shared" si="12"/>
        <v>0</v>
      </c>
      <c r="I74" s="22">
        <f t="shared" si="12"/>
        <v>0</v>
      </c>
    </row>
    <row r="75" spans="1:9" x14ac:dyDescent="0.2">
      <c r="A75" s="20" t="s">
        <v>32</v>
      </c>
      <c r="B75" s="22">
        <f t="shared" si="10"/>
        <v>0</v>
      </c>
      <c r="C75" s="22">
        <f t="shared" si="12"/>
        <v>0</v>
      </c>
      <c r="D75" s="22">
        <f t="shared" si="12"/>
        <v>0</v>
      </c>
      <c r="E75" s="22">
        <f t="shared" si="12"/>
        <v>0</v>
      </c>
      <c r="F75" s="22">
        <f t="shared" si="12"/>
        <v>0</v>
      </c>
      <c r="G75" s="22">
        <f t="shared" si="12"/>
        <v>0</v>
      </c>
      <c r="H75" s="22">
        <f t="shared" si="12"/>
        <v>0</v>
      </c>
      <c r="I75" s="22">
        <f t="shared" si="12"/>
        <v>0</v>
      </c>
    </row>
    <row r="76" spans="1:9" x14ac:dyDescent="0.2">
      <c r="A76" s="21" t="s">
        <v>0</v>
      </c>
      <c r="B76" s="22">
        <f t="shared" si="10"/>
        <v>0</v>
      </c>
      <c r="C76" s="22">
        <f t="shared" si="12"/>
        <v>91</v>
      </c>
      <c r="D76" s="22">
        <f t="shared" si="12"/>
        <v>0</v>
      </c>
      <c r="E76" s="22">
        <f t="shared" si="12"/>
        <v>130</v>
      </c>
      <c r="F76" s="22">
        <f t="shared" si="12"/>
        <v>0</v>
      </c>
      <c r="G76" s="22">
        <f t="shared" si="12"/>
        <v>103</v>
      </c>
      <c r="H76" s="22">
        <f t="shared" si="12"/>
        <v>0</v>
      </c>
      <c r="I76" s="22">
        <f t="shared" si="12"/>
        <v>169</v>
      </c>
    </row>
    <row r="77" spans="1:9" x14ac:dyDescent="0.2">
      <c r="A77" s="21" t="s">
        <v>3</v>
      </c>
      <c r="B77" s="22">
        <f t="shared" si="10"/>
        <v>9</v>
      </c>
      <c r="C77" s="22">
        <f t="shared" si="12"/>
        <v>4</v>
      </c>
      <c r="D77" s="22">
        <f t="shared" si="12"/>
        <v>8</v>
      </c>
      <c r="E77" s="22">
        <f t="shared" si="12"/>
        <v>19</v>
      </c>
      <c r="F77" s="22">
        <f t="shared" si="12"/>
        <v>26</v>
      </c>
      <c r="G77" s="22">
        <f t="shared" si="12"/>
        <v>11</v>
      </c>
      <c r="H77" s="22">
        <f t="shared" si="12"/>
        <v>13</v>
      </c>
      <c r="I77" s="22">
        <f t="shared" si="12"/>
        <v>23</v>
      </c>
    </row>
    <row r="78" spans="1:9" x14ac:dyDescent="0.2">
      <c r="A78" s="21" t="s">
        <v>5</v>
      </c>
      <c r="B78" s="22">
        <f t="shared" si="10"/>
        <v>0</v>
      </c>
      <c r="C78" s="22">
        <f t="shared" si="12"/>
        <v>804</v>
      </c>
      <c r="D78" s="22">
        <f t="shared" si="12"/>
        <v>0</v>
      </c>
      <c r="E78" s="22">
        <f t="shared" si="12"/>
        <v>1222</v>
      </c>
      <c r="F78" s="22">
        <f t="shared" si="12"/>
        <v>1</v>
      </c>
      <c r="G78" s="22">
        <f t="shared" si="12"/>
        <v>898</v>
      </c>
      <c r="H78" s="22">
        <f t="shared" si="12"/>
        <v>8</v>
      </c>
      <c r="I78" s="22">
        <f t="shared" si="12"/>
        <v>1212</v>
      </c>
    </row>
    <row r="79" spans="1:9" x14ac:dyDescent="0.2">
      <c r="A79" s="21" t="s">
        <v>13</v>
      </c>
      <c r="B79" s="22">
        <f t="shared" ref="B79:I79" si="13">B48-B63</f>
        <v>2</v>
      </c>
      <c r="C79" s="22">
        <f t="shared" si="13"/>
        <v>0</v>
      </c>
      <c r="D79" s="22">
        <f t="shared" si="13"/>
        <v>2</v>
      </c>
      <c r="E79" s="22">
        <f t="shared" si="13"/>
        <v>0</v>
      </c>
      <c r="F79" s="22">
        <f t="shared" si="13"/>
        <v>10</v>
      </c>
      <c r="G79" s="22">
        <f t="shared" si="13"/>
        <v>4</v>
      </c>
      <c r="H79" s="22">
        <f t="shared" si="13"/>
        <v>4</v>
      </c>
      <c r="I79" s="22">
        <f t="shared" si="13"/>
        <v>9</v>
      </c>
    </row>
    <row r="80" spans="1:9" x14ac:dyDescent="0.2">
      <c r="A80" s="21" t="s">
        <v>4</v>
      </c>
      <c r="B80" s="22">
        <f t="shared" ref="B80:I80" si="14">B49-B64</f>
        <v>29</v>
      </c>
      <c r="C80" s="22">
        <f t="shared" si="14"/>
        <v>23</v>
      </c>
      <c r="D80" s="22">
        <f t="shared" si="14"/>
        <v>36</v>
      </c>
      <c r="E80" s="22">
        <f t="shared" si="14"/>
        <v>47</v>
      </c>
      <c r="F80" s="22">
        <f t="shared" si="14"/>
        <v>32</v>
      </c>
      <c r="G80" s="22">
        <f t="shared" si="14"/>
        <v>52</v>
      </c>
      <c r="H80" s="22">
        <f t="shared" si="14"/>
        <v>17</v>
      </c>
      <c r="I80" s="22">
        <f t="shared" si="14"/>
        <v>58</v>
      </c>
    </row>
  </sheetData>
  <mergeCells count="9">
    <mergeCell ref="B1:I1"/>
    <mergeCell ref="B2:C2"/>
    <mergeCell ref="D2:E2"/>
    <mergeCell ref="F2:G2"/>
    <mergeCell ref="H2:I2"/>
    <mergeCell ref="B34:C34"/>
    <mergeCell ref="D34:E34"/>
    <mergeCell ref="F34:G34"/>
    <mergeCell ref="H34:I3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71" t="s">
        <v>35</v>
      </c>
      <c r="H1" s="70"/>
      <c r="I1" s="70"/>
    </row>
    <row r="2" spans="1:38" x14ac:dyDescent="0.2">
      <c r="B2" s="297" t="s">
        <v>105</v>
      </c>
      <c r="C2" s="298"/>
      <c r="D2" s="297" t="s">
        <v>106</v>
      </c>
      <c r="E2" s="298"/>
      <c r="F2" s="297" t="s">
        <v>107</v>
      </c>
      <c r="G2" s="298"/>
      <c r="H2" s="297" t="s">
        <v>108</v>
      </c>
      <c r="I2" s="304"/>
      <c r="J2" s="72" t="s">
        <v>109</v>
      </c>
    </row>
    <row r="3" spans="1:38" x14ac:dyDescent="0.2">
      <c r="A3" s="73" t="s">
        <v>110</v>
      </c>
      <c r="B3" s="74" t="s">
        <v>63</v>
      </c>
      <c r="C3" s="74" t="s">
        <v>111</v>
      </c>
      <c r="D3" s="74" t="s">
        <v>63</v>
      </c>
      <c r="E3" s="74" t="s">
        <v>111</v>
      </c>
      <c r="F3" s="74" t="s">
        <v>63</v>
      </c>
      <c r="G3" s="74" t="s">
        <v>111</v>
      </c>
      <c r="H3" s="74" t="s">
        <v>63</v>
      </c>
      <c r="I3" s="74" t="s">
        <v>111</v>
      </c>
      <c r="J3" s="75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76"/>
      <c r="C5" s="76"/>
      <c r="D5" s="76"/>
      <c r="E5" s="76"/>
      <c r="F5" s="76"/>
      <c r="G5" s="76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8" x14ac:dyDescent="0.2">
      <c r="A6" s="6" t="s">
        <v>64</v>
      </c>
      <c r="B6" s="33">
        <v>8160</v>
      </c>
      <c r="C6" s="33">
        <v>867868927</v>
      </c>
      <c r="D6" s="33">
        <v>12264</v>
      </c>
      <c r="E6" s="33">
        <v>1430792953</v>
      </c>
      <c r="F6" s="33">
        <v>10083</v>
      </c>
      <c r="G6" s="33">
        <v>878002281</v>
      </c>
      <c r="H6" s="33">
        <v>13198</v>
      </c>
      <c r="I6" s="33">
        <v>1733178545</v>
      </c>
      <c r="J6" s="33" t="s">
        <v>81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8" x14ac:dyDescent="0.2">
      <c r="A7" s="6" t="s">
        <v>71</v>
      </c>
      <c r="B7" s="33">
        <v>657</v>
      </c>
      <c r="C7" s="33">
        <v>6392800</v>
      </c>
      <c r="D7" s="33">
        <v>1630</v>
      </c>
      <c r="E7" s="33">
        <v>15194425</v>
      </c>
      <c r="F7" s="33">
        <v>1725</v>
      </c>
      <c r="G7" s="33">
        <v>17506625</v>
      </c>
      <c r="H7" s="33">
        <v>1546</v>
      </c>
      <c r="I7" s="33">
        <v>14286440</v>
      </c>
      <c r="J7" s="33" t="s">
        <v>82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 x14ac:dyDescent="0.2">
      <c r="A8" s="5" t="s">
        <v>32</v>
      </c>
      <c r="B8" s="76"/>
      <c r="C8" s="76"/>
      <c r="D8" s="76"/>
      <c r="E8" s="76"/>
      <c r="F8" s="76"/>
      <c r="G8" s="33"/>
      <c r="H8" s="33"/>
      <c r="I8" s="33"/>
      <c r="J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 x14ac:dyDescent="0.2">
      <c r="A9" s="6" t="s">
        <v>5</v>
      </c>
      <c r="B9" s="33">
        <v>840</v>
      </c>
      <c r="C9" s="33">
        <v>20894000</v>
      </c>
      <c r="D9" s="33">
        <v>1580</v>
      </c>
      <c r="E9" s="33">
        <v>40911000</v>
      </c>
      <c r="F9" s="33">
        <v>1052</v>
      </c>
      <c r="G9" s="33">
        <v>25743000</v>
      </c>
      <c r="H9" s="33">
        <v>1552</v>
      </c>
      <c r="I9" s="33">
        <v>36444595</v>
      </c>
      <c r="J9" s="33" t="s">
        <v>99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x14ac:dyDescent="0.2">
      <c r="A10" s="6" t="s">
        <v>4</v>
      </c>
      <c r="B10" s="33">
        <v>25</v>
      </c>
      <c r="C10" s="33">
        <v>1054250</v>
      </c>
      <c r="D10" s="33">
        <v>32</v>
      </c>
      <c r="E10" s="33">
        <v>697000</v>
      </c>
      <c r="F10" s="33">
        <v>21</v>
      </c>
      <c r="G10" s="33">
        <v>677000</v>
      </c>
      <c r="H10" s="33">
        <v>12</v>
      </c>
      <c r="I10" s="33">
        <v>258000</v>
      </c>
      <c r="J10" s="33" t="s">
        <v>100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 x14ac:dyDescent="0.2">
      <c r="A11" s="6" t="s">
        <v>112</v>
      </c>
      <c r="B11" s="33">
        <v>4</v>
      </c>
      <c r="C11" s="33">
        <v>153000</v>
      </c>
      <c r="D11" s="33">
        <v>4</v>
      </c>
      <c r="E11" s="33">
        <v>177000</v>
      </c>
      <c r="F11" s="33">
        <v>11</v>
      </c>
      <c r="G11" s="33">
        <v>465000</v>
      </c>
      <c r="H11" s="33">
        <v>5</v>
      </c>
      <c r="I11" s="33">
        <v>225000</v>
      </c>
      <c r="J11" s="33" t="s">
        <v>100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 x14ac:dyDescent="0.2">
      <c r="A12" s="6" t="s">
        <v>3</v>
      </c>
      <c r="B12" s="33">
        <v>9</v>
      </c>
      <c r="C12" s="33">
        <v>2700</v>
      </c>
      <c r="D12" s="33">
        <v>8</v>
      </c>
      <c r="E12" s="33">
        <v>2400</v>
      </c>
      <c r="F12" s="33">
        <v>26</v>
      </c>
      <c r="G12" s="33">
        <v>8400</v>
      </c>
      <c r="H12" s="33">
        <v>13</v>
      </c>
      <c r="I12" s="33">
        <v>3900</v>
      </c>
      <c r="J12" s="33" t="s">
        <v>101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 x14ac:dyDescent="0.2">
      <c r="A13" s="6" t="s">
        <v>0</v>
      </c>
      <c r="B13" s="33">
        <v>0</v>
      </c>
      <c r="C13" s="33">
        <v>0</v>
      </c>
      <c r="D13" s="33">
        <v>0</v>
      </c>
      <c r="E13" s="33">
        <v>0</v>
      </c>
      <c r="F13">
        <v>0</v>
      </c>
      <c r="G13" s="33">
        <v>0</v>
      </c>
      <c r="H13" s="33">
        <v>0</v>
      </c>
      <c r="I13" s="33">
        <v>0</v>
      </c>
      <c r="J13" s="33" t="s">
        <v>102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 x14ac:dyDescent="0.2">
      <c r="A14" s="6" t="s">
        <v>13</v>
      </c>
      <c r="B14" s="33">
        <v>2</v>
      </c>
      <c r="C14" s="33">
        <v>5000</v>
      </c>
      <c r="D14" s="33">
        <v>2</v>
      </c>
      <c r="E14" s="33">
        <v>5000</v>
      </c>
      <c r="F14" s="33">
        <v>10</v>
      </c>
      <c r="G14" s="33">
        <v>25000</v>
      </c>
      <c r="H14" s="33">
        <v>4</v>
      </c>
      <c r="I14" s="33">
        <v>10000</v>
      </c>
      <c r="J14" s="33" t="s">
        <v>103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 x14ac:dyDescent="0.2">
      <c r="A15" s="5" t="s">
        <v>33</v>
      </c>
      <c r="B15" s="76"/>
      <c r="C15" s="76"/>
      <c r="D15" s="76"/>
      <c r="E15" s="76"/>
      <c r="F15" s="76"/>
      <c r="G15" s="33"/>
      <c r="H15" s="33"/>
      <c r="I15" s="33"/>
      <c r="J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x14ac:dyDescent="0.2">
      <c r="A16" s="6" t="s">
        <v>113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 t="s">
        <v>100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1:38" x14ac:dyDescent="0.2">
      <c r="A17" s="6" t="s">
        <v>41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 t="s">
        <v>100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1:38" x14ac:dyDescent="0.2">
      <c r="B18" s="33"/>
      <c r="C18" s="33"/>
      <c r="D18" s="33"/>
      <c r="E18" s="33"/>
      <c r="F18" s="33"/>
      <c r="G18" s="33"/>
      <c r="H18" s="33"/>
      <c r="I18" s="33"/>
      <c r="J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1:38" x14ac:dyDescent="0.2">
      <c r="B19" s="33"/>
      <c r="C19" s="33"/>
      <c r="D19" s="33"/>
      <c r="E19" s="33"/>
      <c r="F19" s="33"/>
      <c r="G19" s="33"/>
      <c r="H19" s="33"/>
      <c r="J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x14ac:dyDescent="0.2">
      <c r="A20" s="2" t="s">
        <v>114</v>
      </c>
      <c r="B20" s="76">
        <v>5</v>
      </c>
      <c r="C20" s="76"/>
      <c r="D20" s="76">
        <v>7</v>
      </c>
      <c r="E20" s="76"/>
      <c r="F20" s="76">
        <v>7</v>
      </c>
      <c r="G20" s="33"/>
      <c r="H20" s="76">
        <v>14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1:38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1:38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23.25" x14ac:dyDescent="0.35">
      <c r="A24" s="71" t="s">
        <v>30</v>
      </c>
    </row>
    <row r="25" spans="1:38" x14ac:dyDescent="0.2">
      <c r="B25" s="297" t="s">
        <v>105</v>
      </c>
      <c r="C25" s="298"/>
      <c r="D25" s="297" t="s">
        <v>106</v>
      </c>
      <c r="E25" s="298"/>
      <c r="F25" s="297" t="s">
        <v>107</v>
      </c>
      <c r="G25" s="298"/>
      <c r="H25" s="297" t="s">
        <v>108</v>
      </c>
      <c r="I25" s="298"/>
      <c r="J25" s="72" t="s">
        <v>109</v>
      </c>
    </row>
    <row r="26" spans="1:38" x14ac:dyDescent="0.2">
      <c r="A26" s="73" t="s">
        <v>110</v>
      </c>
      <c r="B26" s="74" t="s">
        <v>63</v>
      </c>
      <c r="C26" s="74" t="s">
        <v>111</v>
      </c>
      <c r="D26" s="74" t="s">
        <v>63</v>
      </c>
      <c r="E26" s="74" t="s">
        <v>111</v>
      </c>
      <c r="F26" s="74" t="s">
        <v>63</v>
      </c>
      <c r="G26" s="74" t="s">
        <v>111</v>
      </c>
      <c r="H26" s="74" t="s">
        <v>63</v>
      </c>
      <c r="I26" s="74" t="s">
        <v>111</v>
      </c>
      <c r="J26" s="75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38" x14ac:dyDescent="0.2">
      <c r="A29" s="6" t="s">
        <v>64</v>
      </c>
      <c r="B29" s="33">
        <v>1993</v>
      </c>
      <c r="C29" s="33">
        <v>890462662</v>
      </c>
      <c r="D29" s="33">
        <v>3200</v>
      </c>
      <c r="E29" s="33">
        <v>1770313517</v>
      </c>
      <c r="F29" s="33">
        <v>2671</v>
      </c>
      <c r="G29" s="33">
        <v>1064343180</v>
      </c>
      <c r="H29" s="33">
        <v>3425</v>
      </c>
      <c r="I29" s="33">
        <v>3219027521</v>
      </c>
      <c r="J29" s="33" t="s">
        <v>81</v>
      </c>
      <c r="K29" s="33"/>
      <c r="L29" s="33"/>
      <c r="M29" s="33"/>
      <c r="N29" s="33"/>
      <c r="O29" s="33"/>
      <c r="P29" s="33"/>
    </row>
    <row r="30" spans="1:38" x14ac:dyDescent="0.2">
      <c r="A30" s="6" t="s">
        <v>71</v>
      </c>
      <c r="B30" s="33">
        <v>1073</v>
      </c>
      <c r="C30" s="33">
        <v>9653441</v>
      </c>
      <c r="D30" s="33">
        <v>1806</v>
      </c>
      <c r="E30" s="33">
        <v>37468366</v>
      </c>
      <c r="F30" s="33">
        <v>2056</v>
      </c>
      <c r="G30" s="33">
        <v>30644030</v>
      </c>
      <c r="H30" s="33">
        <v>2149</v>
      </c>
      <c r="I30" s="33">
        <v>23302801</v>
      </c>
      <c r="J30" s="33" t="s">
        <v>82</v>
      </c>
      <c r="K30" s="33"/>
      <c r="L30" s="33"/>
      <c r="M30" s="33"/>
      <c r="N30" s="33"/>
      <c r="O30" s="33"/>
      <c r="P30" s="33"/>
    </row>
    <row r="31" spans="1:38" x14ac:dyDescent="0.2">
      <c r="A31" s="5" t="s">
        <v>32</v>
      </c>
      <c r="B31" s="33"/>
      <c r="C31" s="33"/>
      <c r="D31" s="76"/>
      <c r="E31" s="76"/>
      <c r="F31" s="76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38" x14ac:dyDescent="0.2">
      <c r="A32" s="6" t="s">
        <v>5</v>
      </c>
      <c r="B32" s="33">
        <v>995</v>
      </c>
      <c r="C32" s="33">
        <v>69536383</v>
      </c>
      <c r="D32" s="33">
        <v>1678</v>
      </c>
      <c r="E32" s="33">
        <v>131872348</v>
      </c>
      <c r="F32" s="33">
        <v>1147</v>
      </c>
      <c r="G32" s="33">
        <v>82109720</v>
      </c>
      <c r="H32" s="33">
        <v>1511</v>
      </c>
      <c r="I32" s="33">
        <v>114536993</v>
      </c>
      <c r="J32" s="33" t="s">
        <v>99</v>
      </c>
      <c r="K32" s="33"/>
      <c r="L32" s="33"/>
      <c r="M32" s="33"/>
      <c r="N32" s="33"/>
      <c r="O32" s="33"/>
      <c r="P32" s="33"/>
    </row>
    <row r="33" spans="1:16" x14ac:dyDescent="0.2">
      <c r="A33" s="6" t="s">
        <v>4</v>
      </c>
      <c r="B33" s="33">
        <v>8</v>
      </c>
      <c r="C33" s="33">
        <v>691091</v>
      </c>
      <c r="D33" s="33">
        <v>39</v>
      </c>
      <c r="E33" s="33">
        <v>2157306</v>
      </c>
      <c r="F33" s="33">
        <v>34</v>
      </c>
      <c r="G33" s="33">
        <v>2376119.09</v>
      </c>
      <c r="H33" s="33">
        <v>24</v>
      </c>
      <c r="I33" s="33">
        <v>1716010</v>
      </c>
      <c r="J33" s="33" t="s">
        <v>100</v>
      </c>
      <c r="K33" s="33"/>
      <c r="L33" s="33"/>
      <c r="M33" s="33"/>
      <c r="N33" s="33"/>
      <c r="O33" s="33"/>
      <c r="P33" s="33"/>
    </row>
    <row r="34" spans="1:16" x14ac:dyDescent="0.2">
      <c r="A34" s="6" t="s">
        <v>112</v>
      </c>
      <c r="B34" s="33">
        <v>15</v>
      </c>
      <c r="C34" s="33">
        <v>1089373</v>
      </c>
      <c r="D34" s="33">
        <v>8</v>
      </c>
      <c r="E34" s="33">
        <v>357627</v>
      </c>
      <c r="F34" s="33">
        <v>18</v>
      </c>
      <c r="G34" s="33">
        <v>1166000</v>
      </c>
      <c r="H34" s="33">
        <v>34</v>
      </c>
      <c r="I34" s="33">
        <v>1765000</v>
      </c>
      <c r="J34" s="33" t="s">
        <v>100</v>
      </c>
      <c r="K34" s="33"/>
      <c r="L34" s="33"/>
      <c r="M34" s="33"/>
      <c r="N34" s="33"/>
      <c r="O34" s="33"/>
      <c r="P34" s="33"/>
    </row>
    <row r="35" spans="1:16" x14ac:dyDescent="0.2">
      <c r="A35" s="6" t="s">
        <v>3</v>
      </c>
      <c r="B35" s="33">
        <v>4</v>
      </c>
      <c r="C35" s="33">
        <v>46550</v>
      </c>
      <c r="D35" s="33">
        <v>19</v>
      </c>
      <c r="E35" s="33">
        <v>42950</v>
      </c>
      <c r="F35" s="33">
        <v>11</v>
      </c>
      <c r="G35" s="33">
        <v>112500</v>
      </c>
      <c r="H35" s="33">
        <v>23</v>
      </c>
      <c r="I35" s="33">
        <v>111600</v>
      </c>
      <c r="J35" s="33" t="s">
        <v>101</v>
      </c>
      <c r="K35" s="33"/>
      <c r="L35" s="33"/>
      <c r="M35" s="33"/>
      <c r="N35" s="33"/>
      <c r="O35" s="33"/>
      <c r="P35" s="33"/>
    </row>
    <row r="36" spans="1:16" x14ac:dyDescent="0.2">
      <c r="A36" s="6" t="s">
        <v>0</v>
      </c>
      <c r="B36" s="33">
        <v>91</v>
      </c>
      <c r="C36" s="33">
        <v>6275000</v>
      </c>
      <c r="D36" s="33">
        <v>130</v>
      </c>
      <c r="E36" s="33">
        <v>6398750</v>
      </c>
      <c r="F36" s="33">
        <v>103</v>
      </c>
      <c r="G36" s="33">
        <v>3718000</v>
      </c>
      <c r="H36" s="33">
        <v>169</v>
      </c>
      <c r="I36" s="33">
        <v>6618000</v>
      </c>
      <c r="J36" s="33" t="s">
        <v>102</v>
      </c>
      <c r="K36" s="33"/>
      <c r="L36" s="33"/>
      <c r="M36" s="33"/>
      <c r="N36" s="33"/>
      <c r="O36" s="33"/>
      <c r="P36" s="33"/>
    </row>
    <row r="37" spans="1:16" x14ac:dyDescent="0.2">
      <c r="A37" s="6" t="s">
        <v>13</v>
      </c>
      <c r="B37" s="33">
        <v>0</v>
      </c>
      <c r="C37" s="33">
        <v>0</v>
      </c>
      <c r="D37" s="33">
        <v>0</v>
      </c>
      <c r="E37" s="33">
        <v>0</v>
      </c>
      <c r="F37" s="33">
        <v>4</v>
      </c>
      <c r="G37" s="33">
        <v>9100</v>
      </c>
      <c r="H37" s="33">
        <v>9</v>
      </c>
      <c r="I37" s="33">
        <v>97570</v>
      </c>
      <c r="J37" s="33" t="s">
        <v>103</v>
      </c>
      <c r="K37" s="33"/>
      <c r="L37" s="33"/>
      <c r="M37" s="33"/>
      <c r="N37" s="33"/>
      <c r="O37" s="33"/>
      <c r="P37" s="33"/>
    </row>
    <row r="38" spans="1:16" x14ac:dyDescent="0.2">
      <c r="A38" s="5" t="s">
        <v>33</v>
      </c>
      <c r="B38" s="33"/>
      <c r="C38" s="33"/>
      <c r="D38" s="76"/>
      <c r="E38" s="76"/>
      <c r="F38" s="76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x14ac:dyDescent="0.2">
      <c r="A39" s="6" t="s">
        <v>113</v>
      </c>
      <c r="B39" s="33">
        <v>29</v>
      </c>
      <c r="C39" s="33">
        <v>59379.953999999998</v>
      </c>
      <c r="D39" s="33">
        <v>33</v>
      </c>
      <c r="E39" s="33">
        <v>23310.969000000001</v>
      </c>
      <c r="F39" s="33">
        <v>31</v>
      </c>
      <c r="G39" s="33">
        <v>213378.00200000001</v>
      </c>
      <c r="H39" s="33">
        <v>53</v>
      </c>
      <c r="I39" s="33">
        <v>19114.954999999998</v>
      </c>
      <c r="J39" s="33" t="s">
        <v>100</v>
      </c>
      <c r="K39" s="33"/>
      <c r="L39" s="33"/>
      <c r="M39" s="33"/>
      <c r="N39" s="33"/>
      <c r="O39" s="33"/>
      <c r="P39" s="33"/>
    </row>
    <row r="40" spans="1:16" x14ac:dyDescent="0.2">
      <c r="A40" s="6" t="s">
        <v>41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 t="s">
        <v>100</v>
      </c>
      <c r="K40" s="33"/>
      <c r="L40" s="33"/>
      <c r="M40" s="33"/>
      <c r="N40" s="33"/>
      <c r="O40" s="33"/>
      <c r="P40" s="33"/>
    </row>
    <row r="41" spans="1:16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23.25" x14ac:dyDescent="0.35">
      <c r="A44" s="71" t="s">
        <v>115</v>
      </c>
    </row>
    <row r="45" spans="1:16" x14ac:dyDescent="0.2">
      <c r="B45" s="297" t="s">
        <v>105</v>
      </c>
      <c r="C45" s="298"/>
      <c r="D45" s="297" t="s">
        <v>106</v>
      </c>
      <c r="E45" s="298"/>
      <c r="F45" s="297" t="s">
        <v>107</v>
      </c>
      <c r="G45" s="298"/>
      <c r="H45" s="297" t="s">
        <v>108</v>
      </c>
      <c r="I45" s="298"/>
      <c r="J45" s="72" t="s">
        <v>109</v>
      </c>
    </row>
    <row r="46" spans="1:16" x14ac:dyDescent="0.2">
      <c r="A46" s="73" t="s">
        <v>110</v>
      </c>
      <c r="B46" s="74" t="s">
        <v>63</v>
      </c>
      <c r="C46" s="74" t="s">
        <v>111</v>
      </c>
      <c r="D46" s="74" t="s">
        <v>63</v>
      </c>
      <c r="E46" s="74" t="s">
        <v>111</v>
      </c>
      <c r="F46" s="74" t="s">
        <v>63</v>
      </c>
      <c r="G46" s="74" t="s">
        <v>111</v>
      </c>
      <c r="H46" s="74" t="s">
        <v>63</v>
      </c>
      <c r="I46" s="74" t="s">
        <v>111</v>
      </c>
      <c r="J46" s="75" t="s">
        <v>92</v>
      </c>
    </row>
    <row r="48" spans="1:16" x14ac:dyDescent="0.2">
      <c r="A48" s="5" t="s">
        <v>33</v>
      </c>
      <c r="B48" s="79"/>
      <c r="C48" s="79"/>
      <c r="D48" s="79"/>
      <c r="E48" s="79"/>
      <c r="F48" s="79"/>
      <c r="G48" s="79"/>
      <c r="H48" s="79"/>
      <c r="I48" s="79"/>
    </row>
    <row r="49" spans="1:10" x14ac:dyDescent="0.2">
      <c r="A49" s="6" t="s">
        <v>39</v>
      </c>
      <c r="B49" s="79">
        <v>4</v>
      </c>
      <c r="C49" s="79">
        <v>247000</v>
      </c>
      <c r="D49" s="79">
        <v>9</v>
      </c>
      <c r="E49" s="79">
        <v>492000</v>
      </c>
      <c r="F49" s="79">
        <v>4</v>
      </c>
      <c r="G49" s="79">
        <v>88000</v>
      </c>
      <c r="H49" s="79">
        <v>2</v>
      </c>
      <c r="I49" s="79">
        <v>220000</v>
      </c>
      <c r="J49" t="s">
        <v>116</v>
      </c>
    </row>
    <row r="50" spans="1:10" x14ac:dyDescent="0.2">
      <c r="A50" s="6" t="s">
        <v>40</v>
      </c>
      <c r="B50" s="79">
        <v>0</v>
      </c>
      <c r="C50" s="79">
        <v>0</v>
      </c>
      <c r="D50" s="79">
        <v>0</v>
      </c>
      <c r="E50" s="79">
        <v>0</v>
      </c>
      <c r="F50" s="79">
        <v>0</v>
      </c>
      <c r="G50" s="79">
        <v>0</v>
      </c>
      <c r="H50" s="79">
        <v>0</v>
      </c>
      <c r="I50" s="79">
        <v>0</v>
      </c>
    </row>
    <row r="51" spans="1:10" x14ac:dyDescent="0.2">
      <c r="A51" s="6" t="s">
        <v>42</v>
      </c>
      <c r="B51" s="79">
        <v>4</v>
      </c>
      <c r="C51" s="79">
        <v>910</v>
      </c>
      <c r="D51" s="79">
        <v>4</v>
      </c>
      <c r="E51" s="79">
        <v>12450</v>
      </c>
      <c r="F51" s="79">
        <v>1</v>
      </c>
      <c r="G51" s="79">
        <v>20</v>
      </c>
      <c r="H51" s="79">
        <v>0</v>
      </c>
      <c r="I51" s="79">
        <v>0</v>
      </c>
      <c r="J51" t="s">
        <v>117</v>
      </c>
    </row>
    <row r="53" spans="1:10" x14ac:dyDescent="0.2">
      <c r="A53" s="2" t="s">
        <v>118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119</v>
      </c>
      <c r="C55" s="80">
        <f>C49*0.0022374</f>
        <v>552.63779999999997</v>
      </c>
      <c r="E55" s="80">
        <f>E49*0.0022374</f>
        <v>1100.8008</v>
      </c>
      <c r="G55" s="80">
        <f>G49*0.0022374</f>
        <v>196.8912</v>
      </c>
      <c r="I55" s="80">
        <f>I49*0.0022374</f>
        <v>492.22800000000001</v>
      </c>
    </row>
    <row r="58" spans="1:10" s="2" customFormat="1" x14ac:dyDescent="0.2">
      <c r="A58" s="5" t="s">
        <v>120</v>
      </c>
      <c r="C58" s="81">
        <f>C55+C51+C40+C39+C17+C16</f>
        <v>60842.591799999995</v>
      </c>
      <c r="E58" s="81">
        <f>E55+E51+E40+E39+E17+E16</f>
        <v>36861.769800000002</v>
      </c>
      <c r="G58" s="81">
        <f>G55+G51+G40+G39+G17+G16</f>
        <v>213594.89320000002</v>
      </c>
      <c r="I58" s="81">
        <f>I55+I51+I40+I39+I17+I16</f>
        <v>19607.182999999997</v>
      </c>
    </row>
    <row r="61" spans="1:10" ht="23.25" x14ac:dyDescent="0.35">
      <c r="A61" s="71" t="s">
        <v>35</v>
      </c>
      <c r="H61" s="70"/>
      <c r="I61" s="70"/>
    </row>
    <row r="62" spans="1:10" x14ac:dyDescent="0.2">
      <c r="B62" s="297" t="s">
        <v>105</v>
      </c>
      <c r="C62" s="298"/>
      <c r="D62" s="297" t="s">
        <v>106</v>
      </c>
      <c r="E62" s="298"/>
      <c r="F62" s="297" t="s">
        <v>107</v>
      </c>
      <c r="G62" s="298"/>
      <c r="H62" s="297" t="s">
        <v>108</v>
      </c>
      <c r="I62" s="304"/>
      <c r="J62" s="72" t="s">
        <v>109</v>
      </c>
    </row>
    <row r="63" spans="1:10" x14ac:dyDescent="0.2">
      <c r="A63" s="73" t="s">
        <v>110</v>
      </c>
      <c r="B63" s="74" t="s">
        <v>63</v>
      </c>
      <c r="C63" s="74" t="s">
        <v>111</v>
      </c>
      <c r="D63" s="74" t="s">
        <v>63</v>
      </c>
      <c r="E63" s="74" t="s">
        <v>111</v>
      </c>
      <c r="F63" s="74" t="s">
        <v>63</v>
      </c>
      <c r="G63" s="74" t="s">
        <v>111</v>
      </c>
      <c r="H63" s="74" t="s">
        <v>63</v>
      </c>
      <c r="I63" s="74" t="s">
        <v>111</v>
      </c>
      <c r="J63" s="75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76"/>
      <c r="C65" s="76"/>
      <c r="D65" s="76"/>
      <c r="E65" s="76"/>
      <c r="F65" s="76"/>
      <c r="G65" s="76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</row>
    <row r="66" spans="1:38" x14ac:dyDescent="0.2">
      <c r="A66" s="6" t="s">
        <v>64</v>
      </c>
      <c r="B66" s="33">
        <f t="shared" ref="B66:B75" si="0">B6+B29</f>
        <v>10153</v>
      </c>
      <c r="C66" s="33">
        <f t="shared" ref="C66:I66" si="1">C6+C29</f>
        <v>1758331589</v>
      </c>
      <c r="D66" s="33">
        <f t="shared" si="1"/>
        <v>15464</v>
      </c>
      <c r="E66" s="33">
        <f t="shared" si="1"/>
        <v>3201106470</v>
      </c>
      <c r="F66" s="33">
        <f t="shared" si="1"/>
        <v>12754</v>
      </c>
      <c r="G66" s="33">
        <f t="shared" si="1"/>
        <v>1942345461</v>
      </c>
      <c r="H66" s="33">
        <f t="shared" si="1"/>
        <v>16623</v>
      </c>
      <c r="I66" s="33">
        <f t="shared" si="1"/>
        <v>4952206066</v>
      </c>
      <c r="J66" s="33" t="s">
        <v>81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</row>
    <row r="67" spans="1:38" x14ac:dyDescent="0.2">
      <c r="A67" s="6" t="s">
        <v>71</v>
      </c>
      <c r="B67" s="33">
        <f t="shared" si="0"/>
        <v>1730</v>
      </c>
      <c r="C67" s="33">
        <f t="shared" ref="C67:I75" si="2">C7+C30</f>
        <v>16046241</v>
      </c>
      <c r="D67" s="33">
        <f t="shared" si="2"/>
        <v>3436</v>
      </c>
      <c r="E67" s="33">
        <f t="shared" si="2"/>
        <v>52662791</v>
      </c>
      <c r="F67" s="33">
        <f t="shared" si="2"/>
        <v>3781</v>
      </c>
      <c r="G67" s="33">
        <f t="shared" si="2"/>
        <v>48150655</v>
      </c>
      <c r="H67" s="33">
        <f t="shared" si="2"/>
        <v>3695</v>
      </c>
      <c r="I67" s="33">
        <f t="shared" si="2"/>
        <v>37589241</v>
      </c>
      <c r="J67" s="33" t="s">
        <v>82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</row>
    <row r="68" spans="1:38" x14ac:dyDescent="0.2">
      <c r="A68" s="5" t="s">
        <v>32</v>
      </c>
      <c r="B68" s="33">
        <f t="shared" si="0"/>
        <v>0</v>
      </c>
      <c r="C68" s="33">
        <f t="shared" si="2"/>
        <v>0</v>
      </c>
      <c r="D68" s="33">
        <f t="shared" si="2"/>
        <v>0</v>
      </c>
      <c r="E68" s="33">
        <f t="shared" si="2"/>
        <v>0</v>
      </c>
      <c r="F68" s="33">
        <f t="shared" si="2"/>
        <v>0</v>
      </c>
      <c r="G68" s="33">
        <f t="shared" si="2"/>
        <v>0</v>
      </c>
      <c r="H68" s="33">
        <f t="shared" si="2"/>
        <v>0</v>
      </c>
      <c r="I68" s="33">
        <f t="shared" si="2"/>
        <v>0</v>
      </c>
      <c r="J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</row>
    <row r="69" spans="1:38" x14ac:dyDescent="0.2">
      <c r="A69" s="6" t="s">
        <v>5</v>
      </c>
      <c r="B69" s="33">
        <f t="shared" si="0"/>
        <v>1835</v>
      </c>
      <c r="C69" s="33">
        <f t="shared" si="2"/>
        <v>90430383</v>
      </c>
      <c r="D69" s="33">
        <f t="shared" si="2"/>
        <v>3258</v>
      </c>
      <c r="E69" s="33">
        <f t="shared" si="2"/>
        <v>172783348</v>
      </c>
      <c r="F69" s="33">
        <f t="shared" si="2"/>
        <v>2199</v>
      </c>
      <c r="G69" s="33">
        <f t="shared" si="2"/>
        <v>107852720</v>
      </c>
      <c r="H69" s="33">
        <f t="shared" si="2"/>
        <v>3063</v>
      </c>
      <c r="I69" s="33">
        <f t="shared" si="2"/>
        <v>150981588</v>
      </c>
      <c r="J69" s="33" t="s">
        <v>99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</row>
    <row r="70" spans="1:38" x14ac:dyDescent="0.2">
      <c r="A70" s="6" t="s">
        <v>4</v>
      </c>
      <c r="B70" s="33">
        <f t="shared" si="0"/>
        <v>33</v>
      </c>
      <c r="C70" s="33">
        <f t="shared" si="2"/>
        <v>1745341</v>
      </c>
      <c r="D70" s="33">
        <f t="shared" si="2"/>
        <v>71</v>
      </c>
      <c r="E70" s="33">
        <f t="shared" si="2"/>
        <v>2854306</v>
      </c>
      <c r="F70" s="33">
        <f t="shared" si="2"/>
        <v>55</v>
      </c>
      <c r="G70" s="33">
        <f t="shared" si="2"/>
        <v>3053119.09</v>
      </c>
      <c r="H70" s="33">
        <f t="shared" si="2"/>
        <v>36</v>
      </c>
      <c r="I70" s="33">
        <f t="shared" si="2"/>
        <v>1974010</v>
      </c>
      <c r="J70" s="33" t="s">
        <v>100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</row>
    <row r="71" spans="1:38" x14ac:dyDescent="0.2">
      <c r="A71" s="6" t="s">
        <v>112</v>
      </c>
      <c r="B71" s="33">
        <f t="shared" si="0"/>
        <v>19</v>
      </c>
      <c r="C71" s="33">
        <f t="shared" si="2"/>
        <v>1242373</v>
      </c>
      <c r="D71" s="33">
        <f t="shared" si="2"/>
        <v>12</v>
      </c>
      <c r="E71" s="33">
        <f t="shared" si="2"/>
        <v>534627</v>
      </c>
      <c r="F71" s="33">
        <f t="shared" si="2"/>
        <v>29</v>
      </c>
      <c r="G71" s="33">
        <f t="shared" si="2"/>
        <v>1631000</v>
      </c>
      <c r="H71" s="33">
        <f t="shared" si="2"/>
        <v>39</v>
      </c>
      <c r="I71" s="33">
        <f t="shared" si="2"/>
        <v>1990000</v>
      </c>
      <c r="J71" s="33" t="s">
        <v>100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</row>
    <row r="72" spans="1:38" x14ac:dyDescent="0.2">
      <c r="A72" s="6" t="s">
        <v>3</v>
      </c>
      <c r="B72" s="33">
        <f t="shared" si="0"/>
        <v>13</v>
      </c>
      <c r="C72" s="33">
        <f t="shared" si="2"/>
        <v>49250</v>
      </c>
      <c r="D72" s="33">
        <f t="shared" si="2"/>
        <v>27</v>
      </c>
      <c r="E72" s="33">
        <f t="shared" si="2"/>
        <v>45350</v>
      </c>
      <c r="F72" s="33">
        <f t="shared" si="2"/>
        <v>37</v>
      </c>
      <c r="G72" s="33">
        <f t="shared" si="2"/>
        <v>120900</v>
      </c>
      <c r="H72" s="33">
        <f t="shared" si="2"/>
        <v>36</v>
      </c>
      <c r="I72" s="33">
        <f t="shared" si="2"/>
        <v>115500</v>
      </c>
      <c r="J72" s="33" t="s">
        <v>101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</row>
    <row r="73" spans="1:38" x14ac:dyDescent="0.2">
      <c r="A73" s="6" t="s">
        <v>0</v>
      </c>
      <c r="B73" s="33">
        <f t="shared" si="0"/>
        <v>91</v>
      </c>
      <c r="C73" s="33">
        <f t="shared" si="2"/>
        <v>6275000</v>
      </c>
      <c r="D73" s="33">
        <f t="shared" si="2"/>
        <v>130</v>
      </c>
      <c r="E73" s="33">
        <f t="shared" si="2"/>
        <v>6398750</v>
      </c>
      <c r="F73" s="33">
        <f t="shared" si="2"/>
        <v>103</v>
      </c>
      <c r="G73" s="33">
        <f t="shared" si="2"/>
        <v>3718000</v>
      </c>
      <c r="H73" s="33">
        <f t="shared" si="2"/>
        <v>169</v>
      </c>
      <c r="I73" s="33">
        <f t="shared" si="2"/>
        <v>6618000</v>
      </c>
      <c r="J73" s="33" t="s">
        <v>102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</row>
    <row r="74" spans="1:38" x14ac:dyDescent="0.2">
      <c r="A74" s="6" t="s">
        <v>13</v>
      </c>
      <c r="B74" s="33">
        <f t="shared" si="0"/>
        <v>2</v>
      </c>
      <c r="C74" s="33">
        <f t="shared" si="2"/>
        <v>5000</v>
      </c>
      <c r="D74" s="33">
        <f t="shared" si="2"/>
        <v>2</v>
      </c>
      <c r="E74" s="33">
        <f t="shared" si="2"/>
        <v>5000</v>
      </c>
      <c r="F74" s="33">
        <f t="shared" si="2"/>
        <v>14</v>
      </c>
      <c r="G74" s="33">
        <f t="shared" si="2"/>
        <v>34100</v>
      </c>
      <c r="H74" s="33">
        <f t="shared" si="2"/>
        <v>13</v>
      </c>
      <c r="I74" s="33">
        <f t="shared" si="2"/>
        <v>107570</v>
      </c>
      <c r="J74" s="33" t="s">
        <v>103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</row>
    <row r="75" spans="1:38" x14ac:dyDescent="0.2">
      <c r="A75" s="5" t="s">
        <v>33</v>
      </c>
      <c r="B75" s="33">
        <f t="shared" si="0"/>
        <v>0</v>
      </c>
      <c r="C75" s="33">
        <f t="shared" si="2"/>
        <v>0</v>
      </c>
      <c r="D75" s="33">
        <f t="shared" si="2"/>
        <v>0</v>
      </c>
      <c r="E75" s="33">
        <f t="shared" si="2"/>
        <v>0</v>
      </c>
      <c r="F75" s="33">
        <f t="shared" si="2"/>
        <v>0</v>
      </c>
      <c r="G75" s="33">
        <f t="shared" si="2"/>
        <v>0</v>
      </c>
      <c r="H75" s="33">
        <f t="shared" si="2"/>
        <v>0</v>
      </c>
      <c r="I75" s="33">
        <f t="shared" si="2"/>
        <v>0</v>
      </c>
      <c r="J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</row>
    <row r="76" spans="1:38" x14ac:dyDescent="0.2">
      <c r="A76" s="6" t="s">
        <v>113</v>
      </c>
      <c r="B76" s="33">
        <f t="shared" ref="B76:I76" si="3">B16+B39</f>
        <v>29</v>
      </c>
      <c r="C76" s="33">
        <f t="shared" si="3"/>
        <v>59379.953999999998</v>
      </c>
      <c r="D76" s="33">
        <f t="shared" si="3"/>
        <v>33</v>
      </c>
      <c r="E76" s="33">
        <f t="shared" si="3"/>
        <v>23310.969000000001</v>
      </c>
      <c r="F76" s="33">
        <f t="shared" si="3"/>
        <v>31</v>
      </c>
      <c r="G76" s="33">
        <f t="shared" si="3"/>
        <v>213378.00200000001</v>
      </c>
      <c r="H76" s="33">
        <f t="shared" si="3"/>
        <v>53</v>
      </c>
      <c r="I76" s="33">
        <f t="shared" si="3"/>
        <v>19114.954999999998</v>
      </c>
      <c r="J76" s="33" t="s">
        <v>100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</row>
    <row r="77" spans="1:38" x14ac:dyDescent="0.2">
      <c r="A77" s="6" t="s">
        <v>41</v>
      </c>
      <c r="B77" s="33">
        <f t="shared" ref="B77:I77" si="4">B17+B40</f>
        <v>0</v>
      </c>
      <c r="C77" s="33">
        <f t="shared" si="4"/>
        <v>0</v>
      </c>
      <c r="D77" s="33">
        <f t="shared" si="4"/>
        <v>0</v>
      </c>
      <c r="E77" s="33">
        <f t="shared" si="4"/>
        <v>0</v>
      </c>
      <c r="F77" s="33">
        <f t="shared" si="4"/>
        <v>0</v>
      </c>
      <c r="G77" s="33">
        <f t="shared" si="4"/>
        <v>0</v>
      </c>
      <c r="H77" s="33">
        <f t="shared" si="4"/>
        <v>0</v>
      </c>
      <c r="I77" s="33">
        <f t="shared" si="4"/>
        <v>0</v>
      </c>
      <c r="J77" s="33" t="s">
        <v>100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</row>
    <row r="78" spans="1:38" x14ac:dyDescent="0.2">
      <c r="B78" s="33"/>
      <c r="C78" s="33"/>
      <c r="D78" s="33"/>
      <c r="E78" s="33"/>
      <c r="F78" s="33"/>
      <c r="G78" s="33"/>
      <c r="H78" s="33"/>
      <c r="I78" s="33"/>
      <c r="J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</row>
  </sheetData>
  <mergeCells count="16">
    <mergeCell ref="B45:C45"/>
    <mergeCell ref="D45:E45"/>
    <mergeCell ref="F45:G45"/>
    <mergeCell ref="H45:I45"/>
    <mergeCell ref="B62:C62"/>
    <mergeCell ref="D62:E62"/>
    <mergeCell ref="F62:G62"/>
    <mergeCell ref="H62:I62"/>
    <mergeCell ref="B2:C2"/>
    <mergeCell ref="D2:E2"/>
    <mergeCell ref="F2:G2"/>
    <mergeCell ref="H2:I2"/>
    <mergeCell ref="B25:C25"/>
    <mergeCell ref="D25:E25"/>
    <mergeCell ref="F25:G25"/>
    <mergeCell ref="H25:I2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55"/>
  <sheetViews>
    <sheetView workbookViewId="0">
      <selection activeCell="W29" sqref="W29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Y16"/>
  <sheetViews>
    <sheetView workbookViewId="0">
      <pane xSplit="1" ySplit="3" topLeftCell="AM4" activePane="bottomRight" state="frozen"/>
      <selection activeCell="AA61" sqref="AA61"/>
      <selection pane="topRight" activeCell="AA61" sqref="AA61"/>
      <selection pane="bottomLeft" activeCell="AA61" sqref="AA61"/>
      <selection pane="bottomRight" activeCell="AA61" sqref="AA61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51" ht="13.5" thickBot="1" x14ac:dyDescent="0.25">
      <c r="A1" s="283" t="s">
        <v>43</v>
      </c>
      <c r="B1" s="278" t="s">
        <v>48</v>
      </c>
      <c r="C1" s="279"/>
      <c r="D1" s="279"/>
      <c r="E1" s="279"/>
      <c r="F1" s="279"/>
      <c r="G1" s="279"/>
      <c r="H1" s="279"/>
      <c r="I1" s="280"/>
      <c r="J1" s="278" t="s">
        <v>126</v>
      </c>
      <c r="K1" s="279"/>
      <c r="L1" s="279"/>
      <c r="M1" s="279"/>
      <c r="N1" s="279"/>
      <c r="O1" s="279"/>
      <c r="P1" s="279"/>
      <c r="Q1" s="280"/>
      <c r="R1" s="146"/>
      <c r="S1" s="147"/>
      <c r="T1" s="278" t="s">
        <v>145</v>
      </c>
      <c r="U1" s="279"/>
      <c r="V1" s="279"/>
      <c r="W1" s="279"/>
      <c r="X1" s="279"/>
      <c r="Y1" s="279"/>
      <c r="Z1" s="279"/>
      <c r="AA1" s="280"/>
      <c r="AB1" s="278" t="s">
        <v>185</v>
      </c>
      <c r="AC1" s="279"/>
      <c r="AD1" s="279"/>
      <c r="AE1" s="279"/>
      <c r="AF1" s="279"/>
      <c r="AG1" s="279"/>
      <c r="AH1" s="279"/>
      <c r="AI1" s="280"/>
      <c r="AJ1" s="278" t="s">
        <v>195</v>
      </c>
      <c r="AK1" s="279"/>
      <c r="AL1" s="279"/>
      <c r="AM1" s="279"/>
      <c r="AN1" s="279"/>
      <c r="AO1" s="279"/>
      <c r="AP1" s="279"/>
      <c r="AQ1" s="279"/>
      <c r="AR1" s="279"/>
      <c r="AS1" s="279"/>
      <c r="AT1" s="247"/>
      <c r="AU1" s="248"/>
    </row>
    <row r="2" spans="1:51" x14ac:dyDescent="0.2">
      <c r="A2" s="284"/>
      <c r="B2" s="286" t="s">
        <v>127</v>
      </c>
      <c r="C2" s="282"/>
      <c r="D2" s="282" t="s">
        <v>128</v>
      </c>
      <c r="E2" s="282"/>
      <c r="F2" s="282" t="s">
        <v>129</v>
      </c>
      <c r="G2" s="282"/>
      <c r="H2" s="282" t="s">
        <v>130</v>
      </c>
      <c r="I2" s="287"/>
      <c r="J2" s="281" t="s">
        <v>131</v>
      </c>
      <c r="K2" s="282"/>
      <c r="L2" s="282" t="s">
        <v>132</v>
      </c>
      <c r="M2" s="282"/>
      <c r="N2" s="282" t="s">
        <v>133</v>
      </c>
      <c r="O2" s="282"/>
      <c r="P2" s="282" t="s">
        <v>142</v>
      </c>
      <c r="Q2" s="282"/>
      <c r="R2" s="282" t="s">
        <v>146</v>
      </c>
      <c r="S2" s="287"/>
      <c r="T2" s="286" t="s">
        <v>147</v>
      </c>
      <c r="U2" s="282"/>
      <c r="V2" s="282" t="s">
        <v>148</v>
      </c>
      <c r="W2" s="282"/>
      <c r="X2" s="282" t="s">
        <v>149</v>
      </c>
      <c r="Y2" s="282"/>
      <c r="Z2" s="282" t="s">
        <v>146</v>
      </c>
      <c r="AA2" s="287"/>
      <c r="AB2" s="286" t="s">
        <v>127</v>
      </c>
      <c r="AC2" s="282"/>
      <c r="AD2" s="282" t="s">
        <v>128</v>
      </c>
      <c r="AE2" s="282"/>
      <c r="AF2" s="282" t="s">
        <v>129</v>
      </c>
      <c r="AG2" s="282"/>
      <c r="AH2" s="282" t="s">
        <v>130</v>
      </c>
      <c r="AI2" s="287"/>
      <c r="AJ2" s="286" t="s">
        <v>196</v>
      </c>
      <c r="AK2" s="282"/>
      <c r="AL2" s="282" t="s">
        <v>197</v>
      </c>
      <c r="AM2" s="282"/>
      <c r="AN2" s="282" t="s">
        <v>133</v>
      </c>
      <c r="AO2" s="282"/>
      <c r="AP2" s="282" t="s">
        <v>198</v>
      </c>
      <c r="AQ2" s="287"/>
      <c r="AR2" s="282" t="s">
        <v>199</v>
      </c>
      <c r="AS2" s="288"/>
      <c r="AT2" s="276" t="s">
        <v>230</v>
      </c>
      <c r="AU2" s="277"/>
    </row>
    <row r="3" spans="1:51" ht="13.5" thickBot="1" x14ac:dyDescent="0.25">
      <c r="A3" s="285"/>
      <c r="B3" s="86" t="s">
        <v>35</v>
      </c>
      <c r="C3" s="87" t="s">
        <v>30</v>
      </c>
      <c r="D3" s="87" t="s">
        <v>35</v>
      </c>
      <c r="E3" s="87" t="s">
        <v>30</v>
      </c>
      <c r="F3" s="87" t="s">
        <v>35</v>
      </c>
      <c r="G3" s="87" t="s">
        <v>30</v>
      </c>
      <c r="H3" s="87" t="s">
        <v>35</v>
      </c>
      <c r="I3" s="88" t="s">
        <v>30</v>
      </c>
      <c r="J3" s="89" t="s">
        <v>35</v>
      </c>
      <c r="K3" s="87" t="s">
        <v>30</v>
      </c>
      <c r="L3" s="87" t="s">
        <v>35</v>
      </c>
      <c r="M3" s="87" t="s">
        <v>30</v>
      </c>
      <c r="N3" s="87" t="s">
        <v>35</v>
      </c>
      <c r="O3" s="87" t="s">
        <v>30</v>
      </c>
      <c r="P3" s="87" t="s">
        <v>35</v>
      </c>
      <c r="Q3" s="87" t="s">
        <v>30</v>
      </c>
      <c r="R3" s="87" t="s">
        <v>35</v>
      </c>
      <c r="S3" s="88" t="s">
        <v>30</v>
      </c>
      <c r="T3" s="86" t="s">
        <v>35</v>
      </c>
      <c r="U3" s="87" t="s">
        <v>30</v>
      </c>
      <c r="V3" s="87" t="s">
        <v>35</v>
      </c>
      <c r="W3" s="87" t="s">
        <v>30</v>
      </c>
      <c r="X3" s="87" t="s">
        <v>35</v>
      </c>
      <c r="Y3" s="87" t="s">
        <v>30</v>
      </c>
      <c r="Z3" s="87" t="s">
        <v>35</v>
      </c>
      <c r="AA3" s="88" t="s">
        <v>30</v>
      </c>
      <c r="AB3" s="86" t="s">
        <v>35</v>
      </c>
      <c r="AC3" s="87" t="s">
        <v>30</v>
      </c>
      <c r="AD3" s="87" t="s">
        <v>35</v>
      </c>
      <c r="AE3" s="87" t="s">
        <v>30</v>
      </c>
      <c r="AF3" s="87" t="s">
        <v>35</v>
      </c>
      <c r="AG3" s="87" t="s">
        <v>30</v>
      </c>
      <c r="AH3" s="87" t="s">
        <v>35</v>
      </c>
      <c r="AI3" s="88" t="s">
        <v>30</v>
      </c>
      <c r="AJ3" s="86" t="s">
        <v>35</v>
      </c>
      <c r="AK3" s="87" t="s">
        <v>30</v>
      </c>
      <c r="AL3" s="87" t="s">
        <v>35</v>
      </c>
      <c r="AM3" s="87" t="s">
        <v>30</v>
      </c>
      <c r="AN3" s="87" t="s">
        <v>35</v>
      </c>
      <c r="AO3" s="87" t="s">
        <v>30</v>
      </c>
      <c r="AP3" s="87" t="s">
        <v>35</v>
      </c>
      <c r="AQ3" s="88" t="s">
        <v>30</v>
      </c>
      <c r="AR3" s="87" t="s">
        <v>35</v>
      </c>
      <c r="AS3" s="202" t="s">
        <v>30</v>
      </c>
      <c r="AT3" s="227" t="s">
        <v>35</v>
      </c>
      <c r="AU3" s="228" t="s">
        <v>30</v>
      </c>
    </row>
    <row r="4" spans="1:51" ht="13.5" thickBot="1" x14ac:dyDescent="0.25">
      <c r="A4" s="90" t="s">
        <v>2</v>
      </c>
      <c r="B4" s="91"/>
      <c r="C4" s="91"/>
      <c r="D4" s="91"/>
      <c r="E4" s="91"/>
      <c r="F4" s="91"/>
      <c r="G4" s="91"/>
      <c r="H4" s="91"/>
      <c r="I4" s="92"/>
      <c r="J4" s="91"/>
      <c r="K4" s="91"/>
      <c r="L4" s="91"/>
      <c r="M4" s="91"/>
      <c r="N4" s="91"/>
      <c r="O4" s="91"/>
      <c r="P4" s="91"/>
      <c r="Q4" s="91"/>
      <c r="R4" s="91"/>
      <c r="S4" s="92"/>
      <c r="T4" s="149"/>
      <c r="U4" s="91"/>
      <c r="V4" s="91"/>
      <c r="W4" s="91"/>
      <c r="X4" s="91"/>
      <c r="Y4" s="91"/>
      <c r="Z4" s="91"/>
      <c r="AA4" s="92"/>
      <c r="AB4" s="149"/>
      <c r="AC4" s="91"/>
      <c r="AD4" s="91"/>
      <c r="AE4" s="91"/>
      <c r="AF4" s="91"/>
      <c r="AG4" s="91"/>
      <c r="AH4" s="91"/>
      <c r="AI4" s="92"/>
      <c r="AJ4" s="149"/>
      <c r="AK4" s="91"/>
      <c r="AL4" s="91"/>
      <c r="AM4" s="91"/>
      <c r="AN4" s="91"/>
      <c r="AO4" s="91"/>
      <c r="AP4" s="91"/>
      <c r="AQ4" s="91"/>
      <c r="AR4" s="91"/>
      <c r="AS4" s="91"/>
      <c r="AT4" s="229"/>
      <c r="AU4" s="230"/>
    </row>
    <row r="5" spans="1:51" ht="13.5" thickBot="1" x14ac:dyDescent="0.25">
      <c r="A5" s="105" t="s">
        <v>33</v>
      </c>
      <c r="B5" s="106"/>
      <c r="C5" s="106"/>
      <c r="D5" s="106"/>
      <c r="E5" s="106"/>
      <c r="F5" s="106"/>
      <c r="G5" s="106"/>
      <c r="H5" s="106"/>
      <c r="I5" s="107"/>
      <c r="J5" s="106"/>
      <c r="K5" s="106"/>
      <c r="L5" s="106"/>
      <c r="M5" s="106"/>
      <c r="N5" s="106"/>
      <c r="O5" s="106"/>
      <c r="P5" s="106"/>
      <c r="Q5" s="106"/>
      <c r="R5" s="106"/>
      <c r="S5" s="107"/>
      <c r="T5" s="153"/>
      <c r="U5" s="106"/>
      <c r="V5" s="106"/>
      <c r="W5" s="106"/>
      <c r="X5" s="106"/>
      <c r="Y5" s="106"/>
      <c r="Z5" s="106"/>
      <c r="AA5" s="107"/>
      <c r="AB5" s="153"/>
      <c r="AC5" s="106"/>
      <c r="AD5" s="106"/>
      <c r="AE5" s="106"/>
      <c r="AF5" s="106"/>
      <c r="AG5" s="106"/>
      <c r="AH5" s="106"/>
      <c r="AI5" s="107"/>
      <c r="AJ5" s="153"/>
      <c r="AK5" s="106"/>
      <c r="AL5" s="106"/>
      <c r="AM5" s="106"/>
      <c r="AN5" s="106"/>
      <c r="AO5" s="106"/>
      <c r="AP5" s="106"/>
      <c r="AQ5" s="106"/>
      <c r="AR5" s="106"/>
      <c r="AS5" s="106"/>
      <c r="AT5" s="231"/>
      <c r="AU5" s="232"/>
    </row>
    <row r="6" spans="1:51" x14ac:dyDescent="0.2">
      <c r="A6" s="93" t="s">
        <v>39</v>
      </c>
      <c r="B6" s="94">
        <v>0</v>
      </c>
      <c r="C6" s="94">
        <v>23</v>
      </c>
      <c r="D6" s="94">
        <v>0</v>
      </c>
      <c r="E6" s="94">
        <v>7</v>
      </c>
      <c r="F6" s="94">
        <v>0</v>
      </c>
      <c r="G6" s="94">
        <v>10</v>
      </c>
      <c r="H6" s="94">
        <v>0</v>
      </c>
      <c r="I6" s="95">
        <v>19</v>
      </c>
      <c r="J6" s="96">
        <v>0</v>
      </c>
      <c r="K6" s="94">
        <v>19</v>
      </c>
      <c r="L6" s="94">
        <v>0</v>
      </c>
      <c r="M6" s="94">
        <v>24</v>
      </c>
      <c r="N6" s="94">
        <v>0</v>
      </c>
      <c r="O6" s="94">
        <v>8</v>
      </c>
      <c r="P6" s="94">
        <v>0</v>
      </c>
      <c r="Q6" s="94">
        <v>9</v>
      </c>
      <c r="R6" s="96">
        <v>0</v>
      </c>
      <c r="S6" s="95">
        <v>14</v>
      </c>
      <c r="T6" s="150">
        <v>0</v>
      </c>
      <c r="U6" s="94">
        <v>22</v>
      </c>
      <c r="V6" s="94">
        <v>0</v>
      </c>
      <c r="W6" s="94">
        <v>28</v>
      </c>
      <c r="X6" s="94">
        <v>0</v>
      </c>
      <c r="Y6" s="94">
        <v>27</v>
      </c>
      <c r="Z6" s="94">
        <v>0</v>
      </c>
      <c r="AA6" s="95">
        <v>13</v>
      </c>
      <c r="AB6" s="150">
        <v>0</v>
      </c>
      <c r="AC6" s="94">
        <v>23</v>
      </c>
      <c r="AD6" s="94">
        <v>0</v>
      </c>
      <c r="AE6" s="94">
        <v>8</v>
      </c>
      <c r="AF6" s="94">
        <v>0</v>
      </c>
      <c r="AG6" s="94">
        <v>6</v>
      </c>
      <c r="AH6" s="94">
        <v>0</v>
      </c>
      <c r="AI6" s="95">
        <v>49</v>
      </c>
      <c r="AJ6" s="150">
        <v>0</v>
      </c>
      <c r="AK6" s="94">
        <v>8</v>
      </c>
      <c r="AL6" s="94">
        <v>2</v>
      </c>
      <c r="AM6" s="94">
        <v>4</v>
      </c>
      <c r="AN6" s="94">
        <v>0</v>
      </c>
      <c r="AO6" s="94">
        <v>18</v>
      </c>
      <c r="AP6" s="94">
        <v>0</v>
      </c>
      <c r="AQ6" s="94">
        <v>1</v>
      </c>
      <c r="AR6" s="94">
        <v>0</v>
      </c>
      <c r="AS6" s="203">
        <v>10</v>
      </c>
      <c r="AT6" s="233">
        <v>0</v>
      </c>
      <c r="AU6" s="234">
        <v>23</v>
      </c>
      <c r="AY6" t="s">
        <v>200</v>
      </c>
    </row>
    <row r="7" spans="1:51" x14ac:dyDescent="0.2">
      <c r="A7" s="97" t="s">
        <v>40</v>
      </c>
      <c r="B7" s="98">
        <v>0</v>
      </c>
      <c r="C7" s="98">
        <v>2</v>
      </c>
      <c r="D7" s="98">
        <v>2</v>
      </c>
      <c r="E7" s="98">
        <v>0</v>
      </c>
      <c r="F7" s="98">
        <v>0</v>
      </c>
      <c r="G7" s="98">
        <v>2</v>
      </c>
      <c r="H7" s="98">
        <v>0</v>
      </c>
      <c r="I7" s="99">
        <v>2</v>
      </c>
      <c r="J7" s="100">
        <v>0</v>
      </c>
      <c r="K7" s="98">
        <v>0</v>
      </c>
      <c r="L7" s="98">
        <v>0</v>
      </c>
      <c r="M7" s="98">
        <v>10</v>
      </c>
      <c r="N7" s="98">
        <v>0</v>
      </c>
      <c r="O7" s="98">
        <v>12</v>
      </c>
      <c r="P7" s="98">
        <v>0</v>
      </c>
      <c r="Q7" s="98">
        <v>0</v>
      </c>
      <c r="R7" s="100">
        <v>0</v>
      </c>
      <c r="S7" s="99">
        <v>0</v>
      </c>
      <c r="T7" s="151">
        <v>0</v>
      </c>
      <c r="U7" s="98">
        <v>0</v>
      </c>
      <c r="V7" s="98">
        <v>0</v>
      </c>
      <c r="W7" s="98">
        <v>1</v>
      </c>
      <c r="X7" s="98">
        <v>0</v>
      </c>
      <c r="Y7" s="98">
        <v>0</v>
      </c>
      <c r="Z7" s="98">
        <v>5</v>
      </c>
      <c r="AA7" s="99">
        <v>0</v>
      </c>
      <c r="AB7" s="151">
        <v>0</v>
      </c>
      <c r="AC7" s="98">
        <v>1</v>
      </c>
      <c r="AD7" s="98">
        <v>0</v>
      </c>
      <c r="AE7" s="98">
        <v>0</v>
      </c>
      <c r="AF7" s="98">
        <v>0</v>
      </c>
      <c r="AG7" s="98">
        <v>1</v>
      </c>
      <c r="AH7" s="98">
        <v>0</v>
      </c>
      <c r="AI7" s="99">
        <v>0</v>
      </c>
      <c r="AJ7" s="151">
        <v>1</v>
      </c>
      <c r="AK7" s="98">
        <v>0</v>
      </c>
      <c r="AL7" s="98">
        <v>0</v>
      </c>
      <c r="AM7" s="98">
        <v>0</v>
      </c>
      <c r="AN7" s="98">
        <v>0</v>
      </c>
      <c r="AO7" s="98">
        <v>0</v>
      </c>
      <c r="AP7" s="98">
        <v>0</v>
      </c>
      <c r="AQ7" s="98">
        <v>0</v>
      </c>
      <c r="AR7" s="98">
        <v>0</v>
      </c>
      <c r="AS7" s="198">
        <v>0</v>
      </c>
      <c r="AT7" s="235">
        <v>0</v>
      </c>
      <c r="AU7" s="236">
        <v>0</v>
      </c>
    </row>
    <row r="8" spans="1:51" x14ac:dyDescent="0.2">
      <c r="A8" s="97" t="s">
        <v>42</v>
      </c>
      <c r="B8" s="98">
        <v>0</v>
      </c>
      <c r="C8" s="98">
        <v>1</v>
      </c>
      <c r="D8" s="98">
        <v>0</v>
      </c>
      <c r="E8" s="98">
        <v>4</v>
      </c>
      <c r="F8" s="98">
        <v>0</v>
      </c>
      <c r="G8" s="98">
        <v>12</v>
      </c>
      <c r="H8" s="98">
        <v>0</v>
      </c>
      <c r="I8" s="99">
        <v>10</v>
      </c>
      <c r="J8" s="100">
        <v>0</v>
      </c>
      <c r="K8" s="98">
        <v>4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2</v>
      </c>
      <c r="R8" s="100">
        <v>0</v>
      </c>
      <c r="S8" s="99">
        <v>11</v>
      </c>
      <c r="T8" s="151">
        <v>0</v>
      </c>
      <c r="U8" s="98">
        <v>17</v>
      </c>
      <c r="V8" s="98">
        <v>0</v>
      </c>
      <c r="W8" s="98">
        <v>7</v>
      </c>
      <c r="X8" s="98">
        <v>0</v>
      </c>
      <c r="Y8" s="98">
        <v>3</v>
      </c>
      <c r="Z8" s="98">
        <v>2</v>
      </c>
      <c r="AA8" s="99">
        <v>1</v>
      </c>
      <c r="AB8" s="151">
        <v>0</v>
      </c>
      <c r="AC8" s="98">
        <v>3</v>
      </c>
      <c r="AD8" s="98">
        <v>0</v>
      </c>
      <c r="AE8" s="98">
        <v>0</v>
      </c>
      <c r="AF8" s="98">
        <v>0</v>
      </c>
      <c r="AG8" s="98">
        <v>0</v>
      </c>
      <c r="AH8" s="98">
        <v>0</v>
      </c>
      <c r="AI8" s="99">
        <v>10</v>
      </c>
      <c r="AJ8" s="151">
        <v>0</v>
      </c>
      <c r="AK8" s="98">
        <v>9</v>
      </c>
      <c r="AL8" s="98">
        <v>0</v>
      </c>
      <c r="AM8" s="98">
        <v>1</v>
      </c>
      <c r="AN8" s="98">
        <v>0</v>
      </c>
      <c r="AO8" s="98">
        <v>6</v>
      </c>
      <c r="AP8" s="98">
        <v>0</v>
      </c>
      <c r="AQ8" s="98">
        <v>4</v>
      </c>
      <c r="AR8" s="98">
        <v>0</v>
      </c>
      <c r="AS8" s="198">
        <v>7</v>
      </c>
      <c r="AT8" s="235">
        <v>0</v>
      </c>
      <c r="AU8" s="236">
        <v>8</v>
      </c>
    </row>
    <row r="9" spans="1:51" ht="13.5" thickBot="1" x14ac:dyDescent="0.25">
      <c r="A9" s="101" t="s">
        <v>41</v>
      </c>
      <c r="B9" s="102">
        <v>0</v>
      </c>
      <c r="C9" s="102">
        <v>0</v>
      </c>
      <c r="D9" s="102">
        <v>0</v>
      </c>
      <c r="E9" s="102">
        <v>0</v>
      </c>
      <c r="F9" s="102">
        <v>0</v>
      </c>
      <c r="G9" s="102">
        <v>0</v>
      </c>
      <c r="H9" s="102">
        <v>0</v>
      </c>
      <c r="I9" s="103">
        <v>0</v>
      </c>
      <c r="J9" s="104">
        <v>0</v>
      </c>
      <c r="K9" s="102">
        <v>1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0</v>
      </c>
      <c r="R9" s="104">
        <v>0</v>
      </c>
      <c r="S9" s="103">
        <v>0</v>
      </c>
      <c r="T9" s="152">
        <v>0</v>
      </c>
      <c r="U9" s="102">
        <v>0</v>
      </c>
      <c r="V9" s="102">
        <v>0</v>
      </c>
      <c r="W9" s="102">
        <v>0</v>
      </c>
      <c r="X9" s="102">
        <v>0</v>
      </c>
      <c r="Y9" s="102">
        <v>0</v>
      </c>
      <c r="Z9" s="102">
        <v>0</v>
      </c>
      <c r="AA9" s="103">
        <v>0</v>
      </c>
      <c r="AB9" s="152">
        <v>0</v>
      </c>
      <c r="AC9" s="102">
        <v>0</v>
      </c>
      <c r="AD9" s="102">
        <v>0</v>
      </c>
      <c r="AE9" s="102">
        <v>0</v>
      </c>
      <c r="AF9" s="102">
        <v>0</v>
      </c>
      <c r="AG9" s="102">
        <v>0</v>
      </c>
      <c r="AH9" s="102">
        <v>3</v>
      </c>
      <c r="AI9" s="103">
        <v>0</v>
      </c>
      <c r="AJ9" s="152">
        <v>0</v>
      </c>
      <c r="AK9" s="102">
        <v>0</v>
      </c>
      <c r="AL9" s="102">
        <v>0</v>
      </c>
      <c r="AM9" s="102">
        <v>0</v>
      </c>
      <c r="AN9" s="102">
        <v>0</v>
      </c>
      <c r="AO9" s="102">
        <v>0</v>
      </c>
      <c r="AP9" s="102">
        <v>0</v>
      </c>
      <c r="AQ9" s="102">
        <v>0</v>
      </c>
      <c r="AR9" s="102">
        <v>0</v>
      </c>
      <c r="AS9" s="199">
        <v>0</v>
      </c>
      <c r="AT9" s="237">
        <v>1</v>
      </c>
      <c r="AU9" s="238">
        <v>0</v>
      </c>
    </row>
    <row r="10" spans="1:51" ht="13.5" thickBot="1" x14ac:dyDescent="0.25">
      <c r="A10" s="90" t="s">
        <v>7</v>
      </c>
      <c r="B10" s="111"/>
      <c r="C10" s="111"/>
      <c r="D10" s="111"/>
      <c r="E10" s="111"/>
      <c r="F10" s="111"/>
      <c r="G10" s="111"/>
      <c r="H10" s="111"/>
      <c r="I10" s="112"/>
      <c r="J10" s="111"/>
      <c r="K10" s="111"/>
      <c r="L10" s="111"/>
      <c r="M10" s="111"/>
      <c r="N10" s="111"/>
      <c r="O10" s="111"/>
      <c r="P10" s="111"/>
      <c r="Q10" s="111"/>
      <c r="R10" s="111"/>
      <c r="S10" s="112"/>
      <c r="T10" s="155"/>
      <c r="U10" s="111"/>
      <c r="V10" s="111"/>
      <c r="W10" s="111"/>
      <c r="X10" s="111"/>
      <c r="Y10" s="111"/>
      <c r="Z10" s="111"/>
      <c r="AA10" s="112"/>
      <c r="AB10" s="155"/>
      <c r="AC10" s="111"/>
      <c r="AD10" s="111"/>
      <c r="AE10" s="111"/>
      <c r="AF10" s="111"/>
      <c r="AG10" s="111"/>
      <c r="AH10" s="111"/>
      <c r="AI10" s="112"/>
      <c r="AJ10" s="155"/>
      <c r="AK10" s="111"/>
      <c r="AL10" s="111"/>
      <c r="AM10" s="111"/>
      <c r="AN10" s="111"/>
      <c r="AO10" s="111"/>
      <c r="AP10" s="111"/>
      <c r="AQ10" s="111"/>
      <c r="AR10" s="111"/>
      <c r="AS10" s="111"/>
      <c r="AT10" s="239"/>
      <c r="AU10" s="240"/>
    </row>
    <row r="11" spans="1:51" ht="13.5" thickBot="1" x14ac:dyDescent="0.25">
      <c r="A11" s="90"/>
      <c r="B11" s="111"/>
      <c r="C11" s="111"/>
      <c r="D11" s="111"/>
      <c r="E11" s="111"/>
      <c r="F11" s="111"/>
      <c r="G11" s="111"/>
      <c r="H11" s="111"/>
      <c r="I11" s="112"/>
      <c r="J11" s="111"/>
      <c r="K11" s="111"/>
      <c r="L11" s="111"/>
      <c r="M11" s="111"/>
      <c r="N11" s="111"/>
      <c r="O11" s="111"/>
      <c r="P11" s="111"/>
      <c r="Q11" s="111"/>
      <c r="R11" s="111"/>
      <c r="S11" s="112"/>
      <c r="T11" s="155"/>
      <c r="U11" s="111"/>
      <c r="V11" s="111"/>
      <c r="W11" s="111"/>
      <c r="X11" s="111"/>
      <c r="Y11" s="111"/>
      <c r="Z11" s="111"/>
      <c r="AA11" s="112"/>
      <c r="AB11" s="155"/>
      <c r="AC11" s="111"/>
      <c r="AD11" s="111"/>
      <c r="AE11" s="111"/>
      <c r="AF11" s="111"/>
      <c r="AG11" s="111"/>
      <c r="AH11" s="109"/>
      <c r="AI11" s="110"/>
      <c r="AJ11" s="154"/>
      <c r="AK11" s="109"/>
      <c r="AL11" s="109"/>
      <c r="AM11" s="109"/>
      <c r="AN11" s="109"/>
      <c r="AO11" s="109"/>
      <c r="AP11" s="109"/>
      <c r="AQ11" s="109"/>
      <c r="AR11" s="111"/>
      <c r="AS11" s="111"/>
      <c r="AT11" s="241"/>
      <c r="AU11" s="242"/>
    </row>
    <row r="12" spans="1:51" ht="13.5" thickBot="1" x14ac:dyDescent="0.25">
      <c r="A12" s="108" t="s">
        <v>33</v>
      </c>
      <c r="B12" s="109"/>
      <c r="C12" s="109"/>
      <c r="D12" s="109"/>
      <c r="E12" s="109"/>
      <c r="F12" s="109"/>
      <c r="G12" s="109"/>
      <c r="H12" s="109"/>
      <c r="I12" s="110"/>
      <c r="J12" s="109"/>
      <c r="K12" s="109"/>
      <c r="L12" s="109"/>
      <c r="M12" s="109"/>
      <c r="N12" s="109"/>
      <c r="O12" s="109"/>
      <c r="P12" s="109"/>
      <c r="Q12" s="109"/>
      <c r="R12" s="109"/>
      <c r="S12" s="110"/>
      <c r="T12" s="154"/>
      <c r="U12" s="109"/>
      <c r="V12" s="109"/>
      <c r="W12" s="109"/>
      <c r="X12" s="109"/>
      <c r="Y12" s="109"/>
      <c r="Z12" s="109"/>
      <c r="AA12" s="110"/>
      <c r="AB12" s="154"/>
      <c r="AC12" s="109"/>
      <c r="AD12" s="109"/>
      <c r="AE12" s="109"/>
      <c r="AF12" s="109"/>
      <c r="AG12" s="109"/>
      <c r="AH12" s="109"/>
      <c r="AI12" s="110"/>
      <c r="AJ12" s="154"/>
      <c r="AK12" s="109"/>
      <c r="AL12" s="109"/>
      <c r="AM12" s="109"/>
      <c r="AN12" s="109"/>
      <c r="AO12" s="109"/>
      <c r="AP12" s="109"/>
      <c r="AQ12" s="109"/>
      <c r="AR12" s="109"/>
      <c r="AS12" s="109"/>
      <c r="AT12" s="243"/>
      <c r="AU12" s="244"/>
    </row>
    <row r="13" spans="1:51" x14ac:dyDescent="0.2">
      <c r="A13" s="113" t="s">
        <v>39</v>
      </c>
      <c r="B13" s="114">
        <v>1</v>
      </c>
      <c r="C13" s="114">
        <v>62</v>
      </c>
      <c r="D13" s="114">
        <v>12</v>
      </c>
      <c r="E13" s="114">
        <v>107</v>
      </c>
      <c r="F13" s="114">
        <v>10</v>
      </c>
      <c r="G13" s="114">
        <v>83</v>
      </c>
      <c r="H13" s="114">
        <v>2</v>
      </c>
      <c r="I13" s="115">
        <v>103</v>
      </c>
      <c r="J13" s="116">
        <v>5</v>
      </c>
      <c r="K13" s="114">
        <v>62</v>
      </c>
      <c r="L13" s="114">
        <v>7</v>
      </c>
      <c r="M13" s="114">
        <v>38</v>
      </c>
      <c r="N13" s="114">
        <v>4</v>
      </c>
      <c r="O13" s="114">
        <v>26</v>
      </c>
      <c r="P13" s="114">
        <v>2</v>
      </c>
      <c r="Q13" s="114">
        <v>30</v>
      </c>
      <c r="R13" s="116">
        <v>5</v>
      </c>
      <c r="S13" s="115">
        <v>50</v>
      </c>
      <c r="T13" s="156">
        <v>7</v>
      </c>
      <c r="U13" s="114">
        <v>55</v>
      </c>
      <c r="V13" s="114">
        <v>7</v>
      </c>
      <c r="W13" s="114">
        <v>45</v>
      </c>
      <c r="X13" s="114">
        <v>5</v>
      </c>
      <c r="Y13" s="114">
        <v>62</v>
      </c>
      <c r="Z13" s="114">
        <v>9</v>
      </c>
      <c r="AA13" s="115">
        <v>101</v>
      </c>
      <c r="AB13" s="156">
        <v>3</v>
      </c>
      <c r="AC13" s="114">
        <v>119</v>
      </c>
      <c r="AD13" s="114">
        <v>3</v>
      </c>
      <c r="AE13" s="114">
        <v>101</v>
      </c>
      <c r="AF13" s="114">
        <v>1</v>
      </c>
      <c r="AG13" s="114">
        <v>107</v>
      </c>
      <c r="AH13" s="114">
        <v>4</v>
      </c>
      <c r="AI13" s="115">
        <v>119</v>
      </c>
      <c r="AJ13" s="156">
        <v>4</v>
      </c>
      <c r="AK13" s="114">
        <v>119</v>
      </c>
      <c r="AL13" s="114">
        <v>6</v>
      </c>
      <c r="AM13" s="114">
        <v>90</v>
      </c>
      <c r="AN13" s="114">
        <v>6</v>
      </c>
      <c r="AO13" s="114">
        <v>97</v>
      </c>
      <c r="AP13" s="114">
        <v>5</v>
      </c>
      <c r="AQ13" s="114">
        <v>61</v>
      </c>
      <c r="AR13" s="114">
        <v>1</v>
      </c>
      <c r="AS13" s="200">
        <v>79</v>
      </c>
      <c r="AT13" s="245">
        <v>4</v>
      </c>
      <c r="AU13" s="246">
        <v>50</v>
      </c>
    </row>
    <row r="14" spans="1:51" x14ac:dyDescent="0.2">
      <c r="A14" s="97" t="s">
        <v>40</v>
      </c>
      <c r="B14" s="98">
        <v>0</v>
      </c>
      <c r="C14" s="98">
        <v>3</v>
      </c>
      <c r="D14" s="98">
        <v>0</v>
      </c>
      <c r="E14" s="98">
        <v>15</v>
      </c>
      <c r="F14" s="98">
        <v>1</v>
      </c>
      <c r="G14" s="98">
        <v>6</v>
      </c>
      <c r="H14" s="98">
        <v>0</v>
      </c>
      <c r="I14" s="99">
        <v>22</v>
      </c>
      <c r="J14" s="100">
        <v>0</v>
      </c>
      <c r="K14" s="98">
        <v>4</v>
      </c>
      <c r="L14" s="98">
        <v>0</v>
      </c>
      <c r="M14" s="98">
        <v>2</v>
      </c>
      <c r="N14" s="98">
        <v>0</v>
      </c>
      <c r="O14" s="98">
        <v>18</v>
      </c>
      <c r="P14" s="98">
        <v>0</v>
      </c>
      <c r="Q14" s="98">
        <v>17</v>
      </c>
      <c r="R14" s="100">
        <v>0</v>
      </c>
      <c r="S14" s="99">
        <v>18</v>
      </c>
      <c r="T14" s="151">
        <v>0</v>
      </c>
      <c r="U14" s="98">
        <v>20</v>
      </c>
      <c r="V14" s="98">
        <v>2</v>
      </c>
      <c r="W14" s="98">
        <v>43</v>
      </c>
      <c r="X14" s="98">
        <v>1</v>
      </c>
      <c r="Y14" s="98">
        <v>24</v>
      </c>
      <c r="Z14" s="98">
        <v>5</v>
      </c>
      <c r="AA14" s="99">
        <v>9</v>
      </c>
      <c r="AB14" s="151">
        <v>1</v>
      </c>
      <c r="AC14" s="98">
        <v>23</v>
      </c>
      <c r="AD14" s="98">
        <v>5</v>
      </c>
      <c r="AE14" s="98">
        <v>37</v>
      </c>
      <c r="AF14" s="98">
        <v>3</v>
      </c>
      <c r="AG14" s="98">
        <v>36</v>
      </c>
      <c r="AH14" s="98">
        <v>1</v>
      </c>
      <c r="AI14" s="99">
        <v>23</v>
      </c>
      <c r="AJ14" s="151">
        <v>0</v>
      </c>
      <c r="AK14" s="98">
        <v>17</v>
      </c>
      <c r="AL14" s="98">
        <v>3</v>
      </c>
      <c r="AM14" s="98">
        <v>25</v>
      </c>
      <c r="AN14" s="98">
        <v>1</v>
      </c>
      <c r="AO14" s="98">
        <v>52</v>
      </c>
      <c r="AP14" s="98">
        <v>0</v>
      </c>
      <c r="AQ14" s="98">
        <v>81</v>
      </c>
      <c r="AR14" s="98">
        <v>1</v>
      </c>
      <c r="AS14" s="198">
        <v>18</v>
      </c>
      <c r="AT14" s="235">
        <v>1</v>
      </c>
      <c r="AU14" s="236">
        <v>36</v>
      </c>
    </row>
    <row r="15" spans="1:51" x14ac:dyDescent="0.2">
      <c r="A15" s="97" t="s">
        <v>42</v>
      </c>
      <c r="B15" s="98">
        <v>4</v>
      </c>
      <c r="C15" s="98">
        <v>1</v>
      </c>
      <c r="D15" s="98">
        <v>3</v>
      </c>
      <c r="E15" s="98">
        <v>10</v>
      </c>
      <c r="F15" s="98">
        <v>0</v>
      </c>
      <c r="G15" s="98">
        <v>12</v>
      </c>
      <c r="H15" s="98">
        <v>0</v>
      </c>
      <c r="I15" s="99">
        <v>9</v>
      </c>
      <c r="J15" s="100">
        <v>2</v>
      </c>
      <c r="K15" s="98">
        <v>23</v>
      </c>
      <c r="L15" s="98">
        <v>4</v>
      </c>
      <c r="M15" s="98">
        <v>13</v>
      </c>
      <c r="N15" s="98">
        <v>3</v>
      </c>
      <c r="O15" s="98">
        <v>12</v>
      </c>
      <c r="P15" s="98">
        <v>3</v>
      </c>
      <c r="Q15" s="98">
        <v>18</v>
      </c>
      <c r="R15" s="100">
        <v>5</v>
      </c>
      <c r="S15" s="99">
        <v>41</v>
      </c>
      <c r="T15" s="151">
        <v>4</v>
      </c>
      <c r="U15" s="98">
        <v>11</v>
      </c>
      <c r="V15" s="98">
        <v>9</v>
      </c>
      <c r="W15" s="98">
        <v>10</v>
      </c>
      <c r="X15" s="98">
        <v>2</v>
      </c>
      <c r="Y15" s="98">
        <v>35</v>
      </c>
      <c r="Z15" s="98">
        <v>0</v>
      </c>
      <c r="AA15" s="99">
        <v>29</v>
      </c>
      <c r="AB15" s="151">
        <v>3</v>
      </c>
      <c r="AC15" s="98">
        <v>24</v>
      </c>
      <c r="AD15" s="98">
        <v>2</v>
      </c>
      <c r="AE15" s="98">
        <v>28</v>
      </c>
      <c r="AF15" s="98">
        <v>2</v>
      </c>
      <c r="AG15" s="98">
        <v>17</v>
      </c>
      <c r="AH15" s="98">
        <v>2</v>
      </c>
      <c r="AI15" s="99">
        <v>5</v>
      </c>
      <c r="AJ15" s="151">
        <v>0</v>
      </c>
      <c r="AK15" s="98">
        <v>17</v>
      </c>
      <c r="AL15" s="98">
        <v>3</v>
      </c>
      <c r="AM15" s="98">
        <v>32</v>
      </c>
      <c r="AN15" s="98">
        <v>4</v>
      </c>
      <c r="AO15" s="98">
        <v>13</v>
      </c>
      <c r="AP15" s="98">
        <v>2</v>
      </c>
      <c r="AQ15" s="98">
        <v>13</v>
      </c>
      <c r="AR15" s="98">
        <v>1</v>
      </c>
      <c r="AS15" s="198">
        <v>12</v>
      </c>
      <c r="AT15" s="235">
        <v>0</v>
      </c>
      <c r="AU15" s="236">
        <v>33</v>
      </c>
    </row>
    <row r="16" spans="1:51" ht="13.5" thickBot="1" x14ac:dyDescent="0.25">
      <c r="A16" s="101" t="s">
        <v>41</v>
      </c>
      <c r="B16" s="102">
        <v>0</v>
      </c>
      <c r="C16" s="102">
        <v>0</v>
      </c>
      <c r="D16" s="102">
        <v>0</v>
      </c>
      <c r="E16" s="102">
        <v>0</v>
      </c>
      <c r="F16" s="102">
        <v>0</v>
      </c>
      <c r="G16" s="102">
        <v>0</v>
      </c>
      <c r="H16" s="102">
        <v>0</v>
      </c>
      <c r="I16" s="103">
        <v>0</v>
      </c>
      <c r="J16" s="104">
        <v>0</v>
      </c>
      <c r="K16" s="102">
        <v>0</v>
      </c>
      <c r="L16" s="102">
        <v>0</v>
      </c>
      <c r="M16" s="102">
        <v>1</v>
      </c>
      <c r="N16" s="102">
        <v>0</v>
      </c>
      <c r="O16" s="102">
        <v>2</v>
      </c>
      <c r="P16" s="102">
        <v>0</v>
      </c>
      <c r="Q16" s="102">
        <v>0</v>
      </c>
      <c r="R16" s="104">
        <v>0</v>
      </c>
      <c r="S16" s="103">
        <v>1</v>
      </c>
      <c r="T16" s="152">
        <v>0</v>
      </c>
      <c r="U16" s="102">
        <v>0</v>
      </c>
      <c r="V16" s="102">
        <v>0</v>
      </c>
      <c r="W16" s="102">
        <v>0</v>
      </c>
      <c r="X16" s="102">
        <v>0</v>
      </c>
      <c r="Y16" s="102">
        <v>2</v>
      </c>
      <c r="Z16" s="102">
        <v>0</v>
      </c>
      <c r="AA16" s="103">
        <v>7</v>
      </c>
      <c r="AB16" s="152">
        <v>0</v>
      </c>
      <c r="AC16" s="102">
        <v>1</v>
      </c>
      <c r="AD16" s="102">
        <v>5</v>
      </c>
      <c r="AE16" s="102">
        <v>0</v>
      </c>
      <c r="AF16" s="102">
        <v>0</v>
      </c>
      <c r="AG16" s="102">
        <v>4</v>
      </c>
      <c r="AH16" s="102">
        <v>0</v>
      </c>
      <c r="AI16" s="103">
        <v>8</v>
      </c>
      <c r="AJ16" s="152">
        <v>0</v>
      </c>
      <c r="AK16" s="102">
        <v>6</v>
      </c>
      <c r="AL16" s="102">
        <v>0</v>
      </c>
      <c r="AM16" s="102">
        <v>7</v>
      </c>
      <c r="AN16" s="102">
        <v>0</v>
      </c>
      <c r="AO16" s="102">
        <v>17</v>
      </c>
      <c r="AP16" s="102">
        <v>0</v>
      </c>
      <c r="AQ16" s="102">
        <v>17</v>
      </c>
      <c r="AR16" s="102">
        <v>0</v>
      </c>
      <c r="AS16" s="199">
        <v>7</v>
      </c>
      <c r="AT16" s="237">
        <v>0</v>
      </c>
      <c r="AU16" s="238">
        <v>19</v>
      </c>
    </row>
  </sheetData>
  <mergeCells count="29">
    <mergeCell ref="AJ1:AS1"/>
    <mergeCell ref="AJ2:AK2"/>
    <mergeCell ref="AL2:AM2"/>
    <mergeCell ref="AN2:AO2"/>
    <mergeCell ref="AP2:AQ2"/>
    <mergeCell ref="AR2:AS2"/>
    <mergeCell ref="X2:Y2"/>
    <mergeCell ref="Z2:AA2"/>
    <mergeCell ref="AB1:AI1"/>
    <mergeCell ref="AB2:AC2"/>
    <mergeCell ref="AD2:AE2"/>
    <mergeCell ref="AF2:AG2"/>
    <mergeCell ref="AH2:AI2"/>
    <mergeCell ref="A1:A3"/>
    <mergeCell ref="B1:I1"/>
    <mergeCell ref="B2:C2"/>
    <mergeCell ref="D2:E2"/>
    <mergeCell ref="F2:G2"/>
    <mergeCell ref="H2:I2"/>
    <mergeCell ref="AT2:AU2"/>
    <mergeCell ref="J1:Q1"/>
    <mergeCell ref="J2:K2"/>
    <mergeCell ref="L2:M2"/>
    <mergeCell ref="N2:O2"/>
    <mergeCell ref="P2:Q2"/>
    <mergeCell ref="T1:AA1"/>
    <mergeCell ref="R2:S2"/>
    <mergeCell ref="T2:U2"/>
    <mergeCell ref="V2:W2"/>
  </mergeCells>
  <phoneticPr fontId="0" type="noConversion"/>
  <printOptions horizontalCentered="1"/>
  <pageMargins left="0.5" right="0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opLeftCell="H1" workbookViewId="0">
      <selection activeCell="AA61" sqref="AA61"/>
    </sheetView>
  </sheetViews>
  <sheetFormatPr defaultRowHeight="12.75" x14ac:dyDescent="0.2"/>
  <cols>
    <col min="1" max="1" width="29.85546875" customWidth="1"/>
    <col min="2" max="4" width="8.42578125" customWidth="1"/>
    <col min="5" max="5" width="9.7109375" customWidth="1"/>
    <col min="10" max="10" width="8.7109375" style="172" customWidth="1"/>
    <col min="11" max="11" width="10" style="172" bestFit="1" customWidth="1"/>
    <col min="12" max="12" width="8.5703125" style="172" customWidth="1"/>
    <col min="13" max="13" width="10.7109375" style="172" bestFit="1" customWidth="1"/>
    <col min="14" max="14" width="10.140625" style="172" customWidth="1"/>
    <col min="15" max="15" width="11.42578125" style="172" customWidth="1"/>
  </cols>
  <sheetData>
    <row r="1" spans="1:17" ht="13.5" thickBot="1" x14ac:dyDescent="0.25">
      <c r="A1" s="283" t="s">
        <v>211</v>
      </c>
      <c r="B1" s="294" t="s">
        <v>185</v>
      </c>
      <c r="C1" s="295"/>
      <c r="D1" s="295"/>
      <c r="E1" s="296"/>
      <c r="F1" s="278" t="s">
        <v>195</v>
      </c>
      <c r="G1" s="279"/>
      <c r="H1" s="279"/>
      <c r="I1" s="279"/>
      <c r="J1" s="279"/>
      <c r="K1" s="279"/>
      <c r="L1" s="279"/>
      <c r="M1" s="279"/>
      <c r="N1" s="279"/>
      <c r="O1" s="279"/>
      <c r="P1" s="247"/>
      <c r="Q1" s="248"/>
    </row>
    <row r="2" spans="1:17" x14ac:dyDescent="0.2">
      <c r="A2" s="284"/>
      <c r="B2" s="286" t="s">
        <v>129</v>
      </c>
      <c r="C2" s="282"/>
      <c r="D2" s="286" t="s">
        <v>130</v>
      </c>
      <c r="E2" s="282"/>
      <c r="F2" s="286" t="s">
        <v>196</v>
      </c>
      <c r="G2" s="282"/>
      <c r="H2" s="282" t="s">
        <v>197</v>
      </c>
      <c r="I2" s="282"/>
      <c r="J2" s="291" t="s">
        <v>133</v>
      </c>
      <c r="K2" s="291"/>
      <c r="L2" s="291" t="s">
        <v>198</v>
      </c>
      <c r="M2" s="293"/>
      <c r="N2" s="291" t="s">
        <v>199</v>
      </c>
      <c r="O2" s="292"/>
      <c r="P2" s="289" t="s">
        <v>230</v>
      </c>
      <c r="Q2" s="290"/>
    </row>
    <row r="3" spans="1:17" ht="13.5" thickBot="1" x14ac:dyDescent="0.25">
      <c r="A3" s="285"/>
      <c r="B3" s="86" t="s">
        <v>35</v>
      </c>
      <c r="C3" s="87" t="s">
        <v>30</v>
      </c>
      <c r="D3" s="86" t="s">
        <v>35</v>
      </c>
      <c r="E3" s="87" t="s">
        <v>30</v>
      </c>
      <c r="F3" s="86" t="s">
        <v>35</v>
      </c>
      <c r="G3" s="87" t="s">
        <v>30</v>
      </c>
      <c r="H3" s="87" t="s">
        <v>35</v>
      </c>
      <c r="I3" s="87" t="s">
        <v>30</v>
      </c>
      <c r="J3" s="170" t="s">
        <v>35</v>
      </c>
      <c r="K3" s="170" t="s">
        <v>30</v>
      </c>
      <c r="L3" s="170" t="s">
        <v>35</v>
      </c>
      <c r="M3" s="171" t="s">
        <v>30</v>
      </c>
      <c r="N3" s="170" t="s">
        <v>35</v>
      </c>
      <c r="O3" s="204" t="s">
        <v>30</v>
      </c>
      <c r="P3" s="209" t="s">
        <v>35</v>
      </c>
      <c r="Q3" s="210" t="s">
        <v>30</v>
      </c>
    </row>
    <row r="4" spans="1:17" ht="13.5" thickBot="1" x14ac:dyDescent="0.25">
      <c r="A4" s="90" t="s">
        <v>2</v>
      </c>
      <c r="B4" s="149"/>
      <c r="C4" s="91"/>
      <c r="D4" s="91"/>
      <c r="E4" s="91"/>
      <c r="F4" s="149"/>
      <c r="G4" s="91"/>
      <c r="H4" s="91"/>
      <c r="I4" s="91"/>
      <c r="J4" s="176"/>
      <c r="K4" s="176"/>
      <c r="L4" s="176"/>
      <c r="M4" s="176"/>
      <c r="N4" s="176"/>
      <c r="O4" s="176"/>
      <c r="P4" s="211"/>
      <c r="Q4" s="212"/>
    </row>
    <row r="5" spans="1:17" ht="13.5" thickBot="1" x14ac:dyDescent="0.25">
      <c r="A5" s="105" t="s">
        <v>33</v>
      </c>
      <c r="B5" s="153"/>
      <c r="C5" s="106"/>
      <c r="D5" s="106"/>
      <c r="E5" s="106"/>
      <c r="F5" s="153"/>
      <c r="G5" s="106"/>
      <c r="H5" s="106"/>
      <c r="I5" s="106"/>
      <c r="J5" s="177"/>
      <c r="K5" s="177"/>
      <c r="L5" s="177"/>
      <c r="M5" s="177"/>
      <c r="N5" s="177"/>
      <c r="O5" s="177"/>
      <c r="P5" s="213"/>
      <c r="Q5" s="214"/>
    </row>
    <row r="6" spans="1:17" x14ac:dyDescent="0.2">
      <c r="A6" s="113" t="s">
        <v>212</v>
      </c>
      <c r="B6" s="150">
        <v>0</v>
      </c>
      <c r="C6" s="94">
        <v>6600</v>
      </c>
      <c r="D6" s="94">
        <v>0</v>
      </c>
      <c r="E6" s="94">
        <v>62810</v>
      </c>
      <c r="F6" s="150">
        <v>0</v>
      </c>
      <c r="G6" s="94">
        <v>11220</v>
      </c>
      <c r="H6" s="94">
        <v>200</v>
      </c>
      <c r="I6" s="94">
        <v>5500</v>
      </c>
      <c r="J6" s="178">
        <v>0</v>
      </c>
      <c r="K6" s="178">
        <v>32750</v>
      </c>
      <c r="L6" s="178">
        <v>0</v>
      </c>
      <c r="M6" s="178">
        <v>5500</v>
      </c>
      <c r="N6" s="185">
        <v>0</v>
      </c>
      <c r="O6" s="205">
        <v>7810</v>
      </c>
      <c r="P6" s="215">
        <v>0</v>
      </c>
      <c r="Q6" s="216">
        <v>13090</v>
      </c>
    </row>
    <row r="7" spans="1:17" x14ac:dyDescent="0.2">
      <c r="A7" s="97" t="s">
        <v>213</v>
      </c>
      <c r="B7" s="151">
        <v>0</v>
      </c>
      <c r="C7" s="98">
        <v>19000</v>
      </c>
      <c r="D7" s="98">
        <v>0</v>
      </c>
      <c r="E7" s="98">
        <v>0</v>
      </c>
      <c r="F7" s="151">
        <v>6000</v>
      </c>
      <c r="G7" s="98">
        <v>0</v>
      </c>
      <c r="H7" s="98">
        <v>0</v>
      </c>
      <c r="I7" s="98">
        <v>0</v>
      </c>
      <c r="J7" s="179">
        <v>0</v>
      </c>
      <c r="K7" s="179">
        <v>0</v>
      </c>
      <c r="L7" s="179">
        <v>0</v>
      </c>
      <c r="M7" s="179">
        <v>0</v>
      </c>
      <c r="N7" s="186">
        <v>0</v>
      </c>
      <c r="O7" s="206">
        <v>0</v>
      </c>
      <c r="P7" s="217">
        <v>0</v>
      </c>
      <c r="Q7" s="218">
        <v>0</v>
      </c>
    </row>
    <row r="8" spans="1:17" x14ac:dyDescent="0.2">
      <c r="A8" s="97" t="s">
        <v>214</v>
      </c>
      <c r="B8" s="151">
        <v>0</v>
      </c>
      <c r="C8" s="98">
        <v>0</v>
      </c>
      <c r="D8" s="98">
        <v>0</v>
      </c>
      <c r="E8" s="98">
        <v>185536</v>
      </c>
      <c r="F8" s="151">
        <v>0</v>
      </c>
      <c r="G8" s="98">
        <v>44294</v>
      </c>
      <c r="H8" s="98">
        <v>0</v>
      </c>
      <c r="I8" s="98">
        <v>120</v>
      </c>
      <c r="J8" s="179">
        <v>0</v>
      </c>
      <c r="K8" s="179">
        <v>7059</v>
      </c>
      <c r="L8" s="179">
        <v>0</v>
      </c>
      <c r="M8" s="179">
        <v>143834</v>
      </c>
      <c r="N8" s="186">
        <v>0</v>
      </c>
      <c r="O8" s="206">
        <v>6720</v>
      </c>
      <c r="P8" s="217">
        <v>0</v>
      </c>
      <c r="Q8" s="218">
        <v>68694</v>
      </c>
    </row>
    <row r="9" spans="1:17" ht="13.5" thickBot="1" x14ac:dyDescent="0.25">
      <c r="A9" s="101" t="s">
        <v>215</v>
      </c>
      <c r="B9" s="152"/>
      <c r="C9" s="102"/>
      <c r="D9" s="102"/>
      <c r="E9" s="102"/>
      <c r="F9" s="152"/>
      <c r="G9" s="102"/>
      <c r="H9" s="102"/>
      <c r="I9" s="102"/>
      <c r="J9" s="180">
        <v>0</v>
      </c>
      <c r="K9" s="180">
        <v>0</v>
      </c>
      <c r="L9" s="180">
        <v>0</v>
      </c>
      <c r="M9" s="180">
        <v>0</v>
      </c>
      <c r="N9" s="187">
        <v>0</v>
      </c>
      <c r="O9" s="207">
        <v>0</v>
      </c>
      <c r="P9" s="219">
        <v>10886</v>
      </c>
      <c r="Q9" s="220">
        <v>0</v>
      </c>
    </row>
    <row r="10" spans="1:17" ht="13.5" thickBot="1" x14ac:dyDescent="0.25">
      <c r="A10" s="90" t="s">
        <v>7</v>
      </c>
      <c r="B10" s="155"/>
      <c r="C10" s="111"/>
      <c r="D10" s="111"/>
      <c r="E10" s="111"/>
      <c r="F10" s="155"/>
      <c r="G10" s="111"/>
      <c r="H10" s="111"/>
      <c r="I10" s="111"/>
      <c r="J10" s="181"/>
      <c r="K10" s="181"/>
      <c r="L10" s="181"/>
      <c r="M10" s="181"/>
      <c r="N10" s="188"/>
      <c r="O10" s="188"/>
      <c r="P10" s="221"/>
      <c r="Q10" s="222"/>
    </row>
    <row r="11" spans="1:17" ht="13.5" thickBot="1" x14ac:dyDescent="0.25">
      <c r="A11" s="108" t="s">
        <v>33</v>
      </c>
      <c r="B11" s="154"/>
      <c r="C11" s="109"/>
      <c r="D11" s="109"/>
      <c r="E11" s="109"/>
      <c r="F11" s="154"/>
      <c r="G11" s="109"/>
      <c r="H11" s="109"/>
      <c r="I11" s="109"/>
      <c r="J11" s="182"/>
      <c r="K11" s="182"/>
      <c r="L11" s="182"/>
      <c r="M11" s="182"/>
      <c r="N11" s="189"/>
      <c r="O11" s="189"/>
      <c r="P11" s="223"/>
      <c r="Q11" s="224"/>
    </row>
    <row r="12" spans="1:17" x14ac:dyDescent="0.2">
      <c r="A12" s="113" t="s">
        <v>212</v>
      </c>
      <c r="B12" s="156">
        <v>88</v>
      </c>
      <c r="C12" s="114">
        <v>10071.334999999999</v>
      </c>
      <c r="D12" s="114">
        <v>440</v>
      </c>
      <c r="E12" s="114">
        <v>19621.455000000002</v>
      </c>
      <c r="F12" s="156">
        <v>458</v>
      </c>
      <c r="G12" s="114">
        <v>14842.525</v>
      </c>
      <c r="H12" s="114">
        <v>621</v>
      </c>
      <c r="I12" s="114">
        <v>11552.852999999999</v>
      </c>
      <c r="J12" s="183">
        <v>528</v>
      </c>
      <c r="K12" s="183">
        <v>16196.929</v>
      </c>
      <c r="L12" s="183">
        <v>220</v>
      </c>
      <c r="M12" s="183">
        <v>14424.013999999999</v>
      </c>
      <c r="N12" s="190">
        <v>22</v>
      </c>
      <c r="O12" s="208">
        <v>9344.268</v>
      </c>
      <c r="P12" s="225">
        <v>506</v>
      </c>
      <c r="Q12" s="226">
        <v>3739.201</v>
      </c>
    </row>
    <row r="13" spans="1:17" x14ac:dyDescent="0.2">
      <c r="A13" s="97" t="s">
        <v>213</v>
      </c>
      <c r="B13" s="151">
        <v>1500</v>
      </c>
      <c r="C13" s="98">
        <v>5452</v>
      </c>
      <c r="D13" s="98">
        <v>40</v>
      </c>
      <c r="E13" s="98">
        <v>4960</v>
      </c>
      <c r="F13" s="151">
        <v>0</v>
      </c>
      <c r="G13" s="98">
        <v>5496</v>
      </c>
      <c r="H13" s="98">
        <v>1500</v>
      </c>
      <c r="I13" s="98">
        <v>5020</v>
      </c>
      <c r="J13" s="179">
        <v>40</v>
      </c>
      <c r="K13" s="179">
        <v>6140</v>
      </c>
      <c r="L13" s="179">
        <v>0</v>
      </c>
      <c r="M13" s="179">
        <v>14480</v>
      </c>
      <c r="N13" s="186">
        <v>1000</v>
      </c>
      <c r="O13" s="206">
        <v>1660</v>
      </c>
      <c r="P13" s="217">
        <v>140</v>
      </c>
      <c r="Q13" s="218">
        <v>10395</v>
      </c>
    </row>
    <row r="14" spans="1:17" x14ac:dyDescent="0.2">
      <c r="A14" s="97" t="s">
        <v>214</v>
      </c>
      <c r="B14" s="151">
        <v>227</v>
      </c>
      <c r="C14" s="98">
        <v>5299</v>
      </c>
      <c r="D14" s="98">
        <v>662</v>
      </c>
      <c r="E14" s="98">
        <v>16406</v>
      </c>
      <c r="F14" s="151">
        <v>0</v>
      </c>
      <c r="G14" s="98">
        <v>12203</v>
      </c>
      <c r="H14" s="98">
        <v>1723</v>
      </c>
      <c r="I14" s="98">
        <v>14104</v>
      </c>
      <c r="J14" s="179">
        <v>2264</v>
      </c>
      <c r="K14" s="179">
        <v>4567</v>
      </c>
      <c r="L14" s="179">
        <v>480</v>
      </c>
      <c r="M14" s="179">
        <v>7630</v>
      </c>
      <c r="N14" s="186">
        <v>454</v>
      </c>
      <c r="O14" s="206">
        <v>8769</v>
      </c>
      <c r="P14" s="217">
        <v>1</v>
      </c>
      <c r="Q14" s="218">
        <v>14230</v>
      </c>
    </row>
    <row r="15" spans="1:17" ht="13.5" thickBot="1" x14ac:dyDescent="0.25">
      <c r="A15" s="101" t="s">
        <v>215</v>
      </c>
      <c r="B15" s="152"/>
      <c r="C15" s="102"/>
      <c r="D15" s="102"/>
      <c r="E15" s="102"/>
      <c r="F15" s="152"/>
      <c r="G15" s="102"/>
      <c r="H15" s="102"/>
      <c r="I15" s="102"/>
      <c r="J15" s="180">
        <v>0</v>
      </c>
      <c r="K15" s="180">
        <v>2758</v>
      </c>
      <c r="L15" s="180">
        <v>0</v>
      </c>
      <c r="M15" s="180">
        <v>6549.8396000000002</v>
      </c>
      <c r="N15" s="187">
        <v>0</v>
      </c>
      <c r="O15" s="207">
        <v>5586</v>
      </c>
      <c r="P15" s="219">
        <v>0</v>
      </c>
      <c r="Q15" s="220">
        <v>15707</v>
      </c>
    </row>
    <row r="18" spans="1:13" x14ac:dyDescent="0.2">
      <c r="A18" s="174" t="s">
        <v>217</v>
      </c>
      <c r="B18" s="174"/>
      <c r="C18" s="174"/>
      <c r="D18" s="174"/>
      <c r="E18" s="174"/>
    </row>
    <row r="19" spans="1:13" x14ac:dyDescent="0.2">
      <c r="A19" s="173" t="s">
        <v>216</v>
      </c>
      <c r="B19" s="173"/>
      <c r="C19" s="173"/>
      <c r="D19" s="173"/>
      <c r="E19" s="173"/>
      <c r="J19" s="79">
        <f>+J12</f>
        <v>528</v>
      </c>
      <c r="K19" s="79">
        <f>+K12</f>
        <v>16196.929</v>
      </c>
      <c r="M19" s="79"/>
    </row>
    <row r="20" spans="1:13" x14ac:dyDescent="0.2">
      <c r="A20" s="173" t="s">
        <v>213</v>
      </c>
      <c r="B20" s="173"/>
      <c r="C20" s="173"/>
      <c r="D20" s="173"/>
      <c r="E20" s="173"/>
      <c r="J20" s="79">
        <f t="shared" ref="J20:K22" si="0">+J7+J13</f>
        <v>40</v>
      </c>
      <c r="K20" s="79">
        <f t="shared" si="0"/>
        <v>6140</v>
      </c>
    </row>
    <row r="21" spans="1:13" x14ac:dyDescent="0.2">
      <c r="A21" s="173" t="s">
        <v>214</v>
      </c>
      <c r="B21" s="173"/>
      <c r="C21" s="173"/>
      <c r="D21" s="173"/>
      <c r="E21" s="173"/>
      <c r="J21" s="79">
        <f t="shared" si="0"/>
        <v>2264</v>
      </c>
      <c r="K21" s="79">
        <f t="shared" si="0"/>
        <v>11626</v>
      </c>
    </row>
    <row r="22" spans="1:13" x14ac:dyDescent="0.2">
      <c r="A22" s="173" t="s">
        <v>215</v>
      </c>
      <c r="B22" s="173"/>
      <c r="C22" s="173"/>
      <c r="D22" s="173"/>
      <c r="E22" s="173"/>
      <c r="J22" s="79">
        <f t="shared" si="0"/>
        <v>0</v>
      </c>
      <c r="K22" s="79">
        <f t="shared" si="0"/>
        <v>2758</v>
      </c>
    </row>
    <row r="23" spans="1:13" x14ac:dyDescent="0.2">
      <c r="A23" s="173"/>
      <c r="B23" s="173"/>
      <c r="C23" s="173"/>
      <c r="D23" s="173"/>
      <c r="E23" s="173"/>
    </row>
    <row r="24" spans="1:13" x14ac:dyDescent="0.2">
      <c r="A24" s="173"/>
      <c r="B24" s="173"/>
      <c r="C24" s="173"/>
      <c r="D24" s="173"/>
      <c r="E24" s="173"/>
    </row>
    <row r="25" spans="1:13" x14ac:dyDescent="0.2">
      <c r="A25" s="173"/>
      <c r="B25" s="173"/>
      <c r="C25" s="173"/>
      <c r="D25" s="173"/>
      <c r="E25" s="173"/>
    </row>
    <row r="26" spans="1:13" x14ac:dyDescent="0.2">
      <c r="A26" s="173"/>
      <c r="B26" s="173"/>
      <c r="C26" s="173"/>
      <c r="D26" s="173"/>
      <c r="E26" s="173"/>
    </row>
    <row r="27" spans="1:13" x14ac:dyDescent="0.2">
      <c r="A27" s="173"/>
      <c r="B27" s="173"/>
      <c r="C27" s="173"/>
      <c r="D27" s="173"/>
      <c r="E27" s="173"/>
      <c r="M27" s="175" t="s">
        <v>218</v>
      </c>
    </row>
    <row r="28" spans="1:13" x14ac:dyDescent="0.2">
      <c r="A28" s="173"/>
      <c r="B28" s="173"/>
      <c r="C28" s="173"/>
      <c r="D28" s="173"/>
      <c r="E28" s="173"/>
    </row>
  </sheetData>
  <mergeCells count="11">
    <mergeCell ref="D2:E2"/>
    <mergeCell ref="P2:Q2"/>
    <mergeCell ref="F1:O1"/>
    <mergeCell ref="A1:A3"/>
    <mergeCell ref="N2:O2"/>
    <mergeCell ref="F2:G2"/>
    <mergeCell ref="H2:I2"/>
    <mergeCell ref="J2:K2"/>
    <mergeCell ref="L2:M2"/>
    <mergeCell ref="B1:E1"/>
    <mergeCell ref="B2:C2"/>
  </mergeCells>
  <phoneticPr fontId="0" type="noConversion"/>
  <pageMargins left="0.75" right="0.75" top="1" bottom="1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opLeftCell="A18" workbookViewId="0">
      <selection activeCell="AA61" sqref="AA61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2.7109375" bestFit="1" customWidth="1"/>
  </cols>
  <sheetData>
    <row r="1" spans="1:32" ht="18.75" customHeight="1" x14ac:dyDescent="0.35">
      <c r="A1" s="71" t="s">
        <v>35</v>
      </c>
    </row>
    <row r="2" spans="1:32" x14ac:dyDescent="0.2">
      <c r="B2" s="297" t="s">
        <v>229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54"/>
      <c r="C4" s="255"/>
    </row>
    <row r="5" spans="1:32" x14ac:dyDescent="0.2">
      <c r="A5" s="5" t="s">
        <v>95</v>
      </c>
      <c r="B5" s="256"/>
      <c r="C5" s="25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262">
        <v>18808</v>
      </c>
      <c r="C6" s="258">
        <v>3090629929.5299997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262">
        <v>4217</v>
      </c>
      <c r="C7" s="258">
        <v>42971329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267"/>
      <c r="C8" s="26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262">
        <v>2062</v>
      </c>
      <c r="C9" s="261">
        <v>98255950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262">
        <v>1</v>
      </c>
      <c r="C10" s="261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262">
        <v>2</v>
      </c>
      <c r="C11" s="261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262">
        <v>42</v>
      </c>
      <c r="C12" s="261">
        <v>11600</v>
      </c>
      <c r="D12" s="33" t="s">
        <v>101</v>
      </c>
      <c r="E12" s="77">
        <f>C6+C28</f>
        <v>6063572796.5499992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262">
        <v>0</v>
      </c>
      <c r="C13" s="262">
        <v>0</v>
      </c>
      <c r="D13" s="33" t="s">
        <v>102</v>
      </c>
      <c r="E13" s="80">
        <f>E12/1000000</f>
        <v>6063.5727965499991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262">
        <v>3</v>
      </c>
      <c r="C14" s="262">
        <v>7500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267"/>
      <c r="C15" s="26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41</v>
      </c>
      <c r="B16" s="262">
        <v>1</v>
      </c>
      <c r="C16" s="262">
        <v>12000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B17" s="268"/>
      <c r="C17" s="268"/>
      <c r="D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268"/>
      <c r="C18" s="268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A19" s="2" t="s">
        <v>114</v>
      </c>
      <c r="B19" s="269">
        <v>10</v>
      </c>
      <c r="C19" s="26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B20" s="262"/>
      <c r="C20" s="26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262"/>
      <c r="C21" s="26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262"/>
      <c r="C22" s="26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ht="20.25" customHeight="1" x14ac:dyDescent="0.35">
      <c r="A23" s="71" t="s">
        <v>30</v>
      </c>
      <c r="B23" s="270"/>
      <c r="C23" s="270"/>
    </row>
    <row r="24" spans="1:32" x14ac:dyDescent="0.2">
      <c r="B24" s="299" t="str">
        <f>B2</f>
        <v>Week ending 06/06</v>
      </c>
      <c r="C24" s="299"/>
      <c r="D24" s="265" t="s">
        <v>109</v>
      </c>
    </row>
    <row r="25" spans="1:32" x14ac:dyDescent="0.2">
      <c r="A25" s="73" t="s">
        <v>110</v>
      </c>
      <c r="B25" s="271" t="s">
        <v>63</v>
      </c>
      <c r="C25" s="271" t="s">
        <v>111</v>
      </c>
      <c r="D25" s="266" t="s">
        <v>92</v>
      </c>
    </row>
    <row r="26" spans="1:32" x14ac:dyDescent="0.2">
      <c r="A26" s="2"/>
      <c r="B26" s="263"/>
      <c r="C26" s="264"/>
    </row>
    <row r="27" spans="1:32" x14ac:dyDescent="0.2">
      <c r="A27" s="5" t="s">
        <v>95</v>
      </c>
      <c r="B27" s="257"/>
      <c r="C27" s="262"/>
      <c r="D27" s="33"/>
      <c r="E27" s="33"/>
      <c r="F27" s="33"/>
      <c r="G27" s="33"/>
      <c r="H27" s="33"/>
      <c r="I27" s="33"/>
      <c r="J27" s="33"/>
    </row>
    <row r="28" spans="1:32" x14ac:dyDescent="0.2">
      <c r="A28" s="6" t="s">
        <v>64</v>
      </c>
      <c r="B28" s="257">
        <v>2935</v>
      </c>
      <c r="C28" s="262">
        <v>2972942867.02</v>
      </c>
      <c r="D28" s="33" t="s">
        <v>81</v>
      </c>
      <c r="E28" s="33"/>
      <c r="F28" s="33"/>
      <c r="G28" s="33"/>
      <c r="H28" s="33"/>
      <c r="I28" s="33"/>
      <c r="J28" s="33"/>
    </row>
    <row r="29" spans="1:32" x14ac:dyDescent="0.2">
      <c r="A29" s="6" t="s">
        <v>71</v>
      </c>
      <c r="B29" s="257">
        <v>2613</v>
      </c>
      <c r="C29" s="262">
        <v>33977366.799999982</v>
      </c>
      <c r="D29" s="33" t="s">
        <v>82</v>
      </c>
      <c r="E29" s="33"/>
      <c r="F29" s="33"/>
      <c r="G29" s="33"/>
      <c r="H29" s="33"/>
      <c r="I29" s="33"/>
      <c r="J29" s="33"/>
    </row>
    <row r="30" spans="1:32" x14ac:dyDescent="0.2">
      <c r="A30" s="5" t="s">
        <v>32</v>
      </c>
      <c r="B30" s="259"/>
      <c r="C30" s="262"/>
      <c r="D30" s="33"/>
      <c r="E30" s="33"/>
      <c r="F30" s="33"/>
      <c r="G30" s="33"/>
      <c r="H30" s="33"/>
      <c r="I30" s="33"/>
      <c r="J30" s="33"/>
    </row>
    <row r="31" spans="1:32" x14ac:dyDescent="0.2">
      <c r="A31" s="6" t="s">
        <v>5</v>
      </c>
      <c r="B31" s="257">
        <v>1643</v>
      </c>
      <c r="C31" s="262">
        <v>109349009.82000044</v>
      </c>
      <c r="D31" s="33" t="s">
        <v>99</v>
      </c>
      <c r="E31" s="33"/>
      <c r="F31" s="33"/>
      <c r="G31" s="33"/>
      <c r="H31" s="33"/>
      <c r="I31" s="33"/>
      <c r="J31" s="33"/>
    </row>
    <row r="32" spans="1:32" x14ac:dyDescent="0.2">
      <c r="A32" s="6" t="s">
        <v>4</v>
      </c>
      <c r="B32" s="257">
        <v>11</v>
      </c>
      <c r="C32" s="262">
        <v>985250</v>
      </c>
      <c r="D32" s="33" t="s">
        <v>100</v>
      </c>
      <c r="E32" s="33"/>
      <c r="F32" s="33"/>
      <c r="G32" s="33"/>
      <c r="H32" s="33"/>
      <c r="I32" s="33"/>
      <c r="J32" s="33"/>
    </row>
    <row r="33" spans="1:10" x14ac:dyDescent="0.2">
      <c r="A33" s="6" t="s">
        <v>112</v>
      </c>
      <c r="B33" s="257">
        <v>6</v>
      </c>
      <c r="C33" s="262">
        <v>210000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3</v>
      </c>
      <c r="B34" s="257">
        <v>11</v>
      </c>
      <c r="C34" s="262">
        <v>130000</v>
      </c>
      <c r="D34" s="33" t="s">
        <v>101</v>
      </c>
      <c r="E34" s="33"/>
      <c r="F34" s="33"/>
      <c r="G34" s="33"/>
      <c r="H34" s="33"/>
      <c r="I34" s="33"/>
      <c r="J34" s="33"/>
    </row>
    <row r="35" spans="1:10" x14ac:dyDescent="0.2">
      <c r="A35" s="6" t="s">
        <v>0</v>
      </c>
      <c r="B35" s="257">
        <v>481</v>
      </c>
      <c r="C35" s="262">
        <v>0</v>
      </c>
      <c r="D35" s="33" t="s">
        <v>102</v>
      </c>
      <c r="E35" s="33"/>
      <c r="F35" s="33"/>
      <c r="G35" s="33"/>
      <c r="H35" s="33"/>
      <c r="I35" s="33"/>
      <c r="J35" s="33"/>
    </row>
    <row r="36" spans="1:10" x14ac:dyDescent="0.2">
      <c r="A36" s="6" t="s">
        <v>13</v>
      </c>
      <c r="B36" s="257">
        <v>2</v>
      </c>
      <c r="C36" s="262">
        <v>5000</v>
      </c>
      <c r="D36" s="33" t="s">
        <v>103</v>
      </c>
      <c r="E36" s="33"/>
      <c r="F36" s="33"/>
      <c r="G36" s="33"/>
      <c r="H36" s="33"/>
      <c r="I36" s="33"/>
      <c r="J36" s="33"/>
    </row>
    <row r="37" spans="1:10" x14ac:dyDescent="0.2">
      <c r="A37" s="5" t="s">
        <v>33</v>
      </c>
      <c r="B37" s="259"/>
      <c r="C37" s="262"/>
      <c r="D37" s="33"/>
      <c r="E37" s="33"/>
      <c r="F37" s="33"/>
      <c r="G37" s="33"/>
      <c r="H37" s="33"/>
      <c r="I37" s="33"/>
      <c r="J37" s="33"/>
    </row>
    <row r="38" spans="1:10" x14ac:dyDescent="0.2">
      <c r="A38" s="6" t="s">
        <v>41</v>
      </c>
      <c r="B38" s="257">
        <v>98</v>
      </c>
      <c r="C38" s="262">
        <v>11198.349999999627</v>
      </c>
      <c r="D38" s="33" t="s">
        <v>100</v>
      </c>
      <c r="E38" s="33"/>
      <c r="F38" s="33"/>
      <c r="G38" s="33"/>
      <c r="H38" s="33"/>
      <c r="I38" s="33"/>
      <c r="J38" s="33"/>
    </row>
    <row r="39" spans="1:10" x14ac:dyDescent="0.2">
      <c r="A39" s="6"/>
      <c r="B39" s="135"/>
      <c r="C39" s="135"/>
      <c r="D39" s="33"/>
      <c r="E39" s="33"/>
      <c r="F39" s="33"/>
      <c r="G39" s="33"/>
      <c r="H39" s="33"/>
      <c r="I39" s="33"/>
      <c r="J39" s="33"/>
    </row>
  </sheetData>
  <mergeCells count="2">
    <mergeCell ref="B2:C2"/>
    <mergeCell ref="B24:C24"/>
  </mergeCells>
  <phoneticPr fontId="0" type="noConversion"/>
  <pageMargins left="0" right="0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B28" sqref="B28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223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15485</v>
      </c>
      <c r="C6" s="138">
        <v>2407867656.2799997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2878</v>
      </c>
      <c r="C7" s="138">
        <v>21566575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1578</v>
      </c>
      <c r="C9" s="136">
        <v>68070386.350000024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1</v>
      </c>
      <c r="C10" s="136">
        <v>7750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0</v>
      </c>
      <c r="C11" s="136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18</v>
      </c>
      <c r="C12" s="136">
        <v>5400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2</v>
      </c>
      <c r="C14" s="135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41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B17" s="135"/>
      <c r="C17" s="135"/>
      <c r="D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A19" s="2" t="s">
        <v>114</v>
      </c>
      <c r="B19" s="139">
        <v>6</v>
      </c>
      <c r="C19" s="13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B20" s="135"/>
      <c r="C20" s="135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ht="23.25" x14ac:dyDescent="0.35">
      <c r="A23" s="71" t="s">
        <v>30</v>
      </c>
      <c r="B23" s="141"/>
      <c r="C23" s="141"/>
    </row>
    <row r="24" spans="1:32" x14ac:dyDescent="0.2">
      <c r="B24" s="300" t="str">
        <f>B2</f>
        <v>Week ending 05/23</v>
      </c>
      <c r="C24" s="301"/>
      <c r="D24" s="72" t="s">
        <v>109</v>
      </c>
    </row>
    <row r="25" spans="1:32" x14ac:dyDescent="0.2">
      <c r="A25" s="73" t="s">
        <v>110</v>
      </c>
      <c r="B25" s="142" t="s">
        <v>63</v>
      </c>
      <c r="C25" s="142" t="s">
        <v>111</v>
      </c>
      <c r="D25" s="75" t="s">
        <v>92</v>
      </c>
    </row>
    <row r="26" spans="1:32" x14ac:dyDescent="0.2">
      <c r="A26" s="2"/>
      <c r="B26" s="143"/>
      <c r="C26" s="143"/>
    </row>
    <row r="27" spans="1:32" x14ac:dyDescent="0.2">
      <c r="A27" s="5" t="s">
        <v>95</v>
      </c>
      <c r="B27" s="135"/>
      <c r="C27" s="135"/>
      <c r="D27" s="33"/>
      <c r="E27" s="33"/>
      <c r="F27" s="33"/>
      <c r="G27" s="33"/>
      <c r="H27" s="33"/>
      <c r="I27" s="33"/>
      <c r="J27" s="33"/>
    </row>
    <row r="28" spans="1:32" x14ac:dyDescent="0.2">
      <c r="A28" s="6" t="s">
        <v>64</v>
      </c>
      <c r="B28" s="135">
        <v>2608</v>
      </c>
      <c r="C28" s="135">
        <v>3290503606.0399976</v>
      </c>
      <c r="D28" s="33" t="s">
        <v>81</v>
      </c>
      <c r="E28" s="33"/>
      <c r="F28" s="33"/>
      <c r="G28" s="33"/>
      <c r="H28" s="33"/>
      <c r="I28" s="33"/>
      <c r="J28" s="33"/>
    </row>
    <row r="29" spans="1:32" x14ac:dyDescent="0.2">
      <c r="A29" s="6" t="s">
        <v>71</v>
      </c>
      <c r="B29" s="135">
        <v>2447</v>
      </c>
      <c r="C29" s="135">
        <v>28061045.599999987</v>
      </c>
      <c r="D29" s="33" t="s">
        <v>82</v>
      </c>
      <c r="E29" s="33"/>
      <c r="F29" s="33"/>
      <c r="G29" s="33"/>
      <c r="H29" s="33"/>
      <c r="I29" s="33"/>
      <c r="J29" s="33"/>
    </row>
    <row r="30" spans="1:32" x14ac:dyDescent="0.2">
      <c r="A30" s="5" t="s">
        <v>32</v>
      </c>
      <c r="B30" s="139"/>
      <c r="C30" s="135"/>
      <c r="D30" s="33"/>
      <c r="E30" s="33"/>
      <c r="F30" s="33"/>
      <c r="G30" s="33"/>
      <c r="H30" s="33"/>
      <c r="I30" s="33"/>
      <c r="J30" s="33"/>
    </row>
    <row r="31" spans="1:32" x14ac:dyDescent="0.2">
      <c r="A31" s="6" t="s">
        <v>5</v>
      </c>
      <c r="B31" s="135">
        <v>1864</v>
      </c>
      <c r="C31" s="135">
        <v>242495930.72999966</v>
      </c>
      <c r="D31" s="33" t="s">
        <v>99</v>
      </c>
      <c r="E31" s="33"/>
      <c r="F31" s="33"/>
      <c r="G31" s="33"/>
      <c r="H31" s="33"/>
      <c r="I31" s="33"/>
      <c r="J31" s="33"/>
    </row>
    <row r="32" spans="1:32" x14ac:dyDescent="0.2">
      <c r="A32" s="6" t="s">
        <v>4</v>
      </c>
      <c r="B32" s="135">
        <v>16</v>
      </c>
      <c r="C32" s="135">
        <v>395250</v>
      </c>
      <c r="D32" s="33" t="s">
        <v>100</v>
      </c>
      <c r="E32" s="33"/>
      <c r="F32" s="33"/>
      <c r="G32" s="33"/>
      <c r="H32" s="33"/>
      <c r="I32" s="33"/>
      <c r="J32" s="33"/>
    </row>
    <row r="33" spans="1:10" x14ac:dyDescent="0.2">
      <c r="A33" s="6" t="s">
        <v>112</v>
      </c>
      <c r="B33" s="135">
        <v>5</v>
      </c>
      <c r="C33" s="135">
        <v>332500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3</v>
      </c>
      <c r="B34" s="135">
        <v>18</v>
      </c>
      <c r="C34" s="135">
        <v>88360</v>
      </c>
      <c r="D34" s="33" t="s">
        <v>101</v>
      </c>
      <c r="E34" s="33"/>
      <c r="F34" s="33"/>
      <c r="G34" s="33"/>
      <c r="H34" s="33"/>
      <c r="I34" s="33"/>
      <c r="J34" s="33"/>
    </row>
    <row r="35" spans="1:10" x14ac:dyDescent="0.2">
      <c r="A35" s="6" t="s">
        <v>0</v>
      </c>
      <c r="B35" s="135">
        <v>532</v>
      </c>
      <c r="C35" s="135">
        <v>0</v>
      </c>
      <c r="D35" s="33" t="s">
        <v>102</v>
      </c>
      <c r="E35" s="33"/>
      <c r="F35" s="33"/>
      <c r="G35" s="33"/>
      <c r="H35" s="33"/>
      <c r="I35" s="33"/>
      <c r="J35" s="33"/>
    </row>
    <row r="36" spans="1:10" x14ac:dyDescent="0.2">
      <c r="A36" s="6" t="s">
        <v>13</v>
      </c>
      <c r="B36" s="135">
        <v>15</v>
      </c>
      <c r="C36" s="135">
        <v>52500</v>
      </c>
      <c r="D36" s="33" t="s">
        <v>103</v>
      </c>
      <c r="E36" s="33"/>
      <c r="F36" s="33"/>
      <c r="G36" s="33"/>
      <c r="H36" s="33"/>
      <c r="I36" s="33"/>
      <c r="J36" s="33"/>
    </row>
    <row r="37" spans="1:10" x14ac:dyDescent="0.2">
      <c r="A37" s="5" t="s">
        <v>33</v>
      </c>
      <c r="B37" s="139"/>
      <c r="C37" s="135"/>
      <c r="D37" s="33"/>
      <c r="E37" s="33"/>
      <c r="F37" s="33"/>
      <c r="G37" s="33"/>
      <c r="H37" s="33"/>
      <c r="I37" s="33"/>
      <c r="J37" s="33"/>
    </row>
    <row r="38" spans="1:10" x14ac:dyDescent="0.2">
      <c r="A38" s="6" t="s">
        <v>41</v>
      </c>
      <c r="B38" s="135">
        <v>157</v>
      </c>
      <c r="C38" s="135">
        <v>7244.2000000011176</v>
      </c>
      <c r="D38" s="33" t="s">
        <v>100</v>
      </c>
      <c r="E38" s="33"/>
      <c r="F38" s="33"/>
      <c r="G38" s="33"/>
      <c r="H38" s="33"/>
      <c r="I38" s="33"/>
      <c r="J38" s="33"/>
    </row>
    <row r="39" spans="1:10" x14ac:dyDescent="0.2">
      <c r="A39" s="6"/>
      <c r="B39" s="135"/>
      <c r="C39" s="135"/>
      <c r="D39" s="33"/>
      <c r="E39" s="33"/>
      <c r="F39" s="33"/>
      <c r="G39" s="33"/>
      <c r="H39" s="33"/>
      <c r="I39" s="33"/>
      <c r="J39" s="33"/>
    </row>
  </sheetData>
  <mergeCells count="2">
    <mergeCell ref="B2:C2"/>
    <mergeCell ref="B24:C2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33" workbookViewId="0">
      <pane xSplit="1" topLeftCell="B1" activePane="topRight" state="frozen"/>
      <selection activeCell="AA15" sqref="AA15"/>
      <selection pane="topRight" activeCell="AA15" sqref="AA15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219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f>[4]Sheet1!B9+[4]Sheet1!B10</f>
        <v>15702</v>
      </c>
      <c r="C6" s="138">
        <f>[4]Sheet1!B71+[4]Sheet1!B72</f>
        <v>2472589163.98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f>[4]Sheet1!B17+[4]Sheet1!B18+[4]Sheet1!B19</f>
        <v>2570</v>
      </c>
      <c r="C7" s="138">
        <f>[4]Sheet1!B79+[4]Sheet1!B80+[4]Sheet1!B81</f>
        <v>19622774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f>[4]Sheet1!B32+[4]Sheet1!B33+[4]Sheet1!B35</f>
        <v>1312</v>
      </c>
      <c r="C9" s="136">
        <f>[4]Sheet1!B94+[4]Sheet1!B95+[4]Sheet1!B97</f>
        <v>62923300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f>[4]Sheet1!B36</f>
        <v>1</v>
      </c>
      <c r="C10" s="136">
        <f>[4]Sheet1!B98</f>
        <v>7750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f>[4]Sheet1!B37</f>
        <v>5</v>
      </c>
      <c r="C11" s="136">
        <f>[4]Sheet1!B99</f>
        <v>225000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f>[4]Sheet1!B42</f>
        <v>16</v>
      </c>
      <c r="C12" s="136">
        <f>[4]Sheet1!B104</f>
        <v>4200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f>[4]Sheet1!B51</f>
        <v>0</v>
      </c>
      <c r="C13" s="135">
        <f>[4]Sheet1!B113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f>[4]Sheet1!B39</f>
        <v>8</v>
      </c>
      <c r="C14" s="135">
        <f>[4]Sheet1!B101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f>[4]Sheet1!B40</f>
        <v>0</v>
      </c>
      <c r="C16" s="135">
        <f>[4]Sheet1!B102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f>[4]Sheet1!B47</f>
        <v>0</v>
      </c>
      <c r="C17" s="135">
        <f>[4]Sheet1!B109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5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tr">
        <f>B2</f>
        <v>Week ending 05/16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f>[4]Sheet1!C9+[4]Sheet1!C10</f>
        <v>2547</v>
      </c>
      <c r="C29" s="135">
        <f>[4]Sheet1!C71+[4]Sheet1!C72</f>
        <v>1899138502.4599981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f>[4]Sheet1!C17+[4]Sheet1!C18+[4]Sheet1!C19</f>
        <v>2390</v>
      </c>
      <c r="C30" s="135">
        <f>[4]Sheet1!C79+[4]Sheet1!C80+[4]Sheet1!C81</f>
        <v>25161550.360000014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f>[4]Sheet1!C32+[4]Sheet1!C33+[4]Sheet1!C35</f>
        <v>1610</v>
      </c>
      <c r="C32" s="135">
        <f>[4]Sheet1!C94+[4]Sheet1!C95+[4]Sheet1!C97</f>
        <v>106926109.2300002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f>[4]Sheet1!C36</f>
        <v>25</v>
      </c>
      <c r="C33" s="135">
        <f>[4]Sheet1!C98</f>
        <v>1489250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f>[4]Sheet1!C37</f>
        <v>8</v>
      </c>
      <c r="C34" s="135">
        <f>[4]Sheet1!C99</f>
        <v>360000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f>[4]Sheet1!C42</f>
        <v>10</v>
      </c>
      <c r="C35" s="135">
        <f>[4]Sheet1!C104</f>
        <v>39500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f>[4]Sheet1!C51</f>
        <v>430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f>[4]Sheet1!C39</f>
        <v>8</v>
      </c>
      <c r="C37" s="135">
        <f>[4]Sheet1!C101</f>
        <v>25750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f>[4]Sheet1!C40+115+56+14</f>
        <v>272</v>
      </c>
      <c r="C39" s="135">
        <f>[4]Sheet1!C102+48947+7199+10986</f>
        <v>112816.06000000006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f>[4]Sheet1!C47</f>
        <v>176</v>
      </c>
      <c r="C40" s="135">
        <f>[4]Sheet1!C109</f>
        <v>5292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tr">
        <f>B2</f>
        <v>Week ending 05/16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5" x14ac:dyDescent="0.2">
      <c r="A49" s="6" t="s">
        <v>39</v>
      </c>
      <c r="B49" s="138">
        <v>6</v>
      </c>
      <c r="C49" s="138">
        <v>528000</v>
      </c>
      <c r="D49" s="141" t="s">
        <v>116</v>
      </c>
      <c r="E49" s="141"/>
    </row>
    <row r="50" spans="1:5" x14ac:dyDescent="0.2">
      <c r="A50" s="6" t="s">
        <v>40</v>
      </c>
      <c r="B50" s="138"/>
      <c r="C50" s="138"/>
      <c r="D50" s="141"/>
      <c r="E50" s="141"/>
    </row>
    <row r="51" spans="1:5" x14ac:dyDescent="0.2">
      <c r="A51" s="6" t="s">
        <v>42</v>
      </c>
      <c r="B51" s="138">
        <v>6</v>
      </c>
      <c r="C51" s="138">
        <v>3285</v>
      </c>
      <c r="D51" s="141" t="s">
        <v>117</v>
      </c>
      <c r="E51" s="141"/>
    </row>
    <row r="52" spans="1:5" x14ac:dyDescent="0.2">
      <c r="B52" s="141"/>
      <c r="C52" s="141"/>
      <c r="D52" s="141"/>
      <c r="E52" s="141"/>
    </row>
    <row r="53" spans="1:5" x14ac:dyDescent="0.2">
      <c r="A53" s="2" t="s">
        <v>118</v>
      </c>
      <c r="B53" s="143">
        <v>2</v>
      </c>
      <c r="C53" s="143"/>
      <c r="D53" s="141"/>
      <c r="E53" s="141"/>
    </row>
    <row r="54" spans="1:5" x14ac:dyDescent="0.2">
      <c r="B54" s="141"/>
      <c r="C54" s="141"/>
      <c r="D54" s="141"/>
      <c r="E54" s="141"/>
    </row>
    <row r="55" spans="1:5" x14ac:dyDescent="0.2">
      <c r="A55" s="4" t="s">
        <v>119</v>
      </c>
      <c r="B55" s="141"/>
      <c r="C55" s="167">
        <f>C49/1000</f>
        <v>528</v>
      </c>
      <c r="D55" s="141"/>
      <c r="E55" s="141"/>
    </row>
    <row r="56" spans="1:5" x14ac:dyDescent="0.2">
      <c r="B56" s="141"/>
      <c r="C56" s="141"/>
      <c r="D56" s="141"/>
      <c r="E56" s="141"/>
    </row>
    <row r="57" spans="1:5" x14ac:dyDescent="0.2">
      <c r="B57" s="141"/>
      <c r="C57" s="141"/>
      <c r="D57" s="141"/>
      <c r="E57" s="141"/>
    </row>
    <row r="58" spans="1:5" s="2" customFormat="1" x14ac:dyDescent="0.2">
      <c r="A58" s="5" t="s">
        <v>120</v>
      </c>
      <c r="B58" s="143"/>
      <c r="C58" s="168">
        <f>C55+C51+C40+C39+C17+C16</f>
        <v>121921.06000000006</v>
      </c>
      <c r="D58" s="143"/>
      <c r="E58" s="143"/>
    </row>
    <row r="59" spans="1:5" x14ac:dyDescent="0.2">
      <c r="B59" s="141"/>
      <c r="C59" s="141"/>
      <c r="D59" s="141"/>
    </row>
    <row r="60" spans="1:5" x14ac:dyDescent="0.2">
      <c r="B60" s="141"/>
      <c r="C60" s="141"/>
      <c r="D60" s="141"/>
    </row>
    <row r="61" spans="1:5" x14ac:dyDescent="0.2">
      <c r="B61" s="141"/>
      <c r="C61" s="141"/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33" workbookViewId="0">
      <selection activeCell="Y69" sqref="Y6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206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14518</v>
      </c>
      <c r="C6" s="138">
        <v>2022198769.8200002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2472</v>
      </c>
      <c r="C7" s="138">
        <v>22337927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1146</v>
      </c>
      <c r="C9" s="136">
        <v>52058000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0</v>
      </c>
      <c r="C10" s="136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1</v>
      </c>
      <c r="C11" s="136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15</v>
      </c>
      <c r="C12" s="136">
        <v>4500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4</v>
      </c>
      <c r="C14" s="135"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5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206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2542</v>
      </c>
      <c r="C29" s="135">
        <v>2204384860.9900036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2474</v>
      </c>
      <c r="C30" s="135">
        <v>35092367.329999983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1174</v>
      </c>
      <c r="C32" s="135">
        <v>70870782.829999954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5</v>
      </c>
      <c r="C33" s="135">
        <v>206000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6</v>
      </c>
      <c r="C34" s="135">
        <v>249000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9</v>
      </c>
      <c r="C35" s="135">
        <v>36000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357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10</v>
      </c>
      <c r="C37" s="135">
        <v>65000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69">
        <v>171</v>
      </c>
      <c r="C39" s="169">
        <v>48313.179999999935</v>
      </c>
      <c r="D39" s="33" t="s">
        <v>100</v>
      </c>
      <c r="E39" s="33"/>
      <c r="F39" s="33">
        <v>31060</v>
      </c>
      <c r="G39" s="33">
        <v>17253</v>
      </c>
      <c r="H39" s="33"/>
      <c r="I39" s="33"/>
      <c r="J39" s="33"/>
    </row>
    <row r="40" spans="1:10" x14ac:dyDescent="0.2">
      <c r="A40" s="6" t="s">
        <v>41</v>
      </c>
      <c r="B40" s="135">
        <v>36</v>
      </c>
      <c r="C40" s="135">
        <v>2490</v>
      </c>
      <c r="D40" s="33" t="s">
        <v>100</v>
      </c>
      <c r="E40" s="33"/>
      <c r="F40" s="33">
        <v>96</v>
      </c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>
        <v>17873</v>
      </c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206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5" x14ac:dyDescent="0.2">
      <c r="A49" s="6" t="s">
        <v>39</v>
      </c>
      <c r="B49" s="138">
        <v>8</v>
      </c>
      <c r="C49" s="138">
        <v>1821000</v>
      </c>
      <c r="D49" s="141" t="s">
        <v>116</v>
      </c>
      <c r="E49" s="141"/>
    </row>
    <row r="50" spans="1:5" x14ac:dyDescent="0.2">
      <c r="A50" s="6" t="s">
        <v>40</v>
      </c>
      <c r="B50" s="138"/>
      <c r="C50" s="138"/>
      <c r="D50" s="141"/>
      <c r="E50" s="141"/>
    </row>
    <row r="51" spans="1:5" x14ac:dyDescent="0.2">
      <c r="A51" s="6" t="s">
        <v>42</v>
      </c>
      <c r="B51" s="138">
        <v>6</v>
      </c>
      <c r="C51" s="138">
        <v>3400</v>
      </c>
      <c r="D51" s="141" t="s">
        <v>117</v>
      </c>
      <c r="E51" s="141"/>
    </row>
    <row r="52" spans="1:5" x14ac:dyDescent="0.2">
      <c r="B52" s="141"/>
      <c r="C52" s="141"/>
      <c r="D52" s="141"/>
      <c r="E52" s="141"/>
    </row>
    <row r="53" spans="1:5" x14ac:dyDescent="0.2">
      <c r="A53" s="2" t="s">
        <v>118</v>
      </c>
      <c r="B53" s="143">
        <v>1</v>
      </c>
      <c r="C53" s="143"/>
      <c r="D53" s="141"/>
      <c r="E53" s="141"/>
    </row>
    <row r="54" spans="1:5" x14ac:dyDescent="0.2">
      <c r="B54" s="141"/>
      <c r="C54" s="141"/>
      <c r="D54" s="141"/>
      <c r="E54" s="141"/>
    </row>
    <row r="55" spans="1:5" x14ac:dyDescent="0.2">
      <c r="A55" s="4" t="s">
        <v>119</v>
      </c>
      <c r="B55" s="141"/>
      <c r="C55" s="167">
        <v>1821</v>
      </c>
      <c r="D55" s="141"/>
      <c r="E55" s="141"/>
    </row>
    <row r="56" spans="1:5" x14ac:dyDescent="0.2">
      <c r="B56" s="141"/>
      <c r="C56" s="141"/>
      <c r="D56" s="141"/>
      <c r="E56" s="141"/>
    </row>
    <row r="57" spans="1:5" x14ac:dyDescent="0.2">
      <c r="B57" s="141"/>
      <c r="C57" s="141"/>
      <c r="D57" s="141"/>
      <c r="E57" s="141"/>
    </row>
    <row r="58" spans="1:5" s="2" customFormat="1" x14ac:dyDescent="0.2">
      <c r="A58" s="5" t="s">
        <v>120</v>
      </c>
      <c r="B58" s="143"/>
      <c r="C58" s="168">
        <v>56024.179999999935</v>
      </c>
      <c r="D58" s="143"/>
      <c r="E58" s="143"/>
    </row>
    <row r="59" spans="1:5" x14ac:dyDescent="0.2">
      <c r="B59" s="141"/>
      <c r="C59" s="141"/>
      <c r="D59" s="141"/>
    </row>
    <row r="60" spans="1:5" x14ac:dyDescent="0.2">
      <c r="B60" s="141"/>
      <c r="C60" s="141"/>
      <c r="D60" s="141"/>
    </row>
    <row r="61" spans="1:5" x14ac:dyDescent="0.2">
      <c r="B61" s="141"/>
      <c r="C61" s="141"/>
    </row>
  </sheetData>
  <mergeCells count="3">
    <mergeCell ref="B2:C2"/>
    <mergeCell ref="B25:C25"/>
    <mergeCell ref="B45:C45"/>
  </mergeCells>
  <phoneticPr fontId="0" type="noConversion"/>
  <pageMargins left="0" right="0" top="0.25" bottom="0.25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29" workbookViewId="0">
      <selection activeCell="Y69" sqref="Y6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202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16925</v>
      </c>
      <c r="C6" s="138">
        <v>2409994974.3399992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3164</v>
      </c>
      <c r="C7" s="138">
        <v>23724896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1016</v>
      </c>
      <c r="C9" s="136">
        <v>46714190.00999999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0</v>
      </c>
      <c r="C10" s="136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5</v>
      </c>
      <c r="C11" s="136">
        <v>225000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8</v>
      </c>
      <c r="C12" s="136">
        <v>2400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1</v>
      </c>
      <c r="C14" s="135">
        <v>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10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202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3627</v>
      </c>
      <c r="C29" s="135">
        <v>2250285217.1899977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2924</v>
      </c>
      <c r="C30" s="135">
        <v>31997546.390000038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1728</v>
      </c>
      <c r="C32" s="135">
        <v>114156966.0799998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15</v>
      </c>
      <c r="C33" s="135">
        <v>925498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11</v>
      </c>
      <c r="C34" s="135">
        <v>4804000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8</v>
      </c>
      <c r="C35" s="135">
        <v>27600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477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5</v>
      </c>
      <c r="C37" s="135">
        <v>25000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69">
        <v>59</v>
      </c>
      <c r="C39" s="169">
        <v>123064.14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35</v>
      </c>
      <c r="C40" s="135">
        <v>4537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>
        <v>26520</v>
      </c>
      <c r="D42" s="83" t="s">
        <v>209</v>
      </c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 t="s">
        <v>210</v>
      </c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202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5" x14ac:dyDescent="0.2">
      <c r="A49" s="6" t="s">
        <v>39</v>
      </c>
      <c r="B49" s="138">
        <v>3</v>
      </c>
      <c r="C49" s="138">
        <v>282000</v>
      </c>
      <c r="D49" s="141" t="s">
        <v>116</v>
      </c>
      <c r="E49" s="141"/>
    </row>
    <row r="50" spans="1:5" x14ac:dyDescent="0.2">
      <c r="A50" s="6" t="s">
        <v>40</v>
      </c>
      <c r="B50" s="138"/>
      <c r="C50" s="138"/>
      <c r="D50" s="141"/>
      <c r="E50" s="141"/>
    </row>
    <row r="51" spans="1:5" x14ac:dyDescent="0.2">
      <c r="A51" s="6" t="s">
        <v>42</v>
      </c>
      <c r="B51" s="138">
        <v>2</v>
      </c>
      <c r="C51" s="138">
        <v>6660</v>
      </c>
      <c r="D51" s="141" t="s">
        <v>117</v>
      </c>
      <c r="E51" s="141"/>
    </row>
    <row r="52" spans="1:5" x14ac:dyDescent="0.2">
      <c r="B52" s="141"/>
      <c r="C52" s="141"/>
      <c r="D52" s="141"/>
      <c r="E52" s="141"/>
    </row>
    <row r="53" spans="1:5" x14ac:dyDescent="0.2">
      <c r="A53" s="2" t="s">
        <v>118</v>
      </c>
      <c r="B53" s="143">
        <v>1</v>
      </c>
      <c r="C53" s="143"/>
      <c r="D53" s="141"/>
      <c r="E53" s="141"/>
    </row>
    <row r="54" spans="1:5" x14ac:dyDescent="0.2">
      <c r="B54" s="141"/>
      <c r="C54" s="141"/>
      <c r="D54" s="141"/>
      <c r="E54" s="141"/>
    </row>
    <row r="55" spans="1:5" x14ac:dyDescent="0.2">
      <c r="A55" s="4" t="s">
        <v>119</v>
      </c>
      <c r="B55" s="141"/>
      <c r="C55" s="167">
        <v>282</v>
      </c>
      <c r="D55" s="141"/>
      <c r="E55" s="141"/>
    </row>
    <row r="56" spans="1:5" x14ac:dyDescent="0.2">
      <c r="B56" s="141"/>
      <c r="C56" s="141"/>
      <c r="D56" s="141"/>
      <c r="E56" s="141"/>
    </row>
    <row r="57" spans="1:5" x14ac:dyDescent="0.2">
      <c r="B57" s="141"/>
      <c r="C57" s="141"/>
      <c r="D57" s="141"/>
      <c r="E57" s="141"/>
    </row>
    <row r="58" spans="1:5" s="2" customFormat="1" x14ac:dyDescent="0.2">
      <c r="A58" s="5" t="s">
        <v>120</v>
      </c>
      <c r="B58" s="143"/>
      <c r="C58" s="168">
        <v>134543.14000000001</v>
      </c>
      <c r="D58" s="143"/>
      <c r="E58" s="143"/>
    </row>
    <row r="59" spans="1:5" x14ac:dyDescent="0.2">
      <c r="B59" s="141"/>
      <c r="C59" s="141"/>
      <c r="D59" s="141"/>
    </row>
    <row r="60" spans="1:5" x14ac:dyDescent="0.2">
      <c r="B60" s="141"/>
      <c r="C60" s="141"/>
      <c r="D60" s="141"/>
    </row>
    <row r="61" spans="1:5" x14ac:dyDescent="0.2">
      <c r="B61" s="141"/>
      <c r="C61" s="141"/>
    </row>
  </sheetData>
  <mergeCells count="3">
    <mergeCell ref="B2:C2"/>
    <mergeCell ref="B25:C25"/>
    <mergeCell ref="B45:C45"/>
  </mergeCells>
  <phoneticPr fontId="0" type="noConversion"/>
  <pageMargins left="0.75" right="0.25" top="0.5" bottom="0.5" header="0.5" footer="0.5"/>
  <pageSetup scale="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6</vt:i4>
      </vt:variant>
    </vt:vector>
  </HeadingPairs>
  <TitlesOfParts>
    <vt:vector size="31" baseType="lpstr">
      <vt:lpstr>Weekly Report</vt:lpstr>
      <vt:lpstr>Data</vt:lpstr>
      <vt:lpstr>EIM New Deals</vt:lpstr>
      <vt:lpstr>EIM Volumes</vt:lpstr>
      <vt:lpstr>WE 6-6 EOL Data</vt:lpstr>
      <vt:lpstr>WE 5-23 EOL Data</vt:lpstr>
      <vt:lpstr>WE 5-16 EOL Data</vt:lpstr>
      <vt:lpstr>WE 5-9 EOL Data</vt:lpstr>
      <vt:lpstr>WE 5-2 EOL Data</vt:lpstr>
      <vt:lpstr>WE 4-25 EOL Data</vt:lpstr>
      <vt:lpstr>WE 4-18 EOL Data</vt:lpstr>
      <vt:lpstr>WE 2-22 EOL Data</vt:lpstr>
      <vt:lpstr>WE 2-28 EOL Data</vt:lpstr>
      <vt:lpstr>WE 3-7 EOL Data</vt:lpstr>
      <vt:lpstr>WE 2-15 EOL Data</vt:lpstr>
      <vt:lpstr>WE 2-8 EOL Data</vt:lpstr>
      <vt:lpstr>WE 3-14 EOL Data</vt:lpstr>
      <vt:lpstr>WE 3-21 EOL Data</vt:lpstr>
      <vt:lpstr>WE 3-28 EOL Data</vt:lpstr>
      <vt:lpstr>WE 4-4 EOL Data</vt:lpstr>
      <vt:lpstr>WE 4-11 EOL Data</vt:lpstr>
      <vt:lpstr>WE 2-1 EOL Data</vt:lpstr>
      <vt:lpstr>template from individuals</vt:lpstr>
      <vt:lpstr>template from eol</vt:lpstr>
      <vt:lpstr>Data People</vt:lpstr>
      <vt:lpstr>Data!Print_Area</vt:lpstr>
      <vt:lpstr>'EIM New Deals'!Print_Area</vt:lpstr>
      <vt:lpstr>'template from individuals'!Print_Area</vt:lpstr>
      <vt:lpstr>'Weekly Report'!Print_Area</vt:lpstr>
      <vt:lpstr>Data!Print_Titles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Jan Havlíček</cp:lastModifiedBy>
  <cp:lastPrinted>2001-06-07T22:01:44Z</cp:lastPrinted>
  <dcterms:created xsi:type="dcterms:W3CDTF">2001-01-24T16:52:27Z</dcterms:created>
  <dcterms:modified xsi:type="dcterms:W3CDTF">2023-09-19T15:58:41Z</dcterms:modified>
</cp:coreProperties>
</file>