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7C1E93-5E78-42D2-9B3B-89913214A18F}" xr6:coauthVersionLast="47" xr6:coauthVersionMax="47" xr10:uidLastSave="{00000000-0000-0000-0000-000000000000}"/>
  <bookViews>
    <workbookView xWindow="-120" yWindow="-120" windowWidth="38640" windowHeight="15720" activeTab="3"/>
  </bookViews>
  <sheets>
    <sheet name="Description" sheetId="5" r:id="rId1"/>
    <sheet name="Assumptions" sheetId="2" r:id="rId2"/>
    <sheet name="Legacy" sheetId="1" r:id="rId3"/>
    <sheet name="New" sheetId="4" r:id="rId4"/>
  </sheets>
  <definedNames>
    <definedName name="_xlnm.Print_Area" localSheetId="1">Assumptions!$A$1:$P$73</definedName>
    <definedName name="_xlnm.Print_Area" localSheetId="2">Legacy!$A$1:$S$48</definedName>
    <definedName name="_xlnm.Print_Area" localSheetId="3">New!$A$1:$R$49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B9" i="2"/>
  <c r="C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C14" i="2"/>
  <c r="C15" i="2"/>
  <c r="K15" i="2"/>
  <c r="L15" i="2"/>
  <c r="M15" i="2"/>
  <c r="N15" i="2"/>
  <c r="O15" i="2"/>
  <c r="A16" i="2"/>
  <c r="B16" i="2"/>
  <c r="C16" i="2"/>
  <c r="B19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B26" i="2"/>
  <c r="C26" i="2"/>
  <c r="D26" i="2"/>
  <c r="K26" i="2"/>
  <c r="L26" i="2"/>
  <c r="M26" i="2"/>
  <c r="N26" i="2"/>
  <c r="O26" i="2"/>
  <c r="B27" i="2"/>
  <c r="C27" i="2"/>
  <c r="D27" i="2"/>
  <c r="B28" i="2"/>
  <c r="C28" i="2"/>
  <c r="D28" i="2"/>
  <c r="B29" i="2"/>
  <c r="C29" i="2"/>
  <c r="D29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B36" i="2"/>
  <c r="K37" i="2"/>
  <c r="L37" i="2"/>
  <c r="M37" i="2"/>
  <c r="N37" i="2"/>
  <c r="O37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50" i="2"/>
  <c r="L50" i="2"/>
  <c r="M50" i="2"/>
  <c r="N50" i="2"/>
  <c r="O50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1" i="2"/>
  <c r="L61" i="2"/>
  <c r="M61" i="2"/>
  <c r="N61" i="2"/>
  <c r="O61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2" i="2"/>
  <c r="L72" i="2"/>
  <c r="M72" i="2"/>
  <c r="N72" i="2"/>
  <c r="O72" i="2"/>
  <c r="C6" i="1"/>
  <c r="D6" i="1"/>
  <c r="E6" i="1"/>
  <c r="H6" i="1"/>
  <c r="I6" i="1"/>
  <c r="J6" i="1"/>
  <c r="M6" i="1"/>
  <c r="N6" i="1"/>
  <c r="O6" i="1"/>
  <c r="C7" i="1"/>
  <c r="D7" i="1"/>
  <c r="E7" i="1"/>
  <c r="H7" i="1"/>
  <c r="I7" i="1"/>
  <c r="J7" i="1"/>
  <c r="M7" i="1"/>
  <c r="N7" i="1"/>
  <c r="O7" i="1"/>
  <c r="D8" i="1"/>
  <c r="I8" i="1"/>
  <c r="N8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R14" i="1"/>
  <c r="C21" i="1"/>
  <c r="D21" i="1"/>
  <c r="E21" i="1"/>
  <c r="H21" i="1"/>
  <c r="I21" i="1"/>
  <c r="J21" i="1"/>
  <c r="M21" i="1"/>
  <c r="N21" i="1"/>
  <c r="O21" i="1"/>
  <c r="C22" i="1"/>
  <c r="D22" i="1"/>
  <c r="E22" i="1"/>
  <c r="H22" i="1"/>
  <c r="I22" i="1"/>
  <c r="J22" i="1"/>
  <c r="M22" i="1"/>
  <c r="N22" i="1"/>
  <c r="O22" i="1"/>
  <c r="D23" i="1"/>
  <c r="I23" i="1"/>
  <c r="N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R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R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R29" i="1"/>
  <c r="C36" i="1"/>
  <c r="D36" i="1"/>
  <c r="E36" i="1"/>
  <c r="H36" i="1"/>
  <c r="I36" i="1"/>
  <c r="J36" i="1"/>
  <c r="M36" i="1"/>
  <c r="N36" i="1"/>
  <c r="O36" i="1"/>
  <c r="C37" i="1"/>
  <c r="D37" i="1"/>
  <c r="E37" i="1"/>
  <c r="H37" i="1"/>
  <c r="I37" i="1"/>
  <c r="J37" i="1"/>
  <c r="M37" i="1"/>
  <c r="N37" i="1"/>
  <c r="O37" i="1"/>
  <c r="D38" i="1"/>
  <c r="I38" i="1"/>
  <c r="N38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R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R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R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R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R44" i="1"/>
  <c r="C6" i="4"/>
  <c r="D6" i="4"/>
  <c r="E6" i="4"/>
  <c r="H6" i="4"/>
  <c r="I6" i="4"/>
  <c r="J6" i="4"/>
  <c r="M6" i="4"/>
  <c r="N6" i="4"/>
  <c r="O6" i="4"/>
  <c r="C7" i="4"/>
  <c r="D7" i="4"/>
  <c r="E7" i="4"/>
  <c r="H7" i="4"/>
  <c r="I7" i="4"/>
  <c r="J7" i="4"/>
  <c r="M7" i="4"/>
  <c r="N7" i="4"/>
  <c r="O7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C21" i="4"/>
  <c r="D21" i="4"/>
  <c r="E21" i="4"/>
  <c r="H21" i="4"/>
  <c r="I21" i="4"/>
  <c r="J21" i="4"/>
  <c r="M21" i="4"/>
  <c r="N21" i="4"/>
  <c r="O21" i="4"/>
  <c r="C22" i="4"/>
  <c r="D22" i="4"/>
  <c r="E22" i="4"/>
  <c r="H22" i="4"/>
  <c r="I22" i="4"/>
  <c r="J22" i="4"/>
  <c r="M22" i="4"/>
  <c r="N22" i="4"/>
  <c r="O22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C36" i="4"/>
  <c r="D36" i="4"/>
  <c r="E36" i="4"/>
  <c r="H36" i="4"/>
  <c r="I36" i="4"/>
  <c r="J36" i="4"/>
  <c r="M36" i="4"/>
  <c r="N36" i="4"/>
  <c r="O36" i="4"/>
  <c r="C37" i="4"/>
  <c r="D37" i="4"/>
  <c r="E37" i="4"/>
  <c r="H37" i="4"/>
  <c r="I37" i="4"/>
  <c r="J37" i="4"/>
  <c r="M37" i="4"/>
  <c r="N37" i="4"/>
  <c r="O37" i="4"/>
  <c r="W38" i="4"/>
  <c r="X38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</calcChain>
</file>

<file path=xl/sharedStrings.xml><?xml version="1.0" encoding="utf-8"?>
<sst xmlns="http://schemas.openxmlformats.org/spreadsheetml/2006/main" count="364" uniqueCount="87">
  <si>
    <t>ANNUAL SALES</t>
  </si>
  <si>
    <t>PG&amp;E</t>
  </si>
  <si>
    <t>Edison</t>
  </si>
  <si>
    <t>SDG&amp;E</t>
  </si>
  <si>
    <t>Total</t>
  </si>
  <si>
    <t>BONDS</t>
  </si>
  <si>
    <t>Amount Raised</t>
  </si>
  <si>
    <t>Rate</t>
  </si>
  <si>
    <t>Interest</t>
  </si>
  <si>
    <t>ASSUMED DISCOUNT RATES</t>
  </si>
  <si>
    <t>Bonds</t>
  </si>
  <si>
    <t>Contracts</t>
  </si>
  <si>
    <t>Undercollection</t>
  </si>
  <si>
    <t>DWR'S COST ALLOCATION - 2001&amp;2002 (USD billions)</t>
  </si>
  <si>
    <t>Share</t>
  </si>
  <si>
    <t>Above market contract costs</t>
  </si>
  <si>
    <t>OTHER COSTS</t>
  </si>
  <si>
    <t>Amortization (years)</t>
  </si>
  <si>
    <t xml:space="preserve">Utility Undercollection </t>
  </si>
  <si>
    <t xml:space="preserve">Bonds </t>
  </si>
  <si>
    <t xml:space="preserve">Contracts </t>
  </si>
  <si>
    <t>Employee Transition</t>
  </si>
  <si>
    <t>Power Purchase Obligations</t>
  </si>
  <si>
    <t xml:space="preserve">Nuclear Incremental </t>
  </si>
  <si>
    <t>CTC Exempts</t>
  </si>
  <si>
    <t>Probability</t>
  </si>
  <si>
    <t>Scenario</t>
  </si>
  <si>
    <t>% Collected</t>
  </si>
  <si>
    <t>Utility Undercollection</t>
  </si>
  <si>
    <t>SCE</t>
  </si>
  <si>
    <t>SDGE</t>
  </si>
  <si>
    <t xml:space="preserve">Above Market Contract Cost </t>
  </si>
  <si>
    <t>Above Market Contract Cost</t>
  </si>
  <si>
    <t>NEW CUSTOMERS (DA for first time as of 10/1/01)</t>
  </si>
  <si>
    <t>ASSUMPTIONS/DATA</t>
  </si>
  <si>
    <r>
      <t>SCENARIO ANALYSIS (</t>
    </r>
    <r>
      <rPr>
        <b/>
        <sz val="10"/>
        <color indexed="48"/>
        <rFont val="Arial"/>
        <family val="2"/>
      </rPr>
      <t>scenario numbers</t>
    </r>
    <r>
      <rPr>
        <b/>
        <sz val="10"/>
        <rFont val="Arial"/>
        <family val="2"/>
      </rPr>
      <t xml:space="preserve"> can be changed)</t>
    </r>
  </si>
  <si>
    <t>KEY</t>
  </si>
  <si>
    <t>Impacts all DA customers</t>
  </si>
  <si>
    <t>Impact is prorated</t>
  </si>
  <si>
    <t>Legacy Customers</t>
  </si>
  <si>
    <t>New Customers</t>
  </si>
  <si>
    <t xml:space="preserve">FTA Related </t>
  </si>
  <si>
    <t>Costs do not apply</t>
  </si>
  <si>
    <t>Sub Total</t>
  </si>
  <si>
    <t>Regulatory Costs</t>
  </si>
  <si>
    <t xml:space="preserve">Total </t>
  </si>
  <si>
    <t>$</t>
  </si>
  <si>
    <t xml:space="preserve">Cost Categories:  </t>
  </si>
  <si>
    <t>Utility Undercollection Prior to DWR Role</t>
  </si>
  <si>
    <t>$11.13 Billion</t>
  </si>
  <si>
    <t>DWR Bonds covering 2001-02</t>
  </si>
  <si>
    <t>$12.50 Billion</t>
  </si>
  <si>
    <t>DWR Above Market Contract Cost</t>
  </si>
  <si>
    <t>$9.55 Billion</t>
  </si>
  <si>
    <t>PUC Decision on Cost Responsibility for Costs:</t>
  </si>
  <si>
    <t>Enron Customer Categories:</t>
  </si>
  <si>
    <t>"Legacy":  pre-2001 contract; was switched to utility in 2001 and back to DA prior to 9/1/01</t>
  </si>
  <si>
    <t>"New":      newly enrolled in summer 2001 as DA; previously was utility customer all along</t>
  </si>
  <si>
    <t>Cost Category:  Utility Undercollection</t>
  </si>
  <si>
    <t>Assumption 1:  cents on the $ ultimately collected by utility</t>
  </si>
  <si>
    <t>PGE</t>
  </si>
  <si>
    <t>Assumption 2:  PUC decision on cost responsibility</t>
  </si>
  <si>
    <t>Assumption 3:  Proration factor for PUC decision Scenario 2</t>
  </si>
  <si>
    <t>STRUCTURAL ASSUMPTIONS</t>
  </si>
  <si>
    <t>Cost Category:  DWR Bonds</t>
  </si>
  <si>
    <t>Cost Category:  DWR Out of Market Costs</t>
  </si>
  <si>
    <t>as utility customer</t>
  </si>
  <si>
    <t xml:space="preserve">Weighted </t>
  </si>
  <si>
    <t>Avg</t>
  </si>
  <si>
    <t>Factor</t>
  </si>
  <si>
    <t>LEGACY CUSTOMERS (DA as of 9/01/01 - but had switched back and forth)</t>
  </si>
  <si>
    <t>Weighted</t>
  </si>
  <si>
    <t>Average</t>
  </si>
  <si>
    <t>Regulatory Costs Breakdown</t>
  </si>
  <si>
    <t>Weighted Avg. Total</t>
  </si>
  <si>
    <t>Scenario A-</t>
  </si>
  <si>
    <t>Scenario B-</t>
  </si>
  <si>
    <t>Scenario C-</t>
  </si>
  <si>
    <t>A</t>
  </si>
  <si>
    <t>B</t>
  </si>
  <si>
    <t>C</t>
  </si>
  <si>
    <t>Scenario A</t>
  </si>
  <si>
    <t>Scenario B</t>
  </si>
  <si>
    <t>Scenario C</t>
  </si>
  <si>
    <t>Scenario (A):  All customers pay regardless of DA status</t>
  </si>
  <si>
    <t xml:space="preserve">Scenario (B):  Cost does not apply to DA as of 9/1/01, but proration applies for time spent </t>
  </si>
  <si>
    <t>Scenario (C):  Cost does not apply to DA as of 9/1/01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</si>
</sst>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0.0%"/>
    <numFmt numFmtId="169" formatCode="&quot;$&quot;#,##0.0000_);[Red]\(&quot;$&quot;#,##0.0000\)"/>
    <numFmt numFmtId="171" formatCode="_(* #,##0_);_(* \(#,##0\);_(* &quot;-&quot;??_);_(@_)"/>
    <numFmt numFmtId="175" formatCode="&quot;$&quot;#,##0.00"/>
    <numFmt numFmtId="177" formatCode="&quot;$&quot;#,##0.0000"/>
    <numFmt numFmtId="178" formatCode="_(&quot;$&quot;* #,##0.000_);_(&quot;$&quot;* \(#,##0.000\);_(&quot;$&quot;* &quot;-&quot;??_);_(@_)"/>
    <numFmt numFmtId="179" formatCode="0.0000%"/>
    <numFmt numFmtId="180" formatCode="0.0"/>
  </numFmts>
  <fonts count="14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i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color indexed="48"/>
      <name val="Arial"/>
      <family val="2"/>
    </font>
    <font>
      <b/>
      <sz val="10"/>
      <name val="Arial"/>
      <family val="2"/>
    </font>
    <font>
      <b/>
      <sz val="10"/>
      <color indexed="4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4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71" fontId="3" fillId="0" borderId="0" xfId="1" applyNumberFormat="1" applyFont="1" applyBorder="1"/>
    <xf numFmtId="166" fontId="3" fillId="0" borderId="6" xfId="3" applyNumberFormat="1" applyFont="1" applyBorder="1"/>
    <xf numFmtId="166" fontId="3" fillId="0" borderId="0" xfId="3" applyNumberFormat="1" applyFont="1" applyBorder="1"/>
    <xf numFmtId="0" fontId="3" fillId="0" borderId="6" xfId="0" applyFont="1" applyBorder="1"/>
    <xf numFmtId="0" fontId="3" fillId="0" borderId="7" xfId="0" applyFont="1" applyBorder="1"/>
    <xf numFmtId="171" fontId="3" fillId="0" borderId="1" xfId="1" applyNumberFormat="1" applyFont="1" applyBorder="1"/>
    <xf numFmtId="166" fontId="3" fillId="0" borderId="8" xfId="3" applyNumberFormat="1" applyFont="1" applyBorder="1"/>
    <xf numFmtId="0" fontId="4" fillId="0" borderId="2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3" fillId="0" borderId="5" xfId="2" applyNumberFormat="1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65" fontId="3" fillId="0" borderId="6" xfId="2" applyNumberFormat="1" applyFont="1" applyBorder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165" fontId="3" fillId="0" borderId="7" xfId="2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center"/>
    </xf>
    <xf numFmtId="165" fontId="3" fillId="0" borderId="8" xfId="2" applyNumberFormat="1" applyFont="1" applyBorder="1" applyAlignment="1">
      <alignment horizontal="center"/>
    </xf>
    <xf numFmtId="165" fontId="3" fillId="0" borderId="0" xfId="2" applyNumberFormat="1" applyFont="1"/>
    <xf numFmtId="10" fontId="2" fillId="0" borderId="0" xfId="3" applyNumberFormat="1" applyFont="1"/>
    <xf numFmtId="10" fontId="2" fillId="0" borderId="4" xfId="3" applyNumberFormat="1" applyFont="1" applyBorder="1"/>
    <xf numFmtId="10" fontId="2" fillId="0" borderId="0" xfId="3" applyNumberFormat="1" applyFont="1" applyBorder="1"/>
    <xf numFmtId="165" fontId="3" fillId="0" borderId="5" xfId="2" applyNumberFormat="1" applyFont="1" applyBorder="1"/>
    <xf numFmtId="10" fontId="2" fillId="0" borderId="6" xfId="3" applyNumberFormat="1" applyFont="1" applyBorder="1"/>
    <xf numFmtId="165" fontId="3" fillId="0" borderId="7" xfId="2" applyNumberFormat="1" applyFont="1" applyBorder="1"/>
    <xf numFmtId="10" fontId="2" fillId="0" borderId="8" xfId="3" applyNumberFormat="1" applyFont="1" applyBorder="1"/>
    <xf numFmtId="165" fontId="3" fillId="0" borderId="0" xfId="2" applyNumberFormat="1" applyFont="1" applyBorder="1"/>
    <xf numFmtId="0" fontId="2" fillId="0" borderId="4" xfId="0" applyFont="1" applyBorder="1"/>
    <xf numFmtId="0" fontId="2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66" fontId="6" fillId="0" borderId="0" xfId="3" applyNumberFormat="1" applyFont="1" applyBorder="1" applyAlignment="1">
      <alignment horizontal="center"/>
    </xf>
    <xf numFmtId="44" fontId="3" fillId="0" borderId="0" xfId="2" applyFont="1" applyBorder="1"/>
    <xf numFmtId="44" fontId="3" fillId="0" borderId="6" xfId="2" applyFont="1" applyBorder="1"/>
    <xf numFmtId="44" fontId="3" fillId="0" borderId="10" xfId="2" applyFont="1" applyBorder="1"/>
    <xf numFmtId="44" fontId="3" fillId="0" borderId="11" xfId="2" applyFont="1" applyBorder="1"/>
    <xf numFmtId="166" fontId="6" fillId="0" borderId="1" xfId="3" applyNumberFormat="1" applyFont="1" applyBorder="1" applyAlignment="1">
      <alignment horizontal="center"/>
    </xf>
    <xf numFmtId="44" fontId="3" fillId="0" borderId="1" xfId="0" applyNumberFormat="1" applyFont="1" applyBorder="1"/>
    <xf numFmtId="44" fontId="3" fillId="0" borderId="8" xfId="0" applyNumberFormat="1" applyFont="1" applyBorder="1"/>
    <xf numFmtId="44" fontId="3" fillId="0" borderId="0" xfId="0" applyNumberFormat="1" applyFont="1" applyBorder="1"/>
    <xf numFmtId="0" fontId="3" fillId="0" borderId="0" xfId="0" applyFont="1" applyBorder="1" applyAlignment="1">
      <alignment horizontal="right" wrapText="1"/>
    </xf>
    <xf numFmtId="0" fontId="2" fillId="0" borderId="7" xfId="0" applyFont="1" applyBorder="1"/>
    <xf numFmtId="0" fontId="3" fillId="0" borderId="0" xfId="0" applyFont="1" applyAlignment="1"/>
    <xf numFmtId="169" fontId="3" fillId="0" borderId="0" xfId="0" applyNumberFormat="1" applyFont="1" applyAlignment="1">
      <alignment horizontal="center"/>
    </xf>
    <xf numFmtId="169" fontId="3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178" fontId="3" fillId="0" borderId="0" xfId="2" applyNumberFormat="1" applyFont="1" applyBorder="1" applyAlignment="1">
      <alignment horizontal="center"/>
    </xf>
    <xf numFmtId="179" fontId="3" fillId="0" borderId="0" xfId="3" applyNumberFormat="1" applyFont="1" applyBorder="1"/>
    <xf numFmtId="0" fontId="3" fillId="0" borderId="3" xfId="0" applyFont="1" applyFill="1" applyBorder="1" applyAlignment="1"/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9" fontId="3" fillId="0" borderId="0" xfId="0" applyNumberFormat="1" applyFont="1" applyFill="1" applyBorder="1" applyAlignment="1">
      <alignment horizontal="center"/>
    </xf>
    <xf numFmtId="0" fontId="3" fillId="0" borderId="5" xfId="0" applyFont="1" applyFill="1" applyBorder="1"/>
    <xf numFmtId="0" fontId="2" fillId="0" borderId="6" xfId="0" applyFont="1" applyFill="1" applyBorder="1" applyAlignment="1">
      <alignment horizontal="left"/>
    </xf>
    <xf numFmtId="9" fontId="3" fillId="0" borderId="6" xfId="0" applyNumberFormat="1" applyFont="1" applyFill="1" applyBorder="1" applyAlignment="1">
      <alignment horizontal="center"/>
    </xf>
    <xf numFmtId="169" fontId="3" fillId="0" borderId="6" xfId="0" applyNumberFormat="1" applyFont="1" applyFill="1" applyBorder="1"/>
    <xf numFmtId="169" fontId="3" fillId="0" borderId="1" xfId="0" applyNumberFormat="1" applyFont="1" applyFill="1" applyBorder="1"/>
    <xf numFmtId="169" fontId="3" fillId="0" borderId="8" xfId="0" applyNumberFormat="1" applyFont="1" applyFill="1" applyBorder="1"/>
    <xf numFmtId="0" fontId="3" fillId="0" borderId="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7" fillId="0" borderId="0" xfId="0" applyFont="1" applyFill="1" applyBorder="1" applyAlignment="1"/>
    <xf numFmtId="0" fontId="2" fillId="0" borderId="7" xfId="0" applyFont="1" applyFill="1" applyBorder="1" applyAlignment="1"/>
    <xf numFmtId="0" fontId="3" fillId="0" borderId="1" xfId="0" applyFont="1" applyFill="1" applyBorder="1" applyAlignment="1"/>
    <xf numFmtId="0" fontId="3" fillId="0" borderId="8" xfId="0" applyFont="1" applyFill="1" applyBorder="1" applyAlignment="1"/>
    <xf numFmtId="0" fontId="3" fillId="0" borderId="7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169" fontId="3" fillId="2" borderId="5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" fontId="3" fillId="0" borderId="0" xfId="3" applyNumberFormat="1" applyFont="1" applyBorder="1"/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0" fillId="0" borderId="3" xfId="0" applyBorder="1"/>
    <xf numFmtId="0" fontId="3" fillId="0" borderId="2" xfId="0" applyFont="1" applyFill="1" applyBorder="1" applyAlignment="1"/>
    <xf numFmtId="0" fontId="3" fillId="0" borderId="4" xfId="0" applyFont="1" applyFill="1" applyBorder="1" applyAlignment="1"/>
    <xf numFmtId="0" fontId="8" fillId="0" borderId="0" xfId="0" applyFont="1" applyFill="1" applyBorder="1" applyAlignment="1"/>
    <xf numFmtId="0" fontId="9" fillId="3" borderId="5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10" fillId="0" borderId="2" xfId="0" applyFont="1" applyBorder="1"/>
    <xf numFmtId="0" fontId="10" fillId="0" borderId="0" xfId="0" applyFont="1" applyBorder="1"/>
    <xf numFmtId="0" fontId="4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0" fontId="2" fillId="5" borderId="0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/>
    </xf>
    <xf numFmtId="0" fontId="0" fillId="0" borderId="5" xfId="0" applyFill="1" applyBorder="1"/>
    <xf numFmtId="0" fontId="2" fillId="0" borderId="2" xfId="0" applyFont="1" applyBorder="1"/>
    <xf numFmtId="0" fontId="9" fillId="3" borderId="5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171" fontId="3" fillId="0" borderId="0" xfId="1" applyNumberFormat="1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4" borderId="9" xfId="0" applyFont="1" applyFill="1" applyBorder="1" applyAlignment="1">
      <alignment horizontal="left" vertical="top" wrapText="1"/>
    </xf>
    <xf numFmtId="0" fontId="3" fillId="4" borderId="10" xfId="0" applyFont="1" applyFill="1" applyBorder="1" applyAlignment="1">
      <alignment horizontal="left" vertical="top" wrapText="1"/>
    </xf>
    <xf numFmtId="0" fontId="3" fillId="4" borderId="11" xfId="0" applyFont="1" applyFill="1" applyBorder="1" applyAlignment="1">
      <alignment horizontal="left" vertical="top" wrapText="1"/>
    </xf>
    <xf numFmtId="177" fontId="0" fillId="0" borderId="1" xfId="0" applyNumberFormat="1" applyBorder="1"/>
    <xf numFmtId="177" fontId="0" fillId="0" borderId="0" xfId="0" applyNumberFormat="1" applyBorder="1"/>
    <xf numFmtId="177" fontId="0" fillId="0" borderId="6" xfId="0" applyNumberFormat="1" applyBorder="1"/>
    <xf numFmtId="177" fontId="0" fillId="0" borderId="0" xfId="0" applyNumberFormat="1" applyFill="1" applyBorder="1"/>
    <xf numFmtId="177" fontId="0" fillId="0" borderId="6" xfId="0" applyNumberFormat="1" applyFill="1" applyBorder="1"/>
    <xf numFmtId="177" fontId="0" fillId="0" borderId="1" xfId="0" applyNumberFormat="1" applyFill="1" applyBorder="1"/>
    <xf numFmtId="0" fontId="2" fillId="0" borderId="12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/>
    </xf>
    <xf numFmtId="0" fontId="12" fillId="0" borderId="0" xfId="0" applyFont="1"/>
    <xf numFmtId="175" fontId="12" fillId="0" borderId="0" xfId="0" applyNumberFormat="1" applyFont="1"/>
    <xf numFmtId="9" fontId="12" fillId="0" borderId="0" xfId="0" applyNumberFormat="1" applyFont="1"/>
    <xf numFmtId="0" fontId="10" fillId="0" borderId="0" xfId="0" applyFont="1"/>
    <xf numFmtId="0" fontId="13" fillId="0" borderId="0" xfId="0" applyFont="1"/>
    <xf numFmtId="180" fontId="3" fillId="0" borderId="1" xfId="0" applyNumberFormat="1" applyFont="1" applyFill="1" applyBorder="1" applyAlignment="1"/>
    <xf numFmtId="180" fontId="3" fillId="0" borderId="8" xfId="0" applyNumberFormat="1" applyFont="1" applyFill="1" applyBorder="1" applyAlignment="1"/>
    <xf numFmtId="180" fontId="3" fillId="0" borderId="7" xfId="0" applyNumberFormat="1" applyFont="1" applyFill="1" applyBorder="1" applyAlignment="1"/>
    <xf numFmtId="0" fontId="3" fillId="0" borderId="6" xfId="0" applyFont="1" applyFill="1" applyBorder="1" applyAlignment="1"/>
    <xf numFmtId="0" fontId="3" fillId="0" borderId="5" xfId="0" applyFont="1" applyFill="1" applyBorder="1" applyAlignment="1"/>
    <xf numFmtId="0" fontId="3" fillId="4" borderId="6" xfId="0" applyFont="1" applyFill="1" applyBorder="1" applyAlignment="1">
      <alignment horizontal="right" wrapText="1"/>
    </xf>
    <xf numFmtId="44" fontId="3" fillId="4" borderId="6" xfId="2" applyFont="1" applyFill="1" applyBorder="1"/>
    <xf numFmtId="44" fontId="3" fillId="4" borderId="11" xfId="2" applyFont="1" applyFill="1" applyBorder="1"/>
    <xf numFmtId="44" fontId="3" fillId="4" borderId="8" xfId="0" applyNumberFormat="1" applyFont="1" applyFill="1" applyBorder="1"/>
    <xf numFmtId="169" fontId="3" fillId="2" borderId="0" xfId="0" applyNumberFormat="1" applyFont="1" applyFill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169" fontId="3" fillId="0" borderId="0" xfId="0" applyNumberFormat="1" applyFont="1" applyBorder="1"/>
    <xf numFmtId="177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7" fillId="0" borderId="2" xfId="0" applyFont="1" applyFill="1" applyBorder="1" applyAlignment="1"/>
    <xf numFmtId="0" fontId="2" fillId="0" borderId="3" xfId="0" applyFont="1" applyFill="1" applyBorder="1" applyAlignment="1">
      <alignment horizontal="center"/>
    </xf>
    <xf numFmtId="0" fontId="3" fillId="0" borderId="13" xfId="0" applyFont="1" applyFill="1" applyBorder="1" applyAlignment="1"/>
    <xf numFmtId="0" fontId="3" fillId="0" borderId="3" xfId="0" applyFont="1" applyFill="1" applyBorder="1"/>
    <xf numFmtId="0" fontId="2" fillId="7" borderId="5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2" xfId="0" applyFont="1" applyFill="1" applyBorder="1" applyAlignment="1">
      <alignment wrapText="1"/>
    </xf>
    <xf numFmtId="0" fontId="3" fillId="0" borderId="13" xfId="0" applyFont="1" applyFill="1" applyBorder="1"/>
    <xf numFmtId="0" fontId="3" fillId="0" borderId="13" xfId="0" applyFont="1" applyFill="1" applyBorder="1" applyAlignment="1">
      <alignment horizontal="center"/>
    </xf>
    <xf numFmtId="169" fontId="3" fillId="0" borderId="13" xfId="0" applyNumberFormat="1" applyFont="1" applyFill="1" applyBorder="1" applyAlignment="1">
      <alignment horizontal="center"/>
    </xf>
    <xf numFmtId="169" fontId="3" fillId="0" borderId="14" xfId="0" applyNumberFormat="1" applyFont="1" applyFill="1" applyBorder="1" applyAlignment="1">
      <alignment horizontal="center"/>
    </xf>
    <xf numFmtId="169" fontId="3" fillId="0" borderId="3" xfId="0" applyNumberFormat="1" applyFont="1" applyBorder="1" applyAlignment="1">
      <alignment horizontal="center"/>
    </xf>
    <xf numFmtId="169" fontId="3" fillId="0" borderId="1" xfId="0" applyNumberFormat="1" applyFont="1" applyBorder="1" applyAlignment="1">
      <alignment horizontal="center"/>
    </xf>
    <xf numFmtId="169" fontId="3" fillId="0" borderId="4" xfId="0" applyNumberFormat="1" applyFont="1" applyFill="1" applyBorder="1"/>
    <xf numFmtId="0" fontId="8" fillId="0" borderId="2" xfId="0" applyFont="1" applyFill="1" applyBorder="1" applyAlignment="1"/>
    <xf numFmtId="0" fontId="3" fillId="0" borderId="2" xfId="0" applyFont="1" applyFill="1" applyBorder="1" applyAlignment="1">
      <alignment horizontal="left" wrapText="1"/>
    </xf>
    <xf numFmtId="0" fontId="3" fillId="0" borderId="13" xfId="0" applyFont="1" applyFill="1" applyBorder="1" applyAlignment="1">
      <alignment wrapText="1"/>
    </xf>
    <xf numFmtId="0" fontId="2" fillId="0" borderId="15" xfId="0" applyFont="1" applyFill="1" applyBorder="1" applyAlignment="1">
      <alignment wrapText="1"/>
    </xf>
    <xf numFmtId="0" fontId="2" fillId="0" borderId="13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left"/>
    </xf>
    <xf numFmtId="9" fontId="3" fillId="0" borderId="5" xfId="0" applyNumberFormat="1" applyFont="1" applyFill="1" applyBorder="1" applyAlignment="1">
      <alignment horizontal="center"/>
    </xf>
    <xf numFmtId="169" fontId="3" fillId="0" borderId="13" xfId="0" applyNumberFormat="1" applyFont="1" applyBorder="1" applyAlignment="1">
      <alignment horizontal="center"/>
    </xf>
    <xf numFmtId="169" fontId="3" fillId="0" borderId="14" xfId="0" applyNumberFormat="1" applyFont="1" applyBorder="1" applyAlignment="1">
      <alignment horizontal="center"/>
    </xf>
    <xf numFmtId="0" fontId="3" fillId="0" borderId="2" xfId="0" applyFont="1" applyFill="1" applyBorder="1"/>
    <xf numFmtId="0" fontId="3" fillId="0" borderId="7" xfId="0" applyFont="1" applyFill="1" applyBorder="1"/>
    <xf numFmtId="169" fontId="3" fillId="0" borderId="2" xfId="0" applyNumberFormat="1" applyFont="1" applyBorder="1" applyAlignment="1">
      <alignment horizontal="center"/>
    </xf>
    <xf numFmtId="169" fontId="3" fillId="0" borderId="5" xfId="0" applyNumberFormat="1" applyFont="1" applyBorder="1" applyAlignment="1">
      <alignment horizontal="center"/>
    </xf>
    <xf numFmtId="177" fontId="3" fillId="0" borderId="5" xfId="0" applyNumberFormat="1" applyFont="1" applyBorder="1" applyAlignment="1">
      <alignment horizontal="center"/>
    </xf>
    <xf numFmtId="169" fontId="3" fillId="0" borderId="7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9" fontId="3" fillId="0" borderId="5" xfId="0" applyNumberFormat="1" applyFont="1" applyFill="1" applyBorder="1" applyAlignment="1">
      <alignment horizontal="center"/>
    </xf>
    <xf numFmtId="0" fontId="3" fillId="0" borderId="13" xfId="0" applyFont="1" applyBorder="1" applyAlignment="1"/>
    <xf numFmtId="177" fontId="0" fillId="0" borderId="8" xfId="0" applyNumberFormat="1" applyBorder="1"/>
    <xf numFmtId="177" fontId="0" fillId="0" borderId="8" xfId="0" applyNumberFormat="1" applyFill="1" applyBorder="1"/>
    <xf numFmtId="0" fontId="3" fillId="0" borderId="6" xfId="0" applyFont="1" applyFill="1" applyBorder="1"/>
    <xf numFmtId="0" fontId="3" fillId="0" borderId="1" xfId="0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view="pageBreakPreview" topLeftCell="A12" zoomScale="60" zoomScaleNormal="100" workbookViewId="0">
      <selection activeCell="F12" sqref="F12"/>
    </sheetView>
  </sheetViews>
  <sheetFormatPr defaultRowHeight="12.75" x14ac:dyDescent="0.2"/>
  <sheetData>
    <row r="1" spans="1:9" x14ac:dyDescent="0.2">
      <c r="C1" s="144" t="s">
        <v>63</v>
      </c>
    </row>
    <row r="2" spans="1:9" x14ac:dyDescent="0.2">
      <c r="A2" s="141"/>
      <c r="B2" s="141"/>
      <c r="C2" s="141"/>
      <c r="D2" s="141"/>
      <c r="E2" s="141"/>
      <c r="F2" s="141"/>
      <c r="G2" s="141"/>
      <c r="H2" s="141"/>
      <c r="I2" s="141"/>
    </row>
    <row r="3" spans="1:9" x14ac:dyDescent="0.2">
      <c r="A3" s="145" t="s">
        <v>47</v>
      </c>
      <c r="B3" s="141"/>
      <c r="C3" s="141"/>
      <c r="D3" s="141"/>
      <c r="E3" s="141"/>
      <c r="F3" s="141"/>
      <c r="G3" s="141"/>
      <c r="H3" s="141"/>
      <c r="I3" s="141"/>
    </row>
    <row r="4" spans="1:9" x14ac:dyDescent="0.2">
      <c r="A4" s="141"/>
      <c r="B4" s="141" t="s">
        <v>48</v>
      </c>
      <c r="C4" s="141"/>
      <c r="D4" s="141"/>
      <c r="E4" s="141"/>
      <c r="F4" s="141"/>
      <c r="G4" s="141" t="s">
        <v>49</v>
      </c>
      <c r="H4" s="141"/>
      <c r="I4" s="141"/>
    </row>
    <row r="5" spans="1:9" x14ac:dyDescent="0.2">
      <c r="A5" s="141"/>
      <c r="B5" s="141" t="s">
        <v>50</v>
      </c>
      <c r="C5" s="141"/>
      <c r="D5" s="141"/>
      <c r="E5" s="141"/>
      <c r="F5" s="141"/>
      <c r="G5" s="141" t="s">
        <v>51</v>
      </c>
      <c r="H5" s="141"/>
      <c r="I5" s="141"/>
    </row>
    <row r="6" spans="1:9" x14ac:dyDescent="0.2">
      <c r="A6" s="141"/>
      <c r="B6" s="141" t="s">
        <v>52</v>
      </c>
      <c r="C6" s="141"/>
      <c r="D6" s="141"/>
      <c r="E6" s="141"/>
      <c r="F6" s="141"/>
      <c r="G6" s="141" t="s">
        <v>53</v>
      </c>
      <c r="H6" s="141"/>
      <c r="I6" s="141"/>
    </row>
    <row r="7" spans="1:9" x14ac:dyDescent="0.2">
      <c r="A7" s="141"/>
      <c r="B7" s="141"/>
      <c r="C7" s="141"/>
      <c r="D7" s="141"/>
      <c r="E7" s="141"/>
      <c r="F7" s="141"/>
      <c r="G7" s="141"/>
      <c r="H7" s="141"/>
      <c r="I7" s="141"/>
    </row>
    <row r="8" spans="1:9" x14ac:dyDescent="0.2">
      <c r="A8" s="141"/>
      <c r="B8" s="141"/>
      <c r="C8" s="141"/>
      <c r="D8" s="141"/>
      <c r="E8" s="141"/>
      <c r="F8" s="141"/>
      <c r="G8" s="141"/>
      <c r="H8" s="141"/>
      <c r="I8" s="141"/>
    </row>
    <row r="9" spans="1:9" x14ac:dyDescent="0.2">
      <c r="A9" s="145" t="s">
        <v>54</v>
      </c>
      <c r="B9" s="141"/>
      <c r="C9" s="141"/>
      <c r="D9" s="141"/>
      <c r="E9" s="141"/>
      <c r="F9" s="141"/>
      <c r="G9" s="141"/>
      <c r="H9" s="141"/>
      <c r="I9" s="141"/>
    </row>
    <row r="10" spans="1:9" x14ac:dyDescent="0.2">
      <c r="A10" s="141"/>
      <c r="B10" s="141" t="s">
        <v>84</v>
      </c>
      <c r="C10" s="141"/>
      <c r="D10" s="141"/>
      <c r="E10" s="141"/>
      <c r="F10" s="141"/>
      <c r="G10" s="141"/>
      <c r="H10" s="141"/>
      <c r="I10" s="141"/>
    </row>
    <row r="11" spans="1:9" x14ac:dyDescent="0.2">
      <c r="A11" s="141"/>
      <c r="B11" s="141" t="s">
        <v>85</v>
      </c>
      <c r="C11" s="141"/>
      <c r="D11" s="141"/>
      <c r="E11" s="141"/>
      <c r="F11" s="141"/>
      <c r="G11" s="141"/>
      <c r="H11" s="141"/>
      <c r="I11" s="141"/>
    </row>
    <row r="12" spans="1:9" x14ac:dyDescent="0.2">
      <c r="A12" s="141"/>
      <c r="C12" s="141" t="s">
        <v>66</v>
      </c>
      <c r="D12" s="141"/>
      <c r="E12" s="141"/>
      <c r="F12" s="141"/>
      <c r="G12" s="141"/>
      <c r="H12" s="141"/>
      <c r="I12" s="141"/>
    </row>
    <row r="13" spans="1:9" x14ac:dyDescent="0.2">
      <c r="A13" s="141"/>
      <c r="B13" s="141" t="s">
        <v>86</v>
      </c>
      <c r="C13" s="141"/>
      <c r="D13" s="141"/>
      <c r="E13" s="141"/>
      <c r="F13" s="141"/>
      <c r="G13" s="141"/>
      <c r="H13" s="141"/>
      <c r="I13" s="141"/>
    </row>
    <row r="14" spans="1:9" x14ac:dyDescent="0.2">
      <c r="A14" s="141"/>
      <c r="B14" s="141"/>
      <c r="C14" s="141"/>
      <c r="D14" s="141"/>
      <c r="E14" s="141"/>
      <c r="F14" s="141"/>
      <c r="G14" s="141"/>
      <c r="H14" s="141"/>
      <c r="I14" s="141"/>
    </row>
    <row r="15" spans="1:9" x14ac:dyDescent="0.2">
      <c r="A15" s="145" t="s">
        <v>55</v>
      </c>
      <c r="B15" s="141"/>
      <c r="C15" s="141"/>
      <c r="D15" s="141"/>
      <c r="E15" s="141"/>
      <c r="F15" s="141"/>
      <c r="G15" s="141"/>
      <c r="H15" s="141"/>
      <c r="I15" s="141"/>
    </row>
    <row r="16" spans="1:9" x14ac:dyDescent="0.2">
      <c r="A16" s="141"/>
      <c r="B16" s="141" t="s">
        <v>56</v>
      </c>
      <c r="C16" s="141"/>
      <c r="D16" s="141"/>
      <c r="E16" s="141"/>
      <c r="F16" s="141"/>
      <c r="G16" s="141"/>
      <c r="H16" s="141"/>
      <c r="I16" s="141"/>
    </row>
    <row r="17" spans="1:9" x14ac:dyDescent="0.2">
      <c r="A17" s="141"/>
      <c r="B17" s="141" t="s">
        <v>57</v>
      </c>
      <c r="C17" s="141"/>
      <c r="D17" s="141"/>
      <c r="E17" s="141"/>
      <c r="F17" s="141"/>
      <c r="G17" s="141"/>
      <c r="H17" s="141"/>
      <c r="I17" s="141"/>
    </row>
    <row r="18" spans="1:9" x14ac:dyDescent="0.2">
      <c r="A18" s="141"/>
      <c r="B18" s="141"/>
      <c r="C18" s="141"/>
      <c r="D18" s="141"/>
      <c r="E18" s="141"/>
      <c r="F18" s="141"/>
      <c r="G18" s="141"/>
      <c r="H18" s="141"/>
      <c r="I18" s="141"/>
    </row>
    <row r="19" spans="1:9" x14ac:dyDescent="0.2">
      <c r="A19" s="141"/>
      <c r="B19" s="141"/>
      <c r="C19" s="141"/>
      <c r="D19" s="141"/>
      <c r="E19" s="141"/>
      <c r="F19" s="141"/>
      <c r="G19" s="141"/>
      <c r="H19" s="141"/>
      <c r="I19" s="141"/>
    </row>
    <row r="20" spans="1:9" x14ac:dyDescent="0.2">
      <c r="A20" s="145" t="s">
        <v>58</v>
      </c>
      <c r="B20" s="141"/>
      <c r="C20" s="141"/>
      <c r="D20" s="141"/>
      <c r="E20" s="141"/>
      <c r="F20" s="141"/>
      <c r="G20" s="141"/>
      <c r="H20" s="141"/>
      <c r="I20" s="141"/>
    </row>
    <row r="21" spans="1:9" x14ac:dyDescent="0.2">
      <c r="A21" s="141"/>
      <c r="B21" s="141" t="s">
        <v>59</v>
      </c>
      <c r="C21" s="141"/>
      <c r="D21" s="141"/>
      <c r="E21" s="141"/>
      <c r="F21" s="141"/>
      <c r="G21" s="141"/>
      <c r="H21" s="141" t="s">
        <v>60</v>
      </c>
      <c r="I21" s="142">
        <v>0.8</v>
      </c>
    </row>
    <row r="22" spans="1:9" x14ac:dyDescent="0.2">
      <c r="A22" s="141"/>
      <c r="B22" s="141"/>
      <c r="C22" s="141"/>
      <c r="D22" s="141"/>
      <c r="E22" s="141"/>
      <c r="F22" s="141"/>
      <c r="G22" s="141"/>
      <c r="H22" s="141" t="s">
        <v>29</v>
      </c>
      <c r="I22" s="142">
        <v>0.8</v>
      </c>
    </row>
    <row r="23" spans="1:9" x14ac:dyDescent="0.2">
      <c r="A23" s="141"/>
      <c r="B23" s="141"/>
      <c r="C23" s="141"/>
      <c r="D23" s="141"/>
      <c r="E23" s="141"/>
      <c r="F23" s="141"/>
      <c r="G23" s="141"/>
      <c r="H23" s="141" t="s">
        <v>30</v>
      </c>
      <c r="I23" s="142">
        <v>0.8</v>
      </c>
    </row>
    <row r="24" spans="1:9" x14ac:dyDescent="0.2">
      <c r="A24" s="141"/>
      <c r="B24" s="141"/>
      <c r="C24" s="141"/>
      <c r="D24" s="141"/>
      <c r="E24" s="141"/>
      <c r="F24" s="141"/>
      <c r="G24" s="141"/>
      <c r="H24" s="141"/>
      <c r="I24" s="141"/>
    </row>
    <row r="25" spans="1:9" x14ac:dyDescent="0.2">
      <c r="A25" s="141"/>
      <c r="B25" s="141" t="s">
        <v>61</v>
      </c>
      <c r="C25" s="141"/>
      <c r="D25" s="141"/>
      <c r="E25" s="141"/>
      <c r="F25" s="141"/>
      <c r="G25" s="141"/>
      <c r="H25" s="141" t="s">
        <v>81</v>
      </c>
      <c r="I25" s="143">
        <v>0.95</v>
      </c>
    </row>
    <row r="26" spans="1:9" x14ac:dyDescent="0.2">
      <c r="A26" s="141"/>
      <c r="B26" s="141"/>
      <c r="C26" s="141"/>
      <c r="D26" s="141"/>
      <c r="E26" s="141"/>
      <c r="F26" s="141"/>
      <c r="G26" s="141"/>
      <c r="H26" s="141" t="s">
        <v>82</v>
      </c>
      <c r="I26" s="143">
        <v>0</v>
      </c>
    </row>
    <row r="27" spans="1:9" x14ac:dyDescent="0.2">
      <c r="A27" s="141"/>
      <c r="B27" s="141"/>
      <c r="C27" s="141"/>
      <c r="D27" s="141"/>
      <c r="E27" s="141"/>
      <c r="F27" s="141"/>
      <c r="G27" s="141"/>
      <c r="H27" s="141" t="s">
        <v>83</v>
      </c>
      <c r="I27" s="143">
        <v>0.05</v>
      </c>
    </row>
    <row r="28" spans="1:9" x14ac:dyDescent="0.2">
      <c r="A28" s="141"/>
      <c r="B28" s="141"/>
      <c r="C28" s="141"/>
      <c r="D28" s="141"/>
      <c r="E28" s="141"/>
      <c r="F28" s="141"/>
      <c r="G28" s="141"/>
      <c r="H28" s="141"/>
      <c r="I28" s="141"/>
    </row>
    <row r="29" spans="1:9" x14ac:dyDescent="0.2">
      <c r="A29" s="141"/>
      <c r="B29" s="141" t="s">
        <v>62</v>
      </c>
      <c r="C29" s="141"/>
      <c r="D29" s="141"/>
      <c r="E29" s="141"/>
      <c r="F29" s="141"/>
      <c r="G29" s="141"/>
      <c r="H29" s="141"/>
      <c r="I29" s="143">
        <v>0.5</v>
      </c>
    </row>
    <row r="30" spans="1:9" x14ac:dyDescent="0.2">
      <c r="A30" s="141"/>
      <c r="B30" s="141"/>
      <c r="C30" s="141"/>
      <c r="D30" s="141"/>
      <c r="E30" s="141"/>
      <c r="F30" s="141"/>
      <c r="G30" s="141"/>
      <c r="H30" s="141"/>
      <c r="I30" s="141"/>
    </row>
    <row r="31" spans="1:9" x14ac:dyDescent="0.2">
      <c r="A31" s="145" t="s">
        <v>64</v>
      </c>
      <c r="B31" s="141"/>
      <c r="C31" s="141"/>
      <c r="D31" s="141"/>
      <c r="E31" s="141"/>
      <c r="F31" s="141"/>
      <c r="G31" s="141"/>
      <c r="H31" s="141"/>
      <c r="I31" s="141"/>
    </row>
    <row r="32" spans="1:9" x14ac:dyDescent="0.2">
      <c r="A32" s="141"/>
      <c r="B32" s="141" t="s">
        <v>59</v>
      </c>
      <c r="C32" s="141"/>
      <c r="D32" s="141"/>
      <c r="E32" s="141"/>
      <c r="F32" s="141"/>
      <c r="G32" s="141"/>
      <c r="H32" s="141" t="s">
        <v>60</v>
      </c>
      <c r="I32" s="142">
        <v>1</v>
      </c>
    </row>
    <row r="33" spans="1:9" x14ac:dyDescent="0.2">
      <c r="A33" s="141"/>
      <c r="B33" s="141"/>
      <c r="C33" s="141"/>
      <c r="D33" s="141"/>
      <c r="E33" s="141"/>
      <c r="F33" s="141"/>
      <c r="G33" s="141"/>
      <c r="H33" s="141" t="s">
        <v>29</v>
      </c>
      <c r="I33" s="142">
        <v>1</v>
      </c>
    </row>
    <row r="34" spans="1:9" x14ac:dyDescent="0.2">
      <c r="A34" s="141"/>
      <c r="B34" s="141"/>
      <c r="C34" s="141"/>
      <c r="D34" s="141"/>
      <c r="E34" s="141"/>
      <c r="F34" s="141"/>
      <c r="G34" s="141"/>
      <c r="H34" s="141" t="s">
        <v>30</v>
      </c>
      <c r="I34" s="142">
        <v>1</v>
      </c>
    </row>
    <row r="35" spans="1:9" x14ac:dyDescent="0.2">
      <c r="A35" s="141"/>
      <c r="B35" s="141"/>
      <c r="C35" s="141"/>
      <c r="D35" s="141"/>
      <c r="E35" s="141"/>
      <c r="F35" s="141"/>
      <c r="G35" s="141"/>
      <c r="H35" s="141"/>
      <c r="I35" s="141"/>
    </row>
    <row r="36" spans="1:9" x14ac:dyDescent="0.2">
      <c r="A36" s="141"/>
      <c r="B36" s="141" t="s">
        <v>61</v>
      </c>
      <c r="C36" s="141"/>
      <c r="D36" s="141"/>
      <c r="E36" s="141"/>
      <c r="F36" s="141"/>
      <c r="G36" s="141"/>
      <c r="H36" s="141" t="s">
        <v>81</v>
      </c>
      <c r="I36" s="143">
        <v>0.2</v>
      </c>
    </row>
    <row r="37" spans="1:9" x14ac:dyDescent="0.2">
      <c r="A37" s="141"/>
      <c r="B37" s="141"/>
      <c r="C37" s="141"/>
      <c r="D37" s="141"/>
      <c r="E37" s="141"/>
      <c r="F37" s="141"/>
      <c r="G37" s="141"/>
      <c r="H37" s="141" t="s">
        <v>82</v>
      </c>
      <c r="I37" s="143">
        <v>0.6</v>
      </c>
    </row>
    <row r="38" spans="1:9" x14ac:dyDescent="0.2">
      <c r="A38" s="141"/>
      <c r="B38" s="141"/>
      <c r="C38" s="141"/>
      <c r="D38" s="141"/>
      <c r="E38" s="141"/>
      <c r="F38" s="141"/>
      <c r="G38" s="141"/>
      <c r="H38" s="141" t="s">
        <v>83</v>
      </c>
      <c r="I38" s="143">
        <v>0.2</v>
      </c>
    </row>
    <row r="39" spans="1:9" x14ac:dyDescent="0.2">
      <c r="A39" s="141"/>
      <c r="B39" s="141"/>
      <c r="C39" s="141"/>
      <c r="D39" s="141"/>
      <c r="E39" s="141"/>
      <c r="F39" s="141"/>
      <c r="G39" s="141"/>
      <c r="H39" s="141"/>
      <c r="I39" s="141"/>
    </row>
    <row r="40" spans="1:9" x14ac:dyDescent="0.2">
      <c r="A40" s="141"/>
      <c r="B40" s="141" t="s">
        <v>62</v>
      </c>
      <c r="C40" s="141"/>
      <c r="D40" s="141"/>
      <c r="E40" s="141"/>
      <c r="F40" s="141"/>
      <c r="G40" s="141"/>
      <c r="H40" s="141"/>
      <c r="I40" s="143">
        <v>0.5</v>
      </c>
    </row>
    <row r="42" spans="1:9" x14ac:dyDescent="0.2">
      <c r="A42" s="145" t="s">
        <v>65</v>
      </c>
      <c r="B42" s="141"/>
      <c r="C42" s="141"/>
      <c r="D42" s="141"/>
      <c r="E42" s="141"/>
      <c r="F42" s="141"/>
      <c r="G42" s="141"/>
      <c r="H42" s="141"/>
      <c r="I42" s="141"/>
    </row>
    <row r="43" spans="1:9" x14ac:dyDescent="0.2">
      <c r="A43" s="141"/>
      <c r="B43" s="141" t="s">
        <v>59</v>
      </c>
      <c r="C43" s="141"/>
      <c r="D43" s="141"/>
      <c r="E43" s="141"/>
      <c r="F43" s="141"/>
      <c r="G43" s="141"/>
      <c r="H43" s="141" t="s">
        <v>60</v>
      </c>
      <c r="I43" s="142">
        <v>0.75</v>
      </c>
    </row>
    <row r="44" spans="1:9" x14ac:dyDescent="0.2">
      <c r="A44" s="141"/>
      <c r="B44" s="141"/>
      <c r="C44" s="141"/>
      <c r="D44" s="141"/>
      <c r="E44" s="141"/>
      <c r="F44" s="141"/>
      <c r="G44" s="141"/>
      <c r="H44" s="141" t="s">
        <v>29</v>
      </c>
      <c r="I44" s="142">
        <v>0.75</v>
      </c>
    </row>
    <row r="45" spans="1:9" x14ac:dyDescent="0.2">
      <c r="A45" s="141"/>
      <c r="B45" s="141"/>
      <c r="C45" s="141"/>
      <c r="D45" s="141"/>
      <c r="E45" s="141"/>
      <c r="F45" s="141"/>
      <c r="G45" s="141"/>
      <c r="H45" s="141" t="s">
        <v>30</v>
      </c>
      <c r="I45" s="142">
        <v>0.75</v>
      </c>
    </row>
    <row r="46" spans="1:9" x14ac:dyDescent="0.2">
      <c r="A46" s="141"/>
      <c r="B46" s="141"/>
      <c r="C46" s="141"/>
      <c r="D46" s="141"/>
      <c r="E46" s="141"/>
      <c r="F46" s="141"/>
      <c r="G46" s="141"/>
      <c r="H46" s="141"/>
      <c r="I46" s="141"/>
    </row>
    <row r="47" spans="1:9" x14ac:dyDescent="0.2">
      <c r="A47" s="141"/>
      <c r="B47" s="141" t="s">
        <v>61</v>
      </c>
      <c r="C47" s="141"/>
      <c r="D47" s="141"/>
      <c r="E47" s="141"/>
      <c r="F47" s="141"/>
      <c r="G47" s="141"/>
      <c r="H47" s="141" t="s">
        <v>81</v>
      </c>
      <c r="I47" s="143">
        <v>0.2</v>
      </c>
    </row>
    <row r="48" spans="1:9" x14ac:dyDescent="0.2">
      <c r="A48" s="141"/>
      <c r="B48" s="141"/>
      <c r="C48" s="141"/>
      <c r="D48" s="141"/>
      <c r="E48" s="141"/>
      <c r="F48" s="141"/>
      <c r="G48" s="141"/>
      <c r="H48" s="141" t="s">
        <v>82</v>
      </c>
      <c r="I48" s="143">
        <v>0.6</v>
      </c>
    </row>
    <row r="49" spans="1:9" x14ac:dyDescent="0.2">
      <c r="A49" s="141"/>
      <c r="B49" s="141"/>
      <c r="C49" s="141"/>
      <c r="D49" s="141"/>
      <c r="E49" s="141"/>
      <c r="F49" s="141"/>
      <c r="G49" s="141"/>
      <c r="H49" s="141" t="s">
        <v>83</v>
      </c>
      <c r="I49" s="143">
        <v>0.2</v>
      </c>
    </row>
    <row r="50" spans="1:9" x14ac:dyDescent="0.2">
      <c r="A50" s="141"/>
      <c r="B50" s="141"/>
      <c r="C50" s="141"/>
      <c r="D50" s="141"/>
      <c r="E50" s="141"/>
      <c r="F50" s="141"/>
      <c r="G50" s="141"/>
      <c r="H50" s="141"/>
      <c r="I50" s="141"/>
    </row>
    <row r="51" spans="1:9" x14ac:dyDescent="0.2">
      <c r="A51" s="141"/>
      <c r="B51" s="141" t="s">
        <v>62</v>
      </c>
      <c r="C51" s="141"/>
      <c r="D51" s="141"/>
      <c r="E51" s="141"/>
      <c r="F51" s="141"/>
      <c r="G51" s="141"/>
      <c r="H51" s="141"/>
      <c r="I51" s="143">
        <v>0.5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topLeftCell="E58" zoomScale="75" zoomScaleNormal="75" workbookViewId="0">
      <selection activeCell="O66" sqref="O66"/>
    </sheetView>
  </sheetViews>
  <sheetFormatPr defaultRowHeight="12.75" x14ac:dyDescent="0.2"/>
  <cols>
    <col min="1" max="1" width="18.42578125" customWidth="1"/>
    <col min="2" max="2" width="21" customWidth="1"/>
    <col min="3" max="3" width="14.85546875" customWidth="1"/>
    <col min="4" max="4" width="22.5703125" customWidth="1"/>
    <col min="7" max="7" width="15.42578125" customWidth="1"/>
    <col min="8" max="8" width="13.140625" customWidth="1"/>
    <col min="9" max="9" width="14.85546875" customWidth="1"/>
    <col min="10" max="10" width="20.28515625" customWidth="1"/>
    <col min="14" max="14" width="9.28515625" customWidth="1"/>
  </cols>
  <sheetData>
    <row r="1" spans="1:16" x14ac:dyDescent="0.2">
      <c r="G1" s="104"/>
      <c r="H1" s="104"/>
      <c r="I1" s="104"/>
      <c r="J1" s="104"/>
      <c r="K1" s="104"/>
      <c r="L1" s="104"/>
      <c r="M1" s="104"/>
      <c r="N1" s="104"/>
      <c r="O1" s="104"/>
      <c r="P1" s="104"/>
    </row>
    <row r="2" spans="1:16" ht="15.75" thickBot="1" x14ac:dyDescent="0.3">
      <c r="A2" s="1" t="s">
        <v>34</v>
      </c>
      <c r="B2" s="1"/>
      <c r="C2" s="2"/>
      <c r="D2" s="2"/>
      <c r="E2" s="2"/>
      <c r="I2" s="110" t="s">
        <v>35</v>
      </c>
      <c r="J2" s="104"/>
      <c r="K2" s="104"/>
      <c r="L2" s="104"/>
      <c r="M2" s="104"/>
      <c r="N2" s="104"/>
      <c r="O2" s="104"/>
      <c r="P2" s="104"/>
    </row>
    <row r="3" spans="1:16" ht="15" thickBot="1" x14ac:dyDescent="0.25">
      <c r="A3" s="2"/>
      <c r="B3" s="2"/>
      <c r="C3" s="3"/>
      <c r="D3" s="4"/>
      <c r="E3" s="4"/>
      <c r="I3" s="101" t="s">
        <v>36</v>
      </c>
      <c r="J3" s="124" t="s">
        <v>75</v>
      </c>
      <c r="K3" s="96" t="s">
        <v>37</v>
      </c>
      <c r="L3" s="96"/>
      <c r="M3" s="102"/>
      <c r="N3" s="104"/>
      <c r="O3" s="104"/>
      <c r="P3" s="104"/>
    </row>
    <row r="4" spans="1:16" ht="15" x14ac:dyDescent="0.25">
      <c r="A4" s="5" t="s">
        <v>0</v>
      </c>
      <c r="B4" s="6"/>
      <c r="C4" s="7"/>
      <c r="D4" s="4"/>
      <c r="E4" s="4"/>
      <c r="I4" s="103"/>
      <c r="J4" s="123" t="s">
        <v>76</v>
      </c>
      <c r="K4" s="104" t="s">
        <v>38</v>
      </c>
      <c r="L4" s="104"/>
      <c r="M4" s="105"/>
      <c r="N4" s="104"/>
      <c r="O4" s="104"/>
      <c r="P4" s="104"/>
    </row>
    <row r="5" spans="1:16" ht="15" thickBot="1" x14ac:dyDescent="0.25">
      <c r="A5" s="8" t="s">
        <v>1</v>
      </c>
      <c r="B5" s="9">
        <v>80000000</v>
      </c>
      <c r="C5" s="10">
        <f>+B5/$B$9</f>
        <v>0.449438202247191</v>
      </c>
      <c r="D5" s="11"/>
      <c r="E5" s="92"/>
      <c r="I5" s="106"/>
      <c r="J5" s="125" t="s">
        <v>77</v>
      </c>
      <c r="K5" s="107" t="s">
        <v>42</v>
      </c>
      <c r="L5" s="107"/>
      <c r="M5" s="108"/>
      <c r="N5" s="104"/>
      <c r="O5" s="104"/>
      <c r="P5" s="104"/>
    </row>
    <row r="6" spans="1:16" ht="15" thickBot="1" x14ac:dyDescent="0.25">
      <c r="A6" s="8" t="s">
        <v>2</v>
      </c>
      <c r="B6" s="9">
        <v>82000000</v>
      </c>
      <c r="C6" s="10">
        <f>+B6/$B$9</f>
        <v>0.4606741573033708</v>
      </c>
      <c r="D6" s="11"/>
      <c r="E6" s="92"/>
      <c r="H6" s="4" t="s">
        <v>39</v>
      </c>
      <c r="I6" s="4"/>
      <c r="J6" s="4"/>
      <c r="K6" s="104"/>
      <c r="L6" s="104"/>
      <c r="M6" s="104"/>
      <c r="N6" s="104"/>
      <c r="O6" s="104"/>
      <c r="P6" s="104"/>
    </row>
    <row r="7" spans="1:16" ht="15" x14ac:dyDescent="0.25">
      <c r="A7" s="8" t="s">
        <v>3</v>
      </c>
      <c r="B7" s="9">
        <v>16000000</v>
      </c>
      <c r="C7" s="10">
        <f>+B7/$B$9</f>
        <v>8.98876404494382E-2</v>
      </c>
      <c r="D7" s="11"/>
      <c r="E7" s="92"/>
      <c r="G7" s="4"/>
      <c r="H7" s="120" t="s">
        <v>1</v>
      </c>
      <c r="I7" s="6"/>
      <c r="J7" s="6"/>
      <c r="K7" s="96"/>
      <c r="L7" s="96"/>
      <c r="M7" s="96"/>
      <c r="N7" s="96"/>
      <c r="O7" s="102"/>
      <c r="P7" s="104"/>
    </row>
    <row r="8" spans="1:16" ht="15" x14ac:dyDescent="0.25">
      <c r="A8" s="8"/>
      <c r="B8" s="9"/>
      <c r="C8" s="12"/>
      <c r="D8" s="4"/>
      <c r="E8" s="4"/>
      <c r="G8" s="42"/>
      <c r="H8" s="8"/>
      <c r="I8" s="4"/>
      <c r="J8" s="104"/>
      <c r="K8" s="62"/>
      <c r="L8" s="62"/>
      <c r="M8" s="104"/>
      <c r="N8" s="104"/>
      <c r="O8" s="105"/>
      <c r="P8" s="104"/>
    </row>
    <row r="9" spans="1:16" ht="30.75" thickBot="1" x14ac:dyDescent="0.3">
      <c r="A9" s="13" t="s">
        <v>4</v>
      </c>
      <c r="B9" s="14">
        <f>SUM(B5:B7)</f>
        <v>178000000</v>
      </c>
      <c r="C9" s="15">
        <f>+B9/$B$9</f>
        <v>1</v>
      </c>
      <c r="D9" s="11"/>
      <c r="E9" s="11"/>
      <c r="G9" s="88"/>
      <c r="H9" s="121" t="s">
        <v>26</v>
      </c>
      <c r="I9" s="104"/>
      <c r="J9" s="117" t="s">
        <v>17</v>
      </c>
      <c r="K9" s="118">
        <v>5</v>
      </c>
      <c r="L9" s="118">
        <v>7</v>
      </c>
      <c r="M9" s="118">
        <v>10</v>
      </c>
      <c r="N9" s="118">
        <v>12</v>
      </c>
      <c r="O9" s="122">
        <v>15</v>
      </c>
      <c r="P9" s="104"/>
    </row>
    <row r="10" spans="1:16" ht="15.75" thickBot="1" x14ac:dyDescent="0.3">
      <c r="A10" s="1"/>
      <c r="B10" s="1"/>
      <c r="C10" s="2"/>
      <c r="D10" s="2"/>
      <c r="E10" s="2"/>
      <c r="G10" s="88"/>
      <c r="H10" s="100" t="s">
        <v>78</v>
      </c>
      <c r="I10" s="4" t="s">
        <v>28</v>
      </c>
      <c r="J10" s="4"/>
      <c r="K10" s="132">
        <f>HLOOKUP($H10,Legacy!$B$4:$E$14,7)</f>
        <v>1.5279204052376306E-2</v>
      </c>
      <c r="L10" s="132">
        <f>HLOOKUP($H10,Legacy!$B$4:$E$14,8)</f>
        <v>1.1568650814857095E-2</v>
      </c>
      <c r="M10" s="132">
        <f>HLOOKUP($H10,Legacy!$B$4:$E$14,9)</f>
        <v>8.8167599413067413E-3</v>
      </c>
      <c r="N10" s="132">
        <f>HLOOKUP($H10,Legacy!$B$4:$E$14,10)</f>
        <v>7.763555491599434E-3</v>
      </c>
      <c r="O10" s="133">
        <f>HLOOKUP($H10,Legacy!$B$4:$E$14,11)</f>
        <v>6.7302698339742036E-3</v>
      </c>
      <c r="P10" s="104"/>
    </row>
    <row r="11" spans="1:16" ht="15" x14ac:dyDescent="0.25">
      <c r="A11" s="16" t="s">
        <v>5</v>
      </c>
      <c r="B11" s="6"/>
      <c r="C11" s="7"/>
      <c r="D11" s="4"/>
      <c r="E11" s="4"/>
      <c r="G11" s="88"/>
      <c r="H11" s="100" t="s">
        <v>79</v>
      </c>
      <c r="I11" s="4" t="s">
        <v>10</v>
      </c>
      <c r="J11" s="4"/>
      <c r="K11" s="132">
        <f>HLOOKUP($H11,Legacy!$H$4:$J$14,7)</f>
        <v>5.3717309292003529E-3</v>
      </c>
      <c r="L11" s="132">
        <f>HLOOKUP($H11,Legacy!$H$4:$J$14,8)</f>
        <v>4.0672065886587731E-3</v>
      </c>
      <c r="M11" s="132">
        <f>HLOOKUP($H11,Legacy!$H$4:$J$14,9)</f>
        <v>3.0997205030903578E-3</v>
      </c>
      <c r="N11" s="132">
        <f>HLOOKUP($H11,Legacy!$H$4:$J$14,10)</f>
        <v>2.7294439561007071E-3</v>
      </c>
      <c r="O11" s="133">
        <f>HLOOKUP($H11,Legacy!$H$4:$J$14,11)</f>
        <v>2.3661702864293259E-3</v>
      </c>
      <c r="P11" s="104"/>
    </row>
    <row r="12" spans="1:16" ht="15" x14ac:dyDescent="0.25">
      <c r="A12" s="17" t="s">
        <v>6</v>
      </c>
      <c r="B12" s="18" t="s">
        <v>7</v>
      </c>
      <c r="C12" s="19" t="s">
        <v>8</v>
      </c>
      <c r="D12" s="20"/>
      <c r="E12" s="20"/>
      <c r="G12" s="4"/>
      <c r="H12" s="100" t="s">
        <v>80</v>
      </c>
      <c r="I12" s="4" t="s">
        <v>20</v>
      </c>
      <c r="J12" s="4"/>
      <c r="K12" s="132">
        <f>HLOOKUP($H12,Legacy!$M$4:$O$14,7)</f>
        <v>0</v>
      </c>
      <c r="L12" s="132">
        <f>HLOOKUP($H12,Legacy!$M$4:$O$14,8)</f>
        <v>0</v>
      </c>
      <c r="M12" s="132">
        <f>HLOOKUP($H12,Legacy!$M$4:$O$14,9)</f>
        <v>0</v>
      </c>
      <c r="N12" s="132">
        <f>HLOOKUP($H12,Legacy!$M$4:$O$14,10)</f>
        <v>0</v>
      </c>
      <c r="O12" s="133">
        <f>HLOOKUP($H12,Legacy!$M$4:$O$14,11)</f>
        <v>0</v>
      </c>
      <c r="P12" s="104"/>
    </row>
    <row r="13" spans="1:16" ht="14.25" x14ac:dyDescent="0.2">
      <c r="A13" s="22"/>
      <c r="B13" s="23"/>
      <c r="C13" s="24"/>
      <c r="D13" s="23"/>
      <c r="E13" s="23"/>
      <c r="G13" s="69"/>
      <c r="H13" s="103" t="s">
        <v>43</v>
      </c>
      <c r="I13" s="4"/>
      <c r="J13" s="4"/>
      <c r="K13" s="132">
        <f>SUM(K10:K12)</f>
        <v>2.0650934981576659E-2</v>
      </c>
      <c r="L13" s="132">
        <f>SUM(L10:L12)</f>
        <v>1.563585740351587E-2</v>
      </c>
      <c r="M13" s="132">
        <f>SUM(M10:M12)</f>
        <v>1.1916480444397099E-2</v>
      </c>
      <c r="N13" s="132">
        <f>SUM(N10:N12)</f>
        <v>1.049299944770014E-2</v>
      </c>
      <c r="O13" s="133">
        <f>SUM(O10:O12)</f>
        <v>9.0964401204035299E-3</v>
      </c>
      <c r="P13" s="104"/>
    </row>
    <row r="14" spans="1:16" ht="14.25" x14ac:dyDescent="0.2">
      <c r="A14" s="25">
        <v>8500</v>
      </c>
      <c r="B14" s="26">
        <v>5.7700000000000001E-2</v>
      </c>
      <c r="C14" s="27">
        <f>+A14*B14</f>
        <v>490.45</v>
      </c>
      <c r="D14" s="28"/>
      <c r="E14" s="68"/>
      <c r="G14" s="4"/>
      <c r="H14" s="103"/>
      <c r="I14" s="4" t="s">
        <v>44</v>
      </c>
      <c r="J14" s="4"/>
      <c r="K14" s="134"/>
      <c r="L14" s="134"/>
      <c r="M14" s="134"/>
      <c r="N14" s="134"/>
      <c r="O14" s="135"/>
      <c r="P14" s="104"/>
    </row>
    <row r="15" spans="1:16" ht="15" thickBot="1" x14ac:dyDescent="0.25">
      <c r="A15" s="25">
        <v>4000</v>
      </c>
      <c r="B15" s="26">
        <v>7.7700000000000005E-2</v>
      </c>
      <c r="C15" s="27">
        <f>+A15*B15</f>
        <v>310.8</v>
      </c>
      <c r="D15" s="28"/>
      <c r="E15" s="28"/>
      <c r="G15" s="4"/>
      <c r="H15" s="106" t="s">
        <v>4</v>
      </c>
      <c r="I15" s="107"/>
      <c r="J15" s="107"/>
      <c r="K15" s="131">
        <f>SUM(K13:K14)</f>
        <v>2.0650934981576659E-2</v>
      </c>
      <c r="L15" s="131">
        <f>SUM(L13:L14)</f>
        <v>1.563585740351587E-2</v>
      </c>
      <c r="M15" s="131">
        <f>SUM(M13:M14)</f>
        <v>1.1916480444397099E-2</v>
      </c>
      <c r="N15" s="131">
        <f>SUM(N13:N14)</f>
        <v>1.049299944770014E-2</v>
      </c>
      <c r="O15" s="196">
        <f>SUM(O13:O14)</f>
        <v>9.0964401204035299E-3</v>
      </c>
      <c r="P15" s="104"/>
    </row>
    <row r="16" spans="1:16" ht="15.75" thickBot="1" x14ac:dyDescent="0.3">
      <c r="A16" s="29">
        <f>+A14+A15</f>
        <v>12500</v>
      </c>
      <c r="B16" s="30">
        <f>+C16/A16</f>
        <v>6.4100000000000004E-2</v>
      </c>
      <c r="C16" s="31">
        <f>+C15+C14</f>
        <v>801.25</v>
      </c>
      <c r="D16" s="28"/>
      <c r="E16" s="28"/>
      <c r="G16" s="20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1:16" ht="15.75" thickBot="1" x14ac:dyDescent="0.3">
      <c r="A17" s="32"/>
      <c r="B17" s="32"/>
      <c r="C17" s="33"/>
      <c r="D17" s="33"/>
      <c r="E17" s="33"/>
      <c r="G17" s="23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1:16" ht="15" x14ac:dyDescent="0.25">
      <c r="A18" s="5" t="s">
        <v>9</v>
      </c>
      <c r="B18" s="34"/>
      <c r="C18" s="35"/>
      <c r="D18" s="35"/>
      <c r="E18" s="35"/>
      <c r="G18" s="28"/>
      <c r="H18" s="120" t="s">
        <v>29</v>
      </c>
      <c r="I18" s="6"/>
      <c r="J18" s="6"/>
      <c r="K18" s="96"/>
      <c r="L18" s="96"/>
      <c r="M18" s="96"/>
      <c r="N18" s="96"/>
      <c r="O18" s="102"/>
      <c r="P18" s="104"/>
    </row>
    <row r="19" spans="1:16" ht="15" x14ac:dyDescent="0.25">
      <c r="A19" s="36" t="s">
        <v>10</v>
      </c>
      <c r="B19" s="37">
        <f>B16</f>
        <v>6.4100000000000004E-2</v>
      </c>
      <c r="C19" s="35"/>
      <c r="D19" s="35"/>
      <c r="E19" s="35"/>
      <c r="G19" s="28"/>
      <c r="H19" s="8"/>
      <c r="I19" s="4"/>
      <c r="J19" s="104"/>
      <c r="K19" s="62"/>
      <c r="L19" s="62"/>
      <c r="M19" s="104"/>
      <c r="N19" s="104"/>
      <c r="O19" s="105"/>
      <c r="P19" s="104"/>
    </row>
    <row r="20" spans="1:16" ht="30" x14ac:dyDescent="0.25">
      <c r="A20" s="36" t="s">
        <v>11</v>
      </c>
      <c r="B20" s="37">
        <v>0.09</v>
      </c>
      <c r="C20" s="35"/>
      <c r="D20" s="35"/>
      <c r="E20" s="35"/>
      <c r="G20" s="28"/>
      <c r="H20" s="121" t="s">
        <v>26</v>
      </c>
      <c r="I20" s="104"/>
      <c r="J20" s="117" t="s">
        <v>17</v>
      </c>
      <c r="K20" s="118">
        <v>5</v>
      </c>
      <c r="L20" s="118">
        <v>7</v>
      </c>
      <c r="M20" s="118">
        <v>10</v>
      </c>
      <c r="N20" s="118">
        <v>12</v>
      </c>
      <c r="O20" s="122">
        <v>15</v>
      </c>
      <c r="P20" s="104"/>
    </row>
    <row r="21" spans="1:16" ht="15" x14ac:dyDescent="0.25">
      <c r="A21" s="36" t="s">
        <v>12</v>
      </c>
      <c r="B21" s="37">
        <v>6.4100000000000004E-2</v>
      </c>
      <c r="C21" s="35"/>
      <c r="D21" s="35"/>
      <c r="E21" s="35"/>
      <c r="G21" s="35"/>
      <c r="H21" s="100" t="s">
        <v>80</v>
      </c>
      <c r="I21" s="4" t="s">
        <v>28</v>
      </c>
      <c r="J21" s="4"/>
      <c r="K21" s="132">
        <f>HLOOKUP($H21,Legacy!$B$19:$E$29,7)</f>
        <v>0</v>
      </c>
      <c r="L21" s="132">
        <f>HLOOKUP($H21,Legacy!$B$19:$E$29,8)</f>
        <v>0</v>
      </c>
      <c r="M21" s="132">
        <f>HLOOKUP($H21,Legacy!$B$19:$E$29,9)</f>
        <v>0</v>
      </c>
      <c r="N21" s="132">
        <f>HLOOKUP($H21,Legacy!$B$4:$E$14,10)</f>
        <v>0</v>
      </c>
      <c r="O21" s="133">
        <f>HLOOKUP($H21,Legacy!$B$4:$E$14,11)</f>
        <v>0</v>
      </c>
      <c r="P21" s="104"/>
    </row>
    <row r="22" spans="1:16" ht="15.75" thickBot="1" x14ac:dyDescent="0.3">
      <c r="A22" s="38"/>
      <c r="B22" s="39"/>
      <c r="C22" s="35"/>
      <c r="D22" s="35"/>
      <c r="E22" s="35"/>
      <c r="G22" s="40"/>
      <c r="H22" s="100" t="s">
        <v>79</v>
      </c>
      <c r="I22" s="4" t="s">
        <v>10</v>
      </c>
      <c r="J22" s="4"/>
      <c r="K22" s="132">
        <f>HLOOKUP($H22,Legacy!$H$19:$J$29,7)</f>
        <v>7.9507680550890292E-3</v>
      </c>
      <c r="L22" s="132">
        <f>HLOOKUP($H22,Legacy!$H$19:$J$29,8)</f>
        <v>6.0199247960786469E-3</v>
      </c>
      <c r="M22" s="132">
        <f>HLOOKUP($H22,Legacy!$H$19:$J$29,9)</f>
        <v>4.5879361942173904E-3</v>
      </c>
      <c r="N22" s="132">
        <f>HLOOKUP($H22,Legacy!$H$19:$J$29,10)</f>
        <v>4.0398851134473722E-3</v>
      </c>
      <c r="O22" s="133">
        <f>HLOOKUP($H22,Legacy!$H$19:$J$29,11)</f>
        <v>3.5021990814874393E-3</v>
      </c>
      <c r="P22" s="104"/>
    </row>
    <row r="23" spans="1:16" ht="15.75" thickBot="1" x14ac:dyDescent="0.3">
      <c r="A23" s="36"/>
      <c r="B23" s="40"/>
      <c r="C23" s="35"/>
      <c r="D23" s="35"/>
      <c r="E23" s="35"/>
      <c r="G23" s="40"/>
      <c r="H23" s="100" t="s">
        <v>78</v>
      </c>
      <c r="I23" s="4" t="s">
        <v>20</v>
      </c>
      <c r="J23" s="4"/>
      <c r="K23" s="132">
        <f>HLOOKUP($H23,Legacy!$M$19:$O$29,7)</f>
        <v>1.6258969417148846E-3</v>
      </c>
      <c r="L23" s="132">
        <f>HLOOKUP($H23,Legacy!$M$19:$O$29,8)</f>
        <v>1.2565530217864033E-3</v>
      </c>
      <c r="M23" s="132">
        <f>HLOOKUP($H23,Legacy!$M$19:$O$29,9)</f>
        <v>9.854330641970617E-4</v>
      </c>
      <c r="N23" s="132">
        <f>HLOOKUP($H23,Legacy!$M$19:$O$29,10)</f>
        <v>8.8317479712070172E-4</v>
      </c>
      <c r="O23" s="133">
        <f>HLOOKUP($H23,Legacy!$M$19:$O$29,11)</f>
        <v>7.8456972359808102E-4</v>
      </c>
      <c r="P23" s="104"/>
    </row>
    <row r="24" spans="1:16" ht="15" x14ac:dyDescent="0.25">
      <c r="A24" s="16" t="s">
        <v>13</v>
      </c>
      <c r="B24" s="6"/>
      <c r="C24" s="6"/>
      <c r="D24" s="41"/>
      <c r="E24" s="42"/>
      <c r="G24" s="40"/>
      <c r="H24" s="103" t="s">
        <v>43</v>
      </c>
      <c r="I24" s="4"/>
      <c r="J24" s="4"/>
      <c r="K24" s="132">
        <f>SUM(K21:K23)</f>
        <v>9.5766649968039141E-3</v>
      </c>
      <c r="L24" s="132">
        <f>SUM(L21:L23)</f>
        <v>7.2764778178650499E-3</v>
      </c>
      <c r="M24" s="132">
        <f>SUM(M21:M23)</f>
        <v>5.5733692584144521E-3</v>
      </c>
      <c r="N24" s="132">
        <f>SUM(N21:N23)</f>
        <v>4.9230599105680737E-3</v>
      </c>
      <c r="O24" s="133">
        <f>SUM(O21:O23)</f>
        <v>4.2867688050855206E-3</v>
      </c>
      <c r="P24" s="104"/>
    </row>
    <row r="25" spans="1:16" ht="28.5" x14ac:dyDescent="0.2">
      <c r="A25" s="8"/>
      <c r="B25" s="43" t="s">
        <v>14</v>
      </c>
      <c r="C25" s="126" t="s">
        <v>10</v>
      </c>
      <c r="D25" s="127" t="s">
        <v>15</v>
      </c>
      <c r="E25" s="44"/>
      <c r="G25" s="40"/>
      <c r="H25" s="103"/>
      <c r="I25" s="62" t="s">
        <v>44</v>
      </c>
      <c r="J25" s="104"/>
      <c r="K25" s="134"/>
      <c r="L25" s="134"/>
      <c r="M25" s="134"/>
      <c r="N25" s="134"/>
      <c r="O25" s="135"/>
      <c r="P25" s="104"/>
    </row>
    <row r="26" spans="1:16" ht="15" thickBot="1" x14ac:dyDescent="0.25">
      <c r="A26" s="8" t="s">
        <v>1</v>
      </c>
      <c r="B26" s="45">
        <f>55417/116084</f>
        <v>0.47738706453947144</v>
      </c>
      <c r="C26" s="46">
        <f>12.5*B26</f>
        <v>5.9673383067433932</v>
      </c>
      <c r="D26" s="47">
        <f>9.547*B26</f>
        <v>4.5576143051583342</v>
      </c>
      <c r="E26" s="46"/>
      <c r="G26" s="40"/>
      <c r="H26" s="106" t="s">
        <v>4</v>
      </c>
      <c r="I26" s="107"/>
      <c r="J26" s="107"/>
      <c r="K26" s="131">
        <f>SUM(K24:K25)</f>
        <v>9.5766649968039141E-3</v>
      </c>
      <c r="L26" s="131">
        <f>SUM(L24:L25)</f>
        <v>7.2764778178650499E-3</v>
      </c>
      <c r="M26" s="131">
        <f>SUM(M24:M25)</f>
        <v>5.5733692584144521E-3</v>
      </c>
      <c r="N26" s="131">
        <f>SUM(N24:N25)</f>
        <v>4.9230599105680737E-3</v>
      </c>
      <c r="O26" s="196">
        <f>SUM(O24:O25)</f>
        <v>4.2867688050855206E-3</v>
      </c>
      <c r="P26" s="104"/>
    </row>
    <row r="27" spans="1:16" ht="15" x14ac:dyDescent="0.25">
      <c r="A27" s="8" t="s">
        <v>2</v>
      </c>
      <c r="B27" s="45">
        <f>42037/116084</f>
        <v>0.3621257020778057</v>
      </c>
      <c r="C27" s="46">
        <f>12.5*B27</f>
        <v>4.5265712759725716</v>
      </c>
      <c r="D27" s="47">
        <f>9.547*B27</f>
        <v>3.4572140777368112</v>
      </c>
      <c r="E27" s="46"/>
      <c r="G27" s="35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1:16" ht="15.75" thickBot="1" x14ac:dyDescent="0.3">
      <c r="A28" s="8" t="s">
        <v>3</v>
      </c>
      <c r="B28" s="45">
        <f>18631/116084</f>
        <v>0.16049584783432685</v>
      </c>
      <c r="C28" s="48">
        <f>12.5*B28</f>
        <v>2.0061980979290857</v>
      </c>
      <c r="D28" s="49">
        <f>9.547*B28</f>
        <v>1.5322538592743187</v>
      </c>
      <c r="E28" s="46"/>
      <c r="G28" s="42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1:16" ht="15.75" thickBot="1" x14ac:dyDescent="0.3">
      <c r="A29" s="13" t="s">
        <v>4</v>
      </c>
      <c r="B29" s="50">
        <f>SUM(B26:B28)</f>
        <v>1.000008614451604</v>
      </c>
      <c r="C29" s="51">
        <f>SUM(C26:C28)</f>
        <v>12.500107680645051</v>
      </c>
      <c r="D29" s="52">
        <f>SUM(D26:D28)</f>
        <v>9.5470822421694645</v>
      </c>
      <c r="E29" s="53"/>
      <c r="G29" s="44"/>
      <c r="H29" s="120" t="s">
        <v>30</v>
      </c>
      <c r="I29" s="6"/>
      <c r="J29" s="6"/>
      <c r="K29" s="96"/>
      <c r="L29" s="96"/>
      <c r="M29" s="96"/>
      <c r="N29" s="96"/>
      <c r="O29" s="102"/>
      <c r="P29" s="104"/>
    </row>
    <row r="30" spans="1:16" ht="15.75" thickBot="1" x14ac:dyDescent="0.3">
      <c r="A30" s="40"/>
      <c r="B30" s="40"/>
      <c r="C30" s="35"/>
      <c r="D30" s="35"/>
      <c r="E30" s="35"/>
      <c r="G30" s="46"/>
      <c r="H30" s="8"/>
      <c r="I30" s="4"/>
      <c r="J30" s="104"/>
      <c r="K30" s="62"/>
      <c r="L30" s="62"/>
      <c r="M30" s="104"/>
      <c r="N30" s="104"/>
      <c r="O30" s="105"/>
      <c r="P30" s="104"/>
    </row>
    <row r="31" spans="1:16" ht="30" x14ac:dyDescent="0.25">
      <c r="A31" s="16" t="s">
        <v>16</v>
      </c>
      <c r="B31" s="6"/>
      <c r="C31" s="7"/>
      <c r="D31" s="4"/>
      <c r="E31" s="2"/>
      <c r="G31" s="46"/>
      <c r="H31" s="121" t="s">
        <v>26</v>
      </c>
      <c r="I31" s="104"/>
      <c r="J31" s="117" t="s">
        <v>17</v>
      </c>
      <c r="K31" s="118">
        <v>5</v>
      </c>
      <c r="L31" s="118">
        <v>7</v>
      </c>
      <c r="M31" s="118">
        <v>10</v>
      </c>
      <c r="N31" s="118">
        <v>12</v>
      </c>
      <c r="O31" s="122">
        <v>15</v>
      </c>
      <c r="P31" s="104"/>
    </row>
    <row r="32" spans="1:16" ht="28.5" x14ac:dyDescent="0.2">
      <c r="A32" s="8"/>
      <c r="B32" s="44" t="s">
        <v>12</v>
      </c>
      <c r="C32" s="151" t="s">
        <v>44</v>
      </c>
      <c r="D32" s="54"/>
      <c r="E32" s="2"/>
      <c r="G32" s="46"/>
      <c r="H32" s="100" t="s">
        <v>79</v>
      </c>
      <c r="I32" s="4" t="s">
        <v>28</v>
      </c>
      <c r="J32" s="4"/>
      <c r="K32" s="132">
        <f>HLOOKUP($H32,Legacy!$B34:$E$44,7)</f>
        <v>0</v>
      </c>
      <c r="L32" s="132">
        <f>HLOOKUP($H32,Legacy!$B34:$E$44,8)</f>
        <v>0</v>
      </c>
      <c r="M32" s="132">
        <f>HLOOKUP($H32,Legacy!$B$34:$E$44,9)</f>
        <v>0</v>
      </c>
      <c r="N32" s="132">
        <f>HLOOKUP($H32,Legacy!$B$34:$E$44,10)</f>
        <v>0</v>
      </c>
      <c r="O32" s="133">
        <f>HLOOKUP($H32,Legacy!$B$34:$E$44,11)</f>
        <v>0</v>
      </c>
      <c r="P32" s="104"/>
    </row>
    <row r="33" spans="1:16" ht="14.25" x14ac:dyDescent="0.2">
      <c r="A33" s="8" t="s">
        <v>1</v>
      </c>
      <c r="B33" s="46">
        <v>6.7</v>
      </c>
      <c r="C33" s="152"/>
      <c r="D33" s="46"/>
      <c r="E33" s="2"/>
      <c r="G33" s="53"/>
      <c r="H33" s="100" t="s">
        <v>80</v>
      </c>
      <c r="I33" s="4" t="s">
        <v>10</v>
      </c>
      <c r="J33" s="4"/>
      <c r="K33" s="132">
        <f>HLOOKUP($H33,Legacy!$H$34:$J$44,7)</f>
        <v>6.0198566590235108E-3</v>
      </c>
      <c r="L33" s="132">
        <f>HLOOKUP($H33,Legacy!$H$34:$J$44,8)</f>
        <v>4.5579350472058269E-3</v>
      </c>
      <c r="M33" s="132">
        <f>HLOOKUP($H33,Legacy!$H$34:$J$44,9)</f>
        <v>3.4737170118120464E-3</v>
      </c>
      <c r="N33" s="132">
        <f>HLOOKUP($H33,Legacy!$H$34:$J$44,10)</f>
        <v>3.0587647801283767E-3</v>
      </c>
      <c r="O33" s="133">
        <f>HLOOKUP($H33,Legacy!$H$34:$J$44,11)</f>
        <v>2.6516603573190399E-3</v>
      </c>
      <c r="P33" s="104"/>
    </row>
    <row r="34" spans="1:16" ht="15" x14ac:dyDescent="0.25">
      <c r="A34" s="8" t="s">
        <v>2</v>
      </c>
      <c r="B34" s="46">
        <v>3.5</v>
      </c>
      <c r="C34" s="152"/>
      <c r="D34" s="46"/>
      <c r="E34" s="2"/>
      <c r="G34" s="35"/>
      <c r="H34" s="100" t="s">
        <v>80</v>
      </c>
      <c r="I34" s="4" t="s">
        <v>20</v>
      </c>
      <c r="J34" s="4"/>
      <c r="K34" s="132">
        <f>HLOOKUP($H34,Legacy!$M$34:$O$44,7)</f>
        <v>3.6931022752714582E-3</v>
      </c>
      <c r="L34" s="132">
        <f>HLOOKUP($H34,Legacy!$M$34:$O$44,8)</f>
        <v>2.8541654176826416E-3</v>
      </c>
      <c r="M34" s="132">
        <f>HLOOKUP($H34,Legacy!$M$34:$O$44,9)</f>
        <v>2.2383368823336402E-3</v>
      </c>
      <c r="N34" s="132">
        <f>HLOOKUP($H34,Legacy!$M$34:$O$44,10)</f>
        <v>2.0060649411571575E-3</v>
      </c>
      <c r="O34" s="133">
        <f>HLOOKUP($H34,Legacy!$M$34:$O$44,11)</f>
        <v>1.7820909536081005E-3</v>
      </c>
      <c r="P34" s="104"/>
    </row>
    <row r="35" spans="1:16" ht="14.25" x14ac:dyDescent="0.2">
      <c r="A35" s="8" t="s">
        <v>3</v>
      </c>
      <c r="B35" s="48">
        <v>0.93200000000000005</v>
      </c>
      <c r="C35" s="153"/>
      <c r="D35" s="46"/>
      <c r="E35" s="2"/>
      <c r="G35" s="4"/>
      <c r="H35" s="103" t="s">
        <v>43</v>
      </c>
      <c r="I35" s="4"/>
      <c r="J35" s="4"/>
      <c r="K35" s="132">
        <f>SUM(K32:K34)</f>
        <v>9.7129589342949685E-3</v>
      </c>
      <c r="L35" s="132">
        <f>SUM(L32:L34)</f>
        <v>7.4121004648884685E-3</v>
      </c>
      <c r="M35" s="132">
        <f>SUM(M32:M34)</f>
        <v>5.7120538941456862E-3</v>
      </c>
      <c r="N35" s="132">
        <f>SUM(N32:N34)</f>
        <v>5.0648297212855346E-3</v>
      </c>
      <c r="O35" s="133">
        <f>SUM(O32:O34)</f>
        <v>4.4337513109271405E-3</v>
      </c>
      <c r="P35" s="104"/>
    </row>
    <row r="36" spans="1:16" ht="15.75" thickBot="1" x14ac:dyDescent="0.3">
      <c r="A36" s="55" t="s">
        <v>4</v>
      </c>
      <c r="B36" s="51">
        <f>SUM(B33:B35)</f>
        <v>11.132</v>
      </c>
      <c r="C36" s="154"/>
      <c r="D36" s="53"/>
      <c r="E36" s="53"/>
      <c r="G36" s="4"/>
      <c r="H36" s="119"/>
      <c r="I36" s="62" t="s">
        <v>44</v>
      </c>
      <c r="J36" s="104"/>
      <c r="K36" s="134"/>
      <c r="L36" s="134"/>
      <c r="M36" s="134"/>
      <c r="N36" s="134"/>
      <c r="O36" s="135"/>
      <c r="P36" s="104"/>
    </row>
    <row r="37" spans="1:16" ht="15.75" thickBot="1" x14ac:dyDescent="0.3">
      <c r="A37" s="42"/>
      <c r="B37" s="42"/>
      <c r="C37" s="53"/>
      <c r="D37" s="53"/>
      <c r="E37" s="53"/>
      <c r="G37" s="4"/>
      <c r="H37" s="106" t="s">
        <v>4</v>
      </c>
      <c r="I37" s="107"/>
      <c r="J37" s="107"/>
      <c r="K37" s="131">
        <f>SUM(K35:K36)</f>
        <v>9.7129589342949685E-3</v>
      </c>
      <c r="L37" s="131">
        <f>SUM(L35:L36)</f>
        <v>7.4121004648884685E-3</v>
      </c>
      <c r="M37" s="131">
        <f>SUM(M35:M36)</f>
        <v>5.7120538941456862E-3</v>
      </c>
      <c r="N37" s="131">
        <f>SUM(N35:N36)</f>
        <v>5.0648297212855346E-3</v>
      </c>
      <c r="O37" s="196">
        <f>SUM(O35:O36)</f>
        <v>4.4337513109271405E-3</v>
      </c>
      <c r="P37" s="104"/>
    </row>
    <row r="38" spans="1:16" ht="15" thickBot="1" x14ac:dyDescent="0.25">
      <c r="G38" s="4"/>
      <c r="P38" s="104"/>
    </row>
    <row r="39" spans="1:16" ht="15" x14ac:dyDescent="0.25">
      <c r="A39" s="111" t="s">
        <v>73</v>
      </c>
      <c r="B39" s="112"/>
      <c r="C39" s="112"/>
      <c r="D39" s="112"/>
      <c r="E39" s="112"/>
      <c r="F39" s="113"/>
      <c r="G39" s="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1:16" ht="29.25" customHeight="1" x14ac:dyDescent="0.2">
      <c r="A40" s="128" t="s">
        <v>21</v>
      </c>
      <c r="B40" s="129" t="s">
        <v>22</v>
      </c>
      <c r="C40" s="129" t="s">
        <v>23</v>
      </c>
      <c r="D40" s="129" t="s">
        <v>24</v>
      </c>
      <c r="E40" s="129" t="s">
        <v>41</v>
      </c>
      <c r="F40" s="130" t="s">
        <v>4</v>
      </c>
      <c r="G40" s="4"/>
      <c r="P40" s="104"/>
    </row>
    <row r="41" spans="1:16" ht="15.75" thickBot="1" x14ac:dyDescent="0.3">
      <c r="A41" s="114" t="s">
        <v>46</v>
      </c>
      <c r="B41" s="115" t="s">
        <v>46</v>
      </c>
      <c r="C41" s="115" t="s">
        <v>46</v>
      </c>
      <c r="D41" s="115" t="s">
        <v>46</v>
      </c>
      <c r="E41" s="115" t="s">
        <v>46</v>
      </c>
      <c r="F41" s="116" t="s">
        <v>46</v>
      </c>
      <c r="G41" s="67"/>
      <c r="P41" s="104"/>
    </row>
    <row r="42" spans="1:16" ht="16.5" customHeight="1" thickBot="1" x14ac:dyDescent="0.3">
      <c r="G42" s="60"/>
      <c r="H42" s="199" t="s">
        <v>40</v>
      </c>
      <c r="I42" s="199"/>
      <c r="J42" s="104"/>
      <c r="K42" s="104"/>
      <c r="L42" s="104"/>
      <c r="M42" s="104"/>
      <c r="N42" s="104"/>
      <c r="O42" s="104"/>
      <c r="P42" s="104"/>
    </row>
    <row r="43" spans="1:16" x14ac:dyDescent="0.2">
      <c r="G43" s="104"/>
      <c r="H43" s="109" t="s">
        <v>1</v>
      </c>
      <c r="I43" s="96"/>
      <c r="J43" s="96"/>
      <c r="K43" s="96"/>
      <c r="L43" s="96"/>
      <c r="M43" s="96"/>
      <c r="N43" s="96"/>
      <c r="O43" s="102"/>
      <c r="P43" s="104"/>
    </row>
    <row r="44" spans="1:16" ht="30" x14ac:dyDescent="0.25">
      <c r="G44" s="104"/>
      <c r="H44" s="121" t="s">
        <v>26</v>
      </c>
      <c r="I44" s="104"/>
      <c r="J44" s="117" t="s">
        <v>17</v>
      </c>
      <c r="K44" s="118">
        <v>5</v>
      </c>
      <c r="L44" s="118">
        <v>7</v>
      </c>
      <c r="M44" s="118">
        <v>10</v>
      </c>
      <c r="N44" s="118">
        <v>12</v>
      </c>
      <c r="O44" s="122">
        <v>15</v>
      </c>
      <c r="P44" s="104"/>
    </row>
    <row r="45" spans="1:16" ht="14.25" x14ac:dyDescent="0.2">
      <c r="G45" s="104"/>
      <c r="H45" s="100" t="s">
        <v>80</v>
      </c>
      <c r="I45" s="4" t="s">
        <v>28</v>
      </c>
      <c r="J45" s="4"/>
      <c r="K45" s="132">
        <f>HLOOKUP($H45,New!$B$4:$E$14,7)</f>
        <v>8.0416863433559508E-4</v>
      </c>
      <c r="L45" s="132">
        <f>HLOOKUP($H45,New!$B$4:$E$14,8)</f>
        <v>6.0887635867668932E-4</v>
      </c>
      <c r="M45" s="132">
        <f>HLOOKUP($H45,New!$B$4:$E$14,9)</f>
        <v>4.6403999691088118E-4</v>
      </c>
      <c r="N45" s="132">
        <f>HLOOKUP($H45,New!$B$4:$E$14,10)</f>
        <v>4.0860818376839132E-4</v>
      </c>
      <c r="O45" s="133">
        <f>HLOOKUP($H45,New!$B$4:$E$14,11)</f>
        <v>3.542247281039055E-4</v>
      </c>
      <c r="P45" s="104"/>
    </row>
    <row r="46" spans="1:16" ht="14.25" x14ac:dyDescent="0.2">
      <c r="G46" s="104"/>
      <c r="H46" s="100" t="s">
        <v>79</v>
      </c>
      <c r="I46" s="4" t="s">
        <v>10</v>
      </c>
      <c r="J46" s="4"/>
      <c r="K46" s="132">
        <f>HLOOKUP($H46,New!$H$4:$J$14,7)</f>
        <v>1.0743461858400706E-2</v>
      </c>
      <c r="L46" s="132">
        <f>HLOOKUP($H46,New!$H$4:$J$14,8)</f>
        <v>8.1344131773175461E-3</v>
      </c>
      <c r="M46" s="132">
        <f>HLOOKUP($H46,New!$H$4:$J$14,9)</f>
        <v>6.1994410061807156E-3</v>
      </c>
      <c r="N46" s="132">
        <f>HLOOKUP($H46,New!$H$4:$J$14,10)</f>
        <v>5.4588879122014142E-3</v>
      </c>
      <c r="O46" s="133">
        <f>HLOOKUP($H46,New!$H$4:$J$14,11)</f>
        <v>4.7323405728586518E-3</v>
      </c>
      <c r="P46" s="104"/>
    </row>
    <row r="47" spans="1:16" ht="14.25" x14ac:dyDescent="0.2">
      <c r="G47" s="104"/>
      <c r="H47" s="100" t="s">
        <v>78</v>
      </c>
      <c r="I47" s="4" t="s">
        <v>20</v>
      </c>
      <c r="J47" s="4"/>
      <c r="K47" s="132">
        <f>HLOOKUP($H47,New!$M$4:$O$14,7)</f>
        <v>2.1969904867019316E-3</v>
      </c>
      <c r="L47" s="132">
        <f>HLOOKUP($H47,New!$M$4:$O$14,8)</f>
        <v>1.6979151409126606E-3</v>
      </c>
      <c r="M47" s="132">
        <f>HLOOKUP($H47,New!$M$4:$O$14,9)</f>
        <v>1.3315647577508808E-3</v>
      </c>
      <c r="N47" s="132">
        <f>HLOOKUP($H47,New!$M$4:$O$14,10)</f>
        <v>1.1933884476851078E-3</v>
      </c>
      <c r="O47" s="133">
        <f>HLOOKUP($H47,New!$M$4:$O$14,11)</f>
        <v>1.0601485092168979E-3</v>
      </c>
      <c r="P47" s="104"/>
    </row>
    <row r="48" spans="1:16" ht="14.25" x14ac:dyDescent="0.2">
      <c r="G48" s="104"/>
      <c r="H48" s="103" t="s">
        <v>43</v>
      </c>
      <c r="I48" s="4"/>
      <c r="J48" s="4"/>
      <c r="K48" s="132">
        <f>SUM(K45:K47)</f>
        <v>1.3744620979438233E-2</v>
      </c>
      <c r="L48" s="132">
        <f>SUM(L45:L47)</f>
        <v>1.0441204676906896E-2</v>
      </c>
      <c r="M48" s="132">
        <f>SUM(M45:M47)</f>
        <v>7.9950457608424785E-3</v>
      </c>
      <c r="N48" s="132">
        <f>SUM(N45:N47)</f>
        <v>7.0608845436549135E-3</v>
      </c>
      <c r="O48" s="133">
        <f>SUM(O45:O47)</f>
        <v>6.1467138101794555E-3</v>
      </c>
      <c r="P48" s="104"/>
    </row>
    <row r="49" spans="7:16" ht="14.25" x14ac:dyDescent="0.2">
      <c r="G49" s="104"/>
      <c r="H49" s="103"/>
      <c r="I49" s="62" t="s">
        <v>44</v>
      </c>
      <c r="J49" s="104"/>
      <c r="K49" s="134"/>
      <c r="L49" s="134"/>
      <c r="M49" s="134"/>
      <c r="N49" s="134"/>
      <c r="O49" s="135"/>
      <c r="P49" s="104"/>
    </row>
    <row r="50" spans="7:16" ht="13.5" thickBot="1" x14ac:dyDescent="0.25">
      <c r="G50" s="104"/>
      <c r="H50" s="106" t="s">
        <v>45</v>
      </c>
      <c r="I50" s="107"/>
      <c r="J50" s="107"/>
      <c r="K50" s="136">
        <f>SUM(K48:K49)</f>
        <v>1.3744620979438233E-2</v>
      </c>
      <c r="L50" s="136">
        <f>SUM(L48:L49)</f>
        <v>1.0441204676906896E-2</v>
      </c>
      <c r="M50" s="136">
        <f>SUM(M48:M49)</f>
        <v>7.9950457608424785E-3</v>
      </c>
      <c r="N50" s="136">
        <f>SUM(N48:N49)</f>
        <v>7.0608845436549135E-3</v>
      </c>
      <c r="O50" s="197">
        <f>SUM(O48:O49)</f>
        <v>6.1467138101794555E-3</v>
      </c>
      <c r="P50" s="104"/>
    </row>
    <row r="51" spans="7:16" x14ac:dyDescent="0.2"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7:16" ht="13.5" thickBot="1" x14ac:dyDescent="0.25"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7:16" ht="15" x14ac:dyDescent="0.25">
      <c r="G53" s="104"/>
      <c r="H53" s="120" t="s">
        <v>29</v>
      </c>
      <c r="I53" s="6"/>
      <c r="J53" s="6"/>
      <c r="K53" s="96"/>
      <c r="L53" s="96"/>
      <c r="M53" s="96"/>
      <c r="N53" s="96"/>
      <c r="O53" s="102"/>
      <c r="P53" s="104"/>
    </row>
    <row r="54" spans="7:16" ht="14.25" x14ac:dyDescent="0.2">
      <c r="G54" s="104"/>
      <c r="H54" s="8"/>
      <c r="I54" s="4"/>
      <c r="J54" s="104"/>
      <c r="K54" s="62"/>
      <c r="L54" s="62"/>
      <c r="M54" s="104"/>
      <c r="N54" s="104"/>
      <c r="O54" s="105"/>
      <c r="P54" s="104"/>
    </row>
    <row r="55" spans="7:16" ht="30" x14ac:dyDescent="0.25">
      <c r="G55" s="104"/>
      <c r="H55" s="121" t="s">
        <v>26</v>
      </c>
      <c r="I55" s="104"/>
      <c r="J55" s="117" t="s">
        <v>17</v>
      </c>
      <c r="K55" s="118">
        <v>5</v>
      </c>
      <c r="L55" s="118">
        <v>7</v>
      </c>
      <c r="M55" s="118">
        <v>10</v>
      </c>
      <c r="N55" s="118">
        <v>12</v>
      </c>
      <c r="O55" s="122">
        <v>15</v>
      </c>
      <c r="P55" s="104"/>
    </row>
    <row r="56" spans="7:16" ht="14.25" x14ac:dyDescent="0.2">
      <c r="G56" s="104"/>
      <c r="H56" s="100" t="s">
        <v>78</v>
      </c>
      <c r="I56" s="4" t="s">
        <v>28</v>
      </c>
      <c r="J56" s="4"/>
      <c r="K56" s="132">
        <f>HLOOKUP($H56,New!$B$19:$E$29,7)</f>
        <v>7.7869987889795508E-3</v>
      </c>
      <c r="L56" s="132">
        <f>HLOOKUP($H56,New!$B$19:$E$29,8)</f>
        <v>5.8959268805241832E-3</v>
      </c>
      <c r="M56" s="132">
        <f>HLOOKUP($H56,New!$B$19:$E$29,9)</f>
        <v>4.4934342620420228E-3</v>
      </c>
      <c r="N56" s="132">
        <f>HLOOKUP($H56,New!$B$4:$E$14,10)</f>
        <v>7.763555491599434E-3</v>
      </c>
      <c r="O56" s="133">
        <f>HLOOKUP($H56,New!$B$4:$E$14,11)</f>
        <v>6.7302698339742036E-3</v>
      </c>
      <c r="P56" s="104"/>
    </row>
    <row r="57" spans="7:16" ht="14.25" x14ac:dyDescent="0.2">
      <c r="G57" s="104"/>
      <c r="H57" s="100" t="s">
        <v>79</v>
      </c>
      <c r="I57" s="4" t="s">
        <v>10</v>
      </c>
      <c r="J57" s="4"/>
      <c r="K57" s="132">
        <f>HLOOKUP($H57,New!$H$19:$J$29,7)</f>
        <v>7.9507680550890292E-3</v>
      </c>
      <c r="L57" s="132">
        <f>HLOOKUP($H57,New!$H$19:$J$29,8)</f>
        <v>6.0199247960786469E-3</v>
      </c>
      <c r="M57" s="132">
        <f>HLOOKUP($H57,New!$H$19:$J$29,9)</f>
        <v>4.5879361942173904E-3</v>
      </c>
      <c r="N57" s="132">
        <f>HLOOKUP($H57,New!$H$19:$J$29,10)</f>
        <v>4.0398851134473722E-3</v>
      </c>
      <c r="O57" s="133">
        <f>HLOOKUP($H57,New!$H$19:$J$29,11)</f>
        <v>3.5021990814874393E-3</v>
      </c>
      <c r="P57" s="104"/>
    </row>
    <row r="58" spans="7:16" ht="14.25" x14ac:dyDescent="0.2">
      <c r="G58" s="104"/>
      <c r="H58" s="100" t="s">
        <v>80</v>
      </c>
      <c r="I58" s="4" t="s">
        <v>20</v>
      </c>
      <c r="J58" s="4"/>
      <c r="K58" s="132">
        <f>HLOOKUP($H58,New!$M$19:$O$29,7)</f>
        <v>1.6258969417148846E-3</v>
      </c>
      <c r="L58" s="132">
        <f>HLOOKUP($H58,New!$M$19:$O$29,8)</f>
        <v>1.2565530217864033E-3</v>
      </c>
      <c r="M58" s="132">
        <f>HLOOKUP($H58,New!$M$19:$O$29,9)</f>
        <v>9.854330641970617E-4</v>
      </c>
      <c r="N58" s="132">
        <f>HLOOKUP($H58,New!$M$19:$O$29,10)</f>
        <v>8.8317479712070172E-4</v>
      </c>
      <c r="O58" s="133">
        <f>HLOOKUP($H58,New!$M$19:$O$29,11)</f>
        <v>7.8456972359808102E-4</v>
      </c>
      <c r="P58" s="104"/>
    </row>
    <row r="59" spans="7:16" ht="14.25" x14ac:dyDescent="0.2">
      <c r="G59" s="104"/>
      <c r="H59" s="103" t="s">
        <v>43</v>
      </c>
      <c r="I59" s="4"/>
      <c r="J59" s="4"/>
      <c r="K59" s="132">
        <f>SUM(K56:K58)</f>
        <v>1.7363663785783464E-2</v>
      </c>
      <c r="L59" s="132">
        <f>SUM(L56:L58)</f>
        <v>1.3172404698389234E-2</v>
      </c>
      <c r="M59" s="132">
        <f>SUM(M56:M58)</f>
        <v>1.0066803520456476E-2</v>
      </c>
      <c r="N59" s="132">
        <f>SUM(N56:N58)</f>
        <v>1.2686615402167508E-2</v>
      </c>
      <c r="O59" s="133">
        <f>SUM(O56:O58)</f>
        <v>1.1017038639059723E-2</v>
      </c>
      <c r="P59" s="104"/>
    </row>
    <row r="60" spans="7:16" ht="14.25" x14ac:dyDescent="0.2">
      <c r="G60" s="104"/>
      <c r="H60" s="103"/>
      <c r="I60" s="62" t="s">
        <v>44</v>
      </c>
      <c r="J60" s="104"/>
      <c r="K60" s="134"/>
      <c r="L60" s="134"/>
      <c r="M60" s="134"/>
      <c r="N60" s="134"/>
      <c r="O60" s="135"/>
      <c r="P60" s="104"/>
    </row>
    <row r="61" spans="7:16" ht="13.5" thickBot="1" x14ac:dyDescent="0.25">
      <c r="G61" s="104"/>
      <c r="H61" s="106" t="s">
        <v>4</v>
      </c>
      <c r="I61" s="107"/>
      <c r="J61" s="107"/>
      <c r="K61" s="131">
        <f>SUM(K59:K60)</f>
        <v>1.7363663785783464E-2</v>
      </c>
      <c r="L61" s="131">
        <f>SUM(L59:L60)</f>
        <v>1.3172404698389234E-2</v>
      </c>
      <c r="M61" s="131">
        <f>SUM(M59:M60)</f>
        <v>1.0066803520456476E-2</v>
      </c>
      <c r="N61" s="131">
        <f>SUM(N59:N60)</f>
        <v>1.2686615402167508E-2</v>
      </c>
      <c r="O61" s="196">
        <f>SUM(O59:O60)</f>
        <v>1.1017038639059723E-2</v>
      </c>
      <c r="P61" s="104"/>
    </row>
    <row r="62" spans="7:16" x14ac:dyDescent="0.2"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7:16" ht="13.5" thickBot="1" x14ac:dyDescent="0.25">
      <c r="G63" s="104"/>
      <c r="P63" s="104"/>
    </row>
    <row r="64" spans="7:16" ht="15" x14ac:dyDescent="0.25">
      <c r="G64" s="104"/>
      <c r="H64" s="120" t="s">
        <v>30</v>
      </c>
      <c r="I64" s="6"/>
      <c r="J64" s="6"/>
      <c r="K64" s="96"/>
      <c r="L64" s="96"/>
      <c r="M64" s="96"/>
      <c r="N64" s="96"/>
      <c r="O64" s="102"/>
      <c r="P64" s="104"/>
    </row>
    <row r="65" spans="7:16" ht="14.25" x14ac:dyDescent="0.2">
      <c r="G65" s="104"/>
      <c r="H65" s="8"/>
      <c r="I65" s="4"/>
      <c r="J65" s="104"/>
      <c r="K65" s="62"/>
      <c r="L65" s="62"/>
      <c r="M65" s="104"/>
      <c r="N65" s="104"/>
      <c r="O65" s="105"/>
      <c r="P65" s="104"/>
    </row>
    <row r="66" spans="7:16" ht="30" x14ac:dyDescent="0.25">
      <c r="G66" s="104"/>
      <c r="H66" s="121" t="s">
        <v>26</v>
      </c>
      <c r="I66" s="104"/>
      <c r="J66" s="117" t="s">
        <v>17</v>
      </c>
      <c r="K66" s="118">
        <v>5</v>
      </c>
      <c r="L66" s="118">
        <v>7</v>
      </c>
      <c r="M66" s="118">
        <v>10</v>
      </c>
      <c r="N66" s="118">
        <v>12</v>
      </c>
      <c r="O66" s="122">
        <v>15</v>
      </c>
      <c r="P66" s="104"/>
    </row>
    <row r="67" spans="7:16" ht="14.25" x14ac:dyDescent="0.2">
      <c r="G67" s="104"/>
      <c r="H67" s="100" t="s">
        <v>79</v>
      </c>
      <c r="I67" s="4" t="s">
        <v>28</v>
      </c>
      <c r="J67" s="4"/>
      <c r="K67" s="132">
        <f>HLOOKUP($H67,New!$B$34:$E59,7)</f>
        <v>0</v>
      </c>
      <c r="L67" s="132">
        <f>HLOOKUP($H67,New!$B$34:$E59,8)</f>
        <v>0</v>
      </c>
      <c r="M67" s="132">
        <f>HLOOKUP($H67,New!$B$34:$E$45,9)</f>
        <v>0</v>
      </c>
      <c r="N67" s="132">
        <f>HLOOKUP($H67,New!$B$34:$E$45,10)</f>
        <v>0</v>
      </c>
      <c r="O67" s="133">
        <f>HLOOKUP($H67,New!$B$34:$E$45,11)</f>
        <v>0</v>
      </c>
      <c r="P67" s="104"/>
    </row>
    <row r="68" spans="7:16" ht="14.25" x14ac:dyDescent="0.2">
      <c r="G68" s="104"/>
      <c r="H68" s="100" t="s">
        <v>80</v>
      </c>
      <c r="I68" s="4" t="s">
        <v>10</v>
      </c>
      <c r="J68" s="4"/>
      <c r="K68" s="132">
        <f>HLOOKUP($H68,New!$H$34:$J$45,7)</f>
        <v>0</v>
      </c>
      <c r="L68" s="132">
        <f>HLOOKUP($H68,New!$H$34:$J$45,8)</f>
        <v>6.0198566590235108E-3</v>
      </c>
      <c r="M68" s="132">
        <f>HLOOKUP($H68,New!$H$34:$J$45,9)</f>
        <v>4.5579350472058269E-3</v>
      </c>
      <c r="N68" s="132">
        <f>HLOOKUP($H68,New!$H$34:$J$45,10)</f>
        <v>3.4737170118120464E-3</v>
      </c>
      <c r="O68" s="133">
        <f>HLOOKUP($H68,New!$H$34:$J$45,11)</f>
        <v>3.0587647801283767E-3</v>
      </c>
      <c r="P68" s="104"/>
    </row>
    <row r="69" spans="7:16" ht="14.25" x14ac:dyDescent="0.2">
      <c r="G69" s="104"/>
      <c r="H69" s="100" t="s">
        <v>78</v>
      </c>
      <c r="I69" s="4" t="s">
        <v>20</v>
      </c>
      <c r="J69" s="4"/>
      <c r="K69" s="132">
        <f>HLOOKUP($H69,New!$M$34:$O$45,7)</f>
        <v>0</v>
      </c>
      <c r="L69" s="132">
        <f>HLOOKUP($H69,New!$M$34:$O$45,8)</f>
        <v>3.6931022752714582E-3</v>
      </c>
      <c r="M69" s="132">
        <f>HLOOKUP($H69,New!$M$34:$O$45,9)</f>
        <v>2.8541654176826416E-3</v>
      </c>
      <c r="N69" s="132">
        <f>HLOOKUP($H69,New!$M$34:$O$45,10)</f>
        <v>2.2383368823336402E-3</v>
      </c>
      <c r="O69" s="133">
        <f>HLOOKUP($H69,New!$M$34:$O$45,11)</f>
        <v>2.0060649411571575E-3</v>
      </c>
      <c r="P69" s="104"/>
    </row>
    <row r="70" spans="7:16" ht="14.25" x14ac:dyDescent="0.2">
      <c r="G70" s="104"/>
      <c r="H70" s="103" t="s">
        <v>43</v>
      </c>
      <c r="I70" s="4"/>
      <c r="J70" s="4"/>
      <c r="K70" s="132">
        <f>SUM(K67:K69)</f>
        <v>0</v>
      </c>
      <c r="L70" s="132">
        <f>SUM(L67:L69)</f>
        <v>9.7129589342949685E-3</v>
      </c>
      <c r="M70" s="132">
        <f>SUM(M67:M69)</f>
        <v>7.4121004648884685E-3</v>
      </c>
      <c r="N70" s="132">
        <f>SUM(N67:N69)</f>
        <v>5.7120538941456862E-3</v>
      </c>
      <c r="O70" s="133">
        <f>SUM(O67:O69)</f>
        <v>5.0648297212855346E-3</v>
      </c>
      <c r="P70" s="104"/>
    </row>
    <row r="71" spans="7:16" ht="14.25" x14ac:dyDescent="0.2">
      <c r="G71" s="104"/>
      <c r="H71" s="103"/>
      <c r="I71" s="62" t="s">
        <v>44</v>
      </c>
      <c r="J71" s="104"/>
      <c r="K71" s="134"/>
      <c r="L71" s="134"/>
      <c r="M71" s="134"/>
      <c r="N71" s="134"/>
      <c r="O71" s="135"/>
      <c r="P71" s="104"/>
    </row>
    <row r="72" spans="7:16" ht="13.5" thickBot="1" x14ac:dyDescent="0.25">
      <c r="G72" s="104"/>
      <c r="H72" s="106" t="s">
        <v>4</v>
      </c>
      <c r="I72" s="107"/>
      <c r="J72" s="107"/>
      <c r="K72" s="136">
        <f>SUM(K70:K71)</f>
        <v>0</v>
      </c>
      <c r="L72" s="136">
        <f>SUM(L70:L71)</f>
        <v>9.7129589342949685E-3</v>
      </c>
      <c r="M72" s="136">
        <f>SUM(M70:M71)</f>
        <v>7.4121004648884685E-3</v>
      </c>
      <c r="N72" s="136">
        <f>SUM(N70:N71)</f>
        <v>5.7120538941456862E-3</v>
      </c>
      <c r="O72" s="197">
        <f>SUM(O70:O71)</f>
        <v>5.0648297212855346E-3</v>
      </c>
      <c r="P72" s="104"/>
    </row>
    <row r="73" spans="7:16" x14ac:dyDescent="0.2"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7:16" x14ac:dyDescent="0.2"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7:16" x14ac:dyDescent="0.2"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7:16" x14ac:dyDescent="0.2"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7:16" x14ac:dyDescent="0.2"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7:16" x14ac:dyDescent="0.2"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7:16" x14ac:dyDescent="0.2"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7:16" x14ac:dyDescent="0.2"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7:16" x14ac:dyDescent="0.2"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7:16" x14ac:dyDescent="0.2"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7:16" x14ac:dyDescent="0.2"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7:16" x14ac:dyDescent="0.2"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7:16" x14ac:dyDescent="0.2"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7:16" x14ac:dyDescent="0.2"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7:16" x14ac:dyDescent="0.2"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7:16" x14ac:dyDescent="0.2"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7:16" x14ac:dyDescent="0.2"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7:16" x14ac:dyDescent="0.2"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7:16" x14ac:dyDescent="0.2"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7:16" x14ac:dyDescent="0.2"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7:16" x14ac:dyDescent="0.2"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7:16" x14ac:dyDescent="0.2"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7:16" x14ac:dyDescent="0.2"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7:16" x14ac:dyDescent="0.2"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7:16" x14ac:dyDescent="0.2"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7:16" x14ac:dyDescent="0.2"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7:16" x14ac:dyDescent="0.2"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7:16" x14ac:dyDescent="0.2"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7:16" x14ac:dyDescent="0.2"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7:16" x14ac:dyDescent="0.2"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7:16" x14ac:dyDescent="0.2"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7:16" x14ac:dyDescent="0.2"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7:16" x14ac:dyDescent="0.2"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7:16" x14ac:dyDescent="0.2"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7:16" x14ac:dyDescent="0.2"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7:16" x14ac:dyDescent="0.2"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7:16" x14ac:dyDescent="0.2"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7:16" x14ac:dyDescent="0.2"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</row>
    <row r="111" spans="7:16" x14ac:dyDescent="0.2"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</row>
    <row r="112" spans="7:16" x14ac:dyDescent="0.2"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</row>
    <row r="113" spans="7:16" x14ac:dyDescent="0.2"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</row>
    <row r="114" spans="7:16" x14ac:dyDescent="0.2"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</row>
    <row r="115" spans="7:16" x14ac:dyDescent="0.2"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</row>
    <row r="116" spans="7:16" x14ac:dyDescent="0.2"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</row>
    <row r="117" spans="7:16" x14ac:dyDescent="0.2"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</row>
    <row r="118" spans="7:16" x14ac:dyDescent="0.2"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</row>
    <row r="119" spans="7:16" x14ac:dyDescent="0.2"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</row>
    <row r="120" spans="7:16" x14ac:dyDescent="0.2"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</row>
    <row r="121" spans="7:16" x14ac:dyDescent="0.2"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</row>
    <row r="122" spans="7:16" x14ac:dyDescent="0.2"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</row>
    <row r="123" spans="7:16" x14ac:dyDescent="0.2"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</row>
    <row r="124" spans="7:16" x14ac:dyDescent="0.2"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</row>
    <row r="125" spans="7:16" x14ac:dyDescent="0.2"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</row>
    <row r="126" spans="7:16" x14ac:dyDescent="0.2"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</row>
    <row r="127" spans="7:16" x14ac:dyDescent="0.2"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</row>
    <row r="128" spans="7:16" x14ac:dyDescent="0.2"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</row>
    <row r="129" spans="7:16" x14ac:dyDescent="0.2"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</row>
    <row r="130" spans="7:16" x14ac:dyDescent="0.2"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</row>
    <row r="131" spans="7:16" x14ac:dyDescent="0.2"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</row>
    <row r="132" spans="7:16" x14ac:dyDescent="0.2"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</row>
    <row r="133" spans="7:16" x14ac:dyDescent="0.2"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</row>
    <row r="134" spans="7:16" x14ac:dyDescent="0.2"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</row>
    <row r="135" spans="7:16" x14ac:dyDescent="0.2"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</row>
    <row r="136" spans="7:16" x14ac:dyDescent="0.2"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</row>
    <row r="137" spans="7:16" x14ac:dyDescent="0.2"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</row>
    <row r="138" spans="7:16" x14ac:dyDescent="0.2"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</row>
    <row r="139" spans="7:16" x14ac:dyDescent="0.2"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</row>
    <row r="140" spans="7:16" x14ac:dyDescent="0.2"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</row>
    <row r="141" spans="7:16" x14ac:dyDescent="0.2"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</row>
    <row r="142" spans="7:16" x14ac:dyDescent="0.2"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</row>
    <row r="143" spans="7:16" x14ac:dyDescent="0.2"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</row>
    <row r="144" spans="7:16" x14ac:dyDescent="0.2"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</row>
    <row r="145" spans="7:16" x14ac:dyDescent="0.2"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</row>
    <row r="146" spans="7:16" x14ac:dyDescent="0.2"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</row>
    <row r="147" spans="7:16" x14ac:dyDescent="0.2"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</row>
    <row r="148" spans="7:16" x14ac:dyDescent="0.2"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</row>
    <row r="149" spans="7:16" x14ac:dyDescent="0.2"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</row>
    <row r="150" spans="7:16" x14ac:dyDescent="0.2"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</row>
    <row r="151" spans="7:16" x14ac:dyDescent="0.2"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</row>
    <row r="152" spans="7:16" x14ac:dyDescent="0.2"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</row>
    <row r="153" spans="7:16" x14ac:dyDescent="0.2"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</row>
    <row r="154" spans="7:16" x14ac:dyDescent="0.2"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</row>
    <row r="155" spans="7:16" x14ac:dyDescent="0.2"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</row>
    <row r="156" spans="7:16" x14ac:dyDescent="0.2"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</row>
    <row r="157" spans="7:16" x14ac:dyDescent="0.2"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</row>
    <row r="158" spans="7:16" x14ac:dyDescent="0.2"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</row>
    <row r="159" spans="7:16" x14ac:dyDescent="0.2"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</row>
    <row r="160" spans="7:16" x14ac:dyDescent="0.2"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</row>
    <row r="161" spans="7:16" x14ac:dyDescent="0.2"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</row>
    <row r="162" spans="7:16" x14ac:dyDescent="0.2"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</row>
    <row r="163" spans="7:16" x14ac:dyDescent="0.2"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</row>
    <row r="164" spans="7:16" x14ac:dyDescent="0.2"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</row>
    <row r="165" spans="7:16" x14ac:dyDescent="0.2"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</row>
    <row r="166" spans="7:16" x14ac:dyDescent="0.2"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</row>
    <row r="167" spans="7:16" x14ac:dyDescent="0.2"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</row>
    <row r="168" spans="7:16" x14ac:dyDescent="0.2"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</row>
    <row r="169" spans="7:16" x14ac:dyDescent="0.2"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</row>
    <row r="170" spans="7:16" x14ac:dyDescent="0.2"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</row>
    <row r="171" spans="7:16" x14ac:dyDescent="0.2"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</row>
    <row r="172" spans="7:16" x14ac:dyDescent="0.2"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</row>
  </sheetData>
  <mergeCells count="1">
    <mergeCell ref="H42:I42"/>
  </mergeCells>
  <phoneticPr fontId="0" type="noConversion"/>
  <pageMargins left="0.75" right="0.75" top="1" bottom="1" header="0.5" footer="0.5"/>
  <pageSetup scale="76" orientation="portrait" r:id="rId1"/>
  <headerFooter alignWithMargins="0">
    <oddHeader>&amp;CPOTENTIAL EXPOSURE OF CALIFORNIA DIRECT ACCESS CUSTOMERS</oddHeader>
    <oddFooter>Page &amp;P of &amp;N</oddFooter>
  </headerFooter>
  <rowBreaks count="1" manualBreakCount="1">
    <brk id="41" max="16383" man="1"/>
  </rowBreaks>
  <colBreaks count="1" manualBreakCount="1">
    <brk id="6" max="7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view="pageBreakPreview" topLeftCell="L1" zoomScale="60" zoomScaleNormal="75" workbookViewId="0">
      <selection activeCell="S3" sqref="S3"/>
    </sheetView>
  </sheetViews>
  <sheetFormatPr defaultRowHeight="14.25" x14ac:dyDescent="0.2"/>
  <cols>
    <col min="1" max="1" width="19" style="4" customWidth="1"/>
    <col min="2" max="2" width="14.42578125" style="4" customWidth="1"/>
    <col min="3" max="3" width="13.5703125" style="4" customWidth="1"/>
    <col min="4" max="4" width="15.85546875" style="4" customWidth="1"/>
    <col min="5" max="6" width="13.85546875" style="4" customWidth="1"/>
    <col min="7" max="7" width="15.140625" style="4" customWidth="1"/>
    <col min="8" max="8" width="16" style="4" customWidth="1"/>
    <col min="9" max="9" width="13.28515625" style="4" customWidth="1"/>
    <col min="10" max="11" width="13.140625" style="4" customWidth="1"/>
    <col min="12" max="12" width="15" style="4" customWidth="1"/>
    <col min="13" max="13" width="12.85546875" style="4" customWidth="1"/>
    <col min="14" max="14" width="11.42578125" style="4" customWidth="1"/>
    <col min="15" max="16" width="10.28515625" style="4" customWidth="1"/>
    <col min="17" max="17" width="3.5703125" style="4" customWidth="1"/>
    <col min="18" max="18" width="16.28515625" style="4" customWidth="1"/>
    <col min="19" max="19" width="8.140625" style="4" customWidth="1"/>
    <col min="20" max="20" width="18.42578125" style="4" customWidth="1"/>
    <col min="21" max="21" width="16.7109375" style="4" customWidth="1"/>
    <col min="22" max="22" width="13.140625" style="4" customWidth="1"/>
    <col min="23" max="23" width="15.28515625" style="4" customWidth="1"/>
    <col min="24" max="24" width="16.28515625" style="4" customWidth="1"/>
    <col min="25" max="25" width="11.42578125" style="4" customWidth="1"/>
    <col min="26" max="26" width="9.140625" style="4"/>
    <col min="27" max="27" width="9.7109375" style="4" customWidth="1"/>
    <col min="28" max="16384" width="9.140625" style="4"/>
  </cols>
  <sheetData>
    <row r="1" spans="1:25" ht="18" x14ac:dyDescent="0.25">
      <c r="A1" s="83" t="s">
        <v>70</v>
      </c>
    </row>
    <row r="2" spans="1:25" s="62" customFormat="1" ht="15.75" thickBot="1" x14ac:dyDescent="0.3">
      <c r="B2" s="61"/>
    </row>
    <row r="3" spans="1:25" s="62" customFormat="1" ht="30.75" customHeight="1" thickBot="1" x14ac:dyDescent="0.3">
      <c r="A3" s="161" t="s">
        <v>1</v>
      </c>
      <c r="B3" s="204" t="s">
        <v>18</v>
      </c>
      <c r="C3" s="205"/>
      <c r="D3" s="205"/>
      <c r="E3" s="205"/>
      <c r="F3" s="206"/>
      <c r="G3" s="200" t="s">
        <v>19</v>
      </c>
      <c r="H3" s="201"/>
      <c r="I3" s="201"/>
      <c r="J3" s="201"/>
      <c r="K3" s="202"/>
      <c r="L3" s="200" t="s">
        <v>31</v>
      </c>
      <c r="M3" s="201"/>
      <c r="N3" s="201"/>
      <c r="O3" s="201"/>
      <c r="P3" s="202"/>
      <c r="Q3" s="164"/>
      <c r="R3" s="181" t="s">
        <v>74</v>
      </c>
      <c r="S3" s="198"/>
    </row>
    <row r="4" spans="1:25" s="81" customFormat="1" x14ac:dyDescent="0.2">
      <c r="A4" s="82"/>
      <c r="B4" s="170" t="s">
        <v>26</v>
      </c>
      <c r="C4" s="94" t="s">
        <v>78</v>
      </c>
      <c r="D4" s="94" t="s">
        <v>79</v>
      </c>
      <c r="E4" s="94" t="s">
        <v>80</v>
      </c>
      <c r="F4" s="95"/>
      <c r="G4" s="170" t="s">
        <v>26</v>
      </c>
      <c r="H4" s="94" t="s">
        <v>78</v>
      </c>
      <c r="I4" s="94" t="s">
        <v>79</v>
      </c>
      <c r="J4" s="94" t="s">
        <v>80</v>
      </c>
      <c r="K4" s="95"/>
      <c r="L4" s="170" t="s">
        <v>26</v>
      </c>
      <c r="M4" s="94" t="s">
        <v>78</v>
      </c>
      <c r="N4" s="94" t="s">
        <v>79</v>
      </c>
      <c r="O4" s="94" t="s">
        <v>80</v>
      </c>
      <c r="P4" s="95"/>
      <c r="R4" s="180"/>
    </row>
    <row r="5" spans="1:25" s="62" customFormat="1" ht="15" x14ac:dyDescent="0.25">
      <c r="A5" s="75"/>
      <c r="B5" s="75"/>
      <c r="C5" s="74"/>
      <c r="D5" s="74"/>
      <c r="E5" s="74"/>
      <c r="F5" s="77"/>
      <c r="G5" s="75"/>
      <c r="H5" s="73"/>
      <c r="I5" s="73"/>
      <c r="J5" s="73"/>
      <c r="K5" s="76"/>
      <c r="L5" s="75"/>
      <c r="M5" s="73"/>
      <c r="N5" s="73"/>
      <c r="O5" s="73"/>
      <c r="P5" s="76"/>
      <c r="R5" s="171"/>
    </row>
    <row r="6" spans="1:25" s="62" customFormat="1" x14ac:dyDescent="0.2">
      <c r="A6" s="75"/>
      <c r="B6" s="75" t="s">
        <v>27</v>
      </c>
      <c r="C6" s="74">
        <f>Description!$I$21</f>
        <v>0.8</v>
      </c>
      <c r="D6" s="74">
        <f>Description!$I$21</f>
        <v>0.8</v>
      </c>
      <c r="E6" s="74">
        <f>Description!$I$21</f>
        <v>0.8</v>
      </c>
      <c r="F6" s="77" t="s">
        <v>67</v>
      </c>
      <c r="G6" s="75" t="s">
        <v>27</v>
      </c>
      <c r="H6" s="74">
        <f>Description!$I$32</f>
        <v>1</v>
      </c>
      <c r="I6" s="74">
        <f>Description!$I$32</f>
        <v>1</v>
      </c>
      <c r="J6" s="74">
        <f>Description!$I$32</f>
        <v>1</v>
      </c>
      <c r="K6" s="77" t="s">
        <v>67</v>
      </c>
      <c r="L6" s="75" t="s">
        <v>27</v>
      </c>
      <c r="M6" s="74">
        <f>Description!$I$43</f>
        <v>0.75</v>
      </c>
      <c r="N6" s="74">
        <f>Description!$I$43</f>
        <v>0.75</v>
      </c>
      <c r="O6" s="74">
        <f>Description!$I$43</f>
        <v>0.75</v>
      </c>
      <c r="P6" s="77" t="s">
        <v>67</v>
      </c>
      <c r="R6" s="172"/>
    </row>
    <row r="7" spans="1:25" s="62" customFormat="1" x14ac:dyDescent="0.2">
      <c r="A7" s="75"/>
      <c r="B7" s="75" t="s">
        <v>25</v>
      </c>
      <c r="C7" s="74">
        <f>Description!$I$25</f>
        <v>0.95</v>
      </c>
      <c r="D7" s="74">
        <f>Description!$I$26</f>
        <v>0</v>
      </c>
      <c r="E7" s="74">
        <f>Description!$I$27</f>
        <v>0.05</v>
      </c>
      <c r="F7" s="77" t="s">
        <v>68</v>
      </c>
      <c r="G7" s="75" t="s">
        <v>25</v>
      </c>
      <c r="H7" s="74">
        <f>Description!$I$36</f>
        <v>0.2</v>
      </c>
      <c r="I7" s="74">
        <f>Description!$I$37</f>
        <v>0.6</v>
      </c>
      <c r="J7" s="74">
        <f>Description!$I$38</f>
        <v>0.2</v>
      </c>
      <c r="K7" s="77" t="s">
        <v>68</v>
      </c>
      <c r="L7" s="75" t="s">
        <v>25</v>
      </c>
      <c r="M7" s="74">
        <f>Description!$I$47</f>
        <v>0.2</v>
      </c>
      <c r="N7" s="74">
        <f>Description!$I$48</f>
        <v>0.6</v>
      </c>
      <c r="O7" s="74">
        <f>Description!$I$49</f>
        <v>0.2</v>
      </c>
      <c r="P7" s="77" t="s">
        <v>68</v>
      </c>
      <c r="R7" s="172"/>
    </row>
    <row r="8" spans="1:25" s="62" customFormat="1" ht="15.75" thickBot="1" x14ac:dyDescent="0.3">
      <c r="A8" s="75"/>
      <c r="B8" s="87" t="s">
        <v>69</v>
      </c>
      <c r="C8" s="146">
        <v>1</v>
      </c>
      <c r="D8" s="146">
        <f>Description!I29</f>
        <v>0.5</v>
      </c>
      <c r="E8" s="146">
        <v>0</v>
      </c>
      <c r="F8" s="147"/>
      <c r="G8" s="148" t="s">
        <v>69</v>
      </c>
      <c r="H8" s="146">
        <v>1</v>
      </c>
      <c r="I8" s="146">
        <f>Description!I40</f>
        <v>0.5</v>
      </c>
      <c r="J8" s="146">
        <v>0</v>
      </c>
      <c r="K8" s="147"/>
      <c r="L8" s="148" t="s">
        <v>69</v>
      </c>
      <c r="M8" s="146">
        <v>1</v>
      </c>
      <c r="N8" s="146">
        <f>Description!$I$51</f>
        <v>0.5</v>
      </c>
      <c r="O8" s="146">
        <v>0</v>
      </c>
      <c r="P8" s="86"/>
      <c r="Q8" s="71"/>
      <c r="R8" s="172"/>
      <c r="S8" s="203"/>
      <c r="T8" s="203"/>
      <c r="U8" s="203"/>
      <c r="V8" s="203"/>
      <c r="W8" s="203"/>
      <c r="X8" s="203"/>
    </row>
    <row r="9" spans="1:25" s="71" customFormat="1" ht="35.25" customHeight="1" x14ac:dyDescent="0.25">
      <c r="A9" s="165" t="s">
        <v>17</v>
      </c>
      <c r="B9" s="97"/>
      <c r="C9" s="70"/>
      <c r="D9" s="70"/>
      <c r="E9" s="70"/>
      <c r="F9" s="98"/>
      <c r="G9" s="97"/>
      <c r="H9" s="70"/>
      <c r="I9" s="70"/>
      <c r="J9" s="70"/>
      <c r="K9" s="98"/>
      <c r="L9" s="97"/>
      <c r="M9" s="70"/>
      <c r="N9" s="70"/>
      <c r="O9" s="70"/>
      <c r="P9" s="98"/>
      <c r="R9" s="182"/>
      <c r="S9" s="60"/>
      <c r="T9" s="60"/>
      <c r="U9" s="60"/>
      <c r="V9" s="60"/>
      <c r="W9" s="60"/>
      <c r="X9" s="60"/>
      <c r="Y9" s="60"/>
    </row>
    <row r="10" spans="1:25" s="62" customFormat="1" x14ac:dyDescent="0.2">
      <c r="A10" s="166">
        <v>5</v>
      </c>
      <c r="B10" s="90">
        <f>-PMT(Assumptions!$B$21,$A10,Assumptions!$B$33)/Assumptions!$B$5*1000000</f>
        <v>2.0104215858389875E-2</v>
      </c>
      <c r="C10" s="66">
        <f>$B10*C$6*C$7*C$8</f>
        <v>1.5279204052376306E-2</v>
      </c>
      <c r="D10" s="66">
        <f>$B10*D$6*D$7*D$8</f>
        <v>0</v>
      </c>
      <c r="E10" s="66">
        <f>$B10*E$6*E$7*E$8</f>
        <v>0</v>
      </c>
      <c r="F10" s="78">
        <f>SUM(C10:E10)</f>
        <v>1.5279204052376306E-2</v>
      </c>
      <c r="G10" s="90">
        <f>-PMT(Assumptions!$B$19,$A10,Assumptions!$C$26)/Assumptions!$B$5*1000000</f>
        <v>1.7905769764001177E-2</v>
      </c>
      <c r="H10" s="66">
        <f t="shared" ref="H10:J14" si="0">$G10*H$6*H$7*H$8</f>
        <v>3.5811539528002355E-3</v>
      </c>
      <c r="I10" s="66">
        <f t="shared" si="0"/>
        <v>5.3717309292003529E-3</v>
      </c>
      <c r="J10" s="66">
        <f t="shared" si="0"/>
        <v>0</v>
      </c>
      <c r="K10" s="78">
        <f>SUM(H10:J10)</f>
        <v>8.9528848820005884E-3</v>
      </c>
      <c r="L10" s="90">
        <f>-PMT(Assumptions!$B$20,$A10,Assumptions!$D$26)/Assumptions!$B$5*1000000</f>
        <v>1.4646603244679543E-2</v>
      </c>
      <c r="M10" s="66">
        <f>$L10*M$6*M$7*M$8</f>
        <v>2.1969904867019316E-3</v>
      </c>
      <c r="N10" s="66">
        <f>$L10*N$6*N$7*N$8</f>
        <v>3.2954857300528974E-3</v>
      </c>
      <c r="O10" s="66">
        <f>$L10*O$6*O$7*O$8</f>
        <v>0</v>
      </c>
      <c r="P10" s="78">
        <f>SUM(M10:O10)</f>
        <v>5.492476216754829E-3</v>
      </c>
      <c r="R10" s="173">
        <f>SUM(F10,K10,P10)</f>
        <v>2.9724565151131723E-2</v>
      </c>
      <c r="S10" s="66"/>
      <c r="X10" s="65"/>
      <c r="Y10" s="66"/>
    </row>
    <row r="11" spans="1:25" s="62" customFormat="1" x14ac:dyDescent="0.2">
      <c r="A11" s="166">
        <v>7</v>
      </c>
      <c r="B11" s="90">
        <f>-PMT(Assumptions!$B$21,$A11,Assumptions!$B$33)/Assumptions!$B$5*1000000</f>
        <v>1.522190896691723E-2</v>
      </c>
      <c r="C11" s="66">
        <f t="shared" ref="C11:E14" si="1">$B11*C$6*C$7*C$8</f>
        <v>1.1568650814857095E-2</v>
      </c>
      <c r="D11" s="66">
        <f t="shared" si="1"/>
        <v>0</v>
      </c>
      <c r="E11" s="66">
        <f t="shared" si="1"/>
        <v>0</v>
      </c>
      <c r="F11" s="78">
        <f>SUM(C11:E11)</f>
        <v>1.1568650814857095E-2</v>
      </c>
      <c r="G11" s="90">
        <f>-PMT(Assumptions!$B$19,$A11,Assumptions!$C$26)/Assumptions!$B$5*1000000</f>
        <v>1.3557355295529244E-2</v>
      </c>
      <c r="H11" s="66">
        <f t="shared" si="0"/>
        <v>2.7114710591058487E-3</v>
      </c>
      <c r="I11" s="66">
        <f t="shared" si="0"/>
        <v>4.0672065886587731E-3</v>
      </c>
      <c r="J11" s="66">
        <f t="shared" si="0"/>
        <v>0</v>
      </c>
      <c r="K11" s="78">
        <f>SUM(H11:J11)</f>
        <v>6.7786776477646218E-3</v>
      </c>
      <c r="L11" s="90">
        <f>-PMT(Assumptions!$B$20,$A11,Assumptions!$D$26)/Assumptions!$B$5*1000000</f>
        <v>1.1319434272751071E-2</v>
      </c>
      <c r="M11" s="66">
        <f t="shared" ref="M11:O14" si="2">$L11*M$6*M$7*M$8</f>
        <v>1.6979151409126606E-3</v>
      </c>
      <c r="N11" s="66">
        <f t="shared" si="2"/>
        <v>2.5468727113689906E-3</v>
      </c>
      <c r="O11" s="66">
        <f t="shared" si="2"/>
        <v>0</v>
      </c>
      <c r="P11" s="78">
        <f>SUM(M11:O11)</f>
        <v>4.2447878522816514E-3</v>
      </c>
      <c r="R11" s="173">
        <f>SUM(F11,K11,P11)</f>
        <v>2.2592116314903366E-2</v>
      </c>
      <c r="S11" s="66"/>
      <c r="X11" s="65"/>
      <c r="Y11" s="66"/>
    </row>
    <row r="12" spans="1:25" s="62" customFormat="1" x14ac:dyDescent="0.2">
      <c r="A12" s="166">
        <v>10</v>
      </c>
      <c r="B12" s="90">
        <f>-PMT(Assumptions!$B$21,$A12,Assumptions!$B$33)/Assumptions!$B$5*1000000</f>
        <v>1.1600999922772028E-2</v>
      </c>
      <c r="C12" s="66">
        <f t="shared" si="1"/>
        <v>8.8167599413067413E-3</v>
      </c>
      <c r="D12" s="66">
        <f t="shared" si="1"/>
        <v>0</v>
      </c>
      <c r="E12" s="66">
        <f t="shared" si="1"/>
        <v>0</v>
      </c>
      <c r="F12" s="78">
        <f>SUM(C12:E12)</f>
        <v>8.8167599413067413E-3</v>
      </c>
      <c r="G12" s="90">
        <f>-PMT(Assumptions!$B$19,$A12,Assumptions!$C$26)/Assumptions!$B$5*1000000</f>
        <v>1.033240167696786E-2</v>
      </c>
      <c r="H12" s="66">
        <f t="shared" si="0"/>
        <v>2.0664803353935722E-3</v>
      </c>
      <c r="I12" s="66">
        <f t="shared" si="0"/>
        <v>3.0997205030903578E-3</v>
      </c>
      <c r="J12" s="66">
        <f t="shared" si="0"/>
        <v>0</v>
      </c>
      <c r="K12" s="78">
        <f>SUM(H12:J12)</f>
        <v>5.16620083848393E-3</v>
      </c>
      <c r="L12" s="90">
        <f>-PMT(Assumptions!$B$20,$A12,Assumptions!$D$26)/Assumptions!$B$5*1000000</f>
        <v>8.8770983850058726E-3</v>
      </c>
      <c r="M12" s="66">
        <f t="shared" si="2"/>
        <v>1.3315647577508808E-3</v>
      </c>
      <c r="N12" s="66">
        <f t="shared" si="2"/>
        <v>1.9973471366263209E-3</v>
      </c>
      <c r="O12" s="66">
        <f t="shared" si="2"/>
        <v>0</v>
      </c>
      <c r="P12" s="78">
        <f>SUM(M12:O12)</f>
        <v>3.328911894377202E-3</v>
      </c>
      <c r="R12" s="173">
        <f>SUM(F12,K12,P12)</f>
        <v>1.7311872674167873E-2</v>
      </c>
      <c r="S12" s="66"/>
      <c r="X12" s="65"/>
      <c r="Y12" s="66"/>
    </row>
    <row r="13" spans="1:25" s="62" customFormat="1" x14ac:dyDescent="0.2">
      <c r="A13" s="166">
        <v>12</v>
      </c>
      <c r="B13" s="90">
        <f>-PMT(Assumptions!$B$21,$A13,Assumptions!$B$33)/Assumptions!$B$5*1000000</f>
        <v>1.0215204594209782E-2</v>
      </c>
      <c r="C13" s="66">
        <f t="shared" si="1"/>
        <v>7.763555491599434E-3</v>
      </c>
      <c r="D13" s="66">
        <f t="shared" si="1"/>
        <v>0</v>
      </c>
      <c r="E13" s="66">
        <f t="shared" si="1"/>
        <v>0</v>
      </c>
      <c r="F13" s="78">
        <f>SUM(C13:E13)</f>
        <v>7.763555491599434E-3</v>
      </c>
      <c r="G13" s="90">
        <f>-PMT(Assumptions!$B$19,$A13,Assumptions!$C$26)/Assumptions!$B$5*1000000</f>
        <v>9.0981465203356909E-3</v>
      </c>
      <c r="H13" s="66">
        <f t="shared" si="0"/>
        <v>1.8196293040671383E-3</v>
      </c>
      <c r="I13" s="66">
        <f t="shared" si="0"/>
        <v>2.7294439561007071E-3</v>
      </c>
      <c r="J13" s="66">
        <f t="shared" si="0"/>
        <v>0</v>
      </c>
      <c r="K13" s="78">
        <f>SUM(H13:J13)</f>
        <v>4.5490732601678454E-3</v>
      </c>
      <c r="L13" s="90">
        <f>-PMT(Assumptions!$B$20,$A13,Assumptions!$D$26)/Assumptions!$B$5*1000000</f>
        <v>7.9559229845673849E-3</v>
      </c>
      <c r="M13" s="66">
        <f t="shared" si="2"/>
        <v>1.1933884476851078E-3</v>
      </c>
      <c r="N13" s="66">
        <f t="shared" si="2"/>
        <v>1.7900826715276617E-3</v>
      </c>
      <c r="O13" s="66">
        <f t="shared" si="2"/>
        <v>0</v>
      </c>
      <c r="P13" s="78">
        <f>SUM(M13:O13)</f>
        <v>2.9834711192127696E-3</v>
      </c>
      <c r="R13" s="173">
        <f>SUM(F13,K13,P13)</f>
        <v>1.5296099870980049E-2</v>
      </c>
      <c r="S13" s="66"/>
      <c r="X13" s="65"/>
      <c r="Y13" s="66"/>
    </row>
    <row r="14" spans="1:25" s="62" customFormat="1" ht="15" thickBot="1" x14ac:dyDescent="0.25">
      <c r="A14" s="167">
        <v>15</v>
      </c>
      <c r="B14" s="91">
        <f>-PMT(Assumptions!$B$21,$A14,Assumptions!$B$33)/Assumptions!$B$5*1000000</f>
        <v>8.8556182025976357E-3</v>
      </c>
      <c r="C14" s="79">
        <f t="shared" si="1"/>
        <v>6.7302698339742036E-3</v>
      </c>
      <c r="D14" s="79">
        <f t="shared" si="1"/>
        <v>0</v>
      </c>
      <c r="E14" s="79">
        <f t="shared" si="1"/>
        <v>0</v>
      </c>
      <c r="F14" s="80">
        <f>SUM(C14:E14)</f>
        <v>6.7302698339742036E-3</v>
      </c>
      <c r="G14" s="91">
        <f>-PMT(Assumptions!$B$19,$A14,Assumptions!$C$26)/Assumptions!$B$5*1000000</f>
        <v>7.8872342880977539E-3</v>
      </c>
      <c r="H14" s="79">
        <f t="shared" si="0"/>
        <v>1.5774468576195508E-3</v>
      </c>
      <c r="I14" s="79">
        <f t="shared" si="0"/>
        <v>2.3661702864293259E-3</v>
      </c>
      <c r="J14" s="79">
        <f t="shared" si="0"/>
        <v>0</v>
      </c>
      <c r="K14" s="80">
        <f>SUM(H14:J14)</f>
        <v>3.9436171440488769E-3</v>
      </c>
      <c r="L14" s="91">
        <f>-PMT(Assumptions!$B$20,$A14,Assumptions!$D$26)/Assumptions!$B$5*1000000</f>
        <v>7.0676567281126521E-3</v>
      </c>
      <c r="M14" s="79">
        <f t="shared" si="2"/>
        <v>1.0601485092168979E-3</v>
      </c>
      <c r="N14" s="79">
        <f t="shared" si="2"/>
        <v>1.5902227638253466E-3</v>
      </c>
      <c r="O14" s="79">
        <f t="shared" si="2"/>
        <v>0</v>
      </c>
      <c r="P14" s="80">
        <f>SUM(M14:O14)</f>
        <v>2.6503712730422445E-3</v>
      </c>
      <c r="Q14" s="169"/>
      <c r="R14" s="173">
        <f>SUM(F14,K14,P14)</f>
        <v>1.3324258251065323E-2</v>
      </c>
      <c r="S14" s="66"/>
      <c r="X14" s="65"/>
      <c r="Y14" s="66"/>
    </row>
    <row r="15" spans="1:25" x14ac:dyDescent="0.2">
      <c r="A15" s="23"/>
      <c r="B15" s="23"/>
      <c r="C15" s="156"/>
      <c r="D15" s="156"/>
      <c r="E15" s="156"/>
      <c r="F15" s="66"/>
      <c r="G15" s="156"/>
      <c r="H15" s="157"/>
      <c r="I15" s="157"/>
      <c r="J15" s="157"/>
      <c r="K15" s="66"/>
      <c r="L15" s="157"/>
      <c r="M15" s="156"/>
      <c r="N15" s="156"/>
      <c r="O15" s="156"/>
      <c r="P15" s="66"/>
      <c r="Q15" s="156"/>
      <c r="R15" s="173"/>
      <c r="S15" s="158"/>
      <c r="X15" s="156"/>
      <c r="Y15" s="158"/>
    </row>
    <row r="16" spans="1:25" x14ac:dyDescent="0.2">
      <c r="B16" s="23"/>
      <c r="C16" s="23"/>
      <c r="D16" s="23"/>
      <c r="E16" s="23"/>
      <c r="F16" s="66"/>
      <c r="G16" s="23"/>
      <c r="H16" s="23"/>
      <c r="I16" s="23"/>
      <c r="J16" s="23"/>
      <c r="K16" s="66"/>
      <c r="L16" s="23"/>
      <c r="M16" s="23"/>
      <c r="N16" s="23"/>
      <c r="O16" s="23"/>
      <c r="P16" s="66"/>
      <c r="Q16" s="23"/>
      <c r="R16" s="173"/>
    </row>
    <row r="17" spans="1:25" ht="15" thickBot="1" x14ac:dyDescent="0.25">
      <c r="A17" s="23"/>
      <c r="B17" s="23"/>
      <c r="C17" s="156"/>
      <c r="D17" s="156"/>
      <c r="E17" s="156"/>
      <c r="F17" s="66"/>
      <c r="G17" s="156"/>
      <c r="H17" s="156"/>
      <c r="I17" s="156"/>
      <c r="J17" s="156"/>
      <c r="K17" s="66"/>
      <c r="L17" s="156"/>
      <c r="M17" s="156"/>
      <c r="N17" s="156"/>
      <c r="O17" s="156"/>
      <c r="P17" s="66"/>
      <c r="Q17" s="156"/>
      <c r="R17" s="173"/>
      <c r="S17" s="158"/>
      <c r="X17" s="156"/>
      <c r="Y17" s="158"/>
    </row>
    <row r="18" spans="1:25" ht="15.75" customHeight="1" thickBot="1" x14ac:dyDescent="0.3">
      <c r="A18" s="161" t="s">
        <v>2</v>
      </c>
      <c r="B18" s="204" t="s">
        <v>18</v>
      </c>
      <c r="C18" s="205"/>
      <c r="D18" s="205"/>
      <c r="E18" s="205"/>
      <c r="F18" s="206"/>
      <c r="G18" s="200" t="s">
        <v>19</v>
      </c>
      <c r="H18" s="201"/>
      <c r="I18" s="201"/>
      <c r="J18" s="201"/>
      <c r="K18" s="202"/>
      <c r="L18" s="200" t="s">
        <v>31</v>
      </c>
      <c r="M18" s="201"/>
      <c r="N18" s="201"/>
      <c r="O18" s="201"/>
      <c r="P18" s="202"/>
      <c r="Q18" s="175"/>
      <c r="R18" s="173"/>
      <c r="S18" s="158"/>
      <c r="X18" s="156"/>
      <c r="Y18" s="158"/>
    </row>
    <row r="19" spans="1:25" x14ac:dyDescent="0.2">
      <c r="A19" s="82"/>
      <c r="B19" s="170" t="s">
        <v>26</v>
      </c>
      <c r="C19" s="94" t="s">
        <v>78</v>
      </c>
      <c r="D19" s="94" t="s">
        <v>79</v>
      </c>
      <c r="E19" s="94" t="s">
        <v>80</v>
      </c>
      <c r="F19" s="177"/>
      <c r="G19" s="179" t="s">
        <v>26</v>
      </c>
      <c r="H19" s="94" t="s">
        <v>78</v>
      </c>
      <c r="I19" s="94" t="s">
        <v>79</v>
      </c>
      <c r="J19" s="94" t="s">
        <v>80</v>
      </c>
      <c r="K19" s="177"/>
      <c r="L19" s="179" t="s">
        <v>26</v>
      </c>
      <c r="M19" s="94" t="s">
        <v>78</v>
      </c>
      <c r="N19" s="94" t="s">
        <v>79</v>
      </c>
      <c r="O19" s="94" t="s">
        <v>80</v>
      </c>
      <c r="P19" s="177"/>
      <c r="Q19" s="156"/>
      <c r="R19" s="173"/>
      <c r="S19" s="158"/>
      <c r="X19" s="156"/>
      <c r="Y19" s="158"/>
    </row>
    <row r="20" spans="1:25" ht="15" x14ac:dyDescent="0.25">
      <c r="A20" s="75"/>
      <c r="B20" s="75"/>
      <c r="C20" s="73"/>
      <c r="D20" s="73"/>
      <c r="E20" s="73"/>
      <c r="F20" s="78"/>
      <c r="G20" s="75"/>
      <c r="H20" s="73"/>
      <c r="I20" s="73"/>
      <c r="J20" s="73"/>
      <c r="K20" s="78"/>
      <c r="L20" s="75"/>
      <c r="M20" s="73"/>
      <c r="N20" s="73"/>
      <c r="O20" s="73"/>
      <c r="P20" s="78"/>
      <c r="Q20" s="156"/>
      <c r="R20" s="173"/>
      <c r="S20" s="158"/>
      <c r="X20" s="156"/>
      <c r="Y20" s="158"/>
    </row>
    <row r="21" spans="1:25" x14ac:dyDescent="0.2">
      <c r="A21" s="75"/>
      <c r="B21" s="75" t="s">
        <v>27</v>
      </c>
      <c r="C21" s="74">
        <f>Description!$I$22</f>
        <v>0.8</v>
      </c>
      <c r="D21" s="74">
        <f>Description!$I$22</f>
        <v>0.8</v>
      </c>
      <c r="E21" s="74">
        <f>Description!$I$22</f>
        <v>0.8</v>
      </c>
      <c r="F21" s="78" t="s">
        <v>71</v>
      </c>
      <c r="G21" s="75" t="s">
        <v>27</v>
      </c>
      <c r="H21" s="74">
        <f>Description!$I$33</f>
        <v>1</v>
      </c>
      <c r="I21" s="74">
        <f>Description!$I$33</f>
        <v>1</v>
      </c>
      <c r="J21" s="74">
        <f>Description!$I$33</f>
        <v>1</v>
      </c>
      <c r="K21" s="78" t="s">
        <v>67</v>
      </c>
      <c r="L21" s="75" t="s">
        <v>27</v>
      </c>
      <c r="M21" s="74">
        <f>Description!$I$44</f>
        <v>0.75</v>
      </c>
      <c r="N21" s="74">
        <f>Description!$I$44</f>
        <v>0.75</v>
      </c>
      <c r="O21" s="74">
        <f>Description!$I$44</f>
        <v>0.75</v>
      </c>
      <c r="P21" s="78" t="s">
        <v>67</v>
      </c>
      <c r="Q21" s="156"/>
      <c r="R21" s="173"/>
      <c r="S21" s="158"/>
      <c r="X21" s="156"/>
      <c r="Y21" s="158"/>
    </row>
    <row r="22" spans="1:25" x14ac:dyDescent="0.2">
      <c r="A22" s="75"/>
      <c r="B22" s="75" t="s">
        <v>25</v>
      </c>
      <c r="C22" s="74">
        <f>Description!$I$25</f>
        <v>0.95</v>
      </c>
      <c r="D22" s="74">
        <f>Description!$I$26</f>
        <v>0</v>
      </c>
      <c r="E22" s="74">
        <f>Description!$I$27</f>
        <v>0.05</v>
      </c>
      <c r="F22" s="78" t="s">
        <v>72</v>
      </c>
      <c r="G22" s="75" t="s">
        <v>25</v>
      </c>
      <c r="H22" s="74">
        <f>Description!$I$36</f>
        <v>0.2</v>
      </c>
      <c r="I22" s="74">
        <f>Description!$I$37</f>
        <v>0.6</v>
      </c>
      <c r="J22" s="74">
        <f>Description!$I$38</f>
        <v>0.2</v>
      </c>
      <c r="K22" s="78" t="s">
        <v>72</v>
      </c>
      <c r="L22" s="75" t="s">
        <v>25</v>
      </c>
      <c r="M22" s="74">
        <f>Description!$I$47</f>
        <v>0.2</v>
      </c>
      <c r="N22" s="74">
        <f>Description!$I$48</f>
        <v>0.6</v>
      </c>
      <c r="O22" s="74">
        <f>Description!$I$49</f>
        <v>0.2</v>
      </c>
      <c r="P22" s="78" t="s">
        <v>72</v>
      </c>
      <c r="Q22" s="156"/>
      <c r="R22" s="173"/>
      <c r="S22" s="158"/>
      <c r="X22" s="156"/>
      <c r="Y22" s="158"/>
    </row>
    <row r="23" spans="1:25" ht="15" thickBot="1" x14ac:dyDescent="0.25">
      <c r="A23" s="75"/>
      <c r="B23" s="87" t="s">
        <v>69</v>
      </c>
      <c r="C23" s="146">
        <v>1</v>
      </c>
      <c r="D23" s="146">
        <f>Description!I29</f>
        <v>0.5</v>
      </c>
      <c r="E23" s="146">
        <v>0</v>
      </c>
      <c r="F23" s="80"/>
      <c r="G23" s="148" t="s">
        <v>69</v>
      </c>
      <c r="H23" s="146">
        <v>1</v>
      </c>
      <c r="I23" s="146">
        <f>Description!I40</f>
        <v>0.5</v>
      </c>
      <c r="J23" s="146">
        <v>0</v>
      </c>
      <c r="K23" s="80"/>
      <c r="L23" s="148" t="s">
        <v>69</v>
      </c>
      <c r="M23" s="146">
        <v>1</v>
      </c>
      <c r="N23" s="146">
        <f>Description!$I$51</f>
        <v>0.5</v>
      </c>
      <c r="O23" s="146">
        <v>0</v>
      </c>
      <c r="P23" s="80"/>
      <c r="Q23" s="156"/>
      <c r="R23" s="173"/>
      <c r="S23" s="158"/>
      <c r="X23" s="156"/>
      <c r="Y23" s="158"/>
    </row>
    <row r="24" spans="1:25" ht="31.5" customHeight="1" x14ac:dyDescent="0.25">
      <c r="A24" s="165" t="s">
        <v>17</v>
      </c>
      <c r="B24" s="97"/>
      <c r="C24" s="70"/>
      <c r="D24" s="70"/>
      <c r="E24" s="70"/>
      <c r="F24" s="177"/>
      <c r="G24" s="71"/>
      <c r="H24" s="71"/>
      <c r="I24" s="71"/>
      <c r="J24" s="71"/>
      <c r="K24" s="66"/>
      <c r="L24" s="150"/>
      <c r="M24" s="71"/>
      <c r="N24" s="71"/>
      <c r="O24" s="71"/>
      <c r="P24" s="78"/>
      <c r="Q24" s="156"/>
      <c r="R24" s="173"/>
      <c r="S24" s="158"/>
      <c r="X24" s="156"/>
      <c r="Y24" s="158"/>
    </row>
    <row r="25" spans="1:25" x14ac:dyDescent="0.2">
      <c r="A25" s="166">
        <v>5</v>
      </c>
      <c r="B25" s="90">
        <f>-PMT(Assumptions!$B$21,$A25,Assumptions!$B$34)/Assumptions!$B$6*1000000</f>
        <v>1.0246051038130987E-2</v>
      </c>
      <c r="C25" s="66">
        <f>$B25*C$21*C$22*C$23</f>
        <v>7.7869987889795508E-3</v>
      </c>
      <c r="D25" s="66">
        <f>$B25*D$21*D$22*D$23</f>
        <v>0</v>
      </c>
      <c r="E25" s="66">
        <f>$B25*E$21*E$22*E$23</f>
        <v>0</v>
      </c>
      <c r="F25" s="78">
        <f>SUM(C25:E25)</f>
        <v>7.7869987889795508E-3</v>
      </c>
      <c r="G25" s="155">
        <f>-PMT(Assumptions!$B$19,$A25,Assumptions!$C$27)/Assumptions!$B$6*1000000</f>
        <v>1.3251280091815049E-2</v>
      </c>
      <c r="H25" s="66">
        <f>$G25*H$21*H$22</f>
        <v>2.65025601836301E-3</v>
      </c>
      <c r="I25" s="66">
        <f>$G25*I$21*I$22</f>
        <v>7.9507680550890292E-3</v>
      </c>
      <c r="J25" s="66">
        <f>$G25*J$21*J$22</f>
        <v>2.65025601836301E-3</v>
      </c>
      <c r="K25" s="66">
        <f>SUM(H25:J25)</f>
        <v>1.3251280091815049E-2</v>
      </c>
      <c r="L25" s="90">
        <f>-PMT(Assumptions!$B$20,$A25,Assumptions!$D$27)/Assumptions!$B$6*1000000</f>
        <v>1.0839312944765896E-2</v>
      </c>
      <c r="M25" s="66">
        <f>$L25*M$21*M$22</f>
        <v>1.6258969417148846E-3</v>
      </c>
      <c r="N25" s="66">
        <f>$L25*N$21*N$22</f>
        <v>4.8776908251446536E-3</v>
      </c>
      <c r="O25" s="66">
        <f>$L25*O$21*O$22</f>
        <v>1.6258969417148846E-3</v>
      </c>
      <c r="P25" s="78">
        <f>SUM(M25:O25)</f>
        <v>8.1294847085744224E-3</v>
      </c>
      <c r="Q25" s="156"/>
      <c r="R25" s="173">
        <f>SUM(F25,K25,P25)</f>
        <v>2.9167763589369025E-2</v>
      </c>
      <c r="S25" s="158"/>
      <c r="X25" s="156"/>
      <c r="Y25" s="158"/>
    </row>
    <row r="26" spans="1:25" x14ac:dyDescent="0.2">
      <c r="A26" s="166">
        <v>7</v>
      </c>
      <c r="B26" s="90">
        <f>-PMT(Assumptions!$B$21,$A26,Assumptions!$B$34)/Assumptions!$B$6*1000000</f>
        <v>7.7577985270055041E-3</v>
      </c>
      <c r="C26" s="66">
        <f t="shared" ref="C26:E29" si="3">$B26*C$21*C$22*C$23</f>
        <v>5.8959268805241832E-3</v>
      </c>
      <c r="D26" s="66">
        <f t="shared" si="3"/>
        <v>0</v>
      </c>
      <c r="E26" s="66">
        <f t="shared" si="3"/>
        <v>0</v>
      </c>
      <c r="F26" s="78">
        <f>SUM(C26:E26)</f>
        <v>5.8959268805241832E-3</v>
      </c>
      <c r="G26" s="155">
        <f>-PMT(Assumptions!$B$19,$A26,Assumptions!$C$27)/Assumptions!$B$6*1000000</f>
        <v>1.0033207993464412E-2</v>
      </c>
      <c r="H26" s="66">
        <f t="shared" ref="H26:J29" si="4">$G26*H$21*H$22</f>
        <v>2.0066415986928826E-3</v>
      </c>
      <c r="I26" s="66">
        <f t="shared" si="4"/>
        <v>6.0199247960786469E-3</v>
      </c>
      <c r="J26" s="66">
        <f t="shared" si="4"/>
        <v>2.0066415986928826E-3</v>
      </c>
      <c r="K26" s="66">
        <f>SUM(H26:J26)</f>
        <v>1.0033207993464414E-2</v>
      </c>
      <c r="L26" s="90">
        <f>-PMT(Assumptions!$B$20,$A26,Assumptions!$D$27)/Assumptions!$B$6*1000000</f>
        <v>8.3770201452426883E-3</v>
      </c>
      <c r="M26" s="66">
        <f t="shared" ref="M26:O29" si="5">$L26*M$21*M$22</f>
        <v>1.2565530217864033E-3</v>
      </c>
      <c r="N26" s="66">
        <f t="shared" si="5"/>
        <v>3.7696590653592097E-3</v>
      </c>
      <c r="O26" s="66">
        <f t="shared" si="5"/>
        <v>1.2565530217864033E-3</v>
      </c>
      <c r="P26" s="78">
        <f>SUM(M26:O26)</f>
        <v>6.2827651089320162E-3</v>
      </c>
      <c r="Q26" s="159"/>
      <c r="R26" s="173">
        <f>SUM(F26,K26,P26)</f>
        <v>2.2211899982920613E-2</v>
      </c>
      <c r="S26" s="158"/>
      <c r="X26" s="156"/>
      <c r="Y26" s="158"/>
    </row>
    <row r="27" spans="1:25" x14ac:dyDescent="0.2">
      <c r="A27" s="166">
        <v>10</v>
      </c>
      <c r="B27" s="90">
        <f>-PMT(Assumptions!$B$21,$A27,Assumptions!$B$34)/Assumptions!$B$6*1000000</f>
        <v>5.9124135026868722E-3</v>
      </c>
      <c r="C27" s="66">
        <f t="shared" si="3"/>
        <v>4.4934342620420228E-3</v>
      </c>
      <c r="D27" s="66">
        <f t="shared" si="3"/>
        <v>0</v>
      </c>
      <c r="E27" s="66">
        <f t="shared" si="3"/>
        <v>0</v>
      </c>
      <c r="F27" s="78">
        <f>SUM(C27:E27)</f>
        <v>4.4934342620420228E-3</v>
      </c>
      <c r="G27" s="155">
        <f>-PMT(Assumptions!$B$19,$A27,Assumptions!$C$27)/Assumptions!$B$6*1000000</f>
        <v>7.6465603236956503E-3</v>
      </c>
      <c r="H27" s="66">
        <f t="shared" si="4"/>
        <v>1.5293120647391302E-3</v>
      </c>
      <c r="I27" s="66">
        <f t="shared" si="4"/>
        <v>4.5879361942173904E-3</v>
      </c>
      <c r="J27" s="66">
        <f t="shared" si="4"/>
        <v>1.5293120647391302E-3</v>
      </c>
      <c r="K27" s="66">
        <f>SUM(H27:J27)</f>
        <v>7.6465603236956512E-3</v>
      </c>
      <c r="L27" s="90">
        <f>-PMT(Assumptions!$B$20,$A27,Assumptions!$D$27)/Assumptions!$B$6*1000000</f>
        <v>6.5695537613137444E-3</v>
      </c>
      <c r="M27" s="66">
        <f t="shared" si="5"/>
        <v>9.854330641970617E-4</v>
      </c>
      <c r="N27" s="66">
        <f t="shared" si="5"/>
        <v>2.9562991925911851E-3</v>
      </c>
      <c r="O27" s="66">
        <f t="shared" si="5"/>
        <v>9.854330641970617E-4</v>
      </c>
      <c r="P27" s="78">
        <f>SUM(M27:O27)</f>
        <v>4.9271653209853085E-3</v>
      </c>
      <c r="Q27" s="159"/>
      <c r="R27" s="173">
        <f>SUM(F27,K27,P27)</f>
        <v>1.7067159906722983E-2</v>
      </c>
      <c r="S27" s="158"/>
      <c r="X27" s="156"/>
      <c r="Y27" s="158"/>
    </row>
    <row r="28" spans="1:25" x14ac:dyDescent="0.2">
      <c r="A28" s="166">
        <v>12</v>
      </c>
      <c r="B28" s="90">
        <f>-PMT(Assumptions!$B$21,$A28,Assumptions!$B$34)/Assumptions!$B$6*1000000</f>
        <v>5.2061472267541662E-3</v>
      </c>
      <c r="C28" s="66">
        <f t="shared" si="3"/>
        <v>3.9566718923331667E-3</v>
      </c>
      <c r="D28" s="66">
        <f t="shared" si="3"/>
        <v>0</v>
      </c>
      <c r="E28" s="66">
        <f t="shared" si="3"/>
        <v>0</v>
      </c>
      <c r="F28" s="78">
        <f>SUM(C28:E28)</f>
        <v>3.9566718923331667E-3</v>
      </c>
      <c r="G28" s="155">
        <f>-PMT(Assumptions!$B$19,$A28,Assumptions!$C$27)/Assumptions!$B$6*1000000</f>
        <v>6.73314185574562E-3</v>
      </c>
      <c r="H28" s="66">
        <f t="shared" si="4"/>
        <v>1.3466283711491241E-3</v>
      </c>
      <c r="I28" s="66">
        <f t="shared" si="4"/>
        <v>4.0398851134473722E-3</v>
      </c>
      <c r="J28" s="66">
        <f t="shared" si="4"/>
        <v>1.3466283711491241E-3</v>
      </c>
      <c r="K28" s="66">
        <f>SUM(H28:J28)</f>
        <v>6.7331418557456208E-3</v>
      </c>
      <c r="L28" s="90">
        <f>-PMT(Assumptions!$B$20,$A28,Assumptions!$D$27)/Assumptions!$B$6*1000000</f>
        <v>5.8878319808046775E-3</v>
      </c>
      <c r="M28" s="66">
        <f t="shared" si="5"/>
        <v>8.8317479712070172E-4</v>
      </c>
      <c r="N28" s="66">
        <f t="shared" si="5"/>
        <v>2.6495243913621049E-3</v>
      </c>
      <c r="O28" s="66">
        <f t="shared" si="5"/>
        <v>8.8317479712070172E-4</v>
      </c>
      <c r="P28" s="78">
        <f>SUM(M28:O28)</f>
        <v>4.4158739856035084E-3</v>
      </c>
      <c r="Q28" s="159"/>
      <c r="R28" s="173">
        <f>SUM(F28,K28,P28)</f>
        <v>1.5105687733682295E-2</v>
      </c>
      <c r="S28" s="158"/>
      <c r="X28" s="156"/>
      <c r="Y28" s="158"/>
    </row>
    <row r="29" spans="1:25" ht="15" thickBot="1" x14ac:dyDescent="0.25">
      <c r="A29" s="167">
        <v>15</v>
      </c>
      <c r="B29" s="91">
        <f>-PMT(Assumptions!$B$21,$A29,Assumptions!$B$34)/Assumptions!$B$6*1000000</f>
        <v>4.5132382539631198E-3</v>
      </c>
      <c r="C29" s="79">
        <f t="shared" si="3"/>
        <v>3.4300610730119709E-3</v>
      </c>
      <c r="D29" s="79">
        <f t="shared" si="3"/>
        <v>0</v>
      </c>
      <c r="E29" s="79">
        <f t="shared" si="3"/>
        <v>0</v>
      </c>
      <c r="F29" s="80">
        <f>SUM(C29:E29)</f>
        <v>3.4300610730119709E-3</v>
      </c>
      <c r="G29" s="168">
        <f>-PMT(Assumptions!$B$19,$A29,Assumptions!$C$27)/Assumptions!$B$6*1000000</f>
        <v>5.8369984691457322E-3</v>
      </c>
      <c r="H29" s="79">
        <f t="shared" si="4"/>
        <v>1.1673996938291464E-3</v>
      </c>
      <c r="I29" s="79">
        <f t="shared" si="4"/>
        <v>3.5021990814874393E-3</v>
      </c>
      <c r="J29" s="79">
        <f t="shared" si="4"/>
        <v>1.1673996938291464E-3</v>
      </c>
      <c r="K29" s="79">
        <f>SUM(H29:J29)</f>
        <v>5.8369984691457322E-3</v>
      </c>
      <c r="L29" s="91">
        <f>-PMT(Assumptions!$B$20,$A29,Assumptions!$D$27)/Assumptions!$B$6*1000000</f>
        <v>5.2304648239872064E-3</v>
      </c>
      <c r="M29" s="79">
        <f t="shared" si="5"/>
        <v>7.8456972359808102E-4</v>
      </c>
      <c r="N29" s="79">
        <f t="shared" si="5"/>
        <v>2.3537091707942427E-3</v>
      </c>
      <c r="O29" s="79">
        <f t="shared" si="5"/>
        <v>7.8456972359808102E-4</v>
      </c>
      <c r="P29" s="80">
        <f>SUM(M29:O29)</f>
        <v>3.922848617990405E-3</v>
      </c>
      <c r="Q29" s="176"/>
      <c r="R29" s="173">
        <f>SUM(F29,K29,P29)</f>
        <v>1.3189908160148109E-2</v>
      </c>
    </row>
    <row r="30" spans="1:25" ht="15" x14ac:dyDescent="0.25">
      <c r="A30" s="160"/>
      <c r="B30" s="160"/>
      <c r="C30" s="156"/>
      <c r="D30" s="156"/>
      <c r="E30" s="156"/>
      <c r="F30" s="66"/>
      <c r="G30" s="156"/>
      <c r="H30" s="156"/>
      <c r="I30" s="156"/>
      <c r="J30" s="156"/>
      <c r="K30" s="66"/>
      <c r="L30" s="156"/>
      <c r="M30" s="156"/>
      <c r="N30" s="156"/>
      <c r="O30" s="156"/>
      <c r="P30" s="66"/>
      <c r="Q30" s="156"/>
      <c r="R30" s="173"/>
    </row>
    <row r="31" spans="1:25" s="62" customFormat="1" ht="15" x14ac:dyDescent="0.25">
      <c r="B31" s="73"/>
      <c r="C31" s="65"/>
      <c r="D31" s="65"/>
      <c r="E31" s="65"/>
      <c r="F31" s="66"/>
      <c r="G31" s="65"/>
      <c r="H31" s="65"/>
      <c r="I31" s="65"/>
      <c r="J31" s="65"/>
      <c r="K31" s="66"/>
      <c r="L31" s="65"/>
      <c r="M31" s="65"/>
      <c r="N31" s="65"/>
      <c r="O31" s="65"/>
      <c r="P31" s="66"/>
      <c r="Q31" s="65"/>
      <c r="R31" s="173"/>
    </row>
    <row r="32" spans="1:25" s="62" customFormat="1" ht="15.75" thickBot="1" x14ac:dyDescent="0.3">
      <c r="B32" s="72"/>
      <c r="C32" s="71"/>
      <c r="D32" s="71"/>
      <c r="E32" s="71"/>
      <c r="F32" s="66"/>
      <c r="G32" s="71"/>
      <c r="H32" s="71"/>
      <c r="I32" s="71"/>
      <c r="J32" s="71"/>
      <c r="K32" s="66"/>
      <c r="L32" s="71"/>
      <c r="M32" s="71"/>
      <c r="N32" s="71"/>
      <c r="O32" s="71"/>
      <c r="P32" s="66"/>
      <c r="Q32" s="71"/>
      <c r="R32" s="173"/>
      <c r="S32" s="203"/>
      <c r="T32" s="203"/>
      <c r="U32" s="203"/>
      <c r="V32" s="203"/>
      <c r="W32" s="203"/>
      <c r="X32" s="203"/>
    </row>
    <row r="33" spans="1:26" s="71" customFormat="1" ht="16.5" thickBot="1" x14ac:dyDescent="0.3">
      <c r="A33" s="178" t="s">
        <v>3</v>
      </c>
      <c r="B33" s="204" t="s">
        <v>18</v>
      </c>
      <c r="C33" s="205"/>
      <c r="D33" s="205"/>
      <c r="E33" s="205"/>
      <c r="F33" s="206"/>
      <c r="G33" s="200" t="s">
        <v>19</v>
      </c>
      <c r="H33" s="201"/>
      <c r="I33" s="201"/>
      <c r="J33" s="201"/>
      <c r="K33" s="202"/>
      <c r="L33" s="200" t="s">
        <v>31</v>
      </c>
      <c r="M33" s="201"/>
      <c r="N33" s="201"/>
      <c r="O33" s="201"/>
      <c r="P33" s="202"/>
      <c r="Q33" s="162"/>
      <c r="R33" s="173"/>
      <c r="S33" s="60"/>
      <c r="T33" s="60"/>
      <c r="U33" s="60"/>
      <c r="V33" s="60"/>
      <c r="W33" s="60"/>
      <c r="X33" s="60"/>
      <c r="Y33" s="60"/>
      <c r="Z33" s="60"/>
    </row>
    <row r="34" spans="1:26" s="62" customFormat="1" x14ac:dyDescent="0.2">
      <c r="A34" s="75"/>
      <c r="B34" s="170" t="s">
        <v>26</v>
      </c>
      <c r="C34" s="94" t="s">
        <v>78</v>
      </c>
      <c r="D34" s="94" t="s">
        <v>79</v>
      </c>
      <c r="E34" s="94" t="s">
        <v>80</v>
      </c>
      <c r="F34" s="177"/>
      <c r="G34" s="179" t="s">
        <v>26</v>
      </c>
      <c r="H34" s="94" t="s">
        <v>78</v>
      </c>
      <c r="I34" s="94" t="s">
        <v>79</v>
      </c>
      <c r="J34" s="94" t="s">
        <v>80</v>
      </c>
      <c r="K34" s="177"/>
      <c r="L34" s="179" t="s">
        <v>26</v>
      </c>
      <c r="M34" s="94" t="s">
        <v>78</v>
      </c>
      <c r="N34" s="94" t="s">
        <v>79</v>
      </c>
      <c r="O34" s="94" t="s">
        <v>80</v>
      </c>
      <c r="P34" s="177"/>
      <c r="Q34" s="65"/>
      <c r="R34" s="173"/>
      <c r="S34" s="66"/>
      <c r="X34" s="65"/>
      <c r="Y34" s="66"/>
    </row>
    <row r="35" spans="1:26" s="62" customFormat="1" ht="15" x14ac:dyDescent="0.25">
      <c r="A35" s="75"/>
      <c r="B35" s="75"/>
      <c r="C35" s="73"/>
      <c r="D35" s="73"/>
      <c r="E35" s="73"/>
      <c r="F35" s="78"/>
      <c r="G35" s="75"/>
      <c r="H35" s="73"/>
      <c r="I35" s="73"/>
      <c r="J35" s="73"/>
      <c r="K35" s="78"/>
      <c r="L35" s="75"/>
      <c r="M35" s="73"/>
      <c r="N35" s="73"/>
      <c r="O35" s="73"/>
      <c r="P35" s="78"/>
      <c r="Q35" s="65"/>
      <c r="R35" s="173"/>
      <c r="S35" s="66"/>
      <c r="X35" s="65"/>
      <c r="Y35" s="66"/>
    </row>
    <row r="36" spans="1:26" s="62" customFormat="1" x14ac:dyDescent="0.2">
      <c r="A36" s="75"/>
      <c r="B36" s="75" t="s">
        <v>27</v>
      </c>
      <c r="C36" s="74">
        <f>Description!$I$23</f>
        <v>0.8</v>
      </c>
      <c r="D36" s="74">
        <f>Description!$I$23</f>
        <v>0.8</v>
      </c>
      <c r="E36" s="74">
        <f>Description!$I$23</f>
        <v>0.8</v>
      </c>
      <c r="F36" s="78" t="s">
        <v>67</v>
      </c>
      <c r="G36" s="75" t="s">
        <v>27</v>
      </c>
      <c r="H36" s="74">
        <f>Description!$I$34</f>
        <v>1</v>
      </c>
      <c r="I36" s="74">
        <f>Description!$I$34</f>
        <v>1</v>
      </c>
      <c r="J36" s="74">
        <f>Description!$I$34</f>
        <v>1</v>
      </c>
      <c r="K36" s="78" t="s">
        <v>71</v>
      </c>
      <c r="L36" s="75" t="s">
        <v>27</v>
      </c>
      <c r="M36" s="74">
        <f>Description!$I$45</f>
        <v>0.75</v>
      </c>
      <c r="N36" s="74">
        <f>Description!$I$45</f>
        <v>0.75</v>
      </c>
      <c r="O36" s="74">
        <f>Description!$I$45</f>
        <v>0.75</v>
      </c>
      <c r="P36" s="78" t="s">
        <v>71</v>
      </c>
      <c r="Q36" s="65"/>
      <c r="R36" s="173"/>
      <c r="S36" s="66"/>
      <c r="X36" s="65"/>
      <c r="Y36" s="66"/>
    </row>
    <row r="37" spans="1:26" s="62" customFormat="1" x14ac:dyDescent="0.2">
      <c r="A37" s="75"/>
      <c r="B37" s="75" t="s">
        <v>25</v>
      </c>
      <c r="C37" s="74">
        <f>Description!$I$25</f>
        <v>0.95</v>
      </c>
      <c r="D37" s="74">
        <f>Description!$I$26</f>
        <v>0</v>
      </c>
      <c r="E37" s="74">
        <f>Description!$I$27</f>
        <v>0.05</v>
      </c>
      <c r="F37" s="78" t="s">
        <v>72</v>
      </c>
      <c r="G37" s="75" t="s">
        <v>25</v>
      </c>
      <c r="H37" s="74">
        <f>Description!$I$36</f>
        <v>0.2</v>
      </c>
      <c r="I37" s="74">
        <f>Description!$I$37</f>
        <v>0.6</v>
      </c>
      <c r="J37" s="74">
        <f>Description!$I$38</f>
        <v>0.2</v>
      </c>
      <c r="K37" s="78" t="s">
        <v>72</v>
      </c>
      <c r="L37" s="75" t="s">
        <v>25</v>
      </c>
      <c r="M37" s="74">
        <f>Description!$I$47</f>
        <v>0.2</v>
      </c>
      <c r="N37" s="74">
        <f>Description!$I$48</f>
        <v>0.6</v>
      </c>
      <c r="O37" s="74">
        <f>Description!$I$49</f>
        <v>0.2</v>
      </c>
      <c r="P37" s="78" t="s">
        <v>72</v>
      </c>
      <c r="Q37" s="65"/>
      <c r="R37" s="173"/>
      <c r="S37" s="66"/>
      <c r="X37" s="65"/>
      <c r="Y37" s="66"/>
    </row>
    <row r="38" spans="1:26" s="62" customFormat="1" ht="15" thickBot="1" x14ac:dyDescent="0.25">
      <c r="A38" s="75"/>
      <c r="B38" s="87" t="s">
        <v>69</v>
      </c>
      <c r="C38" s="146">
        <v>1</v>
      </c>
      <c r="D38" s="146">
        <f>Description!I29</f>
        <v>0.5</v>
      </c>
      <c r="E38" s="146">
        <v>0</v>
      </c>
      <c r="F38" s="80"/>
      <c r="G38" s="148" t="s">
        <v>69</v>
      </c>
      <c r="H38" s="146">
        <v>1</v>
      </c>
      <c r="I38" s="146">
        <f>Description!I40</f>
        <v>0.5</v>
      </c>
      <c r="J38" s="146">
        <v>0</v>
      </c>
      <c r="K38" s="80"/>
      <c r="L38" s="148" t="s">
        <v>69</v>
      </c>
      <c r="M38" s="146">
        <v>1</v>
      </c>
      <c r="N38" s="146">
        <f>Description!I51</f>
        <v>0.5</v>
      </c>
      <c r="O38" s="146">
        <v>0</v>
      </c>
      <c r="P38" s="80"/>
      <c r="Q38" s="65"/>
      <c r="R38" s="173"/>
      <c r="S38" s="66"/>
      <c r="X38" s="65"/>
      <c r="Y38" s="66"/>
    </row>
    <row r="39" spans="1:26" s="62" customFormat="1" ht="30" x14ac:dyDescent="0.25">
      <c r="A39" s="165" t="s">
        <v>17</v>
      </c>
      <c r="B39" s="71"/>
      <c r="C39" s="71"/>
      <c r="D39" s="71"/>
      <c r="E39" s="71"/>
      <c r="F39" s="66"/>
      <c r="G39" s="71"/>
      <c r="H39" s="71"/>
      <c r="I39" s="71"/>
      <c r="J39" s="71"/>
      <c r="K39" s="66"/>
      <c r="L39" s="71"/>
      <c r="M39" s="71"/>
      <c r="N39" s="71"/>
      <c r="O39" s="71"/>
      <c r="P39" s="66"/>
      <c r="Q39" s="65"/>
      <c r="R39" s="173"/>
      <c r="S39" s="66"/>
      <c r="X39" s="65"/>
      <c r="Y39" s="66"/>
    </row>
    <row r="40" spans="1:26" x14ac:dyDescent="0.2">
      <c r="A40" s="166">
        <v>5</v>
      </c>
      <c r="B40" s="155">
        <f>-PMT(Assumptions!$B$21,$A40,Assumptions!$B$35)/Assumptions!$B$7*1000000</f>
        <v>1.3982932223895045E-2</v>
      </c>
      <c r="C40" s="66">
        <f>$B40*C$36*C$37</f>
        <v>1.0627028490160234E-2</v>
      </c>
      <c r="D40" s="66">
        <f>$B40*D$36*D$37</f>
        <v>0</v>
      </c>
      <c r="E40" s="66">
        <f>$B40*E$36*E$37</f>
        <v>5.5931728895580182E-4</v>
      </c>
      <c r="F40" s="66">
        <f>SUM(C40:E40)</f>
        <v>1.1186345779116036E-2</v>
      </c>
      <c r="G40" s="155">
        <f>-PMT(Assumptions!$B$19,$A40,Assumptions!$C$28)/Assumptions!$B$7*1000000</f>
        <v>3.0099283295117553E-2</v>
      </c>
      <c r="H40" s="66">
        <f>$G40*H$36*H$37</f>
        <v>6.0198566590235108E-3</v>
      </c>
      <c r="I40" s="66">
        <f>$G40*I$36*I$37</f>
        <v>1.805956997707053E-2</v>
      </c>
      <c r="J40" s="66">
        <f>$G40*J$36*J$37</f>
        <v>6.0198566590235108E-3</v>
      </c>
      <c r="K40" s="66">
        <f>SUM(H40:J40)</f>
        <v>3.0099283295117549E-2</v>
      </c>
      <c r="L40" s="155">
        <f>-PMT(Assumptions!$B$20,$A40,Assumptions!$D$28)/Assumptions!$B$7*1000000</f>
        <v>2.4620681835143054E-2</v>
      </c>
      <c r="M40" s="66">
        <f>$L40*M$36*M$37</f>
        <v>3.6931022752714582E-3</v>
      </c>
      <c r="N40" s="66">
        <f>$L40*N$36*N$37</f>
        <v>1.1079306825814374E-2</v>
      </c>
      <c r="O40" s="66">
        <f>$L40*O$36*O$37</f>
        <v>3.6931022752714582E-3</v>
      </c>
      <c r="P40" s="66">
        <f>SUM(M40:O40)</f>
        <v>1.846551137635729E-2</v>
      </c>
      <c r="Q40" s="156"/>
      <c r="R40" s="173">
        <f>SUM(F40,K40,P40)</f>
        <v>5.9751140450590871E-2</v>
      </c>
      <c r="S40" s="158"/>
      <c r="X40" s="156"/>
      <c r="Y40" s="158"/>
    </row>
    <row r="41" spans="1:26" x14ac:dyDescent="0.2">
      <c r="A41" s="166">
        <v>7</v>
      </c>
      <c r="B41" s="155">
        <f>-PMT(Assumptions!$B$21,$A41,Assumptions!$B$35)/Assumptions!$B$7*1000000</f>
        <v>1.0587178475497654E-2</v>
      </c>
      <c r="C41" s="66">
        <f t="shared" ref="C41:E44" si="6">$B41*C$36*C$37</f>
        <v>8.0462556413782166E-3</v>
      </c>
      <c r="D41" s="66">
        <f t="shared" si="6"/>
        <v>0</v>
      </c>
      <c r="E41" s="66">
        <f t="shared" si="6"/>
        <v>4.2348713901990622E-4</v>
      </c>
      <c r="F41" s="66">
        <f>SUM(C41:E41)</f>
        <v>8.4697427803981234E-3</v>
      </c>
      <c r="G41" s="155">
        <f>-PMT(Assumptions!$B$19,$A41,Assumptions!$C$28)/Assumptions!$B$7*1000000</f>
        <v>2.2789675236029133E-2</v>
      </c>
      <c r="H41" s="66">
        <f t="shared" ref="H41:J44" si="7">$G41*H$36*H$37</f>
        <v>4.5579350472058269E-3</v>
      </c>
      <c r="I41" s="66">
        <f t="shared" si="7"/>
        <v>1.3673805141617479E-2</v>
      </c>
      <c r="J41" s="66">
        <f t="shared" si="7"/>
        <v>4.5579350472058269E-3</v>
      </c>
      <c r="K41" s="66">
        <f>SUM(H41:J41)</f>
        <v>2.2789675236029136E-2</v>
      </c>
      <c r="L41" s="155">
        <f>-PMT(Assumptions!$B$20,$A41,Assumptions!$D$28)/Assumptions!$B$7*1000000</f>
        <v>1.9027769451217608E-2</v>
      </c>
      <c r="M41" s="66">
        <f t="shared" ref="M41:O44" si="8">$L41*M$36*M$37</f>
        <v>2.8541654176826416E-3</v>
      </c>
      <c r="N41" s="66">
        <f t="shared" si="8"/>
        <v>8.5624962530479239E-3</v>
      </c>
      <c r="O41" s="66">
        <f t="shared" si="8"/>
        <v>2.8541654176826416E-3</v>
      </c>
      <c r="P41" s="66">
        <f>SUM(M41:O41)</f>
        <v>1.4270827088413207E-2</v>
      </c>
      <c r="Q41" s="159"/>
      <c r="R41" s="173">
        <f>SUM(F41,K41,P41)</f>
        <v>4.5530245104840467E-2</v>
      </c>
      <c r="S41" s="158"/>
      <c r="X41" s="156"/>
      <c r="Y41" s="158"/>
    </row>
    <row r="42" spans="1:26" x14ac:dyDescent="0.2">
      <c r="A42" s="166">
        <v>10</v>
      </c>
      <c r="B42" s="155">
        <f>-PMT(Assumptions!$B$21,$A42,Assumptions!$B$35)/Assumptions!$B$7*1000000</f>
        <v>8.0687551701668133E-3</v>
      </c>
      <c r="C42" s="66">
        <f t="shared" si="6"/>
        <v>6.1322539293267786E-3</v>
      </c>
      <c r="D42" s="66">
        <f t="shared" si="6"/>
        <v>0</v>
      </c>
      <c r="E42" s="66">
        <f t="shared" si="6"/>
        <v>3.227502068066726E-4</v>
      </c>
      <c r="F42" s="66">
        <f>SUM(C42:E42)</f>
        <v>6.4550041361334512E-3</v>
      </c>
      <c r="G42" s="155">
        <f>-PMT(Assumptions!$B$19,$A42,Assumptions!$C$28)/Assumptions!$B$7*1000000</f>
        <v>1.7368585059060231E-2</v>
      </c>
      <c r="H42" s="66">
        <f t="shared" si="7"/>
        <v>3.4737170118120464E-3</v>
      </c>
      <c r="I42" s="66">
        <f t="shared" si="7"/>
        <v>1.0421151035436138E-2</v>
      </c>
      <c r="J42" s="66">
        <f t="shared" si="7"/>
        <v>3.4737170118120464E-3</v>
      </c>
      <c r="K42" s="66">
        <f>SUM(H42:J42)</f>
        <v>1.7368585059060231E-2</v>
      </c>
      <c r="L42" s="155">
        <f>-PMT(Assumptions!$B$20,$A42,Assumptions!$D$28)/Assumptions!$B$7*1000000</f>
        <v>1.4922245882224267E-2</v>
      </c>
      <c r="M42" s="66">
        <f t="shared" si="8"/>
        <v>2.2383368823336402E-3</v>
      </c>
      <c r="N42" s="66">
        <f t="shared" si="8"/>
        <v>6.7150106470009194E-3</v>
      </c>
      <c r="O42" s="66">
        <f t="shared" si="8"/>
        <v>2.2383368823336402E-3</v>
      </c>
      <c r="P42" s="66">
        <f>SUM(M42:O42)</f>
        <v>1.11916844116682E-2</v>
      </c>
      <c r="Q42" s="159"/>
      <c r="R42" s="173">
        <f>SUM(F42,K42,P42)</f>
        <v>3.501527360686188E-2</v>
      </c>
      <c r="S42" s="158"/>
      <c r="X42" s="156"/>
      <c r="Y42" s="158"/>
    </row>
    <row r="43" spans="1:26" x14ac:dyDescent="0.2">
      <c r="A43" s="166">
        <v>12</v>
      </c>
      <c r="B43" s="155">
        <f>-PMT(Assumptions!$B$21,$A43,Assumptions!$B$35)/Assumptions!$B$7*1000000</f>
        <v>7.1049034938832209E-3</v>
      </c>
      <c r="C43" s="66">
        <f t="shared" si="6"/>
        <v>5.3997266553512478E-3</v>
      </c>
      <c r="D43" s="66">
        <f t="shared" si="6"/>
        <v>0</v>
      </c>
      <c r="E43" s="66">
        <f t="shared" si="6"/>
        <v>2.8419613975532885E-4</v>
      </c>
      <c r="F43" s="66">
        <f>SUM(C43:E43)</f>
        <v>5.683922795106577E-3</v>
      </c>
      <c r="G43" s="155">
        <f>-PMT(Assumptions!$B$19,$A43,Assumptions!$C$28)/Assumptions!$B$7*1000000</f>
        <v>1.5293823900641882E-2</v>
      </c>
      <c r="H43" s="66">
        <f t="shared" si="7"/>
        <v>3.0587647801283767E-3</v>
      </c>
      <c r="I43" s="66">
        <f t="shared" si="7"/>
        <v>9.1762943403851296E-3</v>
      </c>
      <c r="J43" s="66">
        <f t="shared" si="7"/>
        <v>3.0587647801283767E-3</v>
      </c>
      <c r="K43" s="66">
        <f>SUM(H43:J43)</f>
        <v>1.5293823900641884E-2</v>
      </c>
      <c r="L43" s="155">
        <f>-PMT(Assumptions!$B$20,$A43,Assumptions!$D$28)/Assumptions!$B$7*1000000</f>
        <v>1.3373766274381051E-2</v>
      </c>
      <c r="M43" s="66">
        <f t="shared" si="8"/>
        <v>2.0060649411571575E-3</v>
      </c>
      <c r="N43" s="66">
        <f t="shared" si="8"/>
        <v>6.0181948234714726E-3</v>
      </c>
      <c r="O43" s="66">
        <f t="shared" si="8"/>
        <v>2.0060649411571575E-3</v>
      </c>
      <c r="P43" s="66">
        <f>SUM(M43:O43)</f>
        <v>1.0030324705785788E-2</v>
      </c>
      <c r="Q43" s="159"/>
      <c r="R43" s="173">
        <f>SUM(F43,K43,P43)</f>
        <v>3.1008071401534248E-2</v>
      </c>
      <c r="S43" s="158"/>
      <c r="X43" s="156"/>
      <c r="Y43" s="158"/>
    </row>
    <row r="44" spans="1:26" ht="15" thickBot="1" x14ac:dyDescent="0.25">
      <c r="A44" s="167">
        <v>15</v>
      </c>
      <c r="B44" s="168">
        <f>-PMT(Assumptions!$B$21,$A44,Assumptions!$B$35)/Assumptions!$B$7*1000000</f>
        <v>6.15928072001567E-3</v>
      </c>
      <c r="C44" s="79">
        <f t="shared" si="6"/>
        <v>4.6810533472119087E-3</v>
      </c>
      <c r="D44" s="79">
        <f t="shared" si="6"/>
        <v>0</v>
      </c>
      <c r="E44" s="79">
        <f t="shared" si="6"/>
        <v>2.4637122880062683E-4</v>
      </c>
      <c r="F44" s="79">
        <f>SUM(C44:E44)</f>
        <v>4.9274245760125351E-3</v>
      </c>
      <c r="G44" s="168">
        <f>-PMT(Assumptions!$B$19,$A44,Assumptions!$C$28)/Assumptions!$B$7*1000000</f>
        <v>1.3258301786595199E-2</v>
      </c>
      <c r="H44" s="79">
        <f t="shared" si="7"/>
        <v>2.6516603573190399E-3</v>
      </c>
      <c r="I44" s="79">
        <f t="shared" si="7"/>
        <v>7.9549810719571189E-3</v>
      </c>
      <c r="J44" s="79">
        <f t="shared" si="7"/>
        <v>2.6516603573190399E-3</v>
      </c>
      <c r="K44" s="79">
        <f>SUM(H44:J44)</f>
        <v>1.3258301786595199E-2</v>
      </c>
      <c r="L44" s="168">
        <f>-PMT(Assumptions!$B$20,$A44,Assumptions!$D$28)/Assumptions!$B$7*1000000</f>
        <v>1.1880606357387337E-2</v>
      </c>
      <c r="M44" s="79">
        <f t="shared" si="8"/>
        <v>1.7820909536081005E-3</v>
      </c>
      <c r="N44" s="79">
        <f t="shared" si="8"/>
        <v>5.3462728608243016E-3</v>
      </c>
      <c r="O44" s="79">
        <f t="shared" si="8"/>
        <v>1.7820909536081005E-3</v>
      </c>
      <c r="P44" s="79">
        <f>SUM(M44:O44)</f>
        <v>8.9104547680405027E-3</v>
      </c>
      <c r="Q44" s="176"/>
      <c r="R44" s="174">
        <f>SUM(F44,K44,P44)</f>
        <v>2.7096181130648239E-2</v>
      </c>
    </row>
    <row r="45" spans="1:26" ht="15" x14ac:dyDescent="0.25">
      <c r="A45" s="160"/>
      <c r="B45" s="16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</row>
    <row r="46" spans="1:26" ht="15" x14ac:dyDescent="0.25">
      <c r="A46" s="160"/>
      <c r="B46" s="16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</row>
    <row r="47" spans="1:26" ht="15" x14ac:dyDescent="0.25">
      <c r="A47" s="160"/>
      <c r="B47" s="16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</row>
    <row r="48" spans="1:26" ht="15" x14ac:dyDescent="0.25">
      <c r="A48" s="61"/>
      <c r="B48" s="61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203"/>
      <c r="T48" s="203"/>
      <c r="U48" s="203"/>
      <c r="V48" s="203"/>
      <c r="W48" s="203"/>
      <c r="X48" s="203"/>
      <c r="Y48" s="62"/>
    </row>
    <row r="49" spans="1:26" s="157" customFormat="1" ht="15" x14ac:dyDescent="0.25">
      <c r="A49" s="60"/>
      <c r="B49" s="60"/>
      <c r="C49" s="60"/>
      <c r="D49" s="60"/>
      <c r="E49" s="60"/>
      <c r="F49" s="60"/>
      <c r="G49" s="60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0"/>
      <c r="S49" s="60"/>
      <c r="T49" s="60"/>
      <c r="U49" s="60"/>
      <c r="V49" s="60"/>
      <c r="W49" s="60"/>
      <c r="X49" s="60"/>
      <c r="Y49" s="60"/>
      <c r="Z49" s="60"/>
    </row>
    <row r="50" spans="1:26" x14ac:dyDescent="0.2">
      <c r="A50" s="64"/>
      <c r="B50" s="64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6"/>
      <c r="T50" s="62"/>
      <c r="U50" s="62"/>
      <c r="V50" s="62"/>
      <c r="W50" s="62"/>
      <c r="X50" s="65"/>
      <c r="Y50" s="66"/>
    </row>
    <row r="51" spans="1:26" x14ac:dyDescent="0.2">
      <c r="A51" s="64"/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6"/>
      <c r="T51" s="62"/>
      <c r="U51" s="62"/>
      <c r="V51" s="62"/>
      <c r="W51" s="62"/>
      <c r="X51" s="65"/>
      <c r="Y51" s="66"/>
    </row>
    <row r="52" spans="1:26" x14ac:dyDescent="0.2">
      <c r="A52" s="64"/>
      <c r="B52" s="64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6"/>
      <c r="T52" s="62"/>
      <c r="U52" s="62"/>
      <c r="V52" s="62"/>
      <c r="W52" s="62"/>
      <c r="X52" s="65"/>
      <c r="Y52" s="66"/>
    </row>
    <row r="53" spans="1:26" x14ac:dyDescent="0.2">
      <c r="A53" s="64"/>
      <c r="B53" s="64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6"/>
      <c r="T53" s="62"/>
      <c r="U53" s="62"/>
      <c r="V53" s="62"/>
      <c r="W53" s="62"/>
      <c r="X53" s="65"/>
      <c r="Y53" s="66"/>
    </row>
    <row r="54" spans="1:26" x14ac:dyDescent="0.2">
      <c r="A54" s="64"/>
      <c r="B54" s="64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6"/>
      <c r="T54" s="62"/>
      <c r="U54" s="62"/>
      <c r="V54" s="62"/>
      <c r="W54" s="62"/>
      <c r="X54" s="65"/>
      <c r="Y54" s="66"/>
    </row>
  </sheetData>
  <mergeCells count="12">
    <mergeCell ref="L3:P3"/>
    <mergeCell ref="B18:F18"/>
    <mergeCell ref="G18:K18"/>
    <mergeCell ref="L18:P18"/>
    <mergeCell ref="S48:X48"/>
    <mergeCell ref="S8:X8"/>
    <mergeCell ref="B3:F3"/>
    <mergeCell ref="G3:K3"/>
    <mergeCell ref="S32:X32"/>
    <mergeCell ref="B33:F33"/>
    <mergeCell ref="G33:K33"/>
    <mergeCell ref="L33:P33"/>
  </mergeCells>
  <phoneticPr fontId="0" type="noConversion"/>
  <pageMargins left="0.75" right="0.75" top="1" bottom="1" header="0.5" footer="0.5"/>
  <pageSetup scale="48" fitToHeight="0" orientation="landscape" r:id="rId1"/>
  <headerFooter alignWithMargins="0">
    <oddHeader>&amp;C&amp;"Arial,Bold"&amp;14POTENTIAL EXPOSURE OF CALIFORNIA DIRECT ACCESS CUSTOMERS&amp;R&amp;D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view="pageBreakPreview" zoomScale="60" zoomScaleNormal="75" workbookViewId="0">
      <selection activeCell="F30" sqref="F30"/>
    </sheetView>
  </sheetViews>
  <sheetFormatPr defaultRowHeight="14.25" x14ac:dyDescent="0.2"/>
  <cols>
    <col min="1" max="1" width="17.85546875" style="2" customWidth="1"/>
    <col min="2" max="2" width="14.42578125" style="2" customWidth="1"/>
    <col min="3" max="3" width="13.5703125" style="2" customWidth="1"/>
    <col min="4" max="4" width="15.85546875" style="2" customWidth="1"/>
    <col min="5" max="6" width="13.85546875" style="2" customWidth="1"/>
    <col min="7" max="7" width="15.140625" style="2" customWidth="1"/>
    <col min="8" max="8" width="16" style="2" customWidth="1"/>
    <col min="9" max="9" width="13.28515625" style="2" customWidth="1"/>
    <col min="10" max="11" width="13.140625" style="2" customWidth="1"/>
    <col min="12" max="12" width="15" style="2" customWidth="1"/>
    <col min="13" max="13" width="12.85546875" style="2" customWidth="1"/>
    <col min="14" max="14" width="11.42578125" style="2" customWidth="1"/>
    <col min="15" max="15" width="10.28515625" style="2" customWidth="1"/>
    <col min="16" max="16" width="12.140625" style="2" customWidth="1"/>
    <col min="17" max="17" width="16.7109375" style="2" customWidth="1"/>
    <col min="18" max="18" width="16.28515625" style="2" customWidth="1"/>
    <col min="19" max="19" width="18.42578125" style="2" customWidth="1"/>
    <col min="20" max="20" width="16.7109375" style="2" customWidth="1"/>
    <col min="21" max="21" width="13.140625" style="2" customWidth="1"/>
    <col min="22" max="22" width="15.28515625" style="2" customWidth="1"/>
    <col min="23" max="23" width="16.28515625" style="2" customWidth="1"/>
    <col min="24" max="24" width="11.42578125" style="2" customWidth="1"/>
    <col min="25" max="25" width="9.140625" style="2"/>
    <col min="26" max="26" width="9.7109375" style="2" customWidth="1"/>
    <col min="27" max="16384" width="9.140625" style="2"/>
  </cols>
  <sheetData>
    <row r="1" spans="1:24" ht="18" x14ac:dyDescent="0.25">
      <c r="A1" s="83" t="s">
        <v>33</v>
      </c>
    </row>
    <row r="2" spans="1:24" s="62" customFormat="1" ht="15.75" thickBot="1" x14ac:dyDescent="0.3">
      <c r="B2" s="61"/>
    </row>
    <row r="3" spans="1:24" s="62" customFormat="1" ht="30.75" customHeight="1" thickBot="1" x14ac:dyDescent="0.3">
      <c r="A3" s="83" t="s">
        <v>1</v>
      </c>
      <c r="B3" s="204" t="s">
        <v>18</v>
      </c>
      <c r="C3" s="205"/>
      <c r="D3" s="205"/>
      <c r="E3" s="206"/>
      <c r="F3" s="137"/>
      <c r="G3" s="200" t="s">
        <v>19</v>
      </c>
      <c r="H3" s="201"/>
      <c r="I3" s="201"/>
      <c r="J3" s="202"/>
      <c r="K3" s="138"/>
      <c r="L3" s="200" t="s">
        <v>32</v>
      </c>
      <c r="M3" s="201"/>
      <c r="N3" s="201"/>
      <c r="O3" s="202"/>
      <c r="P3" s="187"/>
      <c r="Q3" s="181" t="s">
        <v>74</v>
      </c>
    </row>
    <row r="4" spans="1:24" s="81" customFormat="1" x14ac:dyDescent="0.2">
      <c r="B4" s="82" t="s">
        <v>26</v>
      </c>
      <c r="C4" s="93" t="s">
        <v>78</v>
      </c>
      <c r="D4" s="94" t="s">
        <v>79</v>
      </c>
      <c r="E4" s="95" t="s">
        <v>80</v>
      </c>
      <c r="F4" s="89"/>
      <c r="G4" s="93" t="s">
        <v>26</v>
      </c>
      <c r="H4" s="94" t="s">
        <v>78</v>
      </c>
      <c r="I4" s="94" t="s">
        <v>79</v>
      </c>
      <c r="J4" s="95" t="s">
        <v>80</v>
      </c>
      <c r="K4" s="89"/>
      <c r="L4" s="93" t="s">
        <v>26</v>
      </c>
      <c r="M4" s="94" t="s">
        <v>78</v>
      </c>
      <c r="N4" s="94" t="s">
        <v>79</v>
      </c>
      <c r="O4" s="95" t="s">
        <v>80</v>
      </c>
      <c r="P4" s="82"/>
      <c r="Q4" s="180"/>
    </row>
    <row r="5" spans="1:24" s="62" customFormat="1" ht="15" x14ac:dyDescent="0.25">
      <c r="B5" s="75"/>
      <c r="C5" s="183"/>
      <c r="D5" s="73"/>
      <c r="E5" s="76"/>
      <c r="F5" s="73"/>
      <c r="G5" s="75"/>
      <c r="H5" s="73"/>
      <c r="I5" s="73"/>
      <c r="J5" s="76"/>
      <c r="K5" s="73"/>
      <c r="L5" s="75"/>
      <c r="M5" s="73"/>
      <c r="N5" s="73"/>
      <c r="O5" s="76"/>
      <c r="P5" s="75"/>
      <c r="Q5" s="171"/>
    </row>
    <row r="6" spans="1:24" s="62" customFormat="1" x14ac:dyDescent="0.2">
      <c r="B6" s="75" t="s">
        <v>27</v>
      </c>
      <c r="C6" s="184">
        <f>Description!$I$21</f>
        <v>0.8</v>
      </c>
      <c r="D6" s="74">
        <f>Description!$I$21</f>
        <v>0.8</v>
      </c>
      <c r="E6" s="77">
        <f>Description!$I$21</f>
        <v>0.8</v>
      </c>
      <c r="F6" s="74" t="s">
        <v>71</v>
      </c>
      <c r="G6" s="75" t="s">
        <v>27</v>
      </c>
      <c r="H6" s="74">
        <f>Description!$I$32</f>
        <v>1</v>
      </c>
      <c r="I6" s="74">
        <f>Description!$I$32</f>
        <v>1</v>
      </c>
      <c r="J6" s="77">
        <f>Description!$I$32</f>
        <v>1</v>
      </c>
      <c r="K6" s="74" t="s">
        <v>71</v>
      </c>
      <c r="L6" s="75" t="s">
        <v>27</v>
      </c>
      <c r="M6" s="74">
        <f>Description!$I$43</f>
        <v>0.75</v>
      </c>
      <c r="N6" s="74">
        <f>Description!$I$43</f>
        <v>0.75</v>
      </c>
      <c r="O6" s="77">
        <f>Description!$I$43</f>
        <v>0.75</v>
      </c>
      <c r="P6" s="184" t="s">
        <v>71</v>
      </c>
      <c r="Q6" s="172"/>
    </row>
    <row r="7" spans="1:24" s="62" customFormat="1" x14ac:dyDescent="0.2">
      <c r="B7" s="75" t="s">
        <v>25</v>
      </c>
      <c r="C7" s="184">
        <f>Description!$I$25</f>
        <v>0.95</v>
      </c>
      <c r="D7" s="74">
        <f>Description!$I$26</f>
        <v>0</v>
      </c>
      <c r="E7" s="77">
        <f>Description!$I$27</f>
        <v>0.05</v>
      </c>
      <c r="F7" s="74" t="s">
        <v>72</v>
      </c>
      <c r="G7" s="75" t="s">
        <v>25</v>
      </c>
      <c r="H7" s="74">
        <f>Description!$I$36</f>
        <v>0.2</v>
      </c>
      <c r="I7" s="74">
        <f>Description!$I$37</f>
        <v>0.6</v>
      </c>
      <c r="J7" s="77">
        <f>Description!$I$38</f>
        <v>0.2</v>
      </c>
      <c r="K7" s="74" t="s">
        <v>72</v>
      </c>
      <c r="L7" s="75" t="s">
        <v>25</v>
      </c>
      <c r="M7" s="74">
        <f>Description!$I$47</f>
        <v>0.2</v>
      </c>
      <c r="N7" s="74">
        <f>Description!$I$48</f>
        <v>0.6</v>
      </c>
      <c r="O7" s="77">
        <f>Description!$I$49</f>
        <v>0.2</v>
      </c>
      <c r="P7" s="184" t="s">
        <v>72</v>
      </c>
      <c r="Q7" s="172"/>
    </row>
    <row r="8" spans="1:24" s="62" customFormat="1" ht="15.75" thickBot="1" x14ac:dyDescent="0.3">
      <c r="B8" s="87" t="s">
        <v>69</v>
      </c>
      <c r="C8" s="87">
        <v>1</v>
      </c>
      <c r="D8" s="85">
        <v>1</v>
      </c>
      <c r="E8" s="86">
        <v>0</v>
      </c>
      <c r="F8" s="85"/>
      <c r="G8" s="87"/>
      <c r="H8" s="85">
        <v>1</v>
      </c>
      <c r="I8" s="85">
        <v>1</v>
      </c>
      <c r="J8" s="86">
        <v>0</v>
      </c>
      <c r="K8" s="85"/>
      <c r="L8" s="87"/>
      <c r="M8" s="85">
        <v>1</v>
      </c>
      <c r="N8" s="85">
        <v>1</v>
      </c>
      <c r="O8" s="86">
        <v>0</v>
      </c>
      <c r="P8" s="150"/>
      <c r="Q8" s="172"/>
      <c r="R8" s="203"/>
      <c r="S8" s="203"/>
      <c r="T8" s="203"/>
      <c r="U8" s="203"/>
      <c r="V8" s="203"/>
      <c r="W8" s="203"/>
    </row>
    <row r="9" spans="1:24" s="71" customFormat="1" ht="35.25" customHeight="1" x14ac:dyDescent="0.25">
      <c r="A9" s="139" t="s">
        <v>17</v>
      </c>
      <c r="B9" s="97"/>
      <c r="C9" s="70"/>
      <c r="D9" s="70"/>
      <c r="E9" s="98"/>
      <c r="F9" s="70"/>
      <c r="G9" s="97"/>
      <c r="H9" s="70"/>
      <c r="I9" s="70"/>
      <c r="J9" s="98"/>
      <c r="K9" s="70"/>
      <c r="L9" s="97"/>
      <c r="M9" s="70"/>
      <c r="N9" s="70"/>
      <c r="O9" s="98"/>
      <c r="P9" s="150"/>
      <c r="Q9" s="182"/>
      <c r="R9" s="60"/>
      <c r="S9" s="60"/>
      <c r="T9" s="60"/>
      <c r="U9" s="60"/>
      <c r="V9" s="60"/>
      <c r="W9" s="60"/>
      <c r="X9" s="60"/>
    </row>
    <row r="10" spans="1:24" s="62" customFormat="1" x14ac:dyDescent="0.2">
      <c r="A10" s="140">
        <v>5</v>
      </c>
      <c r="B10" s="90">
        <f>-PMT(Assumptions!$B$21,$A10,Assumptions!$B$33)/Assumptions!$B$5*1000000</f>
        <v>2.0104215858389875E-2</v>
      </c>
      <c r="C10" s="66">
        <f t="shared" ref="C10:E14" si="0">$B10*C$6*C$7</f>
        <v>1.5279204052376306E-2</v>
      </c>
      <c r="D10" s="66">
        <f t="shared" si="0"/>
        <v>0</v>
      </c>
      <c r="E10" s="78">
        <f t="shared" si="0"/>
        <v>8.0416863433559508E-4</v>
      </c>
      <c r="F10" s="66">
        <f>SUM(C10:E10)</f>
        <v>1.6083372686711901E-2</v>
      </c>
      <c r="G10" s="90">
        <f>-PMT(Assumptions!$B$19,$A10,Assumptions!$C$26)/Assumptions!$B$5*1000000</f>
        <v>1.7905769764001177E-2</v>
      </c>
      <c r="H10" s="66">
        <f t="shared" ref="H10:J14" si="1">$G10*H$6*H$7</f>
        <v>3.5811539528002355E-3</v>
      </c>
      <c r="I10" s="66">
        <f t="shared" si="1"/>
        <v>1.0743461858400706E-2</v>
      </c>
      <c r="J10" s="66">
        <f t="shared" si="1"/>
        <v>3.5811539528002355E-3</v>
      </c>
      <c r="K10" s="66">
        <f>SUM(H10:J10)</f>
        <v>1.7905769764001177E-2</v>
      </c>
      <c r="L10" s="90">
        <f>-PMT(Assumptions!$B$20,$A10,Assumptions!$D$26)/Assumptions!$B$5*1000000</f>
        <v>1.4646603244679543E-2</v>
      </c>
      <c r="M10" s="66">
        <f t="shared" ref="M10:O14" si="2">$L10*M$6*M$7</f>
        <v>2.1969904867019316E-3</v>
      </c>
      <c r="N10" s="66">
        <f t="shared" si="2"/>
        <v>6.5909714601057948E-3</v>
      </c>
      <c r="O10" s="78">
        <f t="shared" si="2"/>
        <v>2.1969904867019316E-3</v>
      </c>
      <c r="P10" s="75">
        <f>SUM(M10:O10)</f>
        <v>1.0984952433509658E-2</v>
      </c>
      <c r="Q10" s="173">
        <f>SUM(E10,J10,O10)</f>
        <v>6.5823130738377625E-3</v>
      </c>
      <c r="R10" s="66"/>
      <c r="W10" s="65"/>
      <c r="X10" s="66"/>
    </row>
    <row r="11" spans="1:24" s="62" customFormat="1" x14ac:dyDescent="0.2">
      <c r="A11" s="140">
        <v>7</v>
      </c>
      <c r="B11" s="90">
        <f>-PMT(Assumptions!$B$21,$A11,Assumptions!$B$33)/Assumptions!$B$5*1000000</f>
        <v>1.522190896691723E-2</v>
      </c>
      <c r="C11" s="66">
        <f t="shared" si="0"/>
        <v>1.1568650814857095E-2</v>
      </c>
      <c r="D11" s="66">
        <f t="shared" si="0"/>
        <v>0</v>
      </c>
      <c r="E11" s="78">
        <f t="shared" si="0"/>
        <v>6.0887635867668932E-4</v>
      </c>
      <c r="F11" s="66">
        <f>SUM(C11:E11)</f>
        <v>1.2177527173533783E-2</v>
      </c>
      <c r="G11" s="90">
        <f>-PMT(Assumptions!$B$19,$A11,Assumptions!$C$26)/Assumptions!$B$5*1000000</f>
        <v>1.3557355295529244E-2</v>
      </c>
      <c r="H11" s="66">
        <f t="shared" si="1"/>
        <v>2.7114710591058487E-3</v>
      </c>
      <c r="I11" s="66">
        <f t="shared" si="1"/>
        <v>8.1344131773175461E-3</v>
      </c>
      <c r="J11" s="66">
        <f t="shared" si="1"/>
        <v>2.7114710591058487E-3</v>
      </c>
      <c r="K11" s="66">
        <f>SUM(H11:J11)</f>
        <v>1.3557355295529244E-2</v>
      </c>
      <c r="L11" s="90">
        <f>-PMT(Assumptions!$B$20,$A11,Assumptions!$D$26)/Assumptions!$B$5*1000000</f>
        <v>1.1319434272751071E-2</v>
      </c>
      <c r="M11" s="66">
        <f t="shared" si="2"/>
        <v>1.6979151409126606E-3</v>
      </c>
      <c r="N11" s="66">
        <f t="shared" si="2"/>
        <v>5.0937454227379811E-3</v>
      </c>
      <c r="O11" s="78">
        <f t="shared" si="2"/>
        <v>1.6979151409126606E-3</v>
      </c>
      <c r="P11" s="75">
        <f>SUM(M11:O11)</f>
        <v>8.4895757045633027E-3</v>
      </c>
      <c r="Q11" s="173">
        <f>SUM(E11,J11,O11)</f>
        <v>5.0182625586951985E-3</v>
      </c>
      <c r="R11" s="66"/>
      <c r="W11" s="65"/>
      <c r="X11" s="66"/>
    </row>
    <row r="12" spans="1:24" s="62" customFormat="1" x14ac:dyDescent="0.2">
      <c r="A12" s="140">
        <v>10</v>
      </c>
      <c r="B12" s="90">
        <f>-PMT(Assumptions!$B$21,$A12,Assumptions!$B$33)/Assumptions!$B$5*1000000</f>
        <v>1.1600999922772028E-2</v>
      </c>
      <c r="C12" s="66">
        <f t="shared" si="0"/>
        <v>8.8167599413067413E-3</v>
      </c>
      <c r="D12" s="66">
        <f t="shared" si="0"/>
        <v>0</v>
      </c>
      <c r="E12" s="78">
        <f t="shared" si="0"/>
        <v>4.6403999691088118E-4</v>
      </c>
      <c r="F12" s="66">
        <f>SUM(C12:E12)</f>
        <v>9.2807999382176227E-3</v>
      </c>
      <c r="G12" s="90">
        <f>-PMT(Assumptions!$B$19,$A12,Assumptions!$C$26)/Assumptions!$B$5*1000000</f>
        <v>1.033240167696786E-2</v>
      </c>
      <c r="H12" s="66">
        <f t="shared" si="1"/>
        <v>2.0664803353935722E-3</v>
      </c>
      <c r="I12" s="66">
        <f t="shared" si="1"/>
        <v>6.1994410061807156E-3</v>
      </c>
      <c r="J12" s="66">
        <f t="shared" si="1"/>
        <v>2.0664803353935722E-3</v>
      </c>
      <c r="K12" s="66">
        <f>SUM(H12:J12)</f>
        <v>1.0332401676967862E-2</v>
      </c>
      <c r="L12" s="90">
        <f>-PMT(Assumptions!$B$20,$A12,Assumptions!$D$26)/Assumptions!$B$5*1000000</f>
        <v>8.8770983850058726E-3</v>
      </c>
      <c r="M12" s="66">
        <f t="shared" si="2"/>
        <v>1.3315647577508808E-3</v>
      </c>
      <c r="N12" s="66">
        <f t="shared" si="2"/>
        <v>3.9946942732526419E-3</v>
      </c>
      <c r="O12" s="78">
        <f t="shared" si="2"/>
        <v>1.3315647577508808E-3</v>
      </c>
      <c r="P12" s="75">
        <f>SUM(M12:O12)</f>
        <v>6.6578237887544032E-3</v>
      </c>
      <c r="Q12" s="173">
        <f>SUM(E12,J12,O12)</f>
        <v>3.8620850900553342E-3</v>
      </c>
      <c r="R12" s="66"/>
      <c r="W12" s="65"/>
      <c r="X12" s="66"/>
    </row>
    <row r="13" spans="1:24" s="62" customFormat="1" x14ac:dyDescent="0.2">
      <c r="A13" s="140">
        <v>12</v>
      </c>
      <c r="B13" s="90">
        <f>-PMT(Assumptions!$B$21,$A13,Assumptions!$B$33)/Assumptions!$B$5*1000000</f>
        <v>1.0215204594209782E-2</v>
      </c>
      <c r="C13" s="66">
        <f t="shared" si="0"/>
        <v>7.763555491599434E-3</v>
      </c>
      <c r="D13" s="66">
        <f t="shared" si="0"/>
        <v>0</v>
      </c>
      <c r="E13" s="78">
        <f t="shared" si="0"/>
        <v>4.0860818376839132E-4</v>
      </c>
      <c r="F13" s="66">
        <f>SUM(C13:E13)</f>
        <v>8.1721636753678255E-3</v>
      </c>
      <c r="G13" s="90">
        <f>-PMT(Assumptions!$B$19,$A13,Assumptions!$C$26)/Assumptions!$B$5*1000000</f>
        <v>9.0981465203356909E-3</v>
      </c>
      <c r="H13" s="66">
        <f t="shared" si="1"/>
        <v>1.8196293040671383E-3</v>
      </c>
      <c r="I13" s="66">
        <f t="shared" si="1"/>
        <v>5.4588879122014142E-3</v>
      </c>
      <c r="J13" s="66">
        <f t="shared" si="1"/>
        <v>1.8196293040671383E-3</v>
      </c>
      <c r="K13" s="66">
        <f>SUM(H13:J13)</f>
        <v>9.0981465203356909E-3</v>
      </c>
      <c r="L13" s="90">
        <f>-PMT(Assumptions!$B$20,$A13,Assumptions!$D$26)/Assumptions!$B$5*1000000</f>
        <v>7.9559229845673849E-3</v>
      </c>
      <c r="M13" s="66">
        <f t="shared" si="2"/>
        <v>1.1933884476851078E-3</v>
      </c>
      <c r="N13" s="66">
        <f t="shared" si="2"/>
        <v>3.5801653430553235E-3</v>
      </c>
      <c r="O13" s="78">
        <f t="shared" si="2"/>
        <v>1.1933884476851078E-3</v>
      </c>
      <c r="P13" s="75">
        <f>SUM(M13:O13)</f>
        <v>5.9669422384255391E-3</v>
      </c>
      <c r="Q13" s="173">
        <f>SUM(E13,J13,O13)</f>
        <v>3.4216259355206377E-3</v>
      </c>
      <c r="R13" s="66"/>
      <c r="W13" s="65"/>
      <c r="X13" s="66"/>
    </row>
    <row r="14" spans="1:24" s="62" customFormat="1" ht="15" thickBot="1" x14ac:dyDescent="0.25">
      <c r="A14" s="140">
        <v>15</v>
      </c>
      <c r="B14" s="91">
        <f>-PMT(Assumptions!$B$21,$A14,Assumptions!$B$33)/Assumptions!$B$5*1000000</f>
        <v>8.8556182025976357E-3</v>
      </c>
      <c r="C14" s="79">
        <f t="shared" si="0"/>
        <v>6.7302698339742036E-3</v>
      </c>
      <c r="D14" s="79">
        <f t="shared" si="0"/>
        <v>0</v>
      </c>
      <c r="E14" s="80">
        <f t="shared" si="0"/>
        <v>3.542247281039055E-4</v>
      </c>
      <c r="F14" s="79">
        <f>SUM(C14:E14)</f>
        <v>7.0844945620781091E-3</v>
      </c>
      <c r="G14" s="91">
        <f>-PMT(Assumptions!$B$19,$A14,Assumptions!$C$26)/Assumptions!$B$5*1000000</f>
        <v>7.8872342880977539E-3</v>
      </c>
      <c r="H14" s="79">
        <f t="shared" si="1"/>
        <v>1.5774468576195508E-3</v>
      </c>
      <c r="I14" s="79">
        <f t="shared" si="1"/>
        <v>4.7323405728586518E-3</v>
      </c>
      <c r="J14" s="79">
        <f t="shared" si="1"/>
        <v>1.5774468576195508E-3</v>
      </c>
      <c r="K14" s="79">
        <f>SUM(H14:J14)</f>
        <v>7.8872342880977539E-3</v>
      </c>
      <c r="L14" s="91">
        <f>-PMT(Assumptions!$B$20,$A14,Assumptions!$D$26)/Assumptions!$B$5*1000000</f>
        <v>7.0676567281126521E-3</v>
      </c>
      <c r="M14" s="79">
        <f t="shared" si="2"/>
        <v>1.0601485092168979E-3</v>
      </c>
      <c r="N14" s="79">
        <f t="shared" si="2"/>
        <v>3.1804455276506932E-3</v>
      </c>
      <c r="O14" s="80">
        <f t="shared" si="2"/>
        <v>1.0601485092168979E-3</v>
      </c>
      <c r="P14" s="188">
        <f>SUM(M14:O14)</f>
        <v>5.300742546084489E-3</v>
      </c>
      <c r="Q14" s="173">
        <f>SUM(E14,J14,O14)</f>
        <v>2.9918200949403543E-3</v>
      </c>
      <c r="R14" s="66"/>
      <c r="W14" s="65"/>
      <c r="X14" s="66"/>
    </row>
    <row r="15" spans="1:24" x14ac:dyDescent="0.2">
      <c r="A15" s="21"/>
      <c r="B15" s="21"/>
      <c r="C15" s="57"/>
      <c r="D15" s="57"/>
      <c r="E15" s="57"/>
      <c r="F15" s="57"/>
      <c r="G15" s="57"/>
      <c r="H15" s="56"/>
      <c r="I15" s="56"/>
      <c r="J15" s="56"/>
      <c r="K15" s="56"/>
      <c r="L15" s="56"/>
      <c r="M15" s="57"/>
      <c r="N15" s="57"/>
      <c r="O15" s="57"/>
      <c r="P15" s="57"/>
      <c r="Q15" s="185"/>
      <c r="R15" s="58"/>
      <c r="W15" s="57"/>
      <c r="X15" s="58"/>
    </row>
    <row r="16" spans="1:24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195"/>
    </row>
    <row r="17" spans="1:24" ht="15" thickBot="1" x14ac:dyDescent="0.25">
      <c r="A17" s="21"/>
      <c r="B17" s="21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185"/>
      <c r="R17" s="58"/>
      <c r="W17" s="57"/>
      <c r="X17" s="58"/>
    </row>
    <row r="18" spans="1:24" ht="15.75" customHeight="1" thickBot="1" x14ac:dyDescent="0.3">
      <c r="A18" s="83" t="s">
        <v>2</v>
      </c>
      <c r="B18" s="204" t="s">
        <v>18</v>
      </c>
      <c r="C18" s="205"/>
      <c r="D18" s="205"/>
      <c r="E18" s="206"/>
      <c r="F18" s="137"/>
      <c r="G18" s="200" t="s">
        <v>19</v>
      </c>
      <c r="H18" s="201"/>
      <c r="I18" s="201"/>
      <c r="J18" s="202"/>
      <c r="K18" s="138"/>
      <c r="L18" s="200" t="s">
        <v>32</v>
      </c>
      <c r="M18" s="201"/>
      <c r="N18" s="201"/>
      <c r="O18" s="202"/>
      <c r="P18" s="189"/>
      <c r="Q18" s="185"/>
      <c r="R18" s="58"/>
      <c r="W18" s="57"/>
      <c r="X18" s="58"/>
    </row>
    <row r="19" spans="1:24" x14ac:dyDescent="0.2">
      <c r="A19" s="81"/>
      <c r="B19" s="170" t="s">
        <v>26</v>
      </c>
      <c r="C19" s="94" t="s">
        <v>78</v>
      </c>
      <c r="D19" s="94" t="s">
        <v>79</v>
      </c>
      <c r="E19" s="95" t="s">
        <v>80</v>
      </c>
      <c r="F19" s="89"/>
      <c r="G19" s="93" t="s">
        <v>26</v>
      </c>
      <c r="H19" s="94" t="s">
        <v>78</v>
      </c>
      <c r="I19" s="94" t="s">
        <v>79</v>
      </c>
      <c r="J19" s="95" t="s">
        <v>80</v>
      </c>
      <c r="K19" s="89"/>
      <c r="L19" s="93" t="s">
        <v>26</v>
      </c>
      <c r="M19" s="94" t="s">
        <v>78</v>
      </c>
      <c r="N19" s="94" t="s">
        <v>79</v>
      </c>
      <c r="O19" s="95" t="s">
        <v>80</v>
      </c>
      <c r="P19" s="190"/>
      <c r="Q19" s="185"/>
      <c r="R19" s="58"/>
      <c r="W19" s="57"/>
      <c r="X19" s="58"/>
    </row>
    <row r="20" spans="1:24" ht="15" x14ac:dyDescent="0.25">
      <c r="A20" s="62"/>
      <c r="B20" s="75"/>
      <c r="C20" s="73"/>
      <c r="D20" s="73"/>
      <c r="E20" s="76"/>
      <c r="F20" s="73"/>
      <c r="G20" s="75"/>
      <c r="H20" s="73"/>
      <c r="I20" s="73"/>
      <c r="J20" s="76"/>
      <c r="K20" s="73"/>
      <c r="L20" s="75"/>
      <c r="M20" s="73"/>
      <c r="N20" s="73"/>
      <c r="O20" s="76"/>
      <c r="P20" s="190"/>
      <c r="Q20" s="185"/>
      <c r="R20" s="58"/>
      <c r="W20" s="57"/>
      <c r="X20" s="58"/>
    </row>
    <row r="21" spans="1:24" x14ac:dyDescent="0.2">
      <c r="A21" s="62"/>
      <c r="B21" s="75" t="s">
        <v>27</v>
      </c>
      <c r="C21" s="74">
        <f>Description!$I$22</f>
        <v>0.8</v>
      </c>
      <c r="D21" s="74">
        <f>Description!$I$22</f>
        <v>0.8</v>
      </c>
      <c r="E21" s="77">
        <f>Description!$I$22</f>
        <v>0.8</v>
      </c>
      <c r="F21" s="74" t="s">
        <v>71</v>
      </c>
      <c r="G21" s="75" t="s">
        <v>27</v>
      </c>
      <c r="H21" s="74">
        <f>Description!$I$33</f>
        <v>1</v>
      </c>
      <c r="I21" s="74">
        <f>Description!$I$33</f>
        <v>1</v>
      </c>
      <c r="J21" s="77">
        <f>Description!$I$33</f>
        <v>1</v>
      </c>
      <c r="K21" s="74" t="s">
        <v>71</v>
      </c>
      <c r="L21" s="75" t="s">
        <v>27</v>
      </c>
      <c r="M21" s="74">
        <f>Description!$I$44</f>
        <v>0.75</v>
      </c>
      <c r="N21" s="74">
        <f>Description!$I$44</f>
        <v>0.75</v>
      </c>
      <c r="O21" s="77">
        <f>Description!$I$44</f>
        <v>0.75</v>
      </c>
      <c r="P21" s="190" t="s">
        <v>67</v>
      </c>
      <c r="Q21" s="185"/>
      <c r="R21" s="58"/>
      <c r="W21" s="57"/>
      <c r="X21" s="58"/>
    </row>
    <row r="22" spans="1:24" x14ac:dyDescent="0.2">
      <c r="A22" s="62"/>
      <c r="B22" s="75" t="s">
        <v>25</v>
      </c>
      <c r="C22" s="74">
        <f>Description!$I$25</f>
        <v>0.95</v>
      </c>
      <c r="D22" s="74">
        <f>Description!$I$26</f>
        <v>0</v>
      </c>
      <c r="E22" s="77">
        <f>Description!$I$27</f>
        <v>0.05</v>
      </c>
      <c r="F22" s="74" t="s">
        <v>68</v>
      </c>
      <c r="G22" s="75" t="s">
        <v>25</v>
      </c>
      <c r="H22" s="74">
        <f>Description!$I$36</f>
        <v>0.2</v>
      </c>
      <c r="I22" s="74">
        <f>Description!$I$37</f>
        <v>0.6</v>
      </c>
      <c r="J22" s="77">
        <f>Description!$I$38</f>
        <v>0.2</v>
      </c>
      <c r="K22" s="74" t="s">
        <v>68</v>
      </c>
      <c r="L22" s="75" t="s">
        <v>25</v>
      </c>
      <c r="M22" s="74">
        <f>Description!$I$47</f>
        <v>0.2</v>
      </c>
      <c r="N22" s="74">
        <f>Description!$I$48</f>
        <v>0.6</v>
      </c>
      <c r="O22" s="77">
        <f>Description!$I$49</f>
        <v>0.2</v>
      </c>
      <c r="P22" s="190" t="s">
        <v>68</v>
      </c>
      <c r="Q22" s="185"/>
      <c r="R22" s="58"/>
      <c r="W22" s="57"/>
      <c r="X22" s="58"/>
    </row>
    <row r="23" spans="1:24" ht="15" thickBot="1" x14ac:dyDescent="0.25">
      <c r="A23" s="62"/>
      <c r="B23" s="87" t="s">
        <v>69</v>
      </c>
      <c r="C23" s="85">
        <v>1</v>
      </c>
      <c r="D23" s="85">
        <v>1</v>
      </c>
      <c r="E23" s="86">
        <v>0</v>
      </c>
      <c r="F23" s="85"/>
      <c r="G23" s="87" t="s">
        <v>69</v>
      </c>
      <c r="H23" s="85">
        <v>1</v>
      </c>
      <c r="I23" s="85">
        <v>1</v>
      </c>
      <c r="J23" s="86">
        <v>0</v>
      </c>
      <c r="K23" s="85"/>
      <c r="L23" s="87" t="s">
        <v>69</v>
      </c>
      <c r="M23" s="85">
        <v>1</v>
      </c>
      <c r="N23" s="85">
        <v>1</v>
      </c>
      <c r="O23" s="86">
        <v>0</v>
      </c>
      <c r="P23" s="190"/>
      <c r="Q23" s="185"/>
      <c r="R23" s="58"/>
      <c r="W23" s="57"/>
      <c r="X23" s="58"/>
    </row>
    <row r="24" spans="1:24" ht="31.5" customHeight="1" x14ac:dyDescent="0.25">
      <c r="A24" s="139" t="s">
        <v>17</v>
      </c>
      <c r="B24" s="97"/>
      <c r="C24" s="70"/>
      <c r="D24" s="70"/>
      <c r="E24" s="98"/>
      <c r="F24" s="70"/>
      <c r="G24" s="97"/>
      <c r="H24" s="70"/>
      <c r="I24" s="70"/>
      <c r="J24" s="98"/>
      <c r="K24" s="70"/>
      <c r="L24" s="97"/>
      <c r="M24" s="70"/>
      <c r="N24" s="70"/>
      <c r="O24" s="98"/>
      <c r="P24" s="190"/>
      <c r="Q24" s="185"/>
      <c r="R24" s="58"/>
      <c r="W24" s="57"/>
      <c r="X24" s="58"/>
    </row>
    <row r="25" spans="1:24" x14ac:dyDescent="0.2">
      <c r="A25" s="140">
        <v>5</v>
      </c>
      <c r="B25" s="90">
        <f>-PMT(Assumptions!$B$21,$A25,Assumptions!$B$34)/Assumptions!$B$6*1000000</f>
        <v>1.0246051038130987E-2</v>
      </c>
      <c r="C25" s="66">
        <f t="shared" ref="C25:E29" si="3">$B25*C$21*C$22</f>
        <v>7.7869987889795508E-3</v>
      </c>
      <c r="D25" s="66">
        <f t="shared" si="3"/>
        <v>0</v>
      </c>
      <c r="E25" s="78">
        <f t="shared" si="3"/>
        <v>4.0984204152523952E-4</v>
      </c>
      <c r="F25" s="66">
        <f t="shared" ref="F25:F45" si="4">SUM(C25:E25)</f>
        <v>8.1968408305047903E-3</v>
      </c>
      <c r="G25" s="90">
        <f>-PMT(Assumptions!$B$19,$A25,Assumptions!$C$27)/Assumptions!$B$6*1000000</f>
        <v>1.3251280091815049E-2</v>
      </c>
      <c r="H25" s="66">
        <f t="shared" ref="H25:J29" si="5">$G25*H$21*H$22</f>
        <v>2.65025601836301E-3</v>
      </c>
      <c r="I25" s="66">
        <f t="shared" si="5"/>
        <v>7.9507680550890292E-3</v>
      </c>
      <c r="J25" s="78">
        <f t="shared" si="5"/>
        <v>2.65025601836301E-3</v>
      </c>
      <c r="K25" s="66">
        <f t="shared" ref="K25:K45" si="6">SUM(H25:J25)</f>
        <v>1.3251280091815049E-2</v>
      </c>
      <c r="L25" s="90">
        <f>-PMT(Assumptions!$B$20,$A25,Assumptions!$D$27)/Assumptions!$B$6*1000000</f>
        <v>1.0839312944765896E-2</v>
      </c>
      <c r="M25" s="66">
        <f t="shared" ref="M25:O29" si="7">$L25*M$21*M$22</f>
        <v>1.6258969417148846E-3</v>
      </c>
      <c r="N25" s="66">
        <f t="shared" si="7"/>
        <v>4.8776908251446536E-3</v>
      </c>
      <c r="O25" s="78">
        <f t="shared" si="7"/>
        <v>1.6258969417148846E-3</v>
      </c>
      <c r="P25" s="190">
        <f t="shared" ref="P25:P45" si="8">SUM(M25:O25)</f>
        <v>8.1294847085744224E-3</v>
      </c>
      <c r="Q25" s="185">
        <f t="shared" ref="Q25:Q45" si="9">SUM(E25,J25,O25)</f>
        <v>4.6859950016031344E-3</v>
      </c>
      <c r="R25" s="58"/>
      <c r="W25" s="57"/>
      <c r="X25" s="58"/>
    </row>
    <row r="26" spans="1:24" x14ac:dyDescent="0.2">
      <c r="A26" s="140">
        <v>7</v>
      </c>
      <c r="B26" s="90">
        <f>-PMT(Assumptions!$B$21,$A26,Assumptions!$B$34)/Assumptions!$B$6*1000000</f>
        <v>7.7577985270055041E-3</v>
      </c>
      <c r="C26" s="66">
        <f t="shared" si="3"/>
        <v>5.8959268805241832E-3</v>
      </c>
      <c r="D26" s="66">
        <f t="shared" si="3"/>
        <v>0</v>
      </c>
      <c r="E26" s="78">
        <f t="shared" si="3"/>
        <v>3.1031194108022023E-4</v>
      </c>
      <c r="F26" s="66">
        <f t="shared" si="4"/>
        <v>6.2062388216044036E-3</v>
      </c>
      <c r="G26" s="90">
        <f>-PMT(Assumptions!$B$19,$A26,Assumptions!$C$27)/Assumptions!$B$6*1000000</f>
        <v>1.0033207993464412E-2</v>
      </c>
      <c r="H26" s="66">
        <f t="shared" si="5"/>
        <v>2.0066415986928826E-3</v>
      </c>
      <c r="I26" s="66">
        <f t="shared" si="5"/>
        <v>6.0199247960786469E-3</v>
      </c>
      <c r="J26" s="78">
        <f t="shared" si="5"/>
        <v>2.0066415986928826E-3</v>
      </c>
      <c r="K26" s="66">
        <f t="shared" si="6"/>
        <v>1.0033207993464414E-2</v>
      </c>
      <c r="L26" s="90">
        <f>-PMT(Assumptions!$B$20,$A26,Assumptions!$D$27)/Assumptions!$B$6*1000000</f>
        <v>8.3770201452426883E-3</v>
      </c>
      <c r="M26" s="66">
        <f t="shared" si="7"/>
        <v>1.2565530217864033E-3</v>
      </c>
      <c r="N26" s="66">
        <f t="shared" si="7"/>
        <v>3.7696590653592097E-3</v>
      </c>
      <c r="O26" s="78">
        <f t="shared" si="7"/>
        <v>1.2565530217864033E-3</v>
      </c>
      <c r="P26" s="191">
        <f t="shared" si="8"/>
        <v>6.2827651089320162E-3</v>
      </c>
      <c r="Q26" s="185">
        <f t="shared" si="9"/>
        <v>3.5735065615595061E-3</v>
      </c>
      <c r="R26" s="58"/>
      <c r="W26" s="57"/>
      <c r="X26" s="58"/>
    </row>
    <row r="27" spans="1:24" x14ac:dyDescent="0.2">
      <c r="A27" s="140">
        <v>10</v>
      </c>
      <c r="B27" s="90">
        <f>-PMT(Assumptions!$B$21,$A27,Assumptions!$B$34)/Assumptions!$B$6*1000000</f>
        <v>5.9124135026868722E-3</v>
      </c>
      <c r="C27" s="66">
        <f t="shared" si="3"/>
        <v>4.4934342620420228E-3</v>
      </c>
      <c r="D27" s="66">
        <f t="shared" si="3"/>
        <v>0</v>
      </c>
      <c r="E27" s="78">
        <f t="shared" si="3"/>
        <v>2.3649654010747491E-4</v>
      </c>
      <c r="F27" s="66">
        <f t="shared" si="4"/>
        <v>4.7299308021494981E-3</v>
      </c>
      <c r="G27" s="90">
        <f>-PMT(Assumptions!$B$19,$A27,Assumptions!$C$27)/Assumptions!$B$6*1000000</f>
        <v>7.6465603236956503E-3</v>
      </c>
      <c r="H27" s="66">
        <f t="shared" si="5"/>
        <v>1.5293120647391302E-3</v>
      </c>
      <c r="I27" s="66">
        <f t="shared" si="5"/>
        <v>4.5879361942173904E-3</v>
      </c>
      <c r="J27" s="78">
        <f t="shared" si="5"/>
        <v>1.5293120647391302E-3</v>
      </c>
      <c r="K27" s="66">
        <f t="shared" si="6"/>
        <v>7.6465603236956512E-3</v>
      </c>
      <c r="L27" s="90">
        <f>-PMT(Assumptions!$B$20,$A27,Assumptions!$D$27)/Assumptions!$B$6*1000000</f>
        <v>6.5695537613137444E-3</v>
      </c>
      <c r="M27" s="66">
        <f t="shared" si="7"/>
        <v>9.854330641970617E-4</v>
      </c>
      <c r="N27" s="66">
        <f t="shared" si="7"/>
        <v>2.9562991925911851E-3</v>
      </c>
      <c r="O27" s="78">
        <f t="shared" si="7"/>
        <v>9.854330641970617E-4</v>
      </c>
      <c r="P27" s="191">
        <f t="shared" si="8"/>
        <v>4.9271653209853085E-3</v>
      </c>
      <c r="Q27" s="185">
        <f t="shared" si="9"/>
        <v>2.7512416690436666E-3</v>
      </c>
      <c r="R27" s="58"/>
      <c r="W27" s="57"/>
      <c r="X27" s="58"/>
    </row>
    <row r="28" spans="1:24" x14ac:dyDescent="0.2">
      <c r="A28" s="140">
        <v>12</v>
      </c>
      <c r="B28" s="90">
        <f>-PMT(Assumptions!$B$21,$A28,Assumptions!$B$34)/Assumptions!$B$6*1000000</f>
        <v>5.2061472267541662E-3</v>
      </c>
      <c r="C28" s="66">
        <f t="shared" si="3"/>
        <v>3.9566718923331667E-3</v>
      </c>
      <c r="D28" s="66">
        <f t="shared" si="3"/>
        <v>0</v>
      </c>
      <c r="E28" s="78">
        <f t="shared" si="3"/>
        <v>2.0824588907016669E-4</v>
      </c>
      <c r="F28" s="66">
        <f t="shared" si="4"/>
        <v>4.1649177814033333E-3</v>
      </c>
      <c r="G28" s="90">
        <f>-PMT(Assumptions!$B$19,$A28,Assumptions!$C$27)/Assumptions!$B$6*1000000</f>
        <v>6.73314185574562E-3</v>
      </c>
      <c r="H28" s="66">
        <f t="shared" si="5"/>
        <v>1.3466283711491241E-3</v>
      </c>
      <c r="I28" s="66">
        <f t="shared" si="5"/>
        <v>4.0398851134473722E-3</v>
      </c>
      <c r="J28" s="78">
        <f t="shared" si="5"/>
        <v>1.3466283711491241E-3</v>
      </c>
      <c r="K28" s="66">
        <f t="shared" si="6"/>
        <v>6.7331418557456208E-3</v>
      </c>
      <c r="L28" s="90">
        <f>-PMT(Assumptions!$B$20,$A28,Assumptions!$D$27)/Assumptions!$B$6*1000000</f>
        <v>5.8878319808046775E-3</v>
      </c>
      <c r="M28" s="66">
        <f t="shared" si="7"/>
        <v>8.8317479712070172E-4</v>
      </c>
      <c r="N28" s="66">
        <f t="shared" si="7"/>
        <v>2.6495243913621049E-3</v>
      </c>
      <c r="O28" s="78">
        <f t="shared" si="7"/>
        <v>8.8317479712070172E-4</v>
      </c>
      <c r="P28" s="191">
        <f t="shared" si="8"/>
        <v>4.4158739856035084E-3</v>
      </c>
      <c r="Q28" s="185">
        <f t="shared" si="9"/>
        <v>2.4380490573399924E-3</v>
      </c>
      <c r="R28" s="58"/>
      <c r="W28" s="57"/>
      <c r="X28" s="58"/>
    </row>
    <row r="29" spans="1:24" ht="15" thickBot="1" x14ac:dyDescent="0.25">
      <c r="A29" s="140">
        <v>15</v>
      </c>
      <c r="B29" s="91">
        <f>-PMT(Assumptions!$B$21,$A29,Assumptions!$B$34)/Assumptions!$B$6*1000000</f>
        <v>4.5132382539631198E-3</v>
      </c>
      <c r="C29" s="79">
        <f t="shared" si="3"/>
        <v>3.4300610730119709E-3</v>
      </c>
      <c r="D29" s="79">
        <f t="shared" si="3"/>
        <v>0</v>
      </c>
      <c r="E29" s="80">
        <f t="shared" si="3"/>
        <v>1.8052953015852482E-4</v>
      </c>
      <c r="F29" s="79">
        <f t="shared" si="4"/>
        <v>3.6105906031704956E-3</v>
      </c>
      <c r="G29" s="91">
        <f>-PMT(Assumptions!$B$19,$A29,Assumptions!$C$27)/Assumptions!$B$6*1000000</f>
        <v>5.8369984691457322E-3</v>
      </c>
      <c r="H29" s="79">
        <f t="shared" si="5"/>
        <v>1.1673996938291464E-3</v>
      </c>
      <c r="I29" s="79">
        <f t="shared" si="5"/>
        <v>3.5021990814874393E-3</v>
      </c>
      <c r="J29" s="80">
        <f t="shared" si="5"/>
        <v>1.1673996938291464E-3</v>
      </c>
      <c r="K29" s="79">
        <f t="shared" si="6"/>
        <v>5.8369984691457322E-3</v>
      </c>
      <c r="L29" s="91">
        <f>-PMT(Assumptions!$B$20,$A29,Assumptions!$D$27)/Assumptions!$B$6*1000000</f>
        <v>5.2304648239872064E-3</v>
      </c>
      <c r="M29" s="79">
        <f t="shared" si="7"/>
        <v>7.8456972359808102E-4</v>
      </c>
      <c r="N29" s="79">
        <f t="shared" si="7"/>
        <v>2.3537091707942427E-3</v>
      </c>
      <c r="O29" s="80">
        <f t="shared" si="7"/>
        <v>7.8456972359808102E-4</v>
      </c>
      <c r="P29" s="192">
        <f t="shared" si="8"/>
        <v>3.922848617990405E-3</v>
      </c>
      <c r="Q29" s="185">
        <f t="shared" si="9"/>
        <v>2.1324989475857521E-3</v>
      </c>
    </row>
    <row r="30" spans="1:24" ht="15" x14ac:dyDescent="0.25">
      <c r="A30" s="59"/>
      <c r="B30" s="59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185"/>
    </row>
    <row r="31" spans="1:24" s="62" customFormat="1" ht="15" x14ac:dyDescent="0.25">
      <c r="B31" s="73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173"/>
    </row>
    <row r="32" spans="1:24" s="62" customFormat="1" ht="15.75" thickBot="1" x14ac:dyDescent="0.3">
      <c r="B32" s="72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163"/>
      <c r="R32" s="203"/>
      <c r="S32" s="203"/>
      <c r="T32" s="203"/>
      <c r="U32" s="203"/>
      <c r="V32" s="203"/>
      <c r="W32" s="203"/>
    </row>
    <row r="33" spans="1:25" s="71" customFormat="1" ht="16.5" thickBot="1" x14ac:dyDescent="0.3">
      <c r="A33" s="99" t="s">
        <v>3</v>
      </c>
      <c r="B33" s="204" t="s">
        <v>18</v>
      </c>
      <c r="C33" s="205"/>
      <c r="D33" s="205"/>
      <c r="E33" s="206"/>
      <c r="F33" s="137"/>
      <c r="G33" s="200" t="s">
        <v>19</v>
      </c>
      <c r="H33" s="201"/>
      <c r="I33" s="201"/>
      <c r="J33" s="202"/>
      <c r="K33" s="138"/>
      <c r="L33" s="200" t="s">
        <v>32</v>
      </c>
      <c r="M33" s="201"/>
      <c r="N33" s="201"/>
      <c r="O33" s="202"/>
      <c r="P33" s="193"/>
      <c r="Q33" s="182"/>
      <c r="R33" s="60"/>
      <c r="S33" s="60"/>
      <c r="T33" s="60"/>
      <c r="U33" s="60"/>
      <c r="V33" s="60"/>
      <c r="W33" s="60"/>
      <c r="X33" s="60"/>
      <c r="Y33" s="60"/>
    </row>
    <row r="34" spans="1:25" s="62" customFormat="1" x14ac:dyDescent="0.2">
      <c r="B34" s="170" t="s">
        <v>26</v>
      </c>
      <c r="C34" s="94" t="s">
        <v>78</v>
      </c>
      <c r="D34" s="94" t="s">
        <v>79</v>
      </c>
      <c r="E34" s="95" t="s">
        <v>80</v>
      </c>
      <c r="F34" s="89"/>
      <c r="G34" s="93" t="s">
        <v>26</v>
      </c>
      <c r="H34" s="94" t="s">
        <v>78</v>
      </c>
      <c r="I34" s="94" t="s">
        <v>79</v>
      </c>
      <c r="J34" s="95" t="s">
        <v>80</v>
      </c>
      <c r="K34" s="89"/>
      <c r="L34" s="93" t="s">
        <v>26</v>
      </c>
      <c r="M34" s="94" t="s">
        <v>78</v>
      </c>
      <c r="N34" s="94" t="s">
        <v>79</v>
      </c>
      <c r="O34" s="95" t="s">
        <v>80</v>
      </c>
      <c r="P34" s="194"/>
      <c r="Q34" s="173"/>
      <c r="R34" s="66"/>
      <c r="W34" s="65"/>
      <c r="X34" s="66"/>
    </row>
    <row r="35" spans="1:25" s="62" customFormat="1" ht="15" x14ac:dyDescent="0.25">
      <c r="B35" s="75"/>
      <c r="C35" s="73"/>
      <c r="D35" s="73"/>
      <c r="E35" s="76"/>
      <c r="F35" s="73"/>
      <c r="G35" s="75"/>
      <c r="H35" s="73"/>
      <c r="I35" s="73"/>
      <c r="J35" s="76"/>
      <c r="K35" s="73"/>
      <c r="L35" s="75"/>
      <c r="M35" s="73"/>
      <c r="N35" s="73"/>
      <c r="O35" s="76"/>
      <c r="P35" s="194"/>
      <c r="Q35" s="173"/>
      <c r="R35" s="66"/>
      <c r="W35" s="65"/>
      <c r="X35" s="66"/>
    </row>
    <row r="36" spans="1:25" s="62" customFormat="1" x14ac:dyDescent="0.2">
      <c r="B36" s="75" t="s">
        <v>27</v>
      </c>
      <c r="C36" s="74">
        <f>Description!$I$23</f>
        <v>0.8</v>
      </c>
      <c r="D36" s="74">
        <f>Description!$I$23</f>
        <v>0.8</v>
      </c>
      <c r="E36" s="77">
        <f>Description!$I$23</f>
        <v>0.8</v>
      </c>
      <c r="F36" s="74" t="s">
        <v>67</v>
      </c>
      <c r="G36" s="75" t="s">
        <v>27</v>
      </c>
      <c r="H36" s="74">
        <f>Description!$I$34</f>
        <v>1</v>
      </c>
      <c r="I36" s="74">
        <f>Description!$I$34</f>
        <v>1</v>
      </c>
      <c r="J36" s="77">
        <f>Description!$I$34</f>
        <v>1</v>
      </c>
      <c r="K36" s="74" t="s">
        <v>67</v>
      </c>
      <c r="L36" s="75" t="s">
        <v>27</v>
      </c>
      <c r="M36" s="74">
        <f>Description!$I$45</f>
        <v>0.75</v>
      </c>
      <c r="N36" s="74">
        <f>Description!$I$45</f>
        <v>0.75</v>
      </c>
      <c r="O36" s="77">
        <f>Description!$I$45</f>
        <v>0.75</v>
      </c>
      <c r="P36" s="194" t="s">
        <v>71</v>
      </c>
      <c r="Q36" s="173"/>
      <c r="R36" s="66"/>
      <c r="W36" s="65"/>
      <c r="X36" s="66"/>
    </row>
    <row r="37" spans="1:25" s="62" customFormat="1" x14ac:dyDescent="0.2">
      <c r="B37" s="75" t="s">
        <v>25</v>
      </c>
      <c r="C37" s="74">
        <f>Description!$I$25</f>
        <v>0.95</v>
      </c>
      <c r="D37" s="74">
        <f>Description!$I$26</f>
        <v>0</v>
      </c>
      <c r="E37" s="77">
        <f>Description!$I$27</f>
        <v>0.05</v>
      </c>
      <c r="F37" s="74" t="s">
        <v>68</v>
      </c>
      <c r="G37" s="75" t="s">
        <v>25</v>
      </c>
      <c r="H37" s="74">
        <f>Description!$I$36</f>
        <v>0.2</v>
      </c>
      <c r="I37" s="74">
        <f>Description!$I$37</f>
        <v>0.6</v>
      </c>
      <c r="J37" s="77">
        <f>Description!$I$38</f>
        <v>0.2</v>
      </c>
      <c r="K37" s="74" t="s">
        <v>68</v>
      </c>
      <c r="L37" s="75" t="s">
        <v>25</v>
      </c>
      <c r="M37" s="74">
        <f>Description!$I$47</f>
        <v>0.2</v>
      </c>
      <c r="N37" s="74">
        <f>Description!$I$48</f>
        <v>0.6</v>
      </c>
      <c r="O37" s="77">
        <f>Description!$I$49</f>
        <v>0.2</v>
      </c>
      <c r="P37" s="194" t="s">
        <v>68</v>
      </c>
      <c r="Q37" s="173"/>
      <c r="R37" s="66"/>
      <c r="W37" s="65"/>
      <c r="X37" s="66"/>
    </row>
    <row r="38" spans="1:25" s="62" customFormat="1" ht="15.75" hidden="1" thickBot="1" x14ac:dyDescent="0.3">
      <c r="B38" s="84"/>
      <c r="C38" s="85"/>
      <c r="D38" s="85"/>
      <c r="E38" s="86"/>
      <c r="F38" s="85"/>
      <c r="G38" s="87"/>
      <c r="H38" s="85"/>
      <c r="I38" s="85"/>
      <c r="J38" s="86"/>
      <c r="K38" s="85"/>
      <c r="L38" s="87"/>
      <c r="M38" s="85"/>
      <c r="N38" s="85"/>
      <c r="O38" s="86"/>
      <c r="P38" s="194"/>
      <c r="Q38" s="173"/>
      <c r="R38" s="66"/>
      <c r="W38" s="65">
        <f>-PMT(Assumptions!$B$16,$A45,Assumptions!$C$35)/Assumptions!$B$7*1000000</f>
        <v>0</v>
      </c>
      <c r="X38" s="66" t="e">
        <f>+#REF!+W38+Y38</f>
        <v>#REF!</v>
      </c>
    </row>
    <row r="39" spans="1:25" s="62" customFormat="1" ht="15" thickBot="1" x14ac:dyDescent="0.25">
      <c r="B39" s="87" t="s">
        <v>69</v>
      </c>
      <c r="C39" s="85">
        <v>1</v>
      </c>
      <c r="D39" s="85">
        <v>1</v>
      </c>
      <c r="E39" s="86">
        <v>0</v>
      </c>
      <c r="F39" s="71"/>
      <c r="G39" s="87" t="s">
        <v>69</v>
      </c>
      <c r="H39" s="85">
        <v>1</v>
      </c>
      <c r="I39" s="85">
        <v>1</v>
      </c>
      <c r="J39" s="86">
        <v>0</v>
      </c>
      <c r="K39" s="71"/>
      <c r="L39" s="150" t="s">
        <v>69</v>
      </c>
      <c r="M39" s="71">
        <v>1</v>
      </c>
      <c r="N39" s="71">
        <v>1</v>
      </c>
      <c r="O39" s="149">
        <v>0</v>
      </c>
      <c r="P39" s="194"/>
      <c r="Q39" s="173"/>
      <c r="R39" s="66"/>
      <c r="W39" s="65"/>
      <c r="X39" s="66"/>
    </row>
    <row r="40" spans="1:25" s="62" customFormat="1" ht="30" x14ac:dyDescent="0.25">
      <c r="A40" s="139" t="s">
        <v>17</v>
      </c>
      <c r="B40" s="97"/>
      <c r="C40" s="70"/>
      <c r="D40" s="70"/>
      <c r="E40" s="98"/>
      <c r="F40" s="70"/>
      <c r="G40" s="97"/>
      <c r="H40" s="70"/>
      <c r="I40" s="70"/>
      <c r="J40" s="98"/>
      <c r="K40" s="70"/>
      <c r="L40" s="97"/>
      <c r="M40" s="70"/>
      <c r="N40" s="70"/>
      <c r="O40" s="98"/>
      <c r="P40" s="194"/>
      <c r="Q40" s="173"/>
      <c r="R40" s="66"/>
      <c r="W40" s="65"/>
      <c r="X40" s="66"/>
    </row>
    <row r="41" spans="1:25" x14ac:dyDescent="0.2">
      <c r="A41" s="140">
        <v>5</v>
      </c>
      <c r="B41" s="90">
        <f>-PMT(Assumptions!$B$21,$A41,Assumptions!$B$35)/Assumptions!$B$7*1000000</f>
        <v>1.3982932223895045E-2</v>
      </c>
      <c r="C41" s="66">
        <f t="shared" ref="C41:E45" si="10">$B41*C$36*C$37</f>
        <v>1.0627028490160234E-2</v>
      </c>
      <c r="D41" s="66">
        <f t="shared" si="10"/>
        <v>0</v>
      </c>
      <c r="E41" s="78">
        <f t="shared" si="10"/>
        <v>5.5931728895580182E-4</v>
      </c>
      <c r="F41" s="66">
        <f t="shared" si="4"/>
        <v>1.1186345779116036E-2</v>
      </c>
      <c r="G41" s="90">
        <f>-PMT(Assumptions!$B$19,$A41,Assumptions!$C$28)/Assumptions!$B$7*1000000</f>
        <v>3.0099283295117553E-2</v>
      </c>
      <c r="H41" s="66">
        <f t="shared" ref="H41:J45" si="11">$G41*H$36*H$37</f>
        <v>6.0198566590235108E-3</v>
      </c>
      <c r="I41" s="66">
        <f t="shared" si="11"/>
        <v>1.805956997707053E-2</v>
      </c>
      <c r="J41" s="78">
        <f t="shared" si="11"/>
        <v>6.0198566590235108E-3</v>
      </c>
      <c r="K41" s="66">
        <f t="shared" si="6"/>
        <v>3.0099283295117549E-2</v>
      </c>
      <c r="L41" s="90">
        <f>-PMT(Assumptions!$B$20,$A41,Assumptions!$D$28)/Assumptions!$B$7*1000000</f>
        <v>2.4620681835143054E-2</v>
      </c>
      <c r="M41" s="66">
        <f t="shared" ref="M41:O45" si="12">$L41*M$36*M$37</f>
        <v>3.6931022752714582E-3</v>
      </c>
      <c r="N41" s="66">
        <f t="shared" si="12"/>
        <v>1.1079306825814374E-2</v>
      </c>
      <c r="O41" s="78">
        <f t="shared" si="12"/>
        <v>3.6931022752714582E-3</v>
      </c>
      <c r="P41" s="190">
        <f t="shared" si="8"/>
        <v>1.846551137635729E-2</v>
      </c>
      <c r="Q41" s="185">
        <f t="shared" si="9"/>
        <v>1.0272276223250771E-2</v>
      </c>
      <c r="R41" s="58"/>
      <c r="W41" s="57"/>
      <c r="X41" s="58"/>
    </row>
    <row r="42" spans="1:25" x14ac:dyDescent="0.2">
      <c r="A42" s="140">
        <v>7</v>
      </c>
      <c r="B42" s="90">
        <f>-PMT(Assumptions!$B$21,$A42,Assumptions!$B$35)/Assumptions!$B$7*1000000</f>
        <v>1.0587178475497654E-2</v>
      </c>
      <c r="C42" s="66">
        <f t="shared" si="10"/>
        <v>8.0462556413782166E-3</v>
      </c>
      <c r="D42" s="66">
        <f t="shared" si="10"/>
        <v>0</v>
      </c>
      <c r="E42" s="78">
        <f t="shared" si="10"/>
        <v>4.2348713901990622E-4</v>
      </c>
      <c r="F42" s="66">
        <f t="shared" si="4"/>
        <v>8.4697427803981234E-3</v>
      </c>
      <c r="G42" s="90">
        <f>-PMT(Assumptions!$B$19,$A42,Assumptions!$C$28)/Assumptions!$B$7*1000000</f>
        <v>2.2789675236029133E-2</v>
      </c>
      <c r="H42" s="66">
        <f t="shared" si="11"/>
        <v>4.5579350472058269E-3</v>
      </c>
      <c r="I42" s="66">
        <f t="shared" si="11"/>
        <v>1.3673805141617479E-2</v>
      </c>
      <c r="J42" s="78">
        <f t="shared" si="11"/>
        <v>4.5579350472058269E-3</v>
      </c>
      <c r="K42" s="66">
        <f t="shared" si="6"/>
        <v>2.2789675236029136E-2</v>
      </c>
      <c r="L42" s="90">
        <f>-PMT(Assumptions!$B$20,$A42,Assumptions!$D$28)/Assumptions!$B$7*1000000</f>
        <v>1.9027769451217608E-2</v>
      </c>
      <c r="M42" s="66">
        <f t="shared" si="12"/>
        <v>2.8541654176826416E-3</v>
      </c>
      <c r="N42" s="66">
        <f t="shared" si="12"/>
        <v>8.5624962530479239E-3</v>
      </c>
      <c r="O42" s="78">
        <f t="shared" si="12"/>
        <v>2.8541654176826416E-3</v>
      </c>
      <c r="P42" s="191">
        <f t="shared" si="8"/>
        <v>1.4270827088413207E-2</v>
      </c>
      <c r="Q42" s="185">
        <f t="shared" si="9"/>
        <v>7.8355876039083745E-3</v>
      </c>
      <c r="R42" s="58"/>
      <c r="W42" s="57"/>
      <c r="X42" s="58"/>
    </row>
    <row r="43" spans="1:25" x14ac:dyDescent="0.2">
      <c r="A43" s="140">
        <v>10</v>
      </c>
      <c r="B43" s="90">
        <f>-PMT(Assumptions!$B$21,$A43,Assumptions!$B$35)/Assumptions!$B$7*1000000</f>
        <v>8.0687551701668133E-3</v>
      </c>
      <c r="C43" s="66">
        <f t="shared" si="10"/>
        <v>6.1322539293267786E-3</v>
      </c>
      <c r="D43" s="66">
        <f t="shared" si="10"/>
        <v>0</v>
      </c>
      <c r="E43" s="78">
        <f t="shared" si="10"/>
        <v>3.227502068066726E-4</v>
      </c>
      <c r="F43" s="66">
        <f t="shared" si="4"/>
        <v>6.4550041361334512E-3</v>
      </c>
      <c r="G43" s="90">
        <f>-PMT(Assumptions!$B$19,$A43,Assumptions!$C$28)/Assumptions!$B$7*1000000</f>
        <v>1.7368585059060231E-2</v>
      </c>
      <c r="H43" s="66">
        <f t="shared" si="11"/>
        <v>3.4737170118120464E-3</v>
      </c>
      <c r="I43" s="66">
        <f t="shared" si="11"/>
        <v>1.0421151035436138E-2</v>
      </c>
      <c r="J43" s="78">
        <f t="shared" si="11"/>
        <v>3.4737170118120464E-3</v>
      </c>
      <c r="K43" s="66">
        <f t="shared" si="6"/>
        <v>1.7368585059060231E-2</v>
      </c>
      <c r="L43" s="90">
        <f>-PMT(Assumptions!$B$20,$A43,Assumptions!$D$28)/Assumptions!$B$7*1000000</f>
        <v>1.4922245882224267E-2</v>
      </c>
      <c r="M43" s="66">
        <f t="shared" si="12"/>
        <v>2.2383368823336402E-3</v>
      </c>
      <c r="N43" s="66">
        <f t="shared" si="12"/>
        <v>6.7150106470009194E-3</v>
      </c>
      <c r="O43" s="78">
        <f t="shared" si="12"/>
        <v>2.2383368823336402E-3</v>
      </c>
      <c r="P43" s="191">
        <f t="shared" si="8"/>
        <v>1.11916844116682E-2</v>
      </c>
      <c r="Q43" s="185">
        <f t="shared" si="9"/>
        <v>6.0348041009523588E-3</v>
      </c>
      <c r="R43" s="58"/>
      <c r="W43" s="57"/>
      <c r="X43" s="58"/>
    </row>
    <row r="44" spans="1:25" x14ac:dyDescent="0.2">
      <c r="A44" s="140">
        <v>12</v>
      </c>
      <c r="B44" s="90">
        <f>-PMT(Assumptions!$B$21,$A44,Assumptions!$B$35)/Assumptions!$B$7*1000000</f>
        <v>7.1049034938832209E-3</v>
      </c>
      <c r="C44" s="66">
        <f t="shared" si="10"/>
        <v>5.3997266553512478E-3</v>
      </c>
      <c r="D44" s="66">
        <f t="shared" si="10"/>
        <v>0</v>
      </c>
      <c r="E44" s="78">
        <f t="shared" si="10"/>
        <v>2.8419613975532885E-4</v>
      </c>
      <c r="F44" s="66">
        <f t="shared" si="4"/>
        <v>5.683922795106577E-3</v>
      </c>
      <c r="G44" s="90">
        <f>-PMT(Assumptions!$B$19,$A44,Assumptions!$C$28)/Assumptions!$B$7*1000000</f>
        <v>1.5293823900641882E-2</v>
      </c>
      <c r="H44" s="66">
        <f t="shared" si="11"/>
        <v>3.0587647801283767E-3</v>
      </c>
      <c r="I44" s="66">
        <f t="shared" si="11"/>
        <v>9.1762943403851296E-3</v>
      </c>
      <c r="J44" s="78">
        <f t="shared" si="11"/>
        <v>3.0587647801283767E-3</v>
      </c>
      <c r="K44" s="66">
        <f t="shared" si="6"/>
        <v>1.5293823900641884E-2</v>
      </c>
      <c r="L44" s="90">
        <f>-PMT(Assumptions!$B$20,$A44,Assumptions!$D$28)/Assumptions!$B$7*1000000</f>
        <v>1.3373766274381051E-2</v>
      </c>
      <c r="M44" s="66">
        <f t="shared" si="12"/>
        <v>2.0060649411571575E-3</v>
      </c>
      <c r="N44" s="66">
        <f t="shared" si="12"/>
        <v>6.0181948234714726E-3</v>
      </c>
      <c r="O44" s="78">
        <f t="shared" si="12"/>
        <v>2.0060649411571575E-3</v>
      </c>
      <c r="P44" s="191">
        <f t="shared" si="8"/>
        <v>1.0030324705785788E-2</v>
      </c>
      <c r="Q44" s="185">
        <f t="shared" si="9"/>
        <v>5.349025861040863E-3</v>
      </c>
      <c r="R44" s="58"/>
      <c r="W44" s="57"/>
      <c r="X44" s="58"/>
    </row>
    <row r="45" spans="1:25" ht="15" thickBot="1" x14ac:dyDescent="0.25">
      <c r="A45" s="140">
        <v>15</v>
      </c>
      <c r="B45" s="91">
        <f>-PMT(Assumptions!$B$21,$A45,Assumptions!$B$35)/Assumptions!$B$7*1000000</f>
        <v>6.15928072001567E-3</v>
      </c>
      <c r="C45" s="79">
        <f t="shared" si="10"/>
        <v>4.6810533472119087E-3</v>
      </c>
      <c r="D45" s="79">
        <f t="shared" si="10"/>
        <v>0</v>
      </c>
      <c r="E45" s="80">
        <f t="shared" si="10"/>
        <v>2.4637122880062683E-4</v>
      </c>
      <c r="F45" s="79">
        <f t="shared" si="4"/>
        <v>4.9274245760125351E-3</v>
      </c>
      <c r="G45" s="91">
        <f>-PMT(Assumptions!$B$19,$A45,Assumptions!$C$28)/Assumptions!$B$7*1000000</f>
        <v>1.3258301786595199E-2</v>
      </c>
      <c r="H45" s="79">
        <f t="shared" si="11"/>
        <v>2.6516603573190399E-3</v>
      </c>
      <c r="I45" s="79">
        <f t="shared" si="11"/>
        <v>7.9549810719571189E-3</v>
      </c>
      <c r="J45" s="80">
        <f t="shared" si="11"/>
        <v>2.6516603573190399E-3</v>
      </c>
      <c r="K45" s="79">
        <f t="shared" si="6"/>
        <v>1.3258301786595199E-2</v>
      </c>
      <c r="L45" s="91">
        <f>-PMT(Assumptions!$B$20,$A45,Assumptions!$D$28)/Assumptions!$B$7*1000000</f>
        <v>1.1880606357387337E-2</v>
      </c>
      <c r="M45" s="79">
        <f t="shared" si="12"/>
        <v>1.7820909536081005E-3</v>
      </c>
      <c r="N45" s="79">
        <f t="shared" si="12"/>
        <v>5.3462728608243016E-3</v>
      </c>
      <c r="O45" s="80">
        <f t="shared" si="12"/>
        <v>1.7820909536081005E-3</v>
      </c>
      <c r="P45" s="192">
        <f t="shared" si="8"/>
        <v>8.9104547680405027E-3</v>
      </c>
      <c r="Q45" s="186">
        <f t="shared" si="9"/>
        <v>4.6801225397277678E-3</v>
      </c>
    </row>
    <row r="46" spans="1:25" ht="15" x14ac:dyDescent="0.25">
      <c r="A46" s="59"/>
      <c r="B46" s="59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</row>
    <row r="47" spans="1:25" ht="15" x14ac:dyDescent="0.25">
      <c r="A47" s="59"/>
      <c r="B47" s="59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</row>
    <row r="48" spans="1:25" ht="15" x14ac:dyDescent="0.25">
      <c r="A48" s="59"/>
      <c r="B48" s="59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</row>
    <row r="49" spans="1:25" ht="15" x14ac:dyDescent="0.25">
      <c r="A49" s="61"/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203"/>
      <c r="S49" s="203"/>
      <c r="T49" s="203"/>
      <c r="U49" s="203"/>
      <c r="V49" s="203"/>
      <c r="W49" s="203"/>
      <c r="X49" s="62"/>
    </row>
    <row r="50" spans="1:25" s="56" customFormat="1" ht="15" x14ac:dyDescent="0.25">
      <c r="A50" s="60"/>
      <c r="B50" s="60"/>
      <c r="C50" s="60"/>
      <c r="D50" s="60"/>
      <c r="E50" s="60"/>
      <c r="F50" s="60"/>
      <c r="G50" s="60"/>
      <c r="H50" s="63"/>
      <c r="I50" s="63"/>
      <c r="J50" s="63"/>
      <c r="K50" s="63"/>
      <c r="L50" s="63"/>
      <c r="M50" s="63"/>
      <c r="N50" s="63"/>
      <c r="O50" s="63"/>
      <c r="P50" s="63"/>
      <c r="Q50" s="60"/>
      <c r="R50" s="60"/>
      <c r="S50" s="60"/>
      <c r="T50" s="60"/>
      <c r="U50" s="60"/>
      <c r="V50" s="60"/>
      <c r="W50" s="60"/>
      <c r="X50" s="60"/>
      <c r="Y50" s="60"/>
    </row>
    <row r="51" spans="1:25" x14ac:dyDescent="0.2">
      <c r="A51" s="64"/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6"/>
      <c r="S51" s="62"/>
      <c r="T51" s="62"/>
      <c r="U51" s="62"/>
      <c r="V51" s="62"/>
      <c r="W51" s="65"/>
      <c r="X51" s="66"/>
    </row>
    <row r="52" spans="1:25" x14ac:dyDescent="0.2">
      <c r="A52" s="64"/>
      <c r="B52" s="64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6"/>
      <c r="S52" s="62"/>
      <c r="T52" s="62"/>
      <c r="U52" s="62"/>
      <c r="V52" s="62"/>
      <c r="W52" s="65"/>
      <c r="X52" s="66"/>
    </row>
    <row r="53" spans="1:25" x14ac:dyDescent="0.2">
      <c r="A53" s="64"/>
      <c r="B53" s="64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6"/>
      <c r="S53" s="62"/>
      <c r="T53" s="62"/>
      <c r="U53" s="62"/>
      <c r="V53" s="62"/>
      <c r="W53" s="65"/>
      <c r="X53" s="66"/>
    </row>
    <row r="54" spans="1:25" x14ac:dyDescent="0.2">
      <c r="A54" s="64"/>
      <c r="B54" s="64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6"/>
      <c r="S54" s="62"/>
      <c r="T54" s="62"/>
      <c r="U54" s="62"/>
      <c r="V54" s="62"/>
      <c r="W54" s="65"/>
      <c r="X54" s="66"/>
    </row>
    <row r="55" spans="1:25" x14ac:dyDescent="0.2">
      <c r="A55" s="64"/>
      <c r="B55" s="64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6"/>
      <c r="S55" s="62"/>
      <c r="T55" s="62"/>
      <c r="U55" s="62"/>
      <c r="V55" s="62"/>
      <c r="W55" s="65"/>
      <c r="X55" s="66"/>
    </row>
  </sheetData>
  <mergeCells count="12">
    <mergeCell ref="G33:J33"/>
    <mergeCell ref="L33:O33"/>
    <mergeCell ref="R49:W49"/>
    <mergeCell ref="B3:E3"/>
    <mergeCell ref="G3:J3"/>
    <mergeCell ref="L3:O3"/>
    <mergeCell ref="B18:E18"/>
    <mergeCell ref="G18:J18"/>
    <mergeCell ref="L18:O18"/>
    <mergeCell ref="R8:W8"/>
    <mergeCell ref="R32:W32"/>
    <mergeCell ref="B33:E33"/>
  </mergeCells>
  <phoneticPr fontId="0" type="noConversion"/>
  <pageMargins left="0.75" right="0.75" top="1" bottom="1" header="0.5" footer="0.5"/>
  <pageSetup scale="48" fitToHeight="0" orientation="landscape" r:id="rId1"/>
  <headerFooter alignWithMargins="0">
    <oddHeader>&amp;C&amp;"Arial,Bold"&amp;14POTENTIAL EXPOSURE OF CALIFORNIA DIRECT ACCESS CUSTOMERS&amp;R&amp;D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Description</vt:lpstr>
      <vt:lpstr>Assumptions</vt:lpstr>
      <vt:lpstr>Legacy</vt:lpstr>
      <vt:lpstr>New</vt:lpstr>
      <vt:lpstr>Assumptions!Print_Area</vt:lpstr>
      <vt:lpstr>Legacy!Print_Area</vt:lpstr>
      <vt:lpstr>New!Print_Area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jthome</dc:creator>
  <cp:lastModifiedBy>Jan Havlíček</cp:lastModifiedBy>
  <cp:lastPrinted>2001-08-28T14:31:40Z</cp:lastPrinted>
  <dcterms:created xsi:type="dcterms:W3CDTF">2001-08-26T16:20:35Z</dcterms:created>
  <dcterms:modified xsi:type="dcterms:W3CDTF">2023-09-19T16:07:29Z</dcterms:modified>
</cp:coreProperties>
</file>