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378893-EC6D-4662-B1B0-D552507D36C3}" xr6:coauthVersionLast="47" xr6:coauthVersionMax="47" xr10:uidLastSave="{00000000-0000-0000-0000-000000000000}"/>
  <bookViews>
    <workbookView xWindow="-120" yWindow="-120" windowWidth="38640" windowHeight="15720"/>
  </bookViews>
  <sheets>
    <sheet name="Residential" sheetId="16" r:id="rId1"/>
    <sheet name="Small Commercial" sheetId="5" r:id="rId2"/>
    <sheet name="Medium-Large Commercial (AB265)" sheetId="15" r:id="rId3"/>
    <sheet name="Street Lighting" sheetId="17" r:id="rId4"/>
  </sheets>
  <definedNames>
    <definedName name="_xlnm.Print_Area" localSheetId="2">'Medium-Large Commercial (AB265)'!$A$1:$H$72,'Medium-Large Commercial (AB265)'!$A$83:$H$128,'Medium-Large Commercial (AB265)'!$A$131:$H$178</definedName>
    <definedName name="_xlnm.Print_Area" localSheetId="0">Residential!$A$1:$H$67,Residential!$A$71:$H$130,Residential!$A$133:$H$176</definedName>
    <definedName name="_xlnm.Print_Area" localSheetId="1">'Small Commercial'!$A$1:$H$47</definedName>
    <definedName name="_xlnm.Print_Area" localSheetId="3">'Street Lighting'!$A$1:$H$62</definedName>
  </definedNames>
  <calcPr calcId="0"/>
</workbook>
</file>

<file path=xl/calcChain.xml><?xml version="1.0" encoding="utf-8"?>
<calcChain xmlns="http://schemas.openxmlformats.org/spreadsheetml/2006/main">
  <c r="C7" i="15" l="1"/>
  <c r="G8" i="15"/>
  <c r="C9" i="15"/>
  <c r="C12" i="15"/>
  <c r="C13" i="15"/>
  <c r="C14" i="15"/>
  <c r="C25" i="15"/>
  <c r="E25" i="15"/>
  <c r="F25" i="15"/>
  <c r="G25" i="15"/>
  <c r="C26" i="15"/>
  <c r="E26" i="15"/>
  <c r="F26" i="15"/>
  <c r="G26" i="15"/>
  <c r="C27" i="15"/>
  <c r="E27" i="15"/>
  <c r="F27" i="15"/>
  <c r="G27" i="15"/>
  <c r="B30" i="15"/>
  <c r="C30" i="15"/>
  <c r="D30" i="15"/>
  <c r="E30" i="15"/>
  <c r="F30" i="15"/>
  <c r="G30" i="15"/>
  <c r="B31" i="15"/>
  <c r="C31" i="15"/>
  <c r="D31" i="15"/>
  <c r="E31" i="15"/>
  <c r="F31" i="15"/>
  <c r="G31" i="15"/>
  <c r="B33" i="15"/>
  <c r="C33" i="15"/>
  <c r="D33" i="15"/>
  <c r="E33" i="15"/>
  <c r="F33" i="15"/>
  <c r="G33" i="15"/>
  <c r="H33" i="15"/>
  <c r="C38" i="15"/>
  <c r="E38" i="15"/>
  <c r="F38" i="15"/>
  <c r="G38" i="15"/>
  <c r="B41" i="15"/>
  <c r="C41" i="15"/>
  <c r="D41" i="15"/>
  <c r="E41" i="15"/>
  <c r="F41" i="15"/>
  <c r="G41" i="15"/>
  <c r="B42" i="15"/>
  <c r="C42" i="15"/>
  <c r="D42" i="15"/>
  <c r="E42" i="15"/>
  <c r="F42" i="15"/>
  <c r="G42" i="15"/>
  <c r="B43" i="15"/>
  <c r="C43" i="15"/>
  <c r="D43" i="15"/>
  <c r="E43" i="15"/>
  <c r="F43" i="15"/>
  <c r="G43" i="15"/>
  <c r="B44" i="15"/>
  <c r="C44" i="15"/>
  <c r="D44" i="15"/>
  <c r="E44" i="15"/>
  <c r="F44" i="15"/>
  <c r="G44" i="15"/>
  <c r="B46" i="15"/>
  <c r="C46" i="15"/>
  <c r="D46" i="15"/>
  <c r="E46" i="15"/>
  <c r="F46" i="15"/>
  <c r="G46" i="15"/>
  <c r="H46" i="15"/>
  <c r="L51" i="15"/>
  <c r="N51" i="15"/>
  <c r="P51" i="15"/>
  <c r="L52" i="15"/>
  <c r="N52" i="15"/>
  <c r="P52" i="15"/>
  <c r="C53" i="15"/>
  <c r="E53" i="15"/>
  <c r="F53" i="15"/>
  <c r="G53" i="15"/>
  <c r="L53" i="15"/>
  <c r="N53" i="15"/>
  <c r="P53" i="15"/>
  <c r="C54" i="15"/>
  <c r="E54" i="15"/>
  <c r="F54" i="15"/>
  <c r="G54" i="15"/>
  <c r="L54" i="15"/>
  <c r="P54" i="15"/>
  <c r="C55" i="15"/>
  <c r="E55" i="15"/>
  <c r="F55" i="15"/>
  <c r="G55" i="15"/>
  <c r="C56" i="15"/>
  <c r="E56" i="15"/>
  <c r="F56" i="15"/>
  <c r="G56" i="15"/>
  <c r="L56" i="15"/>
  <c r="N56" i="15"/>
  <c r="P56" i="15"/>
  <c r="C57" i="15"/>
  <c r="E57" i="15"/>
  <c r="F57" i="15"/>
  <c r="G57" i="15"/>
  <c r="P58" i="15"/>
  <c r="P59" i="15"/>
  <c r="C60" i="15"/>
  <c r="E60" i="15"/>
  <c r="F60" i="15"/>
  <c r="G60" i="15"/>
  <c r="C61" i="15"/>
  <c r="E61" i="15"/>
  <c r="F61" i="15"/>
  <c r="G61" i="15"/>
  <c r="C62" i="15"/>
  <c r="E62" i="15"/>
  <c r="F62" i="15"/>
  <c r="G62" i="15"/>
  <c r="C63" i="15"/>
  <c r="E63" i="15"/>
  <c r="F63" i="15"/>
  <c r="G63" i="15"/>
  <c r="C64" i="15"/>
  <c r="E64" i="15"/>
  <c r="F64" i="15"/>
  <c r="G64" i="15"/>
  <c r="B68" i="15"/>
  <c r="C68" i="15"/>
  <c r="D68" i="15"/>
  <c r="E68" i="15"/>
  <c r="F68" i="15"/>
  <c r="G68" i="15"/>
  <c r="B69" i="15"/>
  <c r="C69" i="15"/>
  <c r="D69" i="15"/>
  <c r="E69" i="15"/>
  <c r="F69" i="15"/>
  <c r="G69" i="15"/>
  <c r="B70" i="15"/>
  <c r="C70" i="15"/>
  <c r="D70" i="15"/>
  <c r="E70" i="15"/>
  <c r="F70" i="15"/>
  <c r="G70" i="15"/>
  <c r="B71" i="15"/>
  <c r="C71" i="15"/>
  <c r="D71" i="15"/>
  <c r="E71" i="15"/>
  <c r="F71" i="15"/>
  <c r="G71" i="15"/>
  <c r="B72" i="15"/>
  <c r="C72" i="15"/>
  <c r="D72" i="15"/>
  <c r="E72" i="15"/>
  <c r="F72" i="15"/>
  <c r="G72" i="15"/>
  <c r="B94" i="15"/>
  <c r="C94" i="15"/>
  <c r="D94" i="15"/>
  <c r="E94" i="15"/>
  <c r="F94" i="15"/>
  <c r="G94" i="15"/>
  <c r="B95" i="15"/>
  <c r="C95" i="15"/>
  <c r="D95" i="15"/>
  <c r="E95" i="15"/>
  <c r="F95" i="15"/>
  <c r="G95" i="15"/>
  <c r="B96" i="15"/>
  <c r="C96" i="15"/>
  <c r="D96" i="15"/>
  <c r="E96" i="15"/>
  <c r="F96" i="15"/>
  <c r="G96" i="15"/>
  <c r="B97" i="15"/>
  <c r="C97" i="15"/>
  <c r="D97" i="15"/>
  <c r="E97" i="15"/>
  <c r="F97" i="15"/>
  <c r="G97" i="15"/>
  <c r="B98" i="15"/>
  <c r="C98" i="15"/>
  <c r="D98" i="15"/>
  <c r="E98" i="15"/>
  <c r="F98" i="15"/>
  <c r="G98" i="15"/>
  <c r="B101" i="15"/>
  <c r="C101" i="15"/>
  <c r="D101" i="15"/>
  <c r="E101" i="15"/>
  <c r="F101" i="15"/>
  <c r="G101" i="15"/>
  <c r="B102" i="15"/>
  <c r="C102" i="15"/>
  <c r="D102" i="15"/>
  <c r="E102" i="15"/>
  <c r="F102" i="15"/>
  <c r="G102" i="15"/>
  <c r="B103" i="15"/>
  <c r="C103" i="15"/>
  <c r="D103" i="15"/>
  <c r="E103" i="15"/>
  <c r="F103" i="15"/>
  <c r="G103" i="15"/>
  <c r="B104" i="15"/>
  <c r="C104" i="15"/>
  <c r="D104" i="15"/>
  <c r="E104" i="15"/>
  <c r="F104" i="15"/>
  <c r="G104" i="15"/>
  <c r="B105" i="15"/>
  <c r="C105" i="15"/>
  <c r="D105" i="15"/>
  <c r="E105" i="15"/>
  <c r="F105" i="15"/>
  <c r="G105" i="15"/>
  <c r="B108" i="15"/>
  <c r="C108" i="15"/>
  <c r="D108" i="15"/>
  <c r="E108" i="15"/>
  <c r="F108" i="15"/>
  <c r="G108" i="15"/>
  <c r="B109" i="15"/>
  <c r="C109" i="15"/>
  <c r="D109" i="15"/>
  <c r="E109" i="15"/>
  <c r="F109" i="15"/>
  <c r="G109" i="15"/>
  <c r="B110" i="15"/>
  <c r="C110" i="15"/>
  <c r="D110" i="15"/>
  <c r="E110" i="15"/>
  <c r="F110" i="15"/>
  <c r="G110" i="15"/>
  <c r="B111" i="15"/>
  <c r="C111" i="15"/>
  <c r="D111" i="15"/>
  <c r="E111" i="15"/>
  <c r="F111" i="15"/>
  <c r="G111" i="15"/>
  <c r="B112" i="15"/>
  <c r="C112" i="15"/>
  <c r="D112" i="15"/>
  <c r="E112" i="15"/>
  <c r="F112" i="15"/>
  <c r="G112" i="15"/>
  <c r="B115" i="15"/>
  <c r="C115" i="15"/>
  <c r="D115" i="15"/>
  <c r="E115" i="15"/>
  <c r="F115" i="15"/>
  <c r="G115" i="15"/>
  <c r="B116" i="15"/>
  <c r="C116" i="15"/>
  <c r="D116" i="15"/>
  <c r="E116" i="15"/>
  <c r="F116" i="15"/>
  <c r="G116" i="15"/>
  <c r="B117" i="15"/>
  <c r="C117" i="15"/>
  <c r="D117" i="15"/>
  <c r="E117" i="15"/>
  <c r="F117" i="15"/>
  <c r="G117" i="15"/>
  <c r="B118" i="15"/>
  <c r="C118" i="15"/>
  <c r="D118" i="15"/>
  <c r="E118" i="15"/>
  <c r="F118" i="15"/>
  <c r="G118" i="15"/>
  <c r="B119" i="15"/>
  <c r="C119" i="15"/>
  <c r="D119" i="15"/>
  <c r="E119" i="15"/>
  <c r="F119" i="15"/>
  <c r="G119" i="15"/>
  <c r="B122" i="15"/>
  <c r="C122" i="15"/>
  <c r="D122" i="15"/>
  <c r="E122" i="15"/>
  <c r="F122" i="15"/>
  <c r="G122" i="15"/>
  <c r="B123" i="15"/>
  <c r="C123" i="15"/>
  <c r="D123" i="15"/>
  <c r="E123" i="15"/>
  <c r="F123" i="15"/>
  <c r="G123" i="15"/>
  <c r="B124" i="15"/>
  <c r="C124" i="15"/>
  <c r="D124" i="15"/>
  <c r="E124" i="15"/>
  <c r="F124" i="15"/>
  <c r="G124" i="15"/>
  <c r="B125" i="15"/>
  <c r="C125" i="15"/>
  <c r="D125" i="15"/>
  <c r="E125" i="15"/>
  <c r="F125" i="15"/>
  <c r="G125" i="15"/>
  <c r="B126" i="15"/>
  <c r="C126" i="15"/>
  <c r="D126" i="15"/>
  <c r="E126" i="15"/>
  <c r="F126" i="15"/>
  <c r="G126" i="15"/>
  <c r="B128" i="15"/>
  <c r="C128" i="15"/>
  <c r="D128" i="15"/>
  <c r="E128" i="15"/>
  <c r="F128" i="15"/>
  <c r="G128" i="15"/>
  <c r="H128" i="15"/>
  <c r="C141" i="15"/>
  <c r="E141" i="15"/>
  <c r="F141" i="15"/>
  <c r="G141" i="15"/>
  <c r="C142" i="15"/>
  <c r="E142" i="15"/>
  <c r="F142" i="15"/>
  <c r="G142" i="15"/>
  <c r="C143" i="15"/>
  <c r="E143" i="15"/>
  <c r="F143" i="15"/>
  <c r="G143" i="15"/>
  <c r="C146" i="15"/>
  <c r="E146" i="15"/>
  <c r="F146" i="15"/>
  <c r="G146" i="15"/>
  <c r="C147" i="15"/>
  <c r="E147" i="15"/>
  <c r="F147" i="15"/>
  <c r="G147" i="15"/>
  <c r="C148" i="15"/>
  <c r="E148" i="15"/>
  <c r="F148" i="15"/>
  <c r="G148" i="15"/>
  <c r="B152" i="15"/>
  <c r="C152" i="15"/>
  <c r="D152" i="15"/>
  <c r="E152" i="15"/>
  <c r="F152" i="15"/>
  <c r="G152" i="15"/>
  <c r="B153" i="15"/>
  <c r="C153" i="15"/>
  <c r="D153" i="15"/>
  <c r="E153" i="15"/>
  <c r="F153" i="15"/>
  <c r="G153" i="15"/>
  <c r="B154" i="15"/>
  <c r="C154" i="15"/>
  <c r="D154" i="15"/>
  <c r="E154" i="15"/>
  <c r="F154" i="15"/>
  <c r="G154" i="15"/>
  <c r="B157" i="15"/>
  <c r="C157" i="15"/>
  <c r="D157" i="15"/>
  <c r="E157" i="15"/>
  <c r="F157" i="15"/>
  <c r="G157" i="15"/>
  <c r="B158" i="15"/>
  <c r="C158" i="15"/>
  <c r="D158" i="15"/>
  <c r="E158" i="15"/>
  <c r="F158" i="15"/>
  <c r="G158" i="15"/>
  <c r="B159" i="15"/>
  <c r="C159" i="15"/>
  <c r="D159" i="15"/>
  <c r="E159" i="15"/>
  <c r="F159" i="15"/>
  <c r="G159" i="15"/>
  <c r="B162" i="15"/>
  <c r="C162" i="15"/>
  <c r="D162" i="15"/>
  <c r="E162" i="15"/>
  <c r="F162" i="15"/>
  <c r="G162" i="15"/>
  <c r="B163" i="15"/>
  <c r="C163" i="15"/>
  <c r="D163" i="15"/>
  <c r="E163" i="15"/>
  <c r="F163" i="15"/>
  <c r="G163" i="15"/>
  <c r="B164" i="15"/>
  <c r="C164" i="15"/>
  <c r="D164" i="15"/>
  <c r="E164" i="15"/>
  <c r="F164" i="15"/>
  <c r="G164" i="15"/>
  <c r="B166" i="15"/>
  <c r="C166" i="15"/>
  <c r="D166" i="15"/>
  <c r="E166" i="15"/>
  <c r="F166" i="15"/>
  <c r="G166" i="15"/>
  <c r="H166" i="15"/>
  <c r="B170" i="15"/>
  <c r="C170" i="15"/>
  <c r="D170" i="15"/>
  <c r="E170" i="15"/>
  <c r="F170" i="15"/>
  <c r="G170" i="15"/>
  <c r="H170" i="15"/>
  <c r="C7" i="16"/>
  <c r="G8" i="16"/>
  <c r="C9" i="16"/>
  <c r="B14" i="16"/>
  <c r="C14" i="16"/>
  <c r="B15" i="16"/>
  <c r="C15" i="16"/>
  <c r="B16" i="16"/>
  <c r="C16" i="16"/>
  <c r="B17" i="16"/>
  <c r="C17" i="16"/>
  <c r="B18" i="16"/>
  <c r="C18" i="16"/>
  <c r="B21" i="16"/>
  <c r="C21" i="16"/>
  <c r="B22" i="16"/>
  <c r="C22" i="16"/>
  <c r="B23" i="16"/>
  <c r="C23" i="16"/>
  <c r="B24" i="16"/>
  <c r="C24" i="16"/>
  <c r="B25" i="16"/>
  <c r="C25" i="16"/>
  <c r="N30" i="16"/>
  <c r="Q33" i="16"/>
  <c r="S33" i="16"/>
  <c r="C34" i="16"/>
  <c r="D34" i="16"/>
  <c r="E34" i="16"/>
  <c r="F34" i="16"/>
  <c r="G34" i="16"/>
  <c r="N34" i="16"/>
  <c r="Q34" i="16"/>
  <c r="S34" i="16"/>
  <c r="C35" i="16"/>
  <c r="D35" i="16"/>
  <c r="E35" i="16"/>
  <c r="F35" i="16"/>
  <c r="G35" i="16"/>
  <c r="N35" i="16"/>
  <c r="Q35" i="16"/>
  <c r="S35" i="16"/>
  <c r="C36" i="16"/>
  <c r="D36" i="16"/>
  <c r="E36" i="16"/>
  <c r="F36" i="16"/>
  <c r="G36" i="16"/>
  <c r="Q36" i="16"/>
  <c r="S36" i="16"/>
  <c r="C37" i="16"/>
  <c r="D37" i="16"/>
  <c r="E37" i="16"/>
  <c r="F37" i="16"/>
  <c r="G37" i="16"/>
  <c r="N37" i="16"/>
  <c r="Q37" i="16"/>
  <c r="S37" i="16"/>
  <c r="C38" i="16"/>
  <c r="D38" i="16"/>
  <c r="E38" i="16"/>
  <c r="F38" i="16"/>
  <c r="G38" i="16"/>
  <c r="N38" i="16"/>
  <c r="Q38" i="16"/>
  <c r="S38" i="16"/>
  <c r="F39" i="16"/>
  <c r="N39" i="16"/>
  <c r="Q39" i="16"/>
  <c r="S39" i="16"/>
  <c r="N40" i="16"/>
  <c r="Q40" i="16"/>
  <c r="S40" i="16"/>
  <c r="N41" i="16"/>
  <c r="Q41" i="16"/>
  <c r="S41" i="16"/>
  <c r="C42" i="16"/>
  <c r="D42" i="16"/>
  <c r="E42" i="16"/>
  <c r="F42" i="16"/>
  <c r="G42" i="16"/>
  <c r="C43" i="16"/>
  <c r="D43" i="16"/>
  <c r="E43" i="16"/>
  <c r="F43" i="16"/>
  <c r="G43" i="16"/>
  <c r="C44" i="16"/>
  <c r="D44" i="16"/>
  <c r="E44" i="16"/>
  <c r="F44" i="16"/>
  <c r="G44" i="16"/>
  <c r="C45" i="16"/>
  <c r="D45" i="16"/>
  <c r="E45" i="16"/>
  <c r="F45" i="16"/>
  <c r="G45" i="16"/>
  <c r="C46" i="16"/>
  <c r="D46" i="16"/>
  <c r="E46" i="16"/>
  <c r="F46" i="16"/>
  <c r="G46" i="16"/>
  <c r="N46" i="16"/>
  <c r="F47" i="16"/>
  <c r="N47" i="16"/>
  <c r="B49" i="16"/>
  <c r="C49" i="16"/>
  <c r="D49" i="16"/>
  <c r="E49" i="16"/>
  <c r="F49" i="16"/>
  <c r="G49" i="16"/>
  <c r="H49" i="16"/>
  <c r="N49" i="16"/>
  <c r="N50" i="16"/>
  <c r="C51" i="16"/>
  <c r="D51" i="16"/>
  <c r="E51" i="16"/>
  <c r="F51" i="16"/>
  <c r="G51" i="16"/>
  <c r="C52" i="16"/>
  <c r="D52" i="16"/>
  <c r="E52" i="16"/>
  <c r="F52" i="16"/>
  <c r="G52" i="16"/>
  <c r="N52" i="16"/>
  <c r="C53" i="16"/>
  <c r="D53" i="16"/>
  <c r="E53" i="16"/>
  <c r="F53" i="16"/>
  <c r="G53" i="16"/>
  <c r="N53" i="16"/>
  <c r="C54" i="16"/>
  <c r="D54" i="16"/>
  <c r="E54" i="16"/>
  <c r="F54" i="16"/>
  <c r="G54" i="16"/>
  <c r="N54" i="16"/>
  <c r="C55" i="16"/>
  <c r="D55" i="16"/>
  <c r="E55" i="16"/>
  <c r="F55" i="16"/>
  <c r="G55" i="16"/>
  <c r="F56" i="16"/>
  <c r="N56" i="16"/>
  <c r="C58" i="16"/>
  <c r="D58" i="16"/>
  <c r="E58" i="16"/>
  <c r="F58" i="16"/>
  <c r="G58" i="16"/>
  <c r="N58" i="16"/>
  <c r="C59" i="16"/>
  <c r="D59" i="16"/>
  <c r="E59" i="16"/>
  <c r="F59" i="16"/>
  <c r="G59" i="16"/>
  <c r="C60" i="16"/>
  <c r="D60" i="16"/>
  <c r="E60" i="16"/>
  <c r="F60" i="16"/>
  <c r="G60" i="16"/>
  <c r="C61" i="16"/>
  <c r="D61" i="16"/>
  <c r="E61" i="16"/>
  <c r="F61" i="16"/>
  <c r="G61" i="16"/>
  <c r="C62" i="16"/>
  <c r="D62" i="16"/>
  <c r="E62" i="16"/>
  <c r="F62" i="16"/>
  <c r="G62" i="16"/>
  <c r="F63" i="16"/>
  <c r="B65" i="16"/>
  <c r="C65" i="16"/>
  <c r="D65" i="16"/>
  <c r="E65" i="16"/>
  <c r="F65" i="16"/>
  <c r="G65" i="16"/>
  <c r="H65" i="16"/>
  <c r="B67" i="16"/>
  <c r="C67" i="16"/>
  <c r="D67" i="16"/>
  <c r="E67" i="16"/>
  <c r="F67" i="16"/>
  <c r="G67" i="16"/>
  <c r="H67" i="16"/>
  <c r="C78" i="16"/>
  <c r="C79" i="16"/>
  <c r="C80" i="16"/>
  <c r="C81" i="16"/>
  <c r="C82" i="16"/>
  <c r="C85" i="16"/>
  <c r="C86" i="16"/>
  <c r="C87" i="16"/>
  <c r="C88" i="16"/>
  <c r="C89" i="16"/>
  <c r="B97" i="16"/>
  <c r="C97" i="16"/>
  <c r="D97" i="16"/>
  <c r="E97" i="16"/>
  <c r="F97" i="16"/>
  <c r="G97" i="16"/>
  <c r="B98" i="16"/>
  <c r="C98" i="16"/>
  <c r="D98" i="16"/>
  <c r="E98" i="16"/>
  <c r="F98" i="16"/>
  <c r="G98" i="16"/>
  <c r="B99" i="16"/>
  <c r="C99" i="16"/>
  <c r="D99" i="16"/>
  <c r="E99" i="16"/>
  <c r="F99" i="16"/>
  <c r="G99" i="16"/>
  <c r="B100" i="16"/>
  <c r="C100" i="16"/>
  <c r="D100" i="16"/>
  <c r="E100" i="16"/>
  <c r="F100" i="16"/>
  <c r="G100" i="16"/>
  <c r="B102" i="16"/>
  <c r="D102" i="16"/>
  <c r="F102" i="16"/>
  <c r="G102" i="16"/>
  <c r="B105" i="16"/>
  <c r="D105" i="16"/>
  <c r="E105" i="16"/>
  <c r="F105" i="16"/>
  <c r="G105" i="16"/>
  <c r="B106" i="16"/>
  <c r="D106" i="16"/>
  <c r="E106" i="16"/>
  <c r="F106" i="16"/>
  <c r="G106" i="16"/>
  <c r="B107" i="16"/>
  <c r="D107" i="16"/>
  <c r="E107" i="16"/>
  <c r="F107" i="16"/>
  <c r="G107" i="16"/>
  <c r="B108" i="16"/>
  <c r="D108" i="16"/>
  <c r="E108" i="16"/>
  <c r="F108" i="16"/>
  <c r="G108" i="16"/>
  <c r="B109" i="16"/>
  <c r="D109" i="16"/>
  <c r="E109" i="16"/>
  <c r="F109" i="16"/>
  <c r="G109" i="16"/>
  <c r="B111" i="16"/>
  <c r="C111" i="16"/>
  <c r="D111" i="16"/>
  <c r="E111" i="16"/>
  <c r="F111" i="16"/>
  <c r="G111" i="16"/>
  <c r="H111" i="16"/>
  <c r="B118" i="16"/>
  <c r="C118" i="16"/>
  <c r="D118" i="16"/>
  <c r="E118" i="16"/>
  <c r="F118" i="16"/>
  <c r="G118" i="16"/>
  <c r="B119" i="16"/>
  <c r="C119" i="16"/>
  <c r="D119" i="16"/>
  <c r="E119" i="16"/>
  <c r="F119" i="16"/>
  <c r="G119" i="16"/>
  <c r="B120" i="16"/>
  <c r="C120" i="16"/>
  <c r="D120" i="16"/>
  <c r="E120" i="16"/>
  <c r="F120" i="16"/>
  <c r="G120" i="16"/>
  <c r="B121" i="16"/>
  <c r="C121" i="16"/>
  <c r="D121" i="16"/>
  <c r="E121" i="16"/>
  <c r="F121" i="16"/>
  <c r="G121" i="16"/>
  <c r="B124" i="16"/>
  <c r="D124" i="16"/>
  <c r="E124" i="16"/>
  <c r="F124" i="16"/>
  <c r="G124" i="16"/>
  <c r="B125" i="16"/>
  <c r="D125" i="16"/>
  <c r="E125" i="16"/>
  <c r="F125" i="16"/>
  <c r="G125" i="16"/>
  <c r="B126" i="16"/>
  <c r="D126" i="16"/>
  <c r="E126" i="16"/>
  <c r="F126" i="16"/>
  <c r="G126" i="16"/>
  <c r="B127" i="16"/>
  <c r="D127" i="16"/>
  <c r="E127" i="16"/>
  <c r="F127" i="16"/>
  <c r="G127" i="16"/>
  <c r="B128" i="16"/>
  <c r="D128" i="16"/>
  <c r="E128" i="16"/>
  <c r="F128" i="16"/>
  <c r="G128" i="16"/>
  <c r="B130" i="16"/>
  <c r="C130" i="16"/>
  <c r="D130" i="16"/>
  <c r="E130" i="16"/>
  <c r="F130" i="16"/>
  <c r="G130" i="16"/>
  <c r="H130" i="16"/>
  <c r="C140" i="16"/>
  <c r="C141" i="16"/>
  <c r="C142" i="16"/>
  <c r="N151" i="16"/>
  <c r="Q151" i="16"/>
  <c r="S151" i="16"/>
  <c r="N152" i="16"/>
  <c r="Q152" i="16"/>
  <c r="S152" i="16"/>
  <c r="B153" i="16"/>
  <c r="C153" i="16"/>
  <c r="D153" i="16"/>
  <c r="E153" i="16"/>
  <c r="F153" i="16"/>
  <c r="G153" i="16"/>
  <c r="N153" i="16"/>
  <c r="Q153" i="16"/>
  <c r="S153" i="16"/>
  <c r="B154" i="16"/>
  <c r="C154" i="16"/>
  <c r="D154" i="16"/>
  <c r="E154" i="16"/>
  <c r="F154" i="16"/>
  <c r="G154" i="16"/>
  <c r="N154" i="16"/>
  <c r="Q154" i="16"/>
  <c r="S154" i="16"/>
  <c r="B155" i="16"/>
  <c r="C155" i="16"/>
  <c r="D155" i="16"/>
  <c r="E155" i="16"/>
  <c r="F155" i="16"/>
  <c r="G155" i="16"/>
  <c r="N155" i="16"/>
  <c r="Q155" i="16"/>
  <c r="S155" i="16"/>
  <c r="B156" i="16"/>
  <c r="C156" i="16"/>
  <c r="D156" i="16"/>
  <c r="E156" i="16"/>
  <c r="F156" i="16"/>
  <c r="G156" i="16"/>
  <c r="N156" i="16"/>
  <c r="Q156" i="16"/>
  <c r="S156" i="16"/>
  <c r="B157" i="16"/>
  <c r="C157" i="16"/>
  <c r="D157" i="16"/>
  <c r="E157" i="16"/>
  <c r="F157" i="16"/>
  <c r="G157" i="16"/>
  <c r="N157" i="16"/>
  <c r="S157" i="16"/>
  <c r="B158" i="16"/>
  <c r="C158" i="16"/>
  <c r="D158" i="16"/>
  <c r="E158" i="16"/>
  <c r="F158" i="16"/>
  <c r="G158" i="16"/>
  <c r="N159" i="16"/>
  <c r="Q159" i="16"/>
  <c r="S159" i="16"/>
  <c r="B160" i="16"/>
  <c r="C160" i="16"/>
  <c r="D160" i="16"/>
  <c r="E160" i="16"/>
  <c r="F160" i="16"/>
  <c r="G160" i="16"/>
  <c r="H160" i="16"/>
  <c r="S162" i="16"/>
  <c r="B163" i="16"/>
  <c r="C163" i="16"/>
  <c r="D163" i="16"/>
  <c r="E163" i="16"/>
  <c r="F163" i="16"/>
  <c r="G163" i="16"/>
  <c r="H163" i="16"/>
  <c r="S163" i="16"/>
  <c r="C7" i="5"/>
  <c r="C9" i="5"/>
  <c r="G9" i="5"/>
  <c r="B13" i="5"/>
  <c r="C13" i="5"/>
  <c r="C19" i="5"/>
  <c r="E19" i="5"/>
  <c r="F19" i="5"/>
  <c r="G19" i="5"/>
  <c r="M20" i="5"/>
  <c r="O20" i="5"/>
  <c r="Q20" i="5"/>
  <c r="M21" i="5"/>
  <c r="O21" i="5"/>
  <c r="Q21" i="5"/>
  <c r="B22" i="5"/>
  <c r="C22" i="5"/>
  <c r="D22" i="5"/>
  <c r="E22" i="5"/>
  <c r="F22" i="5"/>
  <c r="G22" i="5"/>
  <c r="M22" i="5"/>
  <c r="O22" i="5"/>
  <c r="Q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B27" i="5"/>
  <c r="C27" i="5"/>
  <c r="D27" i="5"/>
  <c r="E27" i="5"/>
  <c r="F27" i="5"/>
  <c r="G27" i="5"/>
  <c r="H27" i="5"/>
  <c r="C32" i="5"/>
  <c r="E32" i="5"/>
  <c r="F32" i="5"/>
  <c r="G32" i="5"/>
  <c r="B34" i="5"/>
  <c r="C34" i="5"/>
  <c r="D34" i="5"/>
  <c r="E34" i="5"/>
  <c r="F34" i="5"/>
  <c r="G34" i="5"/>
  <c r="B36" i="5"/>
  <c r="C36" i="5"/>
  <c r="D36" i="5"/>
  <c r="E36" i="5"/>
  <c r="F36" i="5"/>
  <c r="G36" i="5"/>
  <c r="H36" i="5"/>
  <c r="B39" i="5"/>
  <c r="C39" i="5"/>
  <c r="D39" i="5"/>
  <c r="E39" i="5"/>
  <c r="F39" i="5"/>
  <c r="G39" i="5"/>
  <c r="H39" i="5"/>
  <c r="C7" i="17"/>
  <c r="G8" i="17"/>
  <c r="C9" i="17"/>
  <c r="C14" i="17"/>
  <c r="E14" i="17"/>
  <c r="F14" i="17"/>
  <c r="G14" i="17"/>
  <c r="D16" i="17"/>
  <c r="E16" i="17"/>
  <c r="F16" i="17"/>
  <c r="G16" i="17"/>
  <c r="B18" i="17"/>
  <c r="C18" i="17"/>
  <c r="D18" i="17"/>
  <c r="E18" i="17"/>
  <c r="F18" i="17"/>
  <c r="G18" i="17"/>
  <c r="H18" i="17"/>
  <c r="C21" i="17"/>
  <c r="E21" i="17"/>
  <c r="F21" i="17"/>
  <c r="G21" i="17"/>
  <c r="D23" i="17"/>
  <c r="E23" i="17"/>
  <c r="F23" i="17"/>
  <c r="G23" i="17"/>
  <c r="B25" i="17"/>
  <c r="C25" i="17"/>
  <c r="D25" i="17"/>
  <c r="E25" i="17"/>
  <c r="F25" i="17"/>
  <c r="G25" i="17"/>
  <c r="H25" i="17"/>
  <c r="C29" i="17"/>
  <c r="E29" i="17"/>
  <c r="F29" i="17"/>
  <c r="G29" i="17"/>
  <c r="C31" i="17"/>
  <c r="D31" i="17"/>
  <c r="E31" i="17"/>
  <c r="F31" i="17"/>
  <c r="G31" i="17"/>
  <c r="B33" i="17"/>
  <c r="C33" i="17"/>
  <c r="D33" i="17"/>
  <c r="E33" i="17"/>
  <c r="F33" i="17"/>
  <c r="G33" i="17"/>
  <c r="H33" i="17"/>
  <c r="C36" i="17"/>
  <c r="E36" i="17"/>
  <c r="F36" i="17"/>
  <c r="G36" i="17"/>
  <c r="D38" i="17"/>
  <c r="E38" i="17"/>
  <c r="F38" i="17"/>
  <c r="G38" i="17"/>
  <c r="B40" i="17"/>
  <c r="C40" i="17"/>
  <c r="D40" i="17"/>
  <c r="E40" i="17"/>
  <c r="F40" i="17"/>
  <c r="G40" i="17"/>
  <c r="H40" i="17"/>
  <c r="C44" i="17"/>
  <c r="E44" i="17"/>
  <c r="F44" i="17"/>
  <c r="G44" i="17"/>
  <c r="D46" i="17"/>
  <c r="E46" i="17"/>
  <c r="F46" i="17"/>
  <c r="G46" i="17"/>
  <c r="B48" i="17"/>
  <c r="C48" i="17"/>
  <c r="D48" i="17"/>
  <c r="E48" i="17"/>
  <c r="F48" i="17"/>
  <c r="G48" i="17"/>
  <c r="H48" i="17"/>
  <c r="B51" i="17"/>
  <c r="C51" i="17"/>
  <c r="D51" i="17"/>
  <c r="E51" i="17"/>
  <c r="F51" i="17"/>
  <c r="G51" i="17"/>
  <c r="H51" i="17"/>
  <c r="B62" i="17"/>
  <c r="C62" i="17"/>
  <c r="D62" i="17"/>
  <c r="E62" i="17"/>
  <c r="F62" i="17"/>
  <c r="G62" i="17"/>
  <c r="H62" i="17"/>
</calcChain>
</file>

<file path=xl/sharedStrings.xml><?xml version="1.0" encoding="utf-8"?>
<sst xmlns="http://schemas.openxmlformats.org/spreadsheetml/2006/main" count="465" uniqueCount="222">
  <si>
    <t>Customer Group</t>
  </si>
  <si>
    <t>Baseline</t>
  </si>
  <si>
    <t>130% - 200% of BL</t>
  </si>
  <si>
    <t>Over 200% of BL</t>
  </si>
  <si>
    <t>Non-CARE</t>
  </si>
  <si>
    <t>CARE</t>
  </si>
  <si>
    <t>New Total Revenue          ($ MM)</t>
  </si>
  <si>
    <t xml:space="preserve">Baseline to 130% of BL </t>
  </si>
  <si>
    <t>Baseline CARE</t>
  </si>
  <si>
    <t>San Diego Gas and Electric</t>
  </si>
  <si>
    <t xml:space="preserve">  On-Peak Energy:  Summer</t>
  </si>
  <si>
    <t>Schedule A</t>
  </si>
  <si>
    <t>Usage Charges</t>
  </si>
  <si>
    <t>Fixed Charges</t>
  </si>
  <si>
    <t>Total for Schedule A</t>
  </si>
  <si>
    <t>Schedule A-TC</t>
  </si>
  <si>
    <t>Total for Schedule A-TC</t>
  </si>
  <si>
    <t>Schedule AD</t>
  </si>
  <si>
    <t>Summer Secondary</t>
  </si>
  <si>
    <t>Winter Secondary</t>
  </si>
  <si>
    <t>Winter Primary</t>
  </si>
  <si>
    <t>Secondary</t>
  </si>
  <si>
    <t>Primary</t>
  </si>
  <si>
    <t xml:space="preserve">     On-Peak Summer</t>
  </si>
  <si>
    <t xml:space="preserve">    Semi-Peak Summer</t>
  </si>
  <si>
    <t xml:space="preserve">     Off-Peak Summer</t>
  </si>
  <si>
    <t>Off-Peak</t>
  </si>
  <si>
    <t>(Sheet 1 of 1)</t>
  </si>
  <si>
    <t xml:space="preserve">     On-Peak Winter</t>
  </si>
  <si>
    <t xml:space="preserve">    Semi-Peak Winter</t>
  </si>
  <si>
    <t xml:space="preserve">     Off-Peak Winter</t>
  </si>
  <si>
    <t>Schedule AY-TOU</t>
  </si>
  <si>
    <t xml:space="preserve">  On-Peak Energy</t>
  </si>
  <si>
    <t xml:space="preserve">    Secondary</t>
  </si>
  <si>
    <t xml:space="preserve">    Primary</t>
  </si>
  <si>
    <t xml:space="preserve">    Transmission</t>
  </si>
  <si>
    <t xml:space="preserve">  Semi-Peak Energy</t>
  </si>
  <si>
    <t xml:space="preserve">  Off-Peak Energy</t>
  </si>
  <si>
    <t>Secondary Substation</t>
  </si>
  <si>
    <t>Primary Substation</t>
  </si>
  <si>
    <t>Transmission</t>
  </si>
  <si>
    <t>Residential Rates</t>
  </si>
  <si>
    <t>- Tier 1 Usage</t>
  </si>
  <si>
    <t>- Tier 2 Usage</t>
  </si>
  <si>
    <t>- Tier 3 Usage</t>
  </si>
  <si>
    <t>- Tier 4 Usage</t>
  </si>
  <si>
    <t>2001 Annual Sales Forecast (GWh)</t>
  </si>
  <si>
    <t>New Total Rate     (cents/kWh)</t>
  </si>
  <si>
    <t>Increase in Class Average           (%)</t>
  </si>
  <si>
    <t>Schedules AL-TOU/AO-TOU/NJ</t>
  </si>
  <si>
    <t>Total Schedule AL-TOU/AO-TOU/NJ</t>
  </si>
  <si>
    <t>Total Revenue             ($ MM)</t>
  </si>
  <si>
    <t>-  On-Peak Commodity Price Increase</t>
  </si>
  <si>
    <t>-  Off-Peak Commodity Price Increase</t>
  </si>
  <si>
    <t>Commodity Price Increases</t>
  </si>
  <si>
    <t>-  On-Peak to Off-Peak Commodity Differential</t>
  </si>
  <si>
    <t>Total AY-TOU</t>
  </si>
  <si>
    <t>Usage Breakdown</t>
  </si>
  <si>
    <t>Schedule DR-TOU</t>
  </si>
  <si>
    <t xml:space="preserve">  Off-Peak Energy: Summer</t>
  </si>
  <si>
    <t xml:space="preserve">  On-Peak Energy:  Winter</t>
  </si>
  <si>
    <t xml:space="preserve">  Off-Peak Energy: Winter</t>
  </si>
  <si>
    <t>Total for Schedule DR-TOU</t>
  </si>
  <si>
    <t>Schedule DR-TOU-2</t>
  </si>
  <si>
    <t>Total for Schedule DR-TOU-2</t>
  </si>
  <si>
    <t>EV-TOU/EV-TOU-2\EV-TOU3 INPUTS</t>
  </si>
  <si>
    <t>EV-TOU/EV-TOU-2/EV-TOU-3 Commodity Price Increases</t>
  </si>
  <si>
    <t xml:space="preserve">  EV-TOU/EV-TOU-2/EV-TOU-3 Commodity Price Differentials</t>
  </si>
  <si>
    <t>- On-Peak to Off-Peak Price Differential</t>
  </si>
  <si>
    <t xml:space="preserve">  Super Off-Peak Energy: Summer</t>
  </si>
  <si>
    <t>RESIDENTIAL TOTAL</t>
  </si>
  <si>
    <t xml:space="preserve">Minimum Bill </t>
  </si>
  <si>
    <t>NA</t>
  </si>
  <si>
    <t>Schedules DR, DR-LI, DM, DS, DT, DT-RV, and D-SMF</t>
  </si>
  <si>
    <t>Summer Period</t>
  </si>
  <si>
    <t>Winter Period</t>
  </si>
  <si>
    <t>Total for Schedules DR, DR-LI, DM, DS, DT, DT-RV, and D-SMF</t>
  </si>
  <si>
    <t>Baseline Adjustment Credit</t>
  </si>
  <si>
    <t>Summer Primary</t>
  </si>
  <si>
    <t>Basic Service Fees</t>
  </si>
  <si>
    <t>Demand Charges-Secondary</t>
  </si>
  <si>
    <t>Demand Charges-Primary</t>
  </si>
  <si>
    <t>Average Residential Rate Increase (cents/kWh)</t>
  </si>
  <si>
    <t>Demand Charges</t>
  </si>
  <si>
    <t>Revenue Increase      ($ MM)</t>
  </si>
  <si>
    <t>Fixed Charges-Basic Service Fees</t>
  </si>
  <si>
    <t>3/01/01  Total Rate (cents/kWh)</t>
  </si>
  <si>
    <t>Schedules EV-TOU/EV-TOU-2/EV-TOU-3</t>
  </si>
  <si>
    <t>Total for Schedule AD</t>
  </si>
  <si>
    <t>Total for Schedules EV-TOU/EV-TOU-2/EV-TOU-3</t>
  </si>
  <si>
    <t>Rate</t>
  </si>
  <si>
    <t>(cents/kWh)</t>
  </si>
  <si>
    <t>tier 3</t>
  </si>
  <si>
    <t>s</t>
  </si>
  <si>
    <t>w</t>
  </si>
  <si>
    <t>tier 4</t>
  </si>
  <si>
    <t>Estimated Capped Sales</t>
  </si>
  <si>
    <t>Revenues</t>
  </si>
  <si>
    <t>(GWh)</t>
  </si>
  <si>
    <t>($/kWh)</t>
  </si>
  <si>
    <t>($ MM)</t>
  </si>
  <si>
    <t>Total Usage</t>
  </si>
  <si>
    <t>ALLOCATED REVENUE REQUIREMENT</t>
  </si>
  <si>
    <t>REVENUE DIFFERENCE</t>
  </si>
  <si>
    <t>ENERGY CHARGE ADJUSTMENT FACTOR</t>
  </si>
  <si>
    <t>USE "GOAL SEEK" TO ELIMINATE DIFFERENCE</t>
  </si>
  <si>
    <t>Super Off-Peak-Summer</t>
  </si>
  <si>
    <t>(Cents/kWh)</t>
  </si>
  <si>
    <t>- Tier 1 Commodity Price Increase (cents/kWh)</t>
  </si>
  <si>
    <t>- Tier 2 Commodity Price Increase (cents/kWh)</t>
  </si>
  <si>
    <t>- Tier 3 Commodity Price Increase (cents/kWh)</t>
  </si>
  <si>
    <t>- Tier 4 Commodity Price Increase (cents/kWh)</t>
  </si>
  <si>
    <t>-  Super Off-Peak Commodity Price Increase</t>
  </si>
  <si>
    <t>Capped Sales</t>
  </si>
  <si>
    <t xml:space="preserve">     On-Peak</t>
  </si>
  <si>
    <t xml:space="preserve">     Semi-Peak</t>
  </si>
  <si>
    <t xml:space="preserve">     Off-Peak</t>
  </si>
  <si>
    <t>-  Semi-Peak to Off-Peak Commodity Differential</t>
  </si>
  <si>
    <t>Schedules AL-TOU/AO-TOU/NJ (Conti.)</t>
  </si>
  <si>
    <t>Fixed Charges - Basic Service Fees</t>
  </si>
  <si>
    <t>T&amp;D TOU Charges</t>
  </si>
  <si>
    <t>Commodity  Charges</t>
  </si>
  <si>
    <t>Baseline to 130% of BL  CARE</t>
  </si>
  <si>
    <t>130% - 200% of BL CARE</t>
  </si>
  <si>
    <t>Minimum Bill  CARE</t>
  </si>
  <si>
    <t>T&amp;D Charges</t>
  </si>
  <si>
    <t xml:space="preserve">       rates that are equal to the Non-TOU residential annual rates.</t>
  </si>
  <si>
    <t>Notes:</t>
  </si>
  <si>
    <t>- Off-Peak to Super Off-Peak Price Differential</t>
  </si>
  <si>
    <t>(Sheet 1 of 3)</t>
  </si>
  <si>
    <t>(Sheet 2 of 3)</t>
  </si>
  <si>
    <t>(Sheet 3 of 3)</t>
  </si>
  <si>
    <t>CARE Break</t>
  </si>
  <si>
    <t>Total</t>
  </si>
  <si>
    <t>Additional Increase to Cover CARE</t>
  </si>
  <si>
    <t>Rate w/ CARE Adder</t>
  </si>
  <si>
    <t xml:space="preserve">       to a line item discount on the bill.  The CARE rates need to be multiplied by 85% to get the resulting rate after applying the CARE line item discount. </t>
  </si>
  <si>
    <t>Residential Non-TOU Inputs</t>
  </si>
  <si>
    <t>DR-TOU/DR-TOU-2  Inputs</t>
  </si>
  <si>
    <t>Commodity Usage Breakdown</t>
  </si>
  <si>
    <t>RESIDENTIAL CLASS</t>
  </si>
  <si>
    <t>(1) - The total rate columns and total revenue columns include T&amp;D and commodity charges.</t>
  </si>
  <si>
    <t>(2) - The total rate columns do not reflect Minimum Bill Revenues</t>
  </si>
  <si>
    <t>(2) - The total rate columns do not reflect Fixed Charges.</t>
  </si>
  <si>
    <t>AB265 Rate Increase w/ CARE Adder</t>
  </si>
  <si>
    <t>Schedule A-TOU</t>
  </si>
  <si>
    <t xml:space="preserve">  On-Peak Energy: Winter</t>
  </si>
  <si>
    <t xml:space="preserve"> Semi-Peak</t>
  </si>
  <si>
    <t>Total A-TOU</t>
  </si>
  <si>
    <t xml:space="preserve">(3) - 2001 Annual Sales Forecast reflects the exclusion of Direct Access (DA) sales equal to 1.6% of total residential sales, which is based on the  </t>
  </si>
  <si>
    <t xml:space="preserve">       projected 12-month DA load found in the April 2001 SDG&amp;E Direct Access Update Report.</t>
  </si>
  <si>
    <t>(4) - The CARE total rates and total revenues do not reflect the authorized 15% CARE discount since D.00-12-058 changed the discount from a rate discount</t>
  </si>
  <si>
    <t>(5) - For simplicity purposes, Non-TOU rates reflect Schedule D-SMF, which is serving only one customer.  Schedule D-SMF has non-seasonal</t>
  </si>
  <si>
    <t xml:space="preserve">(3) - 2001 Annual Sales Forecast reflects the exclusion of Direct Access (DA) sales equal to 1.4% of total small commercial sales, which is based on the  </t>
  </si>
  <si>
    <t>Small Commercial Rates</t>
  </si>
  <si>
    <t>Medium/Large Commercial Rates (AB265 CUSTOMERS)</t>
  </si>
  <si>
    <t>MEDIUM/LARGE COMMERCIAL (AB265) INPUTS</t>
  </si>
  <si>
    <t>Average Medium/Large Commercial (AB265) Rate Increase (cents/kWh)</t>
  </si>
  <si>
    <t>Additional Medium/Large Commercial (AB265) Revenues that Result ($ MM)</t>
  </si>
  <si>
    <t>Medium/Large Commercial (AB265) TOU Commodity Price Increases</t>
  </si>
  <si>
    <t>Medium/Large Commercial (AB265) TOU Commodity Price Differentials</t>
  </si>
  <si>
    <t>MEDIUM/LARGE COMMERCIAL (AB 265) TOTAL</t>
  </si>
  <si>
    <t>Revenue Increase</t>
  </si>
  <si>
    <t>SMALL COMMERCIAL INPUTS</t>
  </si>
  <si>
    <t>Average Small Commercial Rate Increase (cents/kWh)</t>
  </si>
  <si>
    <t>Additional Small Commercial Revenues ($ MM)</t>
  </si>
  <si>
    <t>SMALL COMMERCIAL TOTAL</t>
  </si>
  <si>
    <t xml:space="preserve">       based on the projected 12-month DA load found in the April 2001 SDG&amp;E Direct Access Update Report.</t>
  </si>
  <si>
    <t>(3) - 2001 Annual Sales Forecast reflects the exclusion of Direct Access (DA) sales equal to 15.2% of total medium/large commercial sales, which is</t>
  </si>
  <si>
    <t>200% - 300% of BL</t>
  </si>
  <si>
    <t>Over 300% of BL</t>
  </si>
  <si>
    <t>tier 5</t>
  </si>
  <si>
    <t>NON-CARE</t>
  </si>
  <si>
    <t>NON-CARE SUB-TOTAL</t>
  </si>
  <si>
    <t>CARE SUB-TOTAL</t>
  </si>
  <si>
    <t>- Tier 1 Commodity Price (cents/kWh)</t>
  </si>
  <si>
    <t>- Tier 2 Commodity Price (cents/kWh)</t>
  </si>
  <si>
    <t>- Tier 3 Commodity Price (cents/kWh)</t>
  </si>
  <si>
    <t>- Tier 4 Commodity Price (cents/kWh)</t>
  </si>
  <si>
    <t>- Tier 5 Commodity Price (cents/kWh)</t>
  </si>
  <si>
    <t>- Tier 5 Usage</t>
  </si>
  <si>
    <t>- Tier 5 Commodity Price Increase (cents/kWh)</t>
  </si>
  <si>
    <t>Commodity Charges</t>
  </si>
  <si>
    <t>Customer Rate Increase</t>
  </si>
  <si>
    <t>SMALL CUSTOMER TOTAL</t>
  </si>
  <si>
    <t>Average Small</t>
  </si>
  <si>
    <t>Revenue Increase    ($ MM)</t>
  </si>
  <si>
    <t>2.77 cent increase</t>
  </si>
  <si>
    <t>Seasonal Split-70% Summer and 30% Winter</t>
  </si>
  <si>
    <t>Total Usage (GWh)</t>
  </si>
  <si>
    <t xml:space="preserve">   - Summer Usage (GWh)</t>
  </si>
  <si>
    <t xml:space="preserve">   - Winter Usage (GWh)</t>
  </si>
  <si>
    <t>Rate Increase</t>
  </si>
  <si>
    <t>Small Commercial Inputs</t>
  </si>
  <si>
    <t>Summer</t>
  </si>
  <si>
    <t>Winter</t>
  </si>
  <si>
    <t>Revenue Increase %</t>
  </si>
  <si>
    <t xml:space="preserve">(6) - Medical Baseline Customers are exempt from the commodity rate increases. </t>
  </si>
  <si>
    <t xml:space="preserve">Seasonal Split of Revenue Increase - Schedule A  </t>
  </si>
  <si>
    <t>3/01/01   Total Rate (cents/kWh)</t>
  </si>
  <si>
    <t>3/01/01    Total Rate (cents/kWh)</t>
  </si>
  <si>
    <t>3/01/01      Total Rate (cents/kWh)</t>
  </si>
  <si>
    <t>Additional Residential Revenues ($ MM)</t>
  </si>
  <si>
    <t>-  On-Peak Commodity Price (cents/kWh)</t>
  </si>
  <si>
    <t>-  Semi-Peak Commodity Price (cents/kWh)</t>
  </si>
  <si>
    <t>-  Off-Peak Commodity Price (cent/kWh)</t>
  </si>
  <si>
    <t>Street Lighting Rates</t>
  </si>
  <si>
    <t>STREET LIGHTING INPUTS</t>
  </si>
  <si>
    <t>Average Rate Increase for Street Lighting Customers (cents/kWh)</t>
  </si>
  <si>
    <t>Additional Street Lighting Revenues that Result ($ MM)</t>
  </si>
  <si>
    <t>Schedule LS-1</t>
  </si>
  <si>
    <t>Schedule LS-2</t>
  </si>
  <si>
    <t>Total for Schedule LS-2</t>
  </si>
  <si>
    <t>Schedule LS-3</t>
  </si>
  <si>
    <t>Total for Schedule LS-3</t>
  </si>
  <si>
    <t>Schedule OL-1</t>
  </si>
  <si>
    <t>Total for Schedule OL-1</t>
  </si>
  <si>
    <t>Schedule DWL</t>
  </si>
  <si>
    <t>Total for Schedule DWL</t>
  </si>
  <si>
    <t>STREET LIGHTING TOTAL</t>
  </si>
  <si>
    <t>Revenue Increase     ($ MM)</t>
  </si>
  <si>
    <t>Total Small &amp; Large Exempt Customer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</si>
</sst>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$&quot;#,##0.0"/>
    <numFmt numFmtId="166" formatCode="&quot;$&quot;#,##0.0_);[Red]\(&quot;$&quot;#,##0.0\)"/>
    <numFmt numFmtId="167" formatCode="#,##0.0"/>
    <numFmt numFmtId="170" formatCode="_(* #,##0_);_(* \(#,##0\);_(* &quot;-&quot;??_);_(@_)"/>
    <numFmt numFmtId="174" formatCode="_(&quot;$&quot;* #,##0_);_(&quot;$&quot;* \(#,##0\);_(&quot;$&quot;* &quot;-&quot;??_);_(@_)"/>
    <numFmt numFmtId="175" formatCode="General_)"/>
    <numFmt numFmtId="176" formatCode="#,##0.0_);[Red]\(#,##0.0\)"/>
    <numFmt numFmtId="177" formatCode="&quot;$&quot;#,##0.000_);[Red]\(&quot;$&quot;#,##0.000\)"/>
    <numFmt numFmtId="179" formatCode="_(* #,##0.0_);_(* \(#,##0.0\);_(* &quot;-&quot;??_);_(@_)"/>
    <numFmt numFmtId="181" formatCode="0.0000"/>
    <numFmt numFmtId="183" formatCode="0.000000"/>
    <numFmt numFmtId="184" formatCode="0.00000"/>
    <numFmt numFmtId="186" formatCode="&quot;$&quot;#,##0.00"/>
    <numFmt numFmtId="194" formatCode="&quot;$&quot;#,##0.0000_);[Red]\(&quot;$&quot;#,##0.0000\)"/>
    <numFmt numFmtId="196" formatCode="_(* #,##0.000_);_(* \(#,##0.000\);_(* &quot;-&quot;??_);_(@_)"/>
    <numFmt numFmtId="201" formatCode="_(* #,##0.00000_);_(* \(#,##0.00000\);_(* &quot;-&quot;??_);_(@_)"/>
  </numFmts>
  <fonts count="17" x14ac:knownFonts="1">
    <font>
      <sz val="10"/>
      <name val="Arial"/>
    </font>
    <font>
      <sz val="10"/>
      <name val="Arial"/>
    </font>
    <font>
      <sz val="9"/>
      <name val="Helv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0"/>
      <name val="Times New Roman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8"/>
      <name val="Arial"/>
    </font>
    <font>
      <sz val="8"/>
      <color indexed="8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0" fontId="3" fillId="0" borderId="0" xfId="3" applyFont="1" applyBorder="1"/>
    <xf numFmtId="0" fontId="3" fillId="0" borderId="1" xfId="4" applyFont="1" applyBorder="1" applyAlignment="1">
      <alignment horizontal="left" wrapText="1"/>
    </xf>
    <xf numFmtId="0" fontId="3" fillId="0" borderId="1" xfId="4" applyFont="1" applyBorder="1" applyAlignment="1">
      <alignment horizontal="center" wrapText="1"/>
    </xf>
    <xf numFmtId="0" fontId="4" fillId="0" borderId="0" xfId="4" applyFont="1"/>
    <xf numFmtId="0" fontId="3" fillId="0" borderId="2" xfId="5" applyFont="1" applyFill="1" applyBorder="1" applyAlignment="1">
      <alignment horizontal="left"/>
    </xf>
    <xf numFmtId="0" fontId="4" fillId="0" borderId="0" xfId="0" applyFont="1"/>
    <xf numFmtId="0" fontId="3" fillId="0" borderId="0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left"/>
    </xf>
    <xf numFmtId="0" fontId="3" fillId="0" borderId="4" xfId="4" applyFont="1" applyBorder="1" applyAlignment="1">
      <alignment horizontal="center" wrapText="1"/>
    </xf>
    <xf numFmtId="0" fontId="5" fillId="0" borderId="0" xfId="4" applyFont="1" applyBorder="1"/>
    <xf numFmtId="0" fontId="5" fillId="0" borderId="5" xfId="4" applyFont="1" applyBorder="1"/>
    <xf numFmtId="0" fontId="3" fillId="0" borderId="0" xfId="4" applyFont="1" applyBorder="1" applyAlignment="1">
      <alignment horizontal="right"/>
    </xf>
    <xf numFmtId="3" fontId="4" fillId="0" borderId="0" xfId="4" applyNumberFormat="1" applyFont="1"/>
    <xf numFmtId="164" fontId="4" fillId="0" borderId="0" xfId="4" applyNumberFormat="1" applyFont="1"/>
    <xf numFmtId="166" fontId="4" fillId="0" borderId="0" xfId="2" applyNumberFormat="1" applyFont="1" applyBorder="1"/>
    <xf numFmtId="166" fontId="4" fillId="0" borderId="0" xfId="4" applyNumberFormat="1" applyFont="1" applyBorder="1" applyAlignment="1">
      <alignment horizontal="right"/>
    </xf>
    <xf numFmtId="0" fontId="3" fillId="0" borderId="0" xfId="4" applyFont="1" applyFill="1" applyBorder="1" applyAlignment="1">
      <alignment horizontal="right"/>
    </xf>
    <xf numFmtId="9" fontId="4" fillId="0" borderId="0" xfId="4" applyNumberFormat="1" applyFont="1" applyFill="1" applyBorder="1" applyAlignment="1">
      <alignment horizontal="right"/>
    </xf>
    <xf numFmtId="9" fontId="4" fillId="0" borderId="0" xfId="4" applyNumberFormat="1" applyFont="1" applyBorder="1" applyAlignment="1">
      <alignment horizontal="right"/>
    </xf>
    <xf numFmtId="38" fontId="3" fillId="0" borderId="0" xfId="4" applyNumberFormat="1" applyFont="1" applyBorder="1" applyAlignment="1">
      <alignment horizontal="right"/>
    </xf>
    <xf numFmtId="164" fontId="3" fillId="0" borderId="0" xfId="4" applyNumberFormat="1" applyFont="1" applyBorder="1" applyAlignment="1">
      <alignment horizontal="right"/>
    </xf>
    <xf numFmtId="166" fontId="3" fillId="0" borderId="0" xfId="4" applyNumberFormat="1" applyFont="1" applyBorder="1" applyAlignment="1">
      <alignment horizontal="right"/>
    </xf>
    <xf numFmtId="9" fontId="3" fillId="0" borderId="0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right"/>
    </xf>
    <xf numFmtId="0" fontId="3" fillId="0" borderId="0" xfId="4" applyFont="1" applyBorder="1" applyAlignment="1">
      <alignment horizontal="left"/>
    </xf>
    <xf numFmtId="164" fontId="3" fillId="0" borderId="0" xfId="4" applyNumberFormat="1" applyFont="1" applyBorder="1" applyAlignment="1">
      <alignment horizontal="left"/>
    </xf>
    <xf numFmtId="167" fontId="4" fillId="0" borderId="0" xfId="4" applyNumberFormat="1" applyFont="1"/>
    <xf numFmtId="0" fontId="3" fillId="0" borderId="0" xfId="0" applyFont="1" applyBorder="1" applyAlignment="1">
      <alignment horizontal="right"/>
    </xf>
    <xf numFmtId="0" fontId="3" fillId="0" borderId="0" xfId="0" quotePrefix="1" applyFont="1" applyBorder="1" applyAlignment="1">
      <alignment horizontal="right"/>
    </xf>
    <xf numFmtId="0" fontId="4" fillId="0" borderId="5" xfId="0" applyFont="1" applyBorder="1"/>
    <xf numFmtId="0" fontId="4" fillId="0" borderId="0" xfId="0" applyFont="1" applyBorder="1"/>
    <xf numFmtId="165" fontId="3" fillId="0" borderId="6" xfId="4" applyNumberFormat="1" applyFont="1" applyBorder="1"/>
    <xf numFmtId="0" fontId="4" fillId="0" borderId="7" xfId="0" applyFont="1" applyBorder="1"/>
    <xf numFmtId="0" fontId="7" fillId="0" borderId="0" xfId="0" applyFont="1"/>
    <xf numFmtId="164" fontId="8" fillId="0" borderId="0" xfId="4" applyNumberFormat="1" applyFont="1"/>
    <xf numFmtId="164" fontId="8" fillId="0" borderId="0" xfId="4" applyNumberFormat="1" applyFont="1" applyBorder="1"/>
    <xf numFmtId="0" fontId="9" fillId="0" borderId="0" xfId="4" applyFont="1"/>
    <xf numFmtId="8" fontId="3" fillId="0" borderId="0" xfId="5" applyNumberFormat="1" applyFont="1" applyFill="1" applyBorder="1" applyAlignment="1">
      <alignment horizontal="left"/>
    </xf>
    <xf numFmtId="166" fontId="3" fillId="0" borderId="0" xfId="1" applyNumberFormat="1" applyFont="1" applyFill="1" applyBorder="1" applyAlignment="1">
      <alignment horizontal="left"/>
    </xf>
    <xf numFmtId="0" fontId="3" fillId="0" borderId="3" xfId="5" quotePrefix="1" applyFont="1" applyFill="1" applyBorder="1" applyAlignment="1">
      <alignment horizontal="left"/>
    </xf>
    <xf numFmtId="0" fontId="5" fillId="0" borderId="3" xfId="5" applyFont="1" applyFill="1" applyBorder="1" applyAlignment="1">
      <alignment horizontal="left"/>
    </xf>
    <xf numFmtId="0" fontId="3" fillId="0" borderId="3" xfId="5" applyFont="1" applyFill="1" applyBorder="1" applyAlignment="1">
      <alignment horizontal="left" indent="1"/>
    </xf>
    <xf numFmtId="0" fontId="3" fillId="0" borderId="3" xfId="5" quotePrefix="1" applyFont="1" applyFill="1" applyBorder="1" applyAlignment="1">
      <alignment horizontal="left" indent="1"/>
    </xf>
    <xf numFmtId="0" fontId="5" fillId="0" borderId="0" xfId="4" applyFont="1" applyBorder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applyFont="1" applyBorder="1"/>
    <xf numFmtId="0" fontId="3" fillId="0" borderId="0" xfId="5" applyFont="1" applyFill="1" applyBorder="1" applyAlignment="1">
      <alignment horizontal="left" indent="1"/>
    </xf>
    <xf numFmtId="165" fontId="3" fillId="0" borderId="0" xfId="4" applyNumberFormat="1" applyFont="1" applyBorder="1"/>
    <xf numFmtId="0" fontId="5" fillId="0" borderId="0" xfId="0" applyFont="1" applyBorder="1" applyAlignment="1">
      <alignment horizontal="center"/>
    </xf>
    <xf numFmtId="165" fontId="5" fillId="0" borderId="6" xfId="4" applyNumberFormat="1" applyFont="1" applyBorder="1" applyAlignment="1">
      <alignment horizontal="center"/>
    </xf>
    <xf numFmtId="0" fontId="3" fillId="0" borderId="8" xfId="5" applyFont="1" applyFill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5" fillId="0" borderId="0" xfId="4" applyFont="1" applyBorder="1" applyAlignment="1">
      <alignment horizontal="center"/>
    </xf>
    <xf numFmtId="0" fontId="4" fillId="0" borderId="0" xfId="4" applyFont="1" applyBorder="1" applyAlignment="1">
      <alignment horizontal="right"/>
    </xf>
    <xf numFmtId="0" fontId="11" fillId="0" borderId="0" xfId="0" applyFont="1" applyBorder="1"/>
    <xf numFmtId="9" fontId="10" fillId="0" borderId="6" xfId="6" applyFont="1" applyBorder="1"/>
    <xf numFmtId="0" fontId="3" fillId="0" borderId="5" xfId="3" applyFont="1" applyBorder="1"/>
    <xf numFmtId="0" fontId="3" fillId="0" borderId="9" xfId="3" applyFont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6" xfId="0" applyFont="1" applyBorder="1"/>
    <xf numFmtId="8" fontId="3" fillId="0" borderId="0" xfId="3" applyNumberFormat="1" applyFont="1" applyBorder="1"/>
    <xf numFmtId="0" fontId="5" fillId="0" borderId="2" xfId="3" applyFont="1" applyBorder="1"/>
    <xf numFmtId="164" fontId="3" fillId="0" borderId="6" xfId="0" applyNumberFormat="1" applyFont="1" applyBorder="1"/>
    <xf numFmtId="170" fontId="3" fillId="0" borderId="7" xfId="1" applyNumberFormat="1" applyFont="1" applyBorder="1"/>
    <xf numFmtId="0" fontId="3" fillId="0" borderId="7" xfId="4" applyFont="1" applyBorder="1" applyAlignment="1">
      <alignment horizontal="right"/>
    </xf>
    <xf numFmtId="0" fontId="3" fillId="0" borderId="7" xfId="4" applyFont="1" applyBorder="1" applyAlignment="1">
      <alignment horizontal="left"/>
    </xf>
    <xf numFmtId="0" fontId="3" fillId="0" borderId="0" xfId="4" applyFont="1" applyBorder="1" applyAlignment="1">
      <alignment horizontal="left" wrapText="1"/>
    </xf>
    <xf numFmtId="0" fontId="3" fillId="0" borderId="5" xfId="4" applyFont="1" applyBorder="1" applyAlignment="1">
      <alignment horizontal="center" wrapText="1"/>
    </xf>
    <xf numFmtId="0" fontId="3" fillId="0" borderId="0" xfId="4" applyFont="1" applyBorder="1" applyAlignment="1">
      <alignment horizontal="center" wrapText="1"/>
    </xf>
    <xf numFmtId="0" fontId="3" fillId="0" borderId="8" xfId="5" quotePrefix="1" applyFont="1" applyFill="1" applyBorder="1" applyAlignment="1">
      <alignment horizontal="left"/>
    </xf>
    <xf numFmtId="0" fontId="11" fillId="0" borderId="7" xfId="0" applyFont="1" applyBorder="1"/>
    <xf numFmtId="0" fontId="3" fillId="0" borderId="0" xfId="4" applyFont="1" applyBorder="1" applyAlignment="1">
      <alignment horizontal="center"/>
    </xf>
    <xf numFmtId="0" fontId="4" fillId="0" borderId="0" xfId="4" applyFont="1" applyFill="1" applyBorder="1" applyAlignment="1">
      <alignment horizontal="right"/>
    </xf>
    <xf numFmtId="0" fontId="3" fillId="0" borderId="0" xfId="4" applyFont="1" applyFill="1" applyBorder="1" applyAlignment="1">
      <alignment horizontal="center"/>
    </xf>
    <xf numFmtId="0" fontId="3" fillId="0" borderId="8" xfId="5" quotePrefix="1" applyFont="1" applyFill="1" applyBorder="1" applyAlignment="1">
      <alignment horizontal="left" indent="1"/>
    </xf>
    <xf numFmtId="167" fontId="3" fillId="0" borderId="0" xfId="4" applyNumberFormat="1" applyFont="1" applyBorder="1" applyAlignment="1">
      <alignment horizontal="left"/>
    </xf>
    <xf numFmtId="179" fontId="4" fillId="0" borderId="0" xfId="1" applyNumberFormat="1" applyFont="1" applyBorder="1" applyAlignment="1">
      <alignment horizontal="right"/>
    </xf>
    <xf numFmtId="179" fontId="4" fillId="0" borderId="0" xfId="1" applyNumberFormat="1" applyFont="1"/>
    <xf numFmtId="179" fontId="4" fillId="0" borderId="0" xfId="1" applyNumberFormat="1" applyFont="1" applyBorder="1"/>
    <xf numFmtId="179" fontId="3" fillId="0" borderId="0" xfId="1" applyNumberFormat="1" applyFont="1" applyBorder="1" applyAlignment="1">
      <alignment horizontal="left"/>
    </xf>
    <xf numFmtId="179" fontId="4" fillId="0" borderId="0" xfId="1" applyNumberFormat="1" applyFont="1" applyAlignment="1">
      <alignment horizontal="right"/>
    </xf>
    <xf numFmtId="1" fontId="3" fillId="0" borderId="0" xfId="4" applyNumberFormat="1" applyFont="1" applyBorder="1" applyAlignment="1">
      <alignment horizontal="right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 applyProtection="1">
      <alignment horizontal="right"/>
    </xf>
    <xf numFmtId="38" fontId="4" fillId="0" borderId="0" xfId="4" applyNumberFormat="1" applyFont="1" applyBorder="1"/>
    <xf numFmtId="164" fontId="4" fillId="0" borderId="0" xfId="4" applyNumberFormat="1" applyFont="1" applyBorder="1"/>
    <xf numFmtId="0" fontId="4" fillId="0" borderId="0" xfId="0" applyFont="1" applyAlignment="1" applyProtection="1">
      <alignment horizontal="right"/>
    </xf>
    <xf numFmtId="9" fontId="3" fillId="0" borderId="6" xfId="6" applyFont="1" applyBorder="1"/>
    <xf numFmtId="9" fontId="3" fillId="0" borderId="10" xfId="6" applyFont="1" applyBorder="1"/>
    <xf numFmtId="9" fontId="3" fillId="0" borderId="0" xfId="6" applyFont="1" applyBorder="1"/>
    <xf numFmtId="9" fontId="3" fillId="0" borderId="7" xfId="6" applyFont="1" applyBorder="1"/>
    <xf numFmtId="38" fontId="4" fillId="0" borderId="0" xfId="0" applyNumberFormat="1" applyFont="1"/>
    <xf numFmtId="176" fontId="4" fillId="0" borderId="0" xfId="4" applyNumberFormat="1" applyFont="1" applyBorder="1"/>
    <xf numFmtId="0" fontId="5" fillId="0" borderId="0" xfId="4" quotePrefix="1" applyFont="1" applyBorder="1"/>
    <xf numFmtId="0" fontId="3" fillId="0" borderId="0" xfId="4" quotePrefix="1" applyFont="1" applyBorder="1" applyAlignment="1">
      <alignment horizontal="right"/>
    </xf>
    <xf numFmtId="43" fontId="4" fillId="0" borderId="0" xfId="1" applyNumberFormat="1" applyFont="1"/>
    <xf numFmtId="9" fontId="3" fillId="0" borderId="11" xfId="4" applyNumberFormat="1" applyFont="1" applyBorder="1" applyAlignment="1">
      <alignment horizontal="right"/>
    </xf>
    <xf numFmtId="2" fontId="3" fillId="0" borderId="0" xfId="4" applyNumberFormat="1" applyFont="1" applyBorder="1" applyAlignment="1">
      <alignment horizontal="right"/>
    </xf>
    <xf numFmtId="167" fontId="4" fillId="0" borderId="0" xfId="0" applyNumberFormat="1" applyFont="1"/>
    <xf numFmtId="176" fontId="3" fillId="0" borderId="0" xfId="4" applyNumberFormat="1" applyFont="1" applyBorder="1"/>
    <xf numFmtId="164" fontId="3" fillId="0" borderId="0" xfId="4" applyNumberFormat="1" applyFont="1" applyBorder="1"/>
    <xf numFmtId="43" fontId="4" fillId="0" borderId="0" xfId="0" applyNumberFormat="1" applyFont="1" applyBorder="1"/>
    <xf numFmtId="43" fontId="3" fillId="0" borderId="0" xfId="1" applyFont="1" applyBorder="1" applyAlignment="1">
      <alignment horizontal="right"/>
    </xf>
    <xf numFmtId="43" fontId="4" fillId="0" borderId="0" xfId="0" applyNumberFormat="1" applyFont="1"/>
    <xf numFmtId="8" fontId="4" fillId="0" borderId="0" xfId="0" applyNumberFormat="1" applyFont="1"/>
    <xf numFmtId="165" fontId="3" fillId="0" borderId="9" xfId="4" applyNumberFormat="1" applyFont="1" applyBorder="1"/>
    <xf numFmtId="170" fontId="3" fillId="0" borderId="12" xfId="1" applyNumberFormat="1" applyFont="1" applyBorder="1"/>
    <xf numFmtId="179" fontId="3" fillId="0" borderId="12" xfId="1" applyNumberFormat="1" applyFont="1" applyBorder="1"/>
    <xf numFmtId="9" fontId="3" fillId="0" borderId="12" xfId="4" applyNumberFormat="1" applyFont="1" applyBorder="1" applyAlignment="1">
      <alignment horizontal="right"/>
    </xf>
    <xf numFmtId="0" fontId="3" fillId="0" borderId="11" xfId="4" applyFont="1" applyFill="1" applyBorder="1" applyAlignment="1">
      <alignment horizontal="left"/>
    </xf>
    <xf numFmtId="9" fontId="4" fillId="0" borderId="0" xfId="4" quotePrefix="1" applyNumberFormat="1" applyFont="1" applyFill="1" applyBorder="1" applyAlignment="1">
      <alignment horizontal="right"/>
    </xf>
    <xf numFmtId="44" fontId="4" fillId="0" borderId="0" xfId="2" applyFont="1" applyBorder="1"/>
    <xf numFmtId="44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9" fontId="4" fillId="0" borderId="0" xfId="6" applyFont="1"/>
    <xf numFmtId="9" fontId="3" fillId="0" borderId="0" xfId="6" applyFont="1"/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 applyProtection="1">
      <alignment horizontal="right"/>
    </xf>
    <xf numFmtId="1" fontId="4" fillId="0" borderId="0" xfId="0" applyNumberFormat="1" applyFont="1"/>
    <xf numFmtId="44" fontId="4" fillId="0" borderId="0" xfId="2" applyFont="1"/>
    <xf numFmtId="1" fontId="4" fillId="0" borderId="0" xfId="0" applyNumberFormat="1" applyFont="1" applyBorder="1"/>
    <xf numFmtId="44" fontId="4" fillId="0" borderId="13" xfId="2" applyFont="1" applyBorder="1"/>
    <xf numFmtId="1" fontId="4" fillId="0" borderId="0" xfId="4" applyNumberFormat="1" applyFont="1" applyFill="1" applyBorder="1" applyAlignment="1">
      <alignment horizontal="right"/>
    </xf>
    <xf numFmtId="196" fontId="4" fillId="0" borderId="0" xfId="0" applyNumberFormat="1" applyFont="1"/>
    <xf numFmtId="0" fontId="14" fillId="0" borderId="14" xfId="0" applyFont="1" applyBorder="1" applyAlignment="1">
      <alignment horizontal="right"/>
    </xf>
    <xf numFmtId="0" fontId="4" fillId="0" borderId="15" xfId="0" applyFont="1" applyBorder="1"/>
    <xf numFmtId="44" fontId="4" fillId="0" borderId="16" xfId="0" applyNumberFormat="1" applyFont="1" applyBorder="1"/>
    <xf numFmtId="0" fontId="14" fillId="0" borderId="17" xfId="0" applyFont="1" applyBorder="1" applyAlignment="1">
      <alignment horizontal="right"/>
    </xf>
    <xf numFmtId="174" fontId="4" fillId="0" borderId="18" xfId="0" applyNumberFormat="1" applyFont="1" applyBorder="1"/>
    <xf numFmtId="0" fontId="15" fillId="0" borderId="19" xfId="0" applyFont="1" applyBorder="1" applyAlignment="1">
      <alignment horizontal="right"/>
    </xf>
    <xf numFmtId="0" fontId="4" fillId="0" borderId="13" xfId="0" applyFont="1" applyBorder="1"/>
    <xf numFmtId="0" fontId="4" fillId="0" borderId="20" xfId="0" applyFont="1" applyBorder="1"/>
    <xf numFmtId="43" fontId="4" fillId="0" borderId="0" xfId="1" applyFont="1" applyFill="1" applyBorder="1" applyAlignment="1">
      <alignment horizontal="right"/>
    </xf>
    <xf numFmtId="43" fontId="4" fillId="0" borderId="0" xfId="1" applyFont="1" applyBorder="1" applyAlignment="1">
      <alignment horizontal="right"/>
    </xf>
    <xf numFmtId="0" fontId="3" fillId="0" borderId="11" xfId="4" applyFont="1" applyBorder="1" applyAlignment="1">
      <alignment horizontal="right"/>
    </xf>
    <xf numFmtId="176" fontId="3" fillId="0" borderId="11" xfId="4" applyNumberFormat="1" applyFont="1" applyBorder="1"/>
    <xf numFmtId="9" fontId="3" fillId="0" borderId="11" xfId="6" applyFont="1" applyBorder="1" applyAlignment="1">
      <alignment horizontal="right"/>
    </xf>
    <xf numFmtId="8" fontId="4" fillId="0" borderId="0" xfId="4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8" fontId="7" fillId="0" borderId="0" xfId="0" applyNumberFormat="1" applyFont="1" applyBorder="1"/>
    <xf numFmtId="9" fontId="3" fillId="0" borderId="7" xfId="6" applyFont="1" applyBorder="1" applyAlignment="1">
      <alignment horizontal="right"/>
    </xf>
    <xf numFmtId="38" fontId="4" fillId="0" borderId="7" xfId="4" applyNumberFormat="1" applyFont="1" applyBorder="1"/>
    <xf numFmtId="164" fontId="4" fillId="0" borderId="7" xfId="4" applyNumberFormat="1" applyFont="1" applyBorder="1"/>
    <xf numFmtId="8" fontId="3" fillId="0" borderId="0" xfId="4" applyNumberFormat="1" applyFont="1" applyBorder="1"/>
    <xf numFmtId="9" fontId="3" fillId="0" borderId="0" xfId="6" applyFont="1" applyBorder="1" applyAlignment="1">
      <alignment horizontal="right"/>
    </xf>
    <xf numFmtId="176" fontId="3" fillId="0" borderId="0" xfId="4" applyNumberFormat="1" applyFont="1" applyBorder="1" applyAlignment="1">
      <alignment horizontal="right"/>
    </xf>
    <xf numFmtId="179" fontId="3" fillId="0" borderId="11" xfId="1" applyNumberFormat="1" applyFont="1" applyBorder="1"/>
    <xf numFmtId="0" fontId="3" fillId="0" borderId="13" xfId="4" applyFont="1" applyBorder="1" applyAlignment="1">
      <alignment horizontal="right"/>
    </xf>
    <xf numFmtId="179" fontId="4" fillId="0" borderId="0" xfId="0" applyNumberFormat="1" applyFont="1"/>
    <xf numFmtId="43" fontId="4" fillId="0" borderId="13" xfId="0" applyNumberFormat="1" applyFont="1" applyBorder="1"/>
    <xf numFmtId="0" fontId="3" fillId="0" borderId="11" xfId="0" applyFont="1" applyBorder="1" applyAlignment="1">
      <alignment horizontal="right"/>
    </xf>
    <xf numFmtId="186" fontId="4" fillId="0" borderId="0" xfId="0" applyNumberFormat="1" applyFont="1"/>
    <xf numFmtId="186" fontId="7" fillId="0" borderId="0" xfId="0" applyNumberFormat="1" applyFont="1"/>
    <xf numFmtId="186" fontId="4" fillId="0" borderId="0" xfId="4" applyNumberFormat="1" applyFont="1" applyBorder="1" applyAlignment="1">
      <alignment horizontal="right"/>
    </xf>
    <xf numFmtId="179" fontId="3" fillId="0" borderId="11" xfId="1" applyNumberFormat="1" applyFont="1" applyBorder="1" applyAlignment="1">
      <alignment horizontal="right"/>
    </xf>
    <xf numFmtId="186" fontId="3" fillId="0" borderId="0" xfId="4" applyNumberFormat="1" applyFont="1" applyBorder="1" applyAlignment="1">
      <alignment horizontal="left"/>
    </xf>
    <xf numFmtId="39" fontId="3" fillId="0" borderId="0" xfId="1" applyNumberFormat="1" applyFont="1" applyBorder="1"/>
    <xf numFmtId="39" fontId="3" fillId="0" borderId="6" xfId="1" applyNumberFormat="1" applyFont="1" applyBorder="1"/>
    <xf numFmtId="179" fontId="4" fillId="0" borderId="0" xfId="1" applyNumberFormat="1" applyFont="1" applyFill="1" applyBorder="1"/>
    <xf numFmtId="179" fontId="4" fillId="0" borderId="0" xfId="1" applyNumberFormat="1" applyFont="1" applyFill="1" applyBorder="1" applyAlignment="1">
      <alignment horizontal="right"/>
    </xf>
    <xf numFmtId="179" fontId="5" fillId="0" borderId="0" xfId="1" applyNumberFormat="1" applyFont="1" applyBorder="1"/>
    <xf numFmtId="179" fontId="3" fillId="0" borderId="0" xfId="1" applyNumberFormat="1" applyFont="1" applyBorder="1" applyAlignment="1">
      <alignment horizontal="right"/>
    </xf>
    <xf numFmtId="179" fontId="3" fillId="0" borderId="7" xfId="1" applyNumberFormat="1" applyFont="1" applyBorder="1" applyAlignment="1">
      <alignment horizontal="left"/>
    </xf>
    <xf numFmtId="179" fontId="3" fillId="0" borderId="7" xfId="1" applyNumberFormat="1" applyFont="1" applyBorder="1"/>
    <xf numFmtId="179" fontId="3" fillId="0" borderId="7" xfId="1" applyNumberFormat="1" applyFont="1" applyBorder="1" applyAlignment="1">
      <alignment horizontal="right"/>
    </xf>
    <xf numFmtId="179" fontId="8" fillId="0" borderId="0" xfId="1" applyNumberFormat="1" applyFont="1" applyBorder="1"/>
    <xf numFmtId="179" fontId="3" fillId="0" borderId="11" xfId="1" applyNumberFormat="1" applyFont="1" applyBorder="1" applyAlignment="1">
      <alignment horizontal="left"/>
    </xf>
    <xf numFmtId="39" fontId="3" fillId="0" borderId="10" xfId="1" applyNumberFormat="1" applyFont="1" applyBorder="1"/>
    <xf numFmtId="196" fontId="4" fillId="0" borderId="0" xfId="1" applyNumberFormat="1" applyFont="1" applyFill="1" applyBorder="1" applyAlignment="1">
      <alignment horizontal="right"/>
    </xf>
    <xf numFmtId="179" fontId="3" fillId="0" borderId="0" xfId="1" applyNumberFormat="1" applyFont="1" applyBorder="1" applyAlignment="1">
      <alignment horizontal="center" wrapText="1"/>
    </xf>
    <xf numFmtId="186" fontId="4" fillId="0" borderId="0" xfId="2" applyNumberFormat="1" applyFont="1" applyBorder="1"/>
    <xf numFmtId="186" fontId="3" fillId="0" borderId="0" xfId="4" applyNumberFormat="1" applyFont="1" applyBorder="1" applyAlignment="1">
      <alignment horizontal="center" wrapText="1"/>
    </xf>
    <xf numFmtId="186" fontId="3" fillId="0" borderId="0" xfId="4" applyNumberFormat="1" applyFont="1" applyBorder="1" applyAlignment="1">
      <alignment horizontal="right"/>
    </xf>
    <xf numFmtId="167" fontId="4" fillId="0" borderId="0" xfId="4" applyNumberFormat="1" applyFont="1" applyFill="1" applyBorder="1"/>
    <xf numFmtId="167" fontId="4" fillId="0" borderId="0" xfId="4" applyNumberFormat="1" applyFont="1" applyBorder="1"/>
    <xf numFmtId="196" fontId="4" fillId="0" borderId="0" xfId="1" applyNumberFormat="1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2" fontId="3" fillId="0" borderId="0" xfId="0" applyNumberFormat="1" applyFont="1" applyAlignment="1">
      <alignment horizontal="center"/>
    </xf>
    <xf numFmtId="184" fontId="4" fillId="0" borderId="0" xfId="0" applyNumberFormat="1" applyFont="1"/>
    <xf numFmtId="184" fontId="4" fillId="0" borderId="13" xfId="0" applyNumberFormat="1" applyFont="1" applyBorder="1"/>
    <xf numFmtId="8" fontId="3" fillId="0" borderId="11" xfId="4" applyNumberFormat="1" applyFont="1" applyBorder="1"/>
    <xf numFmtId="8" fontId="4" fillId="0" borderId="0" xfId="2" applyNumberFormat="1" applyFont="1" applyBorder="1"/>
    <xf numFmtId="181" fontId="3" fillId="0" borderId="0" xfId="4" applyNumberFormat="1" applyFont="1" applyBorder="1"/>
    <xf numFmtId="179" fontId="3" fillId="0" borderId="0" xfId="1" applyNumberFormat="1" applyFont="1" applyBorder="1"/>
    <xf numFmtId="164" fontId="4" fillId="0" borderId="0" xfId="4" applyNumberFormat="1" applyFont="1" applyFill="1" applyBorder="1" applyAlignment="1">
      <alignment horizontal="right"/>
    </xf>
    <xf numFmtId="164" fontId="4" fillId="0" borderId="0" xfId="0" applyNumberFormat="1" applyFont="1"/>
    <xf numFmtId="164" fontId="4" fillId="0" borderId="13" xfId="0" applyNumberFormat="1" applyFont="1" applyBorder="1"/>
    <xf numFmtId="177" fontId="7" fillId="0" borderId="0" xfId="0" applyNumberFormat="1" applyFont="1" applyBorder="1"/>
    <xf numFmtId="194" fontId="7" fillId="0" borderId="0" xfId="0" applyNumberFormat="1" applyFont="1" applyBorder="1"/>
    <xf numFmtId="2" fontId="4" fillId="0" borderId="0" xfId="0" applyNumberFormat="1" applyFont="1"/>
    <xf numFmtId="201" fontId="4" fillId="0" borderId="0" xfId="0" applyNumberFormat="1" applyFont="1"/>
    <xf numFmtId="2" fontId="16" fillId="0" borderId="0" xfId="0" applyNumberFormat="1" applyFont="1"/>
    <xf numFmtId="201" fontId="4" fillId="0" borderId="0" xfId="1" applyNumberFormat="1" applyFont="1"/>
    <xf numFmtId="184" fontId="3" fillId="0" borderId="0" xfId="4" applyNumberFormat="1" applyFont="1" applyFill="1" applyBorder="1" applyAlignment="1">
      <alignment horizontal="right"/>
    </xf>
    <xf numFmtId="40" fontId="3" fillId="0" borderId="6" xfId="1" applyNumberFormat="1" applyFont="1" applyBorder="1" applyAlignment="1">
      <alignment horizontal="right"/>
    </xf>
    <xf numFmtId="40" fontId="3" fillId="0" borderId="10" xfId="1" applyNumberFormat="1" applyFont="1" applyBorder="1" applyAlignment="1">
      <alignment horizontal="right"/>
    </xf>
    <xf numFmtId="38" fontId="4" fillId="0" borderId="0" xfId="0" applyNumberFormat="1" applyFont="1" applyBorder="1"/>
    <xf numFmtId="183" fontId="4" fillId="0" borderId="0" xfId="0" applyNumberFormat="1" applyFont="1" applyBorder="1"/>
    <xf numFmtId="44" fontId="4" fillId="0" borderId="0" xfId="0" applyNumberFormat="1" applyFont="1" applyBorder="1"/>
    <xf numFmtId="196" fontId="4" fillId="0" borderId="0" xfId="0" applyNumberFormat="1" applyFont="1" applyBorder="1"/>
    <xf numFmtId="0" fontId="14" fillId="0" borderId="0" xfId="0" applyFont="1" applyBorder="1" applyAlignment="1">
      <alignment horizontal="right"/>
    </xf>
    <xf numFmtId="174" fontId="4" fillId="0" borderId="0" xfId="0" applyNumberFormat="1" applyFont="1" applyBorder="1"/>
    <xf numFmtId="0" fontId="5" fillId="0" borderId="2" xfId="5" applyFont="1" applyFill="1" applyBorder="1" applyAlignment="1">
      <alignment horizontal="left"/>
    </xf>
    <xf numFmtId="0" fontId="5" fillId="0" borderId="5" xfId="0" applyFont="1" applyBorder="1" applyAlignment="1">
      <alignment horizontal="center"/>
    </xf>
    <xf numFmtId="165" fontId="5" fillId="0" borderId="9" xfId="4" applyNumberFormat="1" applyFont="1" applyBorder="1" applyAlignment="1">
      <alignment horizontal="center"/>
    </xf>
    <xf numFmtId="0" fontId="5" fillId="0" borderId="2" xfId="3" applyFont="1" applyBorder="1" applyAlignment="1">
      <alignment horizontal="left"/>
    </xf>
    <xf numFmtId="186" fontId="3" fillId="0" borderId="10" xfId="4" applyNumberFormat="1" applyFont="1" applyBorder="1"/>
    <xf numFmtId="186" fontId="3" fillId="0" borderId="11" xfId="1" applyNumberFormat="1" applyFont="1" applyBorder="1" applyAlignment="1">
      <alignment horizontal="right"/>
    </xf>
    <xf numFmtId="8" fontId="4" fillId="0" borderId="0" xfId="1" applyNumberFormat="1" applyFont="1" applyBorder="1" applyAlignment="1">
      <alignment horizontal="right"/>
    </xf>
    <xf numFmtId="8" fontId="4" fillId="0" borderId="7" xfId="2" applyNumberFormat="1" applyFont="1" applyBorder="1"/>
    <xf numFmtId="8" fontId="4" fillId="0" borderId="7" xfId="4" applyNumberFormat="1" applyFont="1" applyBorder="1" applyAlignment="1">
      <alignment horizontal="right"/>
    </xf>
    <xf numFmtId="8" fontId="3" fillId="0" borderId="7" xfId="1" applyNumberFormat="1" applyFont="1" applyBorder="1"/>
    <xf numFmtId="8" fontId="3" fillId="0" borderId="11" xfId="4" applyNumberFormat="1" applyFont="1" applyBorder="1" applyAlignment="1">
      <alignment horizontal="right"/>
    </xf>
    <xf numFmtId="8" fontId="3" fillId="0" borderId="0" xfId="4" applyNumberFormat="1" applyFont="1" applyBorder="1" applyAlignment="1">
      <alignment horizontal="left"/>
    </xf>
    <xf numFmtId="8" fontId="3" fillId="0" borderId="7" xfId="4" applyNumberFormat="1" applyFont="1" applyBorder="1" applyAlignment="1">
      <alignment horizontal="left"/>
    </xf>
    <xf numFmtId="8" fontId="3" fillId="0" borderId="0" xfId="4" applyNumberFormat="1" applyFont="1" applyBorder="1" applyAlignment="1">
      <alignment horizontal="center" wrapText="1"/>
    </xf>
    <xf numFmtId="8" fontId="3" fillId="0" borderId="11" xfId="2" applyNumberFormat="1" applyFont="1" applyBorder="1"/>
    <xf numFmtId="186" fontId="4" fillId="0" borderId="7" xfId="0" applyNumberFormat="1" applyFont="1" applyBorder="1"/>
    <xf numFmtId="186" fontId="7" fillId="0" borderId="7" xfId="0" applyNumberFormat="1" applyFont="1" applyBorder="1"/>
    <xf numFmtId="9" fontId="3" fillId="0" borderId="12" xfId="6" applyFont="1" applyBorder="1" applyAlignment="1">
      <alignment horizontal="right"/>
    </xf>
    <xf numFmtId="8" fontId="3" fillId="0" borderId="0" xfId="2" applyNumberFormat="1" applyFont="1" applyBorder="1"/>
    <xf numFmtId="43" fontId="4" fillId="0" borderId="0" xfId="1" applyFont="1"/>
    <xf numFmtId="43" fontId="4" fillId="0" borderId="0" xfId="1" applyFont="1" applyBorder="1"/>
    <xf numFmtId="43" fontId="3" fillId="0" borderId="6" xfId="1" applyNumberFormat="1" applyFont="1" applyBorder="1"/>
    <xf numFmtId="43" fontId="4" fillId="0" borderId="0" xfId="1" applyNumberFormat="1" applyFont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4" applyNumberFormat="1" applyFont="1" applyAlignment="1">
      <alignment horizontal="center"/>
    </xf>
    <xf numFmtId="43" fontId="3" fillId="0" borderId="11" xfId="1" applyNumberFormat="1" applyFont="1" applyBorder="1" applyAlignment="1">
      <alignment horizontal="right"/>
    </xf>
    <xf numFmtId="43" fontId="8" fillId="0" borderId="0" xfId="1" applyNumberFormat="1" applyFont="1"/>
    <xf numFmtId="43" fontId="3" fillId="0" borderId="11" xfId="1" applyNumberFormat="1" applyFont="1" applyBorder="1"/>
    <xf numFmtId="43" fontId="4" fillId="0" borderId="0" xfId="1" applyNumberFormat="1" applyFont="1" applyBorder="1" applyAlignment="1">
      <alignment horizontal="right"/>
    </xf>
    <xf numFmtId="43" fontId="4" fillId="0" borderId="0" xfId="4" applyNumberFormat="1" applyFont="1" applyBorder="1"/>
    <xf numFmtId="43" fontId="4" fillId="0" borderId="0" xfId="1" applyNumberFormat="1" applyFont="1" applyBorder="1"/>
    <xf numFmtId="43" fontId="4" fillId="0" borderId="0" xfId="4" applyNumberFormat="1" applyFont="1"/>
    <xf numFmtId="4" fontId="3" fillId="0" borderId="6" xfId="1" applyNumberFormat="1" applyFont="1" applyBorder="1"/>
    <xf numFmtId="43" fontId="3" fillId="0" borderId="0" xfId="1" applyNumberFormat="1" applyFont="1" applyBorder="1" applyAlignment="1">
      <alignment horizontal="right"/>
    </xf>
    <xf numFmtId="43" fontId="4" fillId="0" borderId="0" xfId="6" applyNumberFormat="1" applyFont="1" applyBorder="1" applyAlignment="1">
      <alignment horizontal="right"/>
    </xf>
    <xf numFmtId="43" fontId="3" fillId="0" borderId="0" xfId="1" applyNumberFormat="1" applyFont="1" applyBorder="1" applyAlignment="1">
      <alignment horizontal="left"/>
    </xf>
    <xf numFmtId="43" fontId="3" fillId="0" borderId="0" xfId="4" applyNumberFormat="1" applyFont="1" applyBorder="1" applyAlignment="1">
      <alignment horizontal="left"/>
    </xf>
    <xf numFmtId="43" fontId="3" fillId="0" borderId="7" xfId="1" applyNumberFormat="1" applyFont="1" applyBorder="1" applyAlignment="1">
      <alignment horizontal="left"/>
    </xf>
    <xf numFmtId="43" fontId="3" fillId="0" borderId="7" xfId="1" applyNumberFormat="1" applyFont="1" applyBorder="1" applyAlignment="1">
      <alignment horizontal="right"/>
    </xf>
    <xf numFmtId="43" fontId="3" fillId="0" borderId="0" xfId="4" applyNumberFormat="1" applyFont="1" applyBorder="1"/>
    <xf numFmtId="43" fontId="3" fillId="0" borderId="0" xfId="4" applyNumberFormat="1" applyFont="1" applyBorder="1" applyAlignment="1">
      <alignment horizontal="right"/>
    </xf>
    <xf numFmtId="4" fontId="3" fillId="0" borderId="6" xfId="4" applyNumberFormat="1" applyFont="1" applyBorder="1"/>
    <xf numFmtId="43" fontId="3" fillId="0" borderId="0" xfId="1" applyNumberFormat="1" applyFont="1" applyBorder="1"/>
    <xf numFmtId="43" fontId="5" fillId="0" borderId="0" xfId="4" applyNumberFormat="1" applyFont="1" applyBorder="1"/>
    <xf numFmtId="43" fontId="8" fillId="0" borderId="0" xfId="4" applyNumberFormat="1" applyFont="1"/>
    <xf numFmtId="43" fontId="3" fillId="0" borderId="0" xfId="4" applyNumberFormat="1" applyFont="1" applyBorder="1" applyAlignment="1">
      <alignment horizontal="center" wrapText="1"/>
    </xf>
    <xf numFmtId="43" fontId="3" fillId="0" borderId="11" xfId="0" applyNumberFormat="1" applyFont="1" applyBorder="1"/>
    <xf numFmtId="43" fontId="4" fillId="0" borderId="7" xfId="0" applyNumberFormat="1" applyFont="1" applyBorder="1"/>
    <xf numFmtId="43" fontId="3" fillId="0" borderId="7" xfId="1" applyNumberFormat="1" applyFont="1" applyBorder="1"/>
    <xf numFmtId="43" fontId="3" fillId="0" borderId="0" xfId="1" applyNumberFormat="1" applyFont="1" applyBorder="1" applyAlignment="1">
      <alignment horizontal="center" wrapText="1"/>
    </xf>
    <xf numFmtId="43" fontId="4" fillId="0" borderId="0" xfId="4" applyNumberFormat="1" applyFont="1" applyBorder="1" applyAlignment="1">
      <alignment horizontal="right"/>
    </xf>
    <xf numFmtId="8" fontId="4" fillId="0" borderId="0" xfId="1" applyNumberFormat="1" applyFont="1" applyBorder="1"/>
    <xf numFmtId="8" fontId="4" fillId="0" borderId="0" xfId="1" applyNumberFormat="1" applyFont="1"/>
    <xf numFmtId="8" fontId="7" fillId="0" borderId="0" xfId="0" applyNumberFormat="1" applyFont="1"/>
    <xf numFmtId="8" fontId="3" fillId="0" borderId="11" xfId="0" applyNumberFormat="1" applyFont="1" applyBorder="1"/>
    <xf numFmtId="8" fontId="3" fillId="0" borderId="11" xfId="2" applyNumberFormat="1" applyFont="1" applyBorder="1" applyAlignment="1">
      <alignment horizontal="right"/>
    </xf>
    <xf numFmtId="43" fontId="4" fillId="0" borderId="0" xfId="1" applyFont="1" applyBorder="1" applyAlignment="1">
      <alignment horizontal="left"/>
    </xf>
    <xf numFmtId="8" fontId="3" fillId="0" borderId="0" xfId="0" applyNumberFormat="1" applyFont="1" applyBorder="1"/>
    <xf numFmtId="8" fontId="5" fillId="0" borderId="0" xfId="4" applyNumberFormat="1" applyFont="1" applyBorder="1"/>
    <xf numFmtId="8" fontId="4" fillId="0" borderId="0" xfId="4" applyNumberFormat="1" applyFont="1"/>
    <xf numFmtId="9" fontId="4" fillId="0" borderId="0" xfId="6" applyNumberFormat="1" applyFont="1"/>
    <xf numFmtId="0" fontId="3" fillId="0" borderId="0" xfId="4" applyFont="1" applyBorder="1"/>
    <xf numFmtId="0" fontId="3" fillId="0" borderId="21" xfId="0" applyFont="1" applyBorder="1" applyAlignment="1">
      <alignment horizontal="right"/>
    </xf>
    <xf numFmtId="179" fontId="3" fillId="0" borderId="21" xfId="0" applyNumberFormat="1" applyFont="1" applyBorder="1"/>
    <xf numFmtId="8" fontId="3" fillId="0" borderId="21" xfId="0" applyNumberFormat="1" applyFont="1" applyBorder="1"/>
    <xf numFmtId="43" fontId="3" fillId="0" borderId="21" xfId="1" applyFont="1" applyBorder="1"/>
    <xf numFmtId="9" fontId="3" fillId="0" borderId="21" xfId="4" applyNumberFormat="1" applyFont="1" applyBorder="1" applyAlignment="1">
      <alignment horizontal="right"/>
    </xf>
    <xf numFmtId="0" fontId="3" fillId="0" borderId="0" xfId="4" applyFont="1" applyFill="1" applyBorder="1" applyAlignment="1">
      <alignment horizontal="left"/>
    </xf>
    <xf numFmtId="186" fontId="3" fillId="0" borderId="0" xfId="1" applyNumberFormat="1" applyFont="1" applyBorder="1" applyAlignment="1">
      <alignment horizontal="right"/>
    </xf>
    <xf numFmtId="184" fontId="4" fillId="0" borderId="18" xfId="0" applyNumberFormat="1" applyFont="1" applyBorder="1"/>
    <xf numFmtId="0" fontId="3" fillId="0" borderId="3" xfId="0" applyFont="1" applyBorder="1"/>
    <xf numFmtId="166" fontId="3" fillId="0" borderId="6" xfId="1" applyNumberFormat="1" applyFont="1" applyFill="1" applyBorder="1" applyAlignment="1">
      <alignment horizontal="left"/>
    </xf>
    <xf numFmtId="8" fontId="3" fillId="0" borderId="12" xfId="1" applyNumberFormat="1" applyFont="1" applyBorder="1"/>
    <xf numFmtId="43" fontId="4" fillId="0" borderId="0" xfId="4" applyNumberFormat="1" applyFont="1" applyFill="1" applyBorder="1" applyAlignment="1">
      <alignment horizontal="right"/>
    </xf>
    <xf numFmtId="43" fontId="3" fillId="0" borderId="0" xfId="2" applyNumberFormat="1" applyFont="1" applyBorder="1"/>
    <xf numFmtId="0" fontId="3" fillId="0" borderId="8" xfId="0" applyFont="1" applyBorder="1"/>
    <xf numFmtId="166" fontId="3" fillId="0" borderId="10" xfId="1" applyNumberFormat="1" applyFont="1" applyFill="1" applyBorder="1" applyAlignment="1">
      <alignment horizontal="left"/>
    </xf>
    <xf numFmtId="0" fontId="4" fillId="0" borderId="8" xfId="0" applyFont="1" applyBorder="1"/>
    <xf numFmtId="0" fontId="5" fillId="0" borderId="6" xfId="0" applyFont="1" applyBorder="1" applyAlignment="1">
      <alignment horizontal="center"/>
    </xf>
    <xf numFmtId="2" fontId="4" fillId="0" borderId="0" xfId="4" applyNumberFormat="1" applyFont="1" applyBorder="1"/>
    <xf numFmtId="9" fontId="4" fillId="0" borderId="0" xfId="6" applyFont="1" applyBorder="1"/>
    <xf numFmtId="8" fontId="4" fillId="0" borderId="0" xfId="1" applyNumberFormat="1" applyFont="1" applyAlignment="1">
      <alignment horizontal="right"/>
    </xf>
    <xf numFmtId="8" fontId="4" fillId="0" borderId="0" xfId="4" applyNumberFormat="1" applyFont="1" applyAlignment="1">
      <alignment horizontal="center"/>
    </xf>
    <xf numFmtId="8" fontId="4" fillId="0" borderId="0" xfId="4" applyNumberFormat="1" applyFont="1" applyAlignment="1">
      <alignment horizontal="right"/>
    </xf>
    <xf numFmtId="4" fontId="3" fillId="0" borderId="6" xfId="1" applyNumberFormat="1" applyFont="1" applyBorder="1" applyAlignment="1">
      <alignment horizontal="right"/>
    </xf>
    <xf numFmtId="0" fontId="4" fillId="0" borderId="0" xfId="4" applyFont="1" applyBorder="1" applyAlignment="1">
      <alignment horizontal="left"/>
    </xf>
    <xf numFmtId="179" fontId="4" fillId="0" borderId="0" xfId="0" applyNumberFormat="1" applyFont="1" applyBorder="1"/>
    <xf numFmtId="8" fontId="4" fillId="0" borderId="0" xfId="0" applyNumberFormat="1" applyFont="1" applyBorder="1"/>
    <xf numFmtId="8" fontId="3" fillId="0" borderId="0" xfId="1" applyNumberFormat="1" applyFont="1" applyBorder="1"/>
    <xf numFmtId="43" fontId="8" fillId="0" borderId="0" xfId="1" applyFont="1"/>
    <xf numFmtId="43" fontId="3" fillId="0" borderId="11" xfId="1" applyFont="1" applyBorder="1" applyAlignment="1">
      <alignment horizontal="right"/>
    </xf>
    <xf numFmtId="43" fontId="3" fillId="0" borderId="0" xfId="1" applyFont="1" applyBorder="1" applyAlignment="1">
      <alignment horizontal="left"/>
    </xf>
    <xf numFmtId="43" fontId="3" fillId="0" borderId="7" xfId="1" applyFont="1" applyBorder="1" applyAlignment="1">
      <alignment horizontal="left"/>
    </xf>
    <xf numFmtId="43" fontId="3" fillId="0" borderId="12" xfId="1" applyFont="1" applyBorder="1" applyAlignment="1">
      <alignment horizontal="right"/>
    </xf>
    <xf numFmtId="43" fontId="8" fillId="0" borderId="0" xfId="1" applyFont="1" applyBorder="1"/>
    <xf numFmtId="9" fontId="3" fillId="0" borderId="7" xfId="6" applyFont="1" applyBorder="1" applyAlignment="1">
      <alignment horizontal="center"/>
    </xf>
    <xf numFmtId="9" fontId="3" fillId="0" borderId="10" xfId="6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0" fontId="3" fillId="0" borderId="3" xfId="0" applyNumberFormat="1" applyFont="1" applyBorder="1" applyAlignment="1">
      <alignment horizontal="center"/>
    </xf>
    <xf numFmtId="40" fontId="3" fillId="0" borderId="6" xfId="0" applyNumberFormat="1" applyFont="1" applyBorder="1" applyAlignment="1">
      <alignment horizontal="center"/>
    </xf>
  </cellXfs>
  <cellStyles count="7">
    <cellStyle name="Comma" xfId="1" builtinId="3"/>
    <cellStyle name="Currency" xfId="2" builtinId="4"/>
    <cellStyle name="Normal" xfId="0" builtinId="0"/>
    <cellStyle name="Normal_Edison Tiered Ratesmud" xfId="3"/>
    <cellStyle name="Normal_SDGE Tiered ratesmud" xfId="4"/>
    <cellStyle name="Normal_Total RRQ including ICIP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978"/>
  <sheetViews>
    <sheetView tabSelected="1" zoomScaleNormal="100" workbookViewId="0"/>
  </sheetViews>
  <sheetFormatPr defaultColWidth="2.140625" defaultRowHeight="12.75" x14ac:dyDescent="0.2"/>
  <cols>
    <col min="1" max="1" width="56.7109375" style="6" customWidth="1"/>
    <col min="2" max="3" width="11.7109375" style="6" customWidth="1"/>
    <col min="4" max="6" width="10.7109375" style="6" customWidth="1"/>
    <col min="7" max="8" width="11.7109375" style="6" customWidth="1"/>
    <col min="9" max="9" width="2.140625" style="6" customWidth="1"/>
    <col min="10" max="10" width="4" style="6" bestFit="1" customWidth="1"/>
    <col min="11" max="12" width="2.140625" style="6" customWidth="1"/>
    <col min="13" max="13" width="41.42578125" style="6" bestFit="1" customWidth="1"/>
    <col min="14" max="14" width="26.85546875" style="6" bestFit="1" customWidth="1"/>
    <col min="15" max="16" width="2.140625" style="6" customWidth="1"/>
    <col min="17" max="17" width="11.42578125" style="6" bestFit="1" customWidth="1"/>
    <col min="18" max="18" width="2.140625" style="6" customWidth="1"/>
    <col min="19" max="19" width="18.42578125" style="6" bestFit="1" customWidth="1"/>
    <col min="20" max="16384" width="2.140625" style="6"/>
  </cols>
  <sheetData>
    <row r="1" spans="1:8" x14ac:dyDescent="0.2">
      <c r="H1" s="45" t="s">
        <v>129</v>
      </c>
    </row>
    <row r="2" spans="1:8" ht="20.25" x14ac:dyDescent="0.3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" thickBot="1" x14ac:dyDescent="0.35">
      <c r="A3" s="312" t="s">
        <v>41</v>
      </c>
      <c r="B3" s="312"/>
      <c r="C3" s="312"/>
      <c r="D3" s="312"/>
      <c r="E3" s="312"/>
      <c r="F3" s="312"/>
      <c r="G3" s="312"/>
      <c r="H3" s="312"/>
    </row>
    <row r="4" spans="1:8" ht="13.5" thickBot="1" x14ac:dyDescent="0.25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">
      <c r="A5" s="218" t="s">
        <v>140</v>
      </c>
      <c r="B5" s="61"/>
      <c r="C5" s="62"/>
      <c r="D5" s="1"/>
      <c r="G5" s="315" t="s">
        <v>183</v>
      </c>
      <c r="H5" s="316"/>
    </row>
    <row r="6" spans="1:8" x14ac:dyDescent="0.2">
      <c r="A6" s="8"/>
      <c r="B6" s="31"/>
      <c r="C6" s="68"/>
      <c r="E6" s="66"/>
      <c r="F6" s="66"/>
      <c r="G6" s="317" t="s">
        <v>91</v>
      </c>
      <c r="H6" s="318"/>
    </row>
    <row r="7" spans="1:8" x14ac:dyDescent="0.2">
      <c r="A7" s="8" t="s">
        <v>82</v>
      </c>
      <c r="B7" s="31"/>
      <c r="C7" s="236">
        <f>G163-C163</f>
        <v>2.7085977673099979</v>
      </c>
      <c r="E7" s="38"/>
      <c r="F7" s="38"/>
      <c r="G7" s="285"/>
      <c r="H7" s="286"/>
    </row>
    <row r="8" spans="1:8" x14ac:dyDescent="0.2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5" thickBot="1" x14ac:dyDescent="0.25">
      <c r="A9" s="51" t="s">
        <v>202</v>
      </c>
      <c r="B9" s="33"/>
      <c r="C9" s="219">
        <f>E163</f>
        <v>174.68649359636998</v>
      </c>
      <c r="E9" s="38"/>
      <c r="F9" s="38"/>
      <c r="G9" s="290"/>
      <c r="H9" s="291"/>
    </row>
    <row r="10" spans="1:8" x14ac:dyDescent="0.2">
      <c r="A10" s="5"/>
      <c r="B10" s="30"/>
      <c r="C10" s="115"/>
      <c r="E10" s="38"/>
      <c r="F10" s="38"/>
      <c r="G10" s="31"/>
      <c r="H10" s="39"/>
    </row>
    <row r="11" spans="1:8" x14ac:dyDescent="0.2">
      <c r="A11" s="41" t="s">
        <v>137</v>
      </c>
      <c r="B11" s="49" t="s">
        <v>4</v>
      </c>
      <c r="C11" s="50" t="s">
        <v>5</v>
      </c>
      <c r="E11" s="38"/>
      <c r="F11" s="38"/>
      <c r="G11" s="31"/>
      <c r="H11" s="39"/>
    </row>
    <row r="12" spans="1:8" x14ac:dyDescent="0.2">
      <c r="A12" s="41"/>
      <c r="B12" s="31"/>
      <c r="C12" s="32"/>
      <c r="E12" s="38"/>
      <c r="F12" s="38"/>
      <c r="G12" s="31"/>
      <c r="H12" s="39"/>
    </row>
    <row r="13" spans="1:8" x14ac:dyDescent="0.2">
      <c r="A13" s="42" t="s">
        <v>54</v>
      </c>
      <c r="B13" s="31"/>
      <c r="C13" s="32"/>
      <c r="E13" s="38"/>
      <c r="F13" s="38"/>
      <c r="G13" s="31"/>
      <c r="H13" s="39"/>
    </row>
    <row r="14" spans="1:8" x14ac:dyDescent="0.2">
      <c r="A14" s="43" t="s">
        <v>175</v>
      </c>
      <c r="B14" s="168">
        <f>6.5+(G34-C34)</f>
        <v>6.5</v>
      </c>
      <c r="C14" s="169">
        <f>6.5+(G51-C51)</f>
        <v>6.4999999999999982</v>
      </c>
      <c r="E14" s="38"/>
      <c r="F14" s="38"/>
      <c r="G14" s="31"/>
      <c r="H14" s="39"/>
    </row>
    <row r="15" spans="1:8" x14ac:dyDescent="0.2">
      <c r="A15" s="43" t="s">
        <v>176</v>
      </c>
      <c r="B15" s="168">
        <f>6.5+(G35-C35)</f>
        <v>6.5</v>
      </c>
      <c r="C15" s="169">
        <f>6.5+(G52-C52)</f>
        <v>6.5</v>
      </c>
      <c r="E15" s="38"/>
      <c r="F15" s="38"/>
      <c r="G15" s="31"/>
      <c r="H15" s="39"/>
    </row>
    <row r="16" spans="1:8" x14ac:dyDescent="0.2">
      <c r="A16" s="43" t="s">
        <v>177</v>
      </c>
      <c r="B16" s="168">
        <f>6.5+(G36-C36)</f>
        <v>10.293178221350482</v>
      </c>
      <c r="C16" s="169">
        <f>6.5+(G53-C53)</f>
        <v>6.5</v>
      </c>
      <c r="E16" s="38"/>
      <c r="F16" s="38"/>
      <c r="G16" s="31"/>
      <c r="H16" s="39"/>
    </row>
    <row r="17" spans="1:19" x14ac:dyDescent="0.2">
      <c r="A17" s="43" t="s">
        <v>178</v>
      </c>
      <c r="B17" s="168">
        <f>6.5+(G37-C37)</f>
        <v>14.087771825136597</v>
      </c>
      <c r="C17" s="169">
        <f>6.5+(G54-C54)</f>
        <v>6.5</v>
      </c>
      <c r="E17" s="38"/>
      <c r="F17" s="38"/>
      <c r="G17" s="31"/>
      <c r="H17" s="39"/>
    </row>
    <row r="18" spans="1:19" x14ac:dyDescent="0.2">
      <c r="A18" s="43" t="s">
        <v>179</v>
      </c>
      <c r="B18" s="168">
        <f>6.5+(G38-C38)</f>
        <v>17.888223528109485</v>
      </c>
      <c r="C18" s="169">
        <f>6.5+(G55-C55)</f>
        <v>6.5</v>
      </c>
      <c r="E18" s="38"/>
      <c r="F18" s="38"/>
      <c r="G18" s="31"/>
      <c r="H18" s="39"/>
    </row>
    <row r="19" spans="1:19" x14ac:dyDescent="0.2">
      <c r="A19" s="40"/>
      <c r="B19" s="31"/>
      <c r="C19" s="65"/>
      <c r="E19" s="38"/>
      <c r="F19" s="38"/>
      <c r="G19" s="31"/>
      <c r="H19" s="39"/>
    </row>
    <row r="20" spans="1:19" x14ac:dyDescent="0.2">
      <c r="A20" s="42" t="s">
        <v>57</v>
      </c>
      <c r="B20" s="31"/>
      <c r="C20" s="32"/>
      <c r="E20" s="38"/>
      <c r="F20" s="38"/>
      <c r="G20" s="31"/>
      <c r="H20" s="39"/>
    </row>
    <row r="21" spans="1:19" x14ac:dyDescent="0.2">
      <c r="A21" s="43" t="s">
        <v>42</v>
      </c>
      <c r="B21" s="99">
        <f>(B34+B42)/$B$49</f>
        <v>0.47999999999999937</v>
      </c>
      <c r="C21" s="97">
        <f>(B51+B58)/$B$65</f>
        <v>0.7</v>
      </c>
      <c r="E21" s="38"/>
      <c r="F21" s="38"/>
      <c r="G21" s="31"/>
      <c r="H21" s="39"/>
    </row>
    <row r="22" spans="1:19" x14ac:dyDescent="0.2">
      <c r="A22" s="43" t="s">
        <v>43</v>
      </c>
      <c r="B22" s="99">
        <f>(B35+B43)/$B$49</f>
        <v>0.11000000000000011</v>
      </c>
      <c r="C22" s="97">
        <f>(B52+B59)/$B$65</f>
        <v>0.10999999999999999</v>
      </c>
      <c r="E22" s="38"/>
      <c r="F22" s="38"/>
      <c r="G22" s="31"/>
      <c r="H22" s="39"/>
    </row>
    <row r="23" spans="1:19" x14ac:dyDescent="0.2">
      <c r="A23" s="43" t="s">
        <v>44</v>
      </c>
      <c r="B23" s="99">
        <f>(B36+B44)/$B$49</f>
        <v>0.17000000000000018</v>
      </c>
      <c r="C23" s="97">
        <f>(B53+B60)/$B$65</f>
        <v>0.12</v>
      </c>
      <c r="E23" s="38"/>
      <c r="F23" s="38"/>
      <c r="G23" s="31"/>
      <c r="H23" s="39"/>
    </row>
    <row r="24" spans="1:19" x14ac:dyDescent="0.2">
      <c r="A24" s="43" t="s">
        <v>45</v>
      </c>
      <c r="B24" s="99">
        <f>(B37+B45)/$B$49</f>
        <v>0.12000000000000018</v>
      </c>
      <c r="C24" s="97">
        <f>(B54+B61)/$B$65</f>
        <v>0.05</v>
      </c>
      <c r="E24" s="38"/>
      <c r="F24" s="38"/>
      <c r="G24" s="31"/>
      <c r="H24" s="39"/>
    </row>
    <row r="25" spans="1:19" ht="13.5" thickBot="1" x14ac:dyDescent="0.25">
      <c r="A25" s="80" t="s">
        <v>180</v>
      </c>
      <c r="B25" s="100">
        <f>(B38+B46)/$B$49</f>
        <v>0.12000000000000018</v>
      </c>
      <c r="C25" s="98">
        <f>(B55+B62)/$B$65</f>
        <v>0.02</v>
      </c>
      <c r="E25" s="38"/>
      <c r="F25" s="38"/>
      <c r="G25" s="31"/>
      <c r="H25" s="39"/>
    </row>
    <row r="26" spans="1:19" ht="13.5" thickBot="1" x14ac:dyDescent="0.25">
      <c r="A26" s="37"/>
      <c r="B26" s="4"/>
      <c r="C26" s="4"/>
      <c r="D26" s="4"/>
      <c r="E26" s="4"/>
      <c r="F26" s="4"/>
      <c r="G26" s="4"/>
      <c r="H26" s="4"/>
    </row>
    <row r="27" spans="1:19" ht="64.5" thickBot="1" x14ac:dyDescent="0.25">
      <c r="A27" s="2" t="s">
        <v>0</v>
      </c>
      <c r="B27" s="9" t="s">
        <v>46</v>
      </c>
      <c r="C27" s="9" t="s">
        <v>86</v>
      </c>
      <c r="D27" s="9" t="s">
        <v>51</v>
      </c>
      <c r="E27" s="9" t="s">
        <v>186</v>
      </c>
      <c r="F27" s="9" t="s">
        <v>6</v>
      </c>
      <c r="G27" s="9" t="s">
        <v>47</v>
      </c>
      <c r="H27" s="3" t="s">
        <v>48</v>
      </c>
    </row>
    <row r="28" spans="1:19" x14ac:dyDescent="0.2">
      <c r="A28" s="72"/>
      <c r="B28" s="73"/>
      <c r="C28" s="73"/>
      <c r="D28" s="73"/>
      <c r="E28" s="73"/>
      <c r="F28" s="73"/>
      <c r="G28" s="73"/>
      <c r="H28" s="74"/>
      <c r="O28" s="121"/>
    </row>
    <row r="29" spans="1:19" x14ac:dyDescent="0.2">
      <c r="A29" s="10" t="s">
        <v>73</v>
      </c>
      <c r="B29" s="10"/>
      <c r="C29" s="10"/>
      <c r="D29" s="10"/>
      <c r="E29" s="10"/>
      <c r="F29" s="10"/>
      <c r="G29" s="10"/>
      <c r="H29" s="10"/>
    </row>
    <row r="30" spans="1:19" x14ac:dyDescent="0.2">
      <c r="A30" s="10"/>
      <c r="B30" s="10"/>
      <c r="C30" s="10"/>
      <c r="D30" s="10"/>
      <c r="E30" s="10"/>
      <c r="F30" s="10"/>
      <c r="G30" s="10"/>
      <c r="H30" s="10"/>
      <c r="M30" s="120" t="s">
        <v>187</v>
      </c>
      <c r="N30" s="121">
        <f>0.0277*B67</f>
        <v>177.18299476672283</v>
      </c>
    </row>
    <row r="31" spans="1:19" x14ac:dyDescent="0.2">
      <c r="A31" s="276" t="s">
        <v>172</v>
      </c>
      <c r="B31" s="10"/>
      <c r="C31" s="10"/>
      <c r="D31" s="10"/>
      <c r="E31" s="10"/>
      <c r="F31" s="10"/>
      <c r="G31" s="10"/>
      <c r="H31" s="10"/>
      <c r="N31" s="122"/>
      <c r="O31" s="122"/>
      <c r="Q31" s="123" t="s">
        <v>90</v>
      </c>
      <c r="S31" s="6" t="s">
        <v>135</v>
      </c>
    </row>
    <row r="32" spans="1:19" x14ac:dyDescent="0.2">
      <c r="A32" s="77" t="s">
        <v>12</v>
      </c>
      <c r="B32" s="10"/>
      <c r="C32" s="10"/>
      <c r="D32" s="10"/>
      <c r="E32" s="10"/>
      <c r="F32" s="10"/>
      <c r="G32" s="10"/>
      <c r="H32" s="10"/>
      <c r="M32" s="18"/>
      <c r="N32" s="150" t="s">
        <v>196</v>
      </c>
      <c r="Q32" s="124" t="s">
        <v>91</v>
      </c>
      <c r="S32" s="124" t="s">
        <v>91</v>
      </c>
    </row>
    <row r="33" spans="1:19" x14ac:dyDescent="0.2">
      <c r="A33" s="12" t="s">
        <v>74</v>
      </c>
      <c r="B33" s="10"/>
      <c r="C33" s="10"/>
      <c r="D33" s="10"/>
      <c r="E33" s="10"/>
      <c r="F33" s="10"/>
      <c r="G33" s="10"/>
      <c r="H33" s="10"/>
      <c r="M33" s="18" t="s">
        <v>92</v>
      </c>
      <c r="N33" s="125">
        <v>0.22539999999999999</v>
      </c>
      <c r="Q33" s="205">
        <f>(N33*N30)/(B36+B53+B44+B60)</f>
        <v>3.7536753346472787E-2</v>
      </c>
      <c r="S33" s="205">
        <f t="shared" ref="S33:S41" si="0">Q33+$N$56</f>
        <v>3.7921523205576679E-2</v>
      </c>
    </row>
    <row r="34" spans="1:19" x14ac:dyDescent="0.2">
      <c r="A34" s="58" t="s">
        <v>1</v>
      </c>
      <c r="B34" s="83">
        <v>1479.4560699130316</v>
      </c>
      <c r="C34" s="105">
        <f>6.326+6.5</f>
        <v>12.826000000000001</v>
      </c>
      <c r="D34" s="266">
        <f>C34*B34/100</f>
        <v>189.75503552704544</v>
      </c>
      <c r="E34" s="149">
        <f>0*B34</f>
        <v>0</v>
      </c>
      <c r="F34" s="149">
        <f>D34+E34</f>
        <v>189.75503552704544</v>
      </c>
      <c r="G34" s="105">
        <f>F34/B34*100</f>
        <v>12.826000000000001</v>
      </c>
      <c r="H34" s="10"/>
      <c r="M34" s="45" t="s">
        <v>93</v>
      </c>
      <c r="N34" s="126">
        <f>B36/(B36+B44)*N33</f>
        <v>0.11720799999999999</v>
      </c>
      <c r="Q34" s="205">
        <f>(N34*N30)/(B36+B53)</f>
        <v>3.7547012354400923E-2</v>
      </c>
      <c r="S34" s="205">
        <f t="shared" si="0"/>
        <v>3.7931782213504815E-2</v>
      </c>
    </row>
    <row r="35" spans="1:19" x14ac:dyDescent="0.2">
      <c r="A35" s="58" t="s">
        <v>7</v>
      </c>
      <c r="B35" s="83">
        <v>339.04201602173748</v>
      </c>
      <c r="C35" s="105">
        <f>8.781+6.5</f>
        <v>15.281000000000001</v>
      </c>
      <c r="D35" s="266">
        <f>C35*B35/100</f>
        <v>51.809010468281706</v>
      </c>
      <c r="E35" s="149">
        <f>0*B35</f>
        <v>0</v>
      </c>
      <c r="F35" s="149">
        <f>D35+E35</f>
        <v>51.809010468281706</v>
      </c>
      <c r="G35" s="105">
        <f>F35/B35*100</f>
        <v>15.281000000000001</v>
      </c>
      <c r="H35" s="10"/>
      <c r="M35" s="45" t="s">
        <v>94</v>
      </c>
      <c r="N35" s="126">
        <f>B44/(B36+B44)*N33</f>
        <v>0.108192</v>
      </c>
      <c r="Q35" s="205">
        <f>(N35*N30)/(B44+B60)</f>
        <v>3.7525645745738932E-2</v>
      </c>
      <c r="S35" s="205">
        <f t="shared" si="0"/>
        <v>3.7910415604842825E-2</v>
      </c>
    </row>
    <row r="36" spans="1:19" x14ac:dyDescent="0.2">
      <c r="A36" s="78" t="s">
        <v>2</v>
      </c>
      <c r="B36" s="83">
        <v>523.97402476086688</v>
      </c>
      <c r="C36" s="105">
        <f>C35</f>
        <v>15.281000000000001</v>
      </c>
      <c r="D36" s="266">
        <f>C36*B36/100</f>
        <v>80.068470723708074</v>
      </c>
      <c r="E36" s="149">
        <f>S34*B36</f>
        <v>19.875268592762783</v>
      </c>
      <c r="F36" s="149">
        <f>D36+E36</f>
        <v>99.943739316470854</v>
      </c>
      <c r="G36" s="105">
        <f>F36/B36*100</f>
        <v>19.074178221350483</v>
      </c>
      <c r="H36" s="144"/>
      <c r="M36" s="45" t="s">
        <v>95</v>
      </c>
      <c r="N36" s="125">
        <v>0.313</v>
      </c>
      <c r="Q36" s="205">
        <f>(N36*$N$30)/(B37+B54+B45+B61)</f>
        <v>7.5480502879978068E-2</v>
      </c>
      <c r="S36" s="205">
        <f t="shared" si="0"/>
        <v>7.586527273908196E-2</v>
      </c>
    </row>
    <row r="37" spans="1:19" x14ac:dyDescent="0.2">
      <c r="A37" s="78" t="s">
        <v>169</v>
      </c>
      <c r="B37" s="83">
        <v>369.86401747825886</v>
      </c>
      <c r="C37" s="105">
        <f>C35</f>
        <v>15.281000000000001</v>
      </c>
      <c r="D37" s="266">
        <f>C37*B37/100</f>
        <v>56.518920510852737</v>
      </c>
      <c r="E37" s="149">
        <f>S37*B37</f>
        <v>28.064437709533617</v>
      </c>
      <c r="F37" s="149">
        <f>D37+E37</f>
        <v>84.583358220386359</v>
      </c>
      <c r="G37" s="105">
        <f>F37/B37*100</f>
        <v>22.868771825136598</v>
      </c>
      <c r="H37" s="144"/>
      <c r="M37" s="45" t="s">
        <v>93</v>
      </c>
      <c r="N37" s="126">
        <f>B37/(B37+B45)*N36</f>
        <v>0.1627599999999999</v>
      </c>
      <c r="Q37" s="205">
        <f>(N37*$N$30)/(B37+B54)</f>
        <v>7.549294839226206E-2</v>
      </c>
      <c r="S37" s="205">
        <f t="shared" si="0"/>
        <v>7.5877718251365953E-2</v>
      </c>
    </row>
    <row r="38" spans="1:19" x14ac:dyDescent="0.2">
      <c r="A38" s="78" t="s">
        <v>170</v>
      </c>
      <c r="B38" s="83">
        <v>369.86401747825886</v>
      </c>
      <c r="C38" s="105">
        <f>C36</f>
        <v>15.281000000000001</v>
      </c>
      <c r="D38" s="266">
        <f>C38*B38/100</f>
        <v>56.518920510852737</v>
      </c>
      <c r="E38" s="149">
        <f>S40*B38</f>
        <v>42.120941060470059</v>
      </c>
      <c r="F38" s="149">
        <f>D38+E38</f>
        <v>98.639861571322797</v>
      </c>
      <c r="G38" s="105">
        <f>F38/B38*100</f>
        <v>26.669223528109487</v>
      </c>
      <c r="H38" s="144"/>
      <c r="M38" s="45" t="s">
        <v>94</v>
      </c>
      <c r="N38" s="126">
        <f>B45/(B37+B45)*N36</f>
        <v>0.1502400000000001</v>
      </c>
      <c r="Q38" s="205">
        <f>(N38*$N$30)/(B45+B61)</f>
        <v>7.5467024871473123E-2</v>
      </c>
      <c r="S38" s="205">
        <f t="shared" si="0"/>
        <v>7.5851794730577016E-2</v>
      </c>
    </row>
    <row r="39" spans="1:19" x14ac:dyDescent="0.2">
      <c r="A39" s="78" t="s">
        <v>71</v>
      </c>
      <c r="B39" s="83">
        <v>2.6501453326658528</v>
      </c>
      <c r="C39" s="237" t="s">
        <v>72</v>
      </c>
      <c r="D39" s="296">
        <v>0.18010605712024408</v>
      </c>
      <c r="E39" s="296" t="s">
        <v>72</v>
      </c>
      <c r="F39" s="296">
        <f>D39</f>
        <v>0.18010605712024408</v>
      </c>
      <c r="G39" s="237" t="s">
        <v>72</v>
      </c>
      <c r="H39" s="144"/>
      <c r="M39" s="45" t="s">
        <v>171</v>
      </c>
      <c r="N39" s="275">
        <f>100%-(N33+N36)</f>
        <v>0.46160000000000001</v>
      </c>
      <c r="Q39" s="205">
        <f>(N39*$N$30)/(B38+B55+B46+B62)</f>
        <v>0.11348983491733168</v>
      </c>
      <c r="S39" s="205">
        <f t="shared" si="0"/>
        <v>0.11387460477643557</v>
      </c>
    </row>
    <row r="40" spans="1:19" x14ac:dyDescent="0.2">
      <c r="B40" s="83"/>
      <c r="C40" s="105"/>
      <c r="D40" s="266"/>
      <c r="E40" s="149"/>
      <c r="F40" s="149"/>
      <c r="G40" s="105"/>
      <c r="H40" s="19"/>
      <c r="M40" s="45" t="s">
        <v>93</v>
      </c>
      <c r="N40" s="126">
        <f>B38/(B38+B46)*N39</f>
        <v>0.24003199999999986</v>
      </c>
      <c r="Q40" s="205">
        <f>(N40*$N$30)/(B38+B55)</f>
        <v>0.11349746542199098</v>
      </c>
      <c r="S40" s="205">
        <f t="shared" si="0"/>
        <v>0.11388223528109487</v>
      </c>
    </row>
    <row r="41" spans="1:19" x14ac:dyDescent="0.2">
      <c r="A41" s="17" t="s">
        <v>75</v>
      </c>
      <c r="B41" s="83"/>
      <c r="C41" s="238"/>
      <c r="D41" s="297"/>
      <c r="E41" s="149"/>
      <c r="F41" s="149"/>
      <c r="G41" s="105"/>
      <c r="H41" s="19"/>
      <c r="M41" s="45" t="s">
        <v>94</v>
      </c>
      <c r="N41" s="126">
        <f>B46/(B38+B46)*N39</f>
        <v>0.22156800000000015</v>
      </c>
      <c r="Q41" s="205">
        <f>(N41*$N$30)/(B46+B62)</f>
        <v>0.11348156969502027</v>
      </c>
      <c r="S41" s="205">
        <f t="shared" si="0"/>
        <v>0.11386633955412416</v>
      </c>
    </row>
    <row r="42" spans="1:19" x14ac:dyDescent="0.2">
      <c r="A42" s="58" t="s">
        <v>1</v>
      </c>
      <c r="B42" s="83">
        <v>1365.6517568427998</v>
      </c>
      <c r="C42" s="105">
        <f>C34</f>
        <v>12.826000000000001</v>
      </c>
      <c r="D42" s="266">
        <f>C42*B42/100</f>
        <v>175.15849433265751</v>
      </c>
      <c r="E42" s="149">
        <f>0*B42</f>
        <v>0</v>
      </c>
      <c r="F42" s="149">
        <f>D42+E42</f>
        <v>175.15849433265751</v>
      </c>
      <c r="G42" s="105">
        <f>F42/B42*100</f>
        <v>12.826000000000001</v>
      </c>
      <c r="H42" s="19"/>
    </row>
    <row r="43" spans="1:19" x14ac:dyDescent="0.2">
      <c r="A43" s="58" t="s">
        <v>7</v>
      </c>
      <c r="B43" s="83">
        <v>312.96186094314209</v>
      </c>
      <c r="C43" s="105">
        <f>8.069+6.5</f>
        <v>14.569000000000001</v>
      </c>
      <c r="D43" s="266">
        <f>C43*B43/100</f>
        <v>45.595413520806368</v>
      </c>
      <c r="E43" s="149">
        <f>0*B43</f>
        <v>0</v>
      </c>
      <c r="F43" s="149">
        <f>D43+E43</f>
        <v>45.595413520806368</v>
      </c>
      <c r="G43" s="105">
        <f>F43/B43*100</f>
        <v>14.568999999999999</v>
      </c>
      <c r="H43" s="18"/>
    </row>
    <row r="44" spans="1:19" x14ac:dyDescent="0.2">
      <c r="A44" s="78" t="s">
        <v>2</v>
      </c>
      <c r="B44" s="83">
        <v>483.66833054849252</v>
      </c>
      <c r="C44" s="105">
        <f>C43</f>
        <v>14.569000000000001</v>
      </c>
      <c r="D44" s="266">
        <f>C44*B44/100</f>
        <v>70.465639077609879</v>
      </c>
      <c r="E44" s="149">
        <f>S35*B44</f>
        <v>18.33606742599385</v>
      </c>
      <c r="F44" s="149">
        <f>D44+E44</f>
        <v>88.801706503603725</v>
      </c>
      <c r="G44" s="105">
        <f>F44/B44*100</f>
        <v>18.360041560484284</v>
      </c>
      <c r="H44" s="288"/>
      <c r="M44" s="45" t="s">
        <v>132</v>
      </c>
      <c r="S44" s="205"/>
    </row>
    <row r="45" spans="1:19" x14ac:dyDescent="0.2">
      <c r="A45" s="78" t="s">
        <v>169</v>
      </c>
      <c r="B45" s="83">
        <v>341.41293921070093</v>
      </c>
      <c r="C45" s="105">
        <f>C43</f>
        <v>14.569000000000001</v>
      </c>
      <c r="D45" s="266">
        <f>C45*B45/100</f>
        <v>49.740451113607023</v>
      </c>
      <c r="E45" s="149">
        <f>S38*B45</f>
        <v>25.896784183373054</v>
      </c>
      <c r="F45" s="149">
        <f>D45+E45</f>
        <v>75.63723529698008</v>
      </c>
      <c r="G45" s="105">
        <f>F45/B45*100</f>
        <v>22.154179473057702</v>
      </c>
      <c r="H45" s="288"/>
      <c r="M45" s="45" t="s">
        <v>92</v>
      </c>
      <c r="S45" s="205"/>
    </row>
    <row r="46" spans="1:19" x14ac:dyDescent="0.2">
      <c r="A46" s="78" t="s">
        <v>170</v>
      </c>
      <c r="B46" s="83">
        <v>341.41293921070093</v>
      </c>
      <c r="C46" s="105">
        <f>C44</f>
        <v>14.569000000000001</v>
      </c>
      <c r="D46" s="266">
        <f>C46*B46/100</f>
        <v>49.740451113607023</v>
      </c>
      <c r="E46" s="149">
        <f>S41*B46</f>
        <v>38.875441664337224</v>
      </c>
      <c r="F46" s="149">
        <f>D46+E46</f>
        <v>88.615892777944254</v>
      </c>
      <c r="G46" s="105">
        <f>F46/B46*100</f>
        <v>25.95563395541242</v>
      </c>
      <c r="H46" s="144"/>
      <c r="M46" s="45" t="s">
        <v>93</v>
      </c>
      <c r="N46" s="202">
        <f>Q34*Residential!B53</f>
        <v>1.0936052695366039</v>
      </c>
      <c r="S46" s="205"/>
    </row>
    <row r="47" spans="1:19" x14ac:dyDescent="0.2">
      <c r="A47" s="78" t="s">
        <v>71</v>
      </c>
      <c r="B47" s="83">
        <v>2.4977617412541471</v>
      </c>
      <c r="C47" s="237" t="s">
        <v>72</v>
      </c>
      <c r="D47" s="296">
        <v>0.16974994287975592</v>
      </c>
      <c r="E47" s="296" t="s">
        <v>72</v>
      </c>
      <c r="F47" s="296">
        <f>D47</f>
        <v>0.16974994287975592</v>
      </c>
      <c r="G47" s="237" t="s">
        <v>72</v>
      </c>
      <c r="H47" s="18"/>
      <c r="M47" s="45" t="s">
        <v>94</v>
      </c>
      <c r="N47" s="202">
        <f>Q35*B60</f>
        <v>1.0198161392055862</v>
      </c>
    </row>
    <row r="48" spans="1:19" x14ac:dyDescent="0.2">
      <c r="D48" s="114"/>
      <c r="E48" s="114"/>
      <c r="F48" s="114"/>
      <c r="H48" s="18"/>
      <c r="M48" s="45" t="s">
        <v>95</v>
      </c>
      <c r="N48" s="202"/>
    </row>
    <row r="49" spans="1:14" x14ac:dyDescent="0.2">
      <c r="A49" s="277" t="s">
        <v>173</v>
      </c>
      <c r="B49" s="278">
        <f>SUM(B34:B47)-B39-B47</f>
        <v>5927.3079724079898</v>
      </c>
      <c r="C49" s="279">
        <f>D49/B49*100</f>
        <v>13.930787243430117</v>
      </c>
      <c r="D49" s="279">
        <f>SUM(D34:D47)</f>
        <v>825.72066289902864</v>
      </c>
      <c r="E49" s="279">
        <f>SUM(E34:E47)</f>
        <v>173.16894063647058</v>
      </c>
      <c r="F49" s="279">
        <f>SUM(F34:F47)</f>
        <v>998.88960353549919</v>
      </c>
      <c r="G49" s="280">
        <f>F49/B49*100</f>
        <v>16.852331753055456</v>
      </c>
      <c r="H49" s="281">
        <f>(G49-C49)/C49</f>
        <v>0.20971855061551992</v>
      </c>
      <c r="M49" s="45" t="s">
        <v>93</v>
      </c>
      <c r="N49" s="202">
        <f>Q37*Residential!B54</f>
        <v>0.91617904459088217</v>
      </c>
    </row>
    <row r="50" spans="1:14" x14ac:dyDescent="0.2">
      <c r="D50" s="114"/>
      <c r="E50" s="114"/>
      <c r="F50" s="114"/>
      <c r="M50" s="45" t="s">
        <v>94</v>
      </c>
      <c r="N50" s="202">
        <f>Q38*B61</f>
        <v>0.85455435889574827</v>
      </c>
    </row>
    <row r="51" spans="1:14" x14ac:dyDescent="0.2">
      <c r="A51" s="58" t="s">
        <v>8</v>
      </c>
      <c r="B51" s="83">
        <v>169.90337372473104</v>
      </c>
      <c r="C51" s="105">
        <f>C34</f>
        <v>12.826000000000001</v>
      </c>
      <c r="D51" s="266">
        <f>C51*B51/100</f>
        <v>21.791806713934001</v>
      </c>
      <c r="E51" s="149">
        <f>0*B51</f>
        <v>0</v>
      </c>
      <c r="F51" s="149">
        <f>D51+E51</f>
        <v>21.791806713934001</v>
      </c>
      <c r="G51" s="105">
        <f>F51/B51*100</f>
        <v>12.825999999999999</v>
      </c>
      <c r="H51" s="18"/>
      <c r="M51" s="45" t="s">
        <v>171</v>
      </c>
      <c r="N51" s="202"/>
    </row>
    <row r="52" spans="1:14" x14ac:dyDescent="0.2">
      <c r="A52" s="58" t="s">
        <v>122</v>
      </c>
      <c r="B52" s="83">
        <v>26.69910158531485</v>
      </c>
      <c r="C52" s="105">
        <f>C35</f>
        <v>15.281000000000001</v>
      </c>
      <c r="D52" s="266">
        <f>C52*B52/100</f>
        <v>4.079889713251962</v>
      </c>
      <c r="E52" s="149">
        <f>0*B52</f>
        <v>0</v>
      </c>
      <c r="F52" s="149">
        <f>D52+E52</f>
        <v>4.079889713251962</v>
      </c>
      <c r="G52" s="105">
        <f>F52/B52*100</f>
        <v>15.281000000000001</v>
      </c>
      <c r="H52" s="144"/>
      <c r="M52" s="45" t="s">
        <v>93</v>
      </c>
      <c r="N52" s="202">
        <f>Q40*Residential!B55</f>
        <v>0.55096006526863472</v>
      </c>
    </row>
    <row r="53" spans="1:14" x14ac:dyDescent="0.2">
      <c r="A53" s="78" t="s">
        <v>123</v>
      </c>
      <c r="B53" s="83">
        <v>29.126292638525239</v>
      </c>
      <c r="C53" s="105">
        <f>C36</f>
        <v>15.281000000000001</v>
      </c>
      <c r="D53" s="266">
        <f>C53*B53/100</f>
        <v>4.4507887780930417</v>
      </c>
      <c r="E53" s="149">
        <f>0*B53</f>
        <v>0</v>
      </c>
      <c r="F53" s="149">
        <f>D53+E53</f>
        <v>4.4507887780930417</v>
      </c>
      <c r="G53" s="105">
        <f>F53/B53*100</f>
        <v>15.281000000000001</v>
      </c>
      <c r="H53" s="18"/>
      <c r="M53" s="45" t="s">
        <v>94</v>
      </c>
      <c r="N53" s="204">
        <f>Q41*B62</f>
        <v>0.51400552865239069</v>
      </c>
    </row>
    <row r="54" spans="1:14" x14ac:dyDescent="0.2">
      <c r="A54" s="78" t="s">
        <v>169</v>
      </c>
      <c r="B54" s="83">
        <v>12.135955266052232</v>
      </c>
      <c r="C54" s="105">
        <f>C37</f>
        <v>15.281000000000001</v>
      </c>
      <c r="D54" s="266">
        <f>C54*B54/100</f>
        <v>1.8544953242054416</v>
      </c>
      <c r="E54" s="149">
        <f>0*B54</f>
        <v>0</v>
      </c>
      <c r="F54" s="149">
        <f>D54+E54</f>
        <v>1.8544953242054416</v>
      </c>
      <c r="G54" s="105">
        <f>F54/B54*100</f>
        <v>15.281000000000001</v>
      </c>
      <c r="H54" s="144"/>
      <c r="M54" s="45" t="s">
        <v>133</v>
      </c>
      <c r="N54" s="202">
        <f>SUM(N46:N53)</f>
        <v>4.9491204061498459</v>
      </c>
    </row>
    <row r="55" spans="1:14" x14ac:dyDescent="0.2">
      <c r="A55" s="78" t="s">
        <v>170</v>
      </c>
      <c r="B55" s="83">
        <v>4.8543821064208732</v>
      </c>
      <c r="C55" s="105">
        <f>C38</f>
        <v>15.281000000000001</v>
      </c>
      <c r="D55" s="266">
        <f>C55*B55/100</f>
        <v>0.74179812968217362</v>
      </c>
      <c r="E55" s="149">
        <f>0*B55</f>
        <v>0</v>
      </c>
      <c r="F55" s="149">
        <f>D55+E55</f>
        <v>0.74179812968217362</v>
      </c>
      <c r="G55" s="105">
        <f>F55/B55*100</f>
        <v>15.281000000000001</v>
      </c>
      <c r="H55" s="144"/>
    </row>
    <row r="56" spans="1:14" x14ac:dyDescent="0.2">
      <c r="A56" s="78" t="s">
        <v>124</v>
      </c>
      <c r="B56" s="83">
        <v>9.7613834194630045E-2</v>
      </c>
      <c r="C56" s="237" t="s">
        <v>72</v>
      </c>
      <c r="D56" s="298">
        <v>6.4370659306444119E-3</v>
      </c>
      <c r="E56" s="298" t="s">
        <v>72</v>
      </c>
      <c r="F56" s="298">
        <f>D56</f>
        <v>6.4370659306444119E-3</v>
      </c>
      <c r="G56" s="237" t="s">
        <v>72</v>
      </c>
      <c r="H56" s="18"/>
      <c r="M56" s="45" t="s">
        <v>134</v>
      </c>
      <c r="N56" s="191">
        <f>N54/N60</f>
        <v>3.8476985910389011E-4</v>
      </c>
    </row>
    <row r="57" spans="1:14" x14ac:dyDescent="0.2">
      <c r="B57" s="83"/>
      <c r="C57" s="105"/>
      <c r="D57" s="266"/>
      <c r="E57" s="149"/>
      <c r="F57" s="149"/>
      <c r="G57" s="105"/>
      <c r="H57" s="144"/>
    </row>
    <row r="58" spans="1:14" x14ac:dyDescent="0.2">
      <c r="A58" s="58" t="s">
        <v>8</v>
      </c>
      <c r="B58" s="83">
        <v>158.5296498028882</v>
      </c>
      <c r="C58" s="105">
        <f>C42</f>
        <v>12.826000000000001</v>
      </c>
      <c r="D58" s="266">
        <f>C58*B58/100</f>
        <v>20.333012883718439</v>
      </c>
      <c r="E58" s="149">
        <f>0*B58</f>
        <v>0</v>
      </c>
      <c r="F58" s="149">
        <f>D58+E58</f>
        <v>20.333012883718439</v>
      </c>
      <c r="G58" s="105">
        <f>F58/B58*100</f>
        <v>12.825999999999999</v>
      </c>
      <c r="H58" s="18"/>
      <c r="M58" s="45" t="s">
        <v>144</v>
      </c>
      <c r="N58" s="191">
        <f>0.0277+N56</f>
        <v>2.8084769859103888E-2</v>
      </c>
    </row>
    <row r="59" spans="1:14" x14ac:dyDescent="0.2">
      <c r="A59" s="58" t="s">
        <v>122</v>
      </c>
      <c r="B59" s="83">
        <v>24.911802111882459</v>
      </c>
      <c r="C59" s="105">
        <f>C43</f>
        <v>14.569000000000001</v>
      </c>
      <c r="D59" s="266">
        <f>C59*B59/100</f>
        <v>3.6294004496801557</v>
      </c>
      <c r="E59" s="149">
        <f>0*B59</f>
        <v>0</v>
      </c>
      <c r="F59" s="149">
        <f>D59+E59</f>
        <v>3.6294004496801557</v>
      </c>
      <c r="G59" s="105">
        <f>F59/B59*100</f>
        <v>14.569000000000001</v>
      </c>
      <c r="H59" s="18"/>
    </row>
    <row r="60" spans="1:14" x14ac:dyDescent="0.2">
      <c r="A60" s="78" t="s">
        <v>123</v>
      </c>
      <c r="B60" s="83">
        <v>27.17651139478092</v>
      </c>
      <c r="C60" s="105">
        <f>C44</f>
        <v>14.569000000000001</v>
      </c>
      <c r="D60" s="266">
        <f>C60*B60/100</f>
        <v>3.9593459451056328</v>
      </c>
      <c r="E60" s="149">
        <f>0*B60</f>
        <v>0</v>
      </c>
      <c r="F60" s="149">
        <f>D60+E60</f>
        <v>3.9593459451056328</v>
      </c>
      <c r="G60" s="105">
        <f>F60/B60*100</f>
        <v>14.569000000000001</v>
      </c>
      <c r="H60" s="18"/>
      <c r="M60" s="45" t="s">
        <v>221</v>
      </c>
      <c r="N60" s="234">
        <v>12862.547024021324</v>
      </c>
    </row>
    <row r="61" spans="1:14" x14ac:dyDescent="0.2">
      <c r="A61" s="78" t="s">
        <v>169</v>
      </c>
      <c r="B61" s="83">
        <v>11.323546414492002</v>
      </c>
      <c r="C61" s="105">
        <f>C45</f>
        <v>14.569000000000001</v>
      </c>
      <c r="D61" s="266">
        <f>C61*B61/100</f>
        <v>1.6497274771273398</v>
      </c>
      <c r="E61" s="149">
        <f>0*B61</f>
        <v>0</v>
      </c>
      <c r="F61" s="149">
        <f>D61+E61</f>
        <v>1.6497274771273398</v>
      </c>
      <c r="G61" s="105">
        <f>F61/B61*100</f>
        <v>14.569000000000001</v>
      </c>
      <c r="H61" s="18"/>
    </row>
    <row r="62" spans="1:14" x14ac:dyDescent="0.2">
      <c r="A62" s="78" t="s">
        <v>170</v>
      </c>
      <c r="B62" s="83">
        <v>4.5294185657968207</v>
      </c>
      <c r="C62" s="105">
        <f>C46</f>
        <v>14.569000000000001</v>
      </c>
      <c r="D62" s="266">
        <f>C62*B62/100</f>
        <v>0.65989099085093883</v>
      </c>
      <c r="E62" s="149">
        <f>0*B62</f>
        <v>0</v>
      </c>
      <c r="F62" s="149">
        <f>D62+E62</f>
        <v>0.65989099085093883</v>
      </c>
      <c r="G62" s="105">
        <f>F62/B62*100</f>
        <v>14.569000000000001</v>
      </c>
      <c r="H62" s="18"/>
    </row>
    <row r="63" spans="1:14" x14ac:dyDescent="0.2">
      <c r="A63" s="78" t="s">
        <v>124</v>
      </c>
      <c r="B63" s="83">
        <v>9.2001030080569951E-2</v>
      </c>
      <c r="C63" s="237" t="s">
        <v>72</v>
      </c>
      <c r="D63" s="298">
        <v>6.0669340693555876E-3</v>
      </c>
      <c r="E63" s="298" t="s">
        <v>72</v>
      </c>
      <c r="F63" s="298">
        <f>D63</f>
        <v>6.0669340693555876E-3</v>
      </c>
      <c r="G63" s="237" t="s">
        <v>72</v>
      </c>
      <c r="H63" s="18"/>
    </row>
    <row r="64" spans="1:14" x14ac:dyDescent="0.2">
      <c r="A64" s="78"/>
      <c r="B64" s="83"/>
      <c r="C64" s="239"/>
      <c r="D64" s="297"/>
      <c r="E64" s="297"/>
      <c r="F64" s="149"/>
      <c r="G64" s="241"/>
      <c r="H64" s="18"/>
    </row>
    <row r="65" spans="1:14" x14ac:dyDescent="0.2">
      <c r="A65" s="277" t="s">
        <v>174</v>
      </c>
      <c r="B65" s="278">
        <f>SUM(B51:B63)-B56-B63</f>
        <v>469.19003361088465</v>
      </c>
      <c r="C65" s="280">
        <f>D65/B65*100</f>
        <v>13.462063530964105</v>
      </c>
      <c r="D65" s="279">
        <f>SUM(D51:D63)</f>
        <v>63.162660405649127</v>
      </c>
      <c r="E65" s="279">
        <f>SUM(E51:E63)</f>
        <v>0</v>
      </c>
      <c r="F65" s="279">
        <f>SUM(F51:F63)</f>
        <v>63.162660405649127</v>
      </c>
      <c r="G65" s="280">
        <f>F65/B65*100</f>
        <v>13.462063530964105</v>
      </c>
      <c r="H65" s="281">
        <f>(G65-C65)/C65</f>
        <v>0</v>
      </c>
    </row>
    <row r="66" spans="1:14" x14ac:dyDescent="0.2">
      <c r="A66" s="12"/>
      <c r="B66" s="87"/>
      <c r="C66" s="107"/>
      <c r="D66" s="107"/>
      <c r="E66" s="87"/>
      <c r="F66" s="87"/>
      <c r="G66" s="87"/>
      <c r="H66" s="45"/>
    </row>
    <row r="67" spans="1:14" ht="13.5" thickBot="1" x14ac:dyDescent="0.25">
      <c r="A67" s="119" t="s">
        <v>76</v>
      </c>
      <c r="B67" s="158">
        <f>B49+B65</f>
        <v>6396.4980060188745</v>
      </c>
      <c r="C67" s="240">
        <f>D67/B67*100</f>
        <v>13.896405853144495</v>
      </c>
      <c r="D67" s="220">
        <f>D49+D65</f>
        <v>888.88332330467779</v>
      </c>
      <c r="E67" s="220">
        <f>E49+E65</f>
        <v>173.16894063647058</v>
      </c>
      <c r="F67" s="220">
        <f>F49+F65</f>
        <v>1062.0522639411483</v>
      </c>
      <c r="G67" s="242">
        <f>F67/B67*100</f>
        <v>16.603651919250119</v>
      </c>
      <c r="H67" s="106">
        <f>(G67-C67)/C67</f>
        <v>0.19481627801573059</v>
      </c>
    </row>
    <row r="68" spans="1:14" ht="13.5" thickTop="1" x14ac:dyDescent="0.2">
      <c r="A68" s="282"/>
      <c r="B68" s="196"/>
      <c r="C68" s="248"/>
      <c r="D68" s="283"/>
      <c r="E68" s="283"/>
      <c r="F68" s="283"/>
      <c r="G68" s="257"/>
      <c r="H68" s="23"/>
    </row>
    <row r="69" spans="1:14" x14ac:dyDescent="0.2">
      <c r="A69" s="282"/>
      <c r="B69" s="196"/>
      <c r="C69" s="248"/>
      <c r="D69" s="283"/>
      <c r="E69" s="283"/>
      <c r="F69" s="283"/>
      <c r="G69" s="257"/>
      <c r="H69" s="23"/>
    </row>
    <row r="70" spans="1:14" x14ac:dyDescent="0.2">
      <c r="A70" s="282"/>
      <c r="B70" s="196"/>
      <c r="C70" s="248"/>
      <c r="D70" s="283"/>
      <c r="E70" s="283"/>
      <c r="F70" s="283"/>
      <c r="G70" s="257"/>
      <c r="H70" s="23"/>
    </row>
    <row r="71" spans="1:14" x14ac:dyDescent="0.2">
      <c r="H71" s="45" t="s">
        <v>130</v>
      </c>
    </row>
    <row r="72" spans="1:14" ht="20.25" x14ac:dyDescent="0.3">
      <c r="A72" s="312" t="s">
        <v>9</v>
      </c>
      <c r="B72" s="312"/>
      <c r="C72" s="312"/>
      <c r="D72" s="312"/>
      <c r="E72" s="312"/>
      <c r="F72" s="312"/>
      <c r="G72" s="312"/>
      <c r="H72" s="312"/>
      <c r="M72" s="45"/>
      <c r="N72" s="191"/>
    </row>
    <row r="73" spans="1:14" ht="20.25" x14ac:dyDescent="0.3">
      <c r="A73" s="312" t="s">
        <v>41</v>
      </c>
      <c r="B73" s="312"/>
      <c r="C73" s="312"/>
      <c r="D73" s="312"/>
      <c r="E73" s="312"/>
      <c r="F73" s="312"/>
      <c r="G73" s="312"/>
      <c r="H73" s="312"/>
    </row>
    <row r="74" spans="1:14" ht="13.5" thickBot="1" x14ac:dyDescent="0.25">
      <c r="A74" s="63"/>
      <c r="B74" s="63"/>
      <c r="C74" s="63"/>
      <c r="D74" s="63"/>
      <c r="E74" s="63"/>
      <c r="F74" s="63"/>
      <c r="G74" s="63"/>
      <c r="H74" s="63"/>
    </row>
    <row r="75" spans="1:14" x14ac:dyDescent="0.2">
      <c r="A75" s="215" t="s">
        <v>138</v>
      </c>
      <c r="B75" s="216"/>
      <c r="C75" s="217"/>
      <c r="D75" s="63"/>
      <c r="E75" s="63"/>
      <c r="F75" s="63"/>
      <c r="G75" s="63"/>
      <c r="H75" s="63"/>
    </row>
    <row r="76" spans="1:14" x14ac:dyDescent="0.2">
      <c r="A76" s="41"/>
      <c r="B76" s="31"/>
      <c r="C76" s="32"/>
      <c r="D76" s="63"/>
      <c r="E76" s="63"/>
      <c r="F76" s="63"/>
      <c r="G76" s="63"/>
      <c r="H76" s="63"/>
    </row>
    <row r="77" spans="1:14" x14ac:dyDescent="0.2">
      <c r="A77" s="42" t="s">
        <v>54</v>
      </c>
      <c r="B77" s="31"/>
      <c r="C77" s="32"/>
      <c r="D77" s="63"/>
      <c r="E77" s="63"/>
      <c r="F77" s="63"/>
      <c r="G77" s="63"/>
      <c r="H77" s="63"/>
    </row>
    <row r="78" spans="1:14" x14ac:dyDescent="0.2">
      <c r="A78" s="43" t="s">
        <v>108</v>
      </c>
      <c r="B78" s="31"/>
      <c r="C78" s="169">
        <f>B14</f>
        <v>6.5</v>
      </c>
      <c r="D78" s="63"/>
      <c r="E78" s="63"/>
      <c r="F78" s="63"/>
      <c r="G78" s="63"/>
      <c r="H78" s="63"/>
    </row>
    <row r="79" spans="1:14" x14ac:dyDescent="0.2">
      <c r="A79" s="43" t="s">
        <v>109</v>
      </c>
      <c r="B79" s="31"/>
      <c r="C79" s="169">
        <f>B15</f>
        <v>6.5</v>
      </c>
      <c r="D79" s="63"/>
      <c r="E79" s="63"/>
      <c r="F79" s="63"/>
      <c r="G79" s="63"/>
      <c r="H79" s="63"/>
    </row>
    <row r="80" spans="1:14" x14ac:dyDescent="0.2">
      <c r="A80" s="43" t="s">
        <v>110</v>
      </c>
      <c r="B80" s="31"/>
      <c r="C80" s="169">
        <f>B16</f>
        <v>10.293178221350482</v>
      </c>
      <c r="D80" s="63"/>
      <c r="E80" s="63"/>
      <c r="F80" s="63"/>
      <c r="G80" s="63"/>
      <c r="H80" s="63"/>
    </row>
    <row r="81" spans="1:19" x14ac:dyDescent="0.2">
      <c r="A81" s="43" t="s">
        <v>111</v>
      </c>
      <c r="B81" s="31"/>
      <c r="C81" s="169">
        <f>B17</f>
        <v>14.087771825136597</v>
      </c>
      <c r="D81" s="63"/>
      <c r="E81" s="63"/>
      <c r="F81" s="63"/>
      <c r="G81" s="63"/>
      <c r="H81" s="63"/>
    </row>
    <row r="82" spans="1:19" x14ac:dyDescent="0.2">
      <c r="A82" s="43" t="s">
        <v>181</v>
      </c>
      <c r="B82" s="31"/>
      <c r="C82" s="169">
        <f>B18</f>
        <v>17.888223528109485</v>
      </c>
      <c r="D82" s="63"/>
      <c r="E82" s="63"/>
      <c r="F82" s="63"/>
      <c r="G82" s="63"/>
      <c r="H82" s="63"/>
    </row>
    <row r="83" spans="1:19" x14ac:dyDescent="0.2">
      <c r="A83" s="40"/>
      <c r="B83" s="31"/>
      <c r="C83" s="65"/>
      <c r="D83" s="63"/>
      <c r="E83" s="63"/>
      <c r="F83" s="63"/>
      <c r="G83" s="63"/>
      <c r="H83" s="63"/>
    </row>
    <row r="84" spans="1:19" x14ac:dyDescent="0.2">
      <c r="A84" s="42" t="s">
        <v>139</v>
      </c>
      <c r="B84" s="31"/>
      <c r="C84" s="32"/>
      <c r="D84" s="63"/>
      <c r="E84" s="63"/>
      <c r="F84" s="63"/>
      <c r="G84" s="63"/>
      <c r="H84" s="63"/>
    </row>
    <row r="85" spans="1:19" x14ac:dyDescent="0.2">
      <c r="A85" s="43" t="s">
        <v>42</v>
      </c>
      <c r="B85" s="99"/>
      <c r="C85" s="97">
        <f>B21</f>
        <v>0.47999999999999937</v>
      </c>
      <c r="D85" s="63"/>
      <c r="E85" s="63"/>
      <c r="F85" s="63"/>
      <c r="G85" s="63"/>
      <c r="H85" s="63"/>
    </row>
    <row r="86" spans="1:19" x14ac:dyDescent="0.2">
      <c r="A86" s="43" t="s">
        <v>43</v>
      </c>
      <c r="B86" s="99"/>
      <c r="C86" s="97">
        <f>B22</f>
        <v>0.11000000000000011</v>
      </c>
      <c r="D86" s="63"/>
      <c r="E86" s="63"/>
      <c r="F86" s="63"/>
      <c r="G86" s="63"/>
      <c r="H86" s="63"/>
    </row>
    <row r="87" spans="1:19" x14ac:dyDescent="0.2">
      <c r="A87" s="43" t="s">
        <v>44</v>
      </c>
      <c r="B87" s="99"/>
      <c r="C87" s="97">
        <f>B23</f>
        <v>0.17000000000000018</v>
      </c>
      <c r="D87" s="63"/>
      <c r="E87" s="63"/>
      <c r="F87" s="63"/>
      <c r="G87" s="63"/>
      <c r="H87" s="63"/>
    </row>
    <row r="88" spans="1:19" x14ac:dyDescent="0.2">
      <c r="A88" s="43" t="s">
        <v>45</v>
      </c>
      <c r="B88" s="99"/>
      <c r="C88" s="97">
        <f>B24</f>
        <v>0.12000000000000018</v>
      </c>
      <c r="D88" s="63"/>
      <c r="E88" s="63"/>
      <c r="F88" s="63"/>
      <c r="G88" s="63"/>
      <c r="H88" s="63"/>
    </row>
    <row r="89" spans="1:19" ht="13.5" thickBot="1" x14ac:dyDescent="0.25">
      <c r="A89" s="80" t="s">
        <v>180</v>
      </c>
      <c r="B89" s="100"/>
      <c r="C89" s="98">
        <f>B24</f>
        <v>0.12000000000000018</v>
      </c>
      <c r="D89" s="63"/>
      <c r="E89" s="63"/>
      <c r="F89" s="63"/>
      <c r="G89" s="63"/>
      <c r="H89" s="63"/>
    </row>
    <row r="90" spans="1:19" ht="13.5" thickBot="1" x14ac:dyDescent="0.25">
      <c r="A90" s="63"/>
      <c r="B90" s="63"/>
      <c r="C90" s="63"/>
      <c r="D90" s="63"/>
      <c r="E90" s="63"/>
      <c r="F90" s="63"/>
      <c r="G90" s="63"/>
      <c r="H90" s="63"/>
    </row>
    <row r="91" spans="1:19" ht="64.5" thickBot="1" x14ac:dyDescent="0.25">
      <c r="A91" s="2" t="s">
        <v>0</v>
      </c>
      <c r="B91" s="3" t="s">
        <v>46</v>
      </c>
      <c r="C91" s="3" t="s">
        <v>86</v>
      </c>
      <c r="D91" s="3" t="s">
        <v>51</v>
      </c>
      <c r="E91" s="3" t="s">
        <v>186</v>
      </c>
      <c r="F91" s="3" t="s">
        <v>6</v>
      </c>
      <c r="G91" s="3" t="s">
        <v>47</v>
      </c>
      <c r="H91" s="3" t="s">
        <v>48</v>
      </c>
    </row>
    <row r="92" spans="1:19" x14ac:dyDescent="0.2">
      <c r="A92" s="12"/>
      <c r="B92" s="87"/>
      <c r="C92" s="87"/>
      <c r="D92" s="87"/>
      <c r="E92" s="87"/>
      <c r="F92" s="87"/>
      <c r="G92" s="87"/>
      <c r="H92" s="45"/>
      <c r="M92" s="31"/>
      <c r="N92" s="31"/>
      <c r="O92" s="31"/>
      <c r="P92" s="31"/>
      <c r="Q92" s="31"/>
      <c r="R92" s="31"/>
      <c r="S92" s="31"/>
    </row>
    <row r="93" spans="1:19" x14ac:dyDescent="0.2">
      <c r="A93" s="44" t="s">
        <v>58</v>
      </c>
      <c r="B93" s="25"/>
      <c r="C93" s="26"/>
      <c r="D93" s="25"/>
      <c r="E93" s="25"/>
      <c r="F93" s="25"/>
      <c r="G93" s="26"/>
      <c r="H93" s="25"/>
      <c r="M93" s="31"/>
      <c r="N93" s="31"/>
      <c r="O93" s="31"/>
      <c r="P93" s="31"/>
      <c r="Q93" s="31"/>
      <c r="R93" s="31"/>
      <c r="S93" s="31"/>
    </row>
    <row r="94" spans="1:19" x14ac:dyDescent="0.2">
      <c r="A94" s="44"/>
      <c r="B94" s="25"/>
      <c r="C94" s="26"/>
      <c r="D94" s="25"/>
      <c r="E94" s="25"/>
      <c r="F94" s="25"/>
      <c r="G94" s="26"/>
      <c r="H94" s="25"/>
      <c r="M94" s="31"/>
      <c r="N94" s="31"/>
      <c r="O94" s="31"/>
      <c r="P94" s="31"/>
      <c r="Q94" s="31"/>
      <c r="R94" s="31"/>
      <c r="S94" s="31"/>
    </row>
    <row r="95" spans="1:19" x14ac:dyDescent="0.2">
      <c r="A95" s="77" t="s">
        <v>12</v>
      </c>
      <c r="B95" s="25"/>
      <c r="C95" s="26"/>
      <c r="D95" s="25"/>
      <c r="E95" s="25"/>
      <c r="F95" s="25"/>
      <c r="G95" s="26"/>
      <c r="H95" s="25"/>
      <c r="M95" s="23"/>
      <c r="N95" s="128"/>
      <c r="O95" s="128"/>
      <c r="P95" s="209"/>
      <c r="Q95" s="128"/>
      <c r="R95" s="31"/>
      <c r="S95" s="128"/>
    </row>
    <row r="96" spans="1:19" x14ac:dyDescent="0.2">
      <c r="A96" s="12" t="s">
        <v>125</v>
      </c>
      <c r="B96" s="25"/>
      <c r="C96" s="26"/>
      <c r="D96" s="25"/>
      <c r="E96" s="25"/>
      <c r="F96" s="25"/>
      <c r="G96" s="26"/>
      <c r="H96" s="25"/>
      <c r="M96" s="23"/>
      <c r="N96" s="128"/>
      <c r="O96" s="128"/>
      <c r="P96" s="209"/>
      <c r="Q96" s="128"/>
      <c r="R96" s="31"/>
      <c r="S96" s="128"/>
    </row>
    <row r="97" spans="1:19" x14ac:dyDescent="0.2">
      <c r="A97" s="96" t="s">
        <v>10</v>
      </c>
      <c r="B97" s="82">
        <f>0.296361052*0.984</f>
        <v>0.29161927516800001</v>
      </c>
      <c r="C97" s="243">
        <f>8.88</f>
        <v>8.8800000000000008</v>
      </c>
      <c r="D97" s="149">
        <f>C97*B97/100</f>
        <v>2.58957916349184E-2</v>
      </c>
      <c r="E97" s="149">
        <f>0*B97</f>
        <v>0</v>
      </c>
      <c r="F97" s="149">
        <f>D97+E97</f>
        <v>2.58957916349184E-2</v>
      </c>
      <c r="G97" s="105">
        <f>F97/B97*100</f>
        <v>8.8800000000000008</v>
      </c>
      <c r="H97" s="12"/>
      <c r="M97" s="127"/>
      <c r="N97" s="128"/>
      <c r="O97" s="128"/>
      <c r="P97" s="128"/>
      <c r="Q97" s="128"/>
      <c r="R97" s="31"/>
      <c r="S97" s="128"/>
    </row>
    <row r="98" spans="1:19" x14ac:dyDescent="0.2">
      <c r="A98" s="96" t="s">
        <v>59</v>
      </c>
      <c r="B98" s="82">
        <f>2.024398948*0.984</f>
        <v>1.9920085648319998</v>
      </c>
      <c r="C98" s="243">
        <f>7.18</f>
        <v>7.18</v>
      </c>
      <c r="D98" s="149">
        <f>C98*B98/100</f>
        <v>0.14302621495493759</v>
      </c>
      <c r="E98" s="149">
        <f>0*B98</f>
        <v>0</v>
      </c>
      <c r="F98" s="149">
        <f>D98+E98</f>
        <v>0.14302621495493759</v>
      </c>
      <c r="G98" s="105">
        <f>F98/B98*100</f>
        <v>7.1800000000000006</v>
      </c>
      <c r="H98" s="12"/>
      <c r="M98" s="129"/>
      <c r="N98" s="132"/>
      <c r="O98" s="132"/>
      <c r="P98" s="31"/>
      <c r="Q98" s="210"/>
      <c r="R98" s="31"/>
      <c r="S98" s="121"/>
    </row>
    <row r="99" spans="1:19" x14ac:dyDescent="0.2">
      <c r="A99" s="96" t="s">
        <v>60</v>
      </c>
      <c r="B99" s="82">
        <f>0.281740264*0.984</f>
        <v>0.27723241977599999</v>
      </c>
      <c r="C99" s="243">
        <f>7.379</f>
        <v>7.3789999999999996</v>
      </c>
      <c r="D99" s="149">
        <f>C99*B99/100</f>
        <v>2.0456980255271037E-2</v>
      </c>
      <c r="E99" s="149">
        <f>0*B99</f>
        <v>0</v>
      </c>
      <c r="F99" s="149">
        <f>D99+E99</f>
        <v>2.0456980255271037E-2</v>
      </c>
      <c r="G99" s="105">
        <f>F99/B99*100</f>
        <v>7.3789999999999996</v>
      </c>
      <c r="H99" s="12"/>
      <c r="M99" s="129"/>
      <c r="N99" s="132"/>
      <c r="O99" s="132"/>
      <c r="P99" s="31"/>
      <c r="Q99" s="210"/>
      <c r="R99" s="31"/>
      <c r="S99" s="121"/>
    </row>
    <row r="100" spans="1:19" x14ac:dyDescent="0.2">
      <c r="A100" s="96" t="s">
        <v>61</v>
      </c>
      <c r="B100" s="170">
        <f>2.039019736*0.984</f>
        <v>2.006395420224</v>
      </c>
      <c r="C100" s="243">
        <f>7.18</f>
        <v>7.18</v>
      </c>
      <c r="D100" s="149">
        <f>C100*B100/100</f>
        <v>0.14405919117208318</v>
      </c>
      <c r="E100" s="149">
        <f>0*B100</f>
        <v>0</v>
      </c>
      <c r="F100" s="149">
        <f>D100+E100</f>
        <v>0.14405919117208318</v>
      </c>
      <c r="G100" s="105">
        <f>F100/B100*100</f>
        <v>7.1799999999999988</v>
      </c>
      <c r="H100" s="12"/>
      <c r="M100" s="129"/>
      <c r="N100" s="132"/>
      <c r="O100" s="132"/>
      <c r="P100" s="31"/>
      <c r="Q100" s="210"/>
      <c r="R100" s="31"/>
      <c r="S100" s="121"/>
    </row>
    <row r="101" spans="1:19" x14ac:dyDescent="0.2">
      <c r="A101" s="78"/>
      <c r="B101" s="82"/>
      <c r="C101" s="243"/>
      <c r="D101" s="149"/>
      <c r="E101" s="149"/>
      <c r="F101" s="149"/>
      <c r="G101" s="105"/>
      <c r="H101" s="12"/>
      <c r="M101" s="129"/>
      <c r="N101" s="132"/>
      <c r="O101" s="132"/>
      <c r="P101" s="31"/>
      <c r="Q101" s="210"/>
      <c r="R101" s="31"/>
      <c r="S101" s="121"/>
    </row>
    <row r="102" spans="1:19" x14ac:dyDescent="0.2">
      <c r="A102" s="78" t="s">
        <v>77</v>
      </c>
      <c r="B102" s="170">
        <f>2.33468456*0.984</f>
        <v>2.29732960704</v>
      </c>
      <c r="C102" s="243">
        <v>-1.0509999999999999</v>
      </c>
      <c r="D102" s="149">
        <f>C102*B102/100</f>
        <v>-2.41449341699904E-2</v>
      </c>
      <c r="E102" s="149" t="s">
        <v>72</v>
      </c>
      <c r="F102" s="149">
        <f>D102</f>
        <v>-2.41449341699904E-2</v>
      </c>
      <c r="G102" s="105">
        <f>F102/B102*100</f>
        <v>-1.0509999999999999</v>
      </c>
      <c r="H102" s="12"/>
      <c r="M102" s="23"/>
      <c r="N102" s="132"/>
      <c r="O102" s="132"/>
      <c r="P102" s="31"/>
      <c r="Q102" s="31"/>
      <c r="R102" s="31"/>
      <c r="S102" s="211"/>
    </row>
    <row r="103" spans="1:19" x14ac:dyDescent="0.2">
      <c r="A103" s="93"/>
      <c r="B103" s="82"/>
      <c r="C103" s="243"/>
      <c r="D103" s="149"/>
      <c r="E103" s="149"/>
      <c r="F103" s="149"/>
      <c r="G103" s="105"/>
      <c r="H103" s="12"/>
      <c r="M103" s="23"/>
      <c r="N103" s="31"/>
      <c r="O103" s="31"/>
      <c r="P103" s="31"/>
      <c r="Q103" s="31"/>
      <c r="R103" s="31"/>
      <c r="S103" s="31"/>
    </row>
    <row r="104" spans="1:19" x14ac:dyDescent="0.2">
      <c r="A104" s="93" t="s">
        <v>182</v>
      </c>
      <c r="B104" s="185"/>
      <c r="C104" s="244"/>
      <c r="D104" s="194"/>
      <c r="E104" s="149"/>
      <c r="F104" s="149"/>
      <c r="G104" s="246"/>
      <c r="H104" s="12"/>
      <c r="M104" s="23"/>
      <c r="N104" s="134"/>
      <c r="O104" s="134"/>
      <c r="P104" s="17"/>
      <c r="Q104" s="212"/>
      <c r="R104" s="31"/>
      <c r="S104" s="111"/>
    </row>
    <row r="105" spans="1:19" x14ac:dyDescent="0.2">
      <c r="A105" s="58" t="s">
        <v>1</v>
      </c>
      <c r="B105" s="170">
        <f>SUM($B$97:$B$100)*B21</f>
        <v>2.1922827263999971</v>
      </c>
      <c r="C105" s="245">
        <v>6.5</v>
      </c>
      <c r="D105" s="194">
        <f>C105*B105/100</f>
        <v>0.14249837721599981</v>
      </c>
      <c r="E105" s="149">
        <f>B105*(B14-C105)/100</f>
        <v>0</v>
      </c>
      <c r="F105" s="149">
        <f>E105+D105</f>
        <v>0.14249837721599981</v>
      </c>
      <c r="G105" s="105">
        <f>F105/B105*100</f>
        <v>6.5</v>
      </c>
      <c r="H105" s="12"/>
      <c r="M105" s="23"/>
      <c r="N105" s="134"/>
      <c r="O105" s="134"/>
      <c r="P105" s="17"/>
      <c r="Q105" s="212"/>
      <c r="R105" s="31"/>
      <c r="S105" s="111"/>
    </row>
    <row r="106" spans="1:19" x14ac:dyDescent="0.2">
      <c r="A106" s="58" t="s">
        <v>7</v>
      </c>
      <c r="B106" s="170">
        <f>SUM($B$97:$B$100)*B22</f>
        <v>0.50239812480000046</v>
      </c>
      <c r="C106" s="245">
        <v>6.5</v>
      </c>
      <c r="D106" s="194">
        <f>C106*B106/100</f>
        <v>3.2655878112000034E-2</v>
      </c>
      <c r="E106" s="149">
        <f>B106*(B15-C106)/100</f>
        <v>0</v>
      </c>
      <c r="F106" s="149">
        <f>E106+D106</f>
        <v>3.2655878112000034E-2</v>
      </c>
      <c r="G106" s="105">
        <f>F106/B106*100</f>
        <v>6.5</v>
      </c>
      <c r="H106" s="12"/>
      <c r="M106" s="213"/>
      <c r="N106" s="31"/>
      <c r="O106" s="31"/>
      <c r="P106" s="31"/>
      <c r="Q106" s="31"/>
      <c r="R106" s="31"/>
      <c r="S106" s="211"/>
    </row>
    <row r="107" spans="1:19" x14ac:dyDescent="0.2">
      <c r="A107" s="78" t="s">
        <v>2</v>
      </c>
      <c r="B107" s="170">
        <f>SUM($B$97:$B$100)*B23</f>
        <v>0.77643346560000082</v>
      </c>
      <c r="C107" s="245">
        <v>6.5</v>
      </c>
      <c r="D107" s="194">
        <f>C107*B107/100</f>
        <v>5.0468175264000055E-2</v>
      </c>
      <c r="E107" s="149">
        <f>B107*(B16-C107)/100</f>
        <v>2.945150512041602E-2</v>
      </c>
      <c r="F107" s="149">
        <f>E107+D107</f>
        <v>7.9919680384416075E-2</v>
      </c>
      <c r="G107" s="105">
        <f>F107/B107*100</f>
        <v>10.293178221350482</v>
      </c>
      <c r="H107" s="12"/>
      <c r="M107" s="213"/>
      <c r="N107" s="31"/>
      <c r="O107" s="31"/>
      <c r="P107" s="31"/>
      <c r="Q107" s="31"/>
      <c r="R107" s="31"/>
      <c r="S107" s="214"/>
    </row>
    <row r="108" spans="1:19" x14ac:dyDescent="0.2">
      <c r="A108" s="78" t="s">
        <v>3</v>
      </c>
      <c r="B108" s="170">
        <f>SUM($B$97:$B$100)*B24</f>
        <v>0.54807068160000072</v>
      </c>
      <c r="C108" s="245">
        <v>6.5</v>
      </c>
      <c r="D108" s="194">
        <f>C108*B108/100</f>
        <v>3.5624594304000043E-2</v>
      </c>
      <c r="E108" s="149">
        <f>B108*(B17-C108)/100</f>
        <v>4.1586352760278958E-2</v>
      </c>
      <c r="F108" s="149">
        <f>E108+D108</f>
        <v>7.7210947064279001E-2</v>
      </c>
      <c r="G108" s="105">
        <f>F108/B108*100</f>
        <v>14.087771825136597</v>
      </c>
      <c r="H108" s="12"/>
      <c r="M108" s="213"/>
      <c r="N108" s="31"/>
      <c r="O108" s="31"/>
      <c r="P108" s="31"/>
      <c r="Q108" s="31"/>
      <c r="R108" s="127"/>
      <c r="S108" s="31"/>
    </row>
    <row r="109" spans="1:19" x14ac:dyDescent="0.2">
      <c r="A109" s="78" t="s">
        <v>170</v>
      </c>
      <c r="B109" s="170">
        <f>SUM($B$97:$B$100)*B25</f>
        <v>0.54807068160000072</v>
      </c>
      <c r="C109" s="245">
        <v>6.5</v>
      </c>
      <c r="D109" s="194">
        <f>C109*B109/100</f>
        <v>3.5624594304000043E-2</v>
      </c>
      <c r="E109" s="149">
        <f>B109*(B18-C109)/100</f>
        <v>6.2415514312641307E-2</v>
      </c>
      <c r="F109" s="149">
        <f>E109+D109</f>
        <v>9.804010861664135E-2</v>
      </c>
      <c r="G109" s="105">
        <f>F109/B109*100</f>
        <v>17.888223528109485</v>
      </c>
      <c r="H109" s="12"/>
      <c r="M109" s="213"/>
      <c r="N109" s="31"/>
      <c r="O109" s="31"/>
      <c r="P109" s="31"/>
      <c r="Q109" s="31"/>
      <c r="R109" s="127"/>
      <c r="S109" s="31"/>
    </row>
    <row r="110" spans="1:19" x14ac:dyDescent="0.2">
      <c r="A110" s="93"/>
      <c r="B110" s="82"/>
      <c r="C110" s="243"/>
      <c r="D110" s="149"/>
      <c r="E110" s="24"/>
      <c r="F110" s="149"/>
      <c r="G110" s="105"/>
      <c r="H110" s="12"/>
      <c r="M110" s="129"/>
      <c r="N110" s="132"/>
      <c r="O110" s="132"/>
      <c r="P110" s="31"/>
      <c r="Q110" s="210"/>
      <c r="R110" s="31"/>
      <c r="S110" s="121"/>
    </row>
    <row r="111" spans="1:19" ht="13.5" thickBot="1" x14ac:dyDescent="0.25">
      <c r="A111" s="146" t="s">
        <v>62</v>
      </c>
      <c r="B111" s="158">
        <f>SUM(B97:B100)</f>
        <v>4.5672556799999997</v>
      </c>
      <c r="C111" s="242">
        <f>D111/B111*100</f>
        <v>13.271971299999999</v>
      </c>
      <c r="D111" s="193">
        <f>SUM(D97:D109)</f>
        <v>0.60616486304721973</v>
      </c>
      <c r="E111" s="193">
        <f>SUM(E97:E109)</f>
        <v>0.13345337219333628</v>
      </c>
      <c r="F111" s="193">
        <f>SUM(F97:F109)</f>
        <v>0.73961823524055603</v>
      </c>
      <c r="G111" s="242">
        <f>F111/B111*100</f>
        <v>16.193931040019113</v>
      </c>
      <c r="H111" s="148">
        <f>(G111-C111)/C111</f>
        <v>0.22016019127611541</v>
      </c>
      <c r="M111" s="213"/>
      <c r="N111" s="31"/>
      <c r="O111" s="31"/>
      <c r="P111" s="31"/>
      <c r="Q111" s="31"/>
      <c r="R111" s="127"/>
      <c r="S111" s="31"/>
    </row>
    <row r="112" spans="1:19" ht="13.5" thickTop="1" x14ac:dyDescent="0.2">
      <c r="A112" s="12"/>
      <c r="B112" s="157"/>
      <c r="C112" s="110"/>
      <c r="D112" s="155"/>
      <c r="E112" s="221"/>
      <c r="F112" s="149"/>
      <c r="G112" s="95"/>
      <c r="H112" s="12"/>
      <c r="M112" s="188"/>
      <c r="N112" s="31"/>
      <c r="O112" s="31"/>
      <c r="P112" s="31"/>
      <c r="Q112" s="31"/>
      <c r="R112" s="31"/>
      <c r="S112" s="31"/>
    </row>
    <row r="113" spans="1:8" x14ac:dyDescent="0.2">
      <c r="A113" s="12"/>
      <c r="B113" s="99"/>
      <c r="C113" s="110"/>
      <c r="D113" s="155"/>
      <c r="E113" s="149"/>
      <c r="F113" s="149"/>
      <c r="G113" s="95"/>
      <c r="H113" s="12"/>
    </row>
    <row r="114" spans="1:8" x14ac:dyDescent="0.2">
      <c r="A114" s="44" t="s">
        <v>63</v>
      </c>
      <c r="B114" s="94"/>
      <c r="C114" s="95"/>
      <c r="D114" s="194"/>
      <c r="E114" s="149"/>
      <c r="F114" s="149"/>
      <c r="G114" s="95"/>
      <c r="H114" s="12"/>
    </row>
    <row r="115" spans="1:8" x14ac:dyDescent="0.2">
      <c r="A115" s="44"/>
      <c r="B115" s="94"/>
      <c r="C115" s="95"/>
      <c r="D115" s="194"/>
      <c r="E115" s="149"/>
      <c r="F115" s="149"/>
      <c r="G115" s="95"/>
      <c r="H115" s="12"/>
    </row>
    <row r="116" spans="1:8" x14ac:dyDescent="0.2">
      <c r="A116" s="77" t="s">
        <v>12</v>
      </c>
      <c r="B116" s="94"/>
      <c r="C116" s="95"/>
      <c r="D116" s="194"/>
      <c r="E116" s="149"/>
      <c r="F116" s="149"/>
      <c r="G116" s="95"/>
      <c r="H116" s="12"/>
    </row>
    <row r="117" spans="1:8" x14ac:dyDescent="0.2">
      <c r="A117" s="12" t="s">
        <v>120</v>
      </c>
      <c r="B117" s="94"/>
      <c r="C117" s="95"/>
      <c r="D117" s="194"/>
      <c r="E117" s="149"/>
      <c r="F117" s="149"/>
      <c r="G117" s="95"/>
      <c r="H117" s="12"/>
    </row>
    <row r="118" spans="1:8" x14ac:dyDescent="0.2">
      <c r="A118" s="96" t="s">
        <v>10</v>
      </c>
      <c r="B118" s="82">
        <f>4.20207008*0.984</f>
        <v>4.1348369587200002</v>
      </c>
      <c r="C118" s="245">
        <f>8.674</f>
        <v>8.6739999999999995</v>
      </c>
      <c r="D118" s="194">
        <f>C118*B118/100</f>
        <v>0.35865575779937281</v>
      </c>
      <c r="E118" s="149">
        <f>0*B118</f>
        <v>0</v>
      </c>
      <c r="F118" s="149">
        <f>E118+D118</f>
        <v>0.35865575779937281</v>
      </c>
      <c r="G118" s="105">
        <f>F118/B118*100</f>
        <v>8.6739999999999995</v>
      </c>
      <c r="H118" s="12"/>
    </row>
    <row r="119" spans="1:8" x14ac:dyDescent="0.2">
      <c r="A119" s="96" t="s">
        <v>59</v>
      </c>
      <c r="B119" s="82">
        <f>20.66224992*0.984</f>
        <v>20.331653921280001</v>
      </c>
      <c r="C119" s="245">
        <f>7.134</f>
        <v>7.1340000000000003</v>
      </c>
      <c r="D119" s="194">
        <f>C119*B119/100</f>
        <v>1.4504601907441153</v>
      </c>
      <c r="E119" s="149">
        <f>0*B119</f>
        <v>0</v>
      </c>
      <c r="F119" s="149">
        <f>E119+D119</f>
        <v>1.4504601907441153</v>
      </c>
      <c r="G119" s="105">
        <f>F119/B119*100</f>
        <v>7.1340000000000003</v>
      </c>
      <c r="H119" s="12"/>
    </row>
    <row r="120" spans="1:8" x14ac:dyDescent="0.2">
      <c r="A120" s="96" t="s">
        <v>60</v>
      </c>
      <c r="B120" s="82">
        <f>3.545652032*0.984</f>
        <v>3.4889215994880001</v>
      </c>
      <c r="C120" s="245">
        <f>7.315</f>
        <v>7.3150000000000004</v>
      </c>
      <c r="D120" s="194">
        <f>C120*B120/100</f>
        <v>0.25521461500254722</v>
      </c>
      <c r="E120" s="149">
        <f>0*B120</f>
        <v>0</v>
      </c>
      <c r="F120" s="149">
        <f>E120+D120</f>
        <v>0.25521461500254722</v>
      </c>
      <c r="G120" s="105">
        <f>F120/B120*100</f>
        <v>7.3150000000000004</v>
      </c>
      <c r="H120" s="12"/>
    </row>
    <row r="121" spans="1:8" x14ac:dyDescent="0.2">
      <c r="A121" s="96" t="s">
        <v>61</v>
      </c>
      <c r="B121" s="170">
        <f>21.318667968*0.984</f>
        <v>20.977569280512</v>
      </c>
      <c r="C121" s="245">
        <f>7.134</f>
        <v>7.1340000000000003</v>
      </c>
      <c r="D121" s="194">
        <f>C121*B121/100</f>
        <v>1.4965397924717263</v>
      </c>
      <c r="E121" s="149">
        <f>0*B121</f>
        <v>0</v>
      </c>
      <c r="F121" s="149">
        <f>E121+D121</f>
        <v>1.4965397924717263</v>
      </c>
      <c r="G121" s="105">
        <f>F121/B121*100</f>
        <v>7.1340000000000012</v>
      </c>
      <c r="H121" s="12"/>
    </row>
    <row r="122" spans="1:8" x14ac:dyDescent="0.2">
      <c r="A122" s="93"/>
      <c r="B122" s="170"/>
      <c r="C122" s="245"/>
      <c r="D122" s="194"/>
      <c r="E122" s="149"/>
      <c r="F122" s="149"/>
      <c r="G122" s="105"/>
      <c r="H122" s="12"/>
    </row>
    <row r="123" spans="1:8" x14ac:dyDescent="0.2">
      <c r="A123" s="93" t="s">
        <v>121</v>
      </c>
      <c r="B123" s="170"/>
      <c r="C123" s="245"/>
      <c r="D123" s="194"/>
      <c r="E123" s="149"/>
      <c r="F123" s="149"/>
      <c r="G123" s="105"/>
      <c r="H123" s="12"/>
    </row>
    <row r="124" spans="1:8" x14ac:dyDescent="0.2">
      <c r="A124" s="58" t="s">
        <v>1</v>
      </c>
      <c r="B124" s="170">
        <f>SUM($B$118:$B$121)*B21</f>
        <v>23.48783124479997</v>
      </c>
      <c r="C124" s="245">
        <v>6.5</v>
      </c>
      <c r="D124" s="194">
        <f>C124*B124/100</f>
        <v>1.5267090309119982</v>
      </c>
      <c r="E124" s="149">
        <f>B124*(B14-C124)/100</f>
        <v>0</v>
      </c>
      <c r="F124" s="149">
        <f>E124+D124</f>
        <v>1.5267090309119982</v>
      </c>
      <c r="G124" s="105">
        <f>F124/B124*100</f>
        <v>6.5</v>
      </c>
      <c r="H124" s="12"/>
    </row>
    <row r="125" spans="1:8" x14ac:dyDescent="0.2">
      <c r="A125" s="58" t="s">
        <v>7</v>
      </c>
      <c r="B125" s="170">
        <f>SUM($B$118:$B$121)*B22</f>
        <v>5.3826279936000061</v>
      </c>
      <c r="C125" s="245">
        <v>6.5</v>
      </c>
      <c r="D125" s="194">
        <f>C125*B125/100</f>
        <v>0.3498708195840004</v>
      </c>
      <c r="E125" s="149">
        <f>B125*(B15-C125)/100</f>
        <v>0</v>
      </c>
      <c r="F125" s="149">
        <f>E125+D125</f>
        <v>0.3498708195840004</v>
      </c>
      <c r="G125" s="105">
        <f>F125/B125*100</f>
        <v>6.5</v>
      </c>
      <c r="H125" s="12"/>
    </row>
    <row r="126" spans="1:8" x14ac:dyDescent="0.2">
      <c r="A126" s="78" t="s">
        <v>2</v>
      </c>
      <c r="B126" s="170">
        <f>SUM($B$118:$B$121)*B23</f>
        <v>8.3186068992000095</v>
      </c>
      <c r="C126" s="245">
        <v>6.5</v>
      </c>
      <c r="D126" s="194">
        <f>C126*B126/100</f>
        <v>0.54070944844800062</v>
      </c>
      <c r="E126" s="149">
        <f>B126*(B16-C126)/100</f>
        <v>0.31553958522021341</v>
      </c>
      <c r="F126" s="149">
        <f>E126+D126</f>
        <v>0.85624903366821403</v>
      </c>
      <c r="G126" s="105">
        <f>F126/B126*100</f>
        <v>10.293178221350482</v>
      </c>
      <c r="H126" s="12"/>
    </row>
    <row r="127" spans="1:8" x14ac:dyDescent="0.2">
      <c r="A127" s="78" t="s">
        <v>3</v>
      </c>
      <c r="B127" s="170">
        <f>SUM($B$118:$B$121)*B24</f>
        <v>5.8719578112000095</v>
      </c>
      <c r="C127" s="245">
        <v>6.5</v>
      </c>
      <c r="D127" s="194">
        <f>C127*B127/100</f>
        <v>0.3816772577280006</v>
      </c>
      <c r="E127" s="149">
        <f>B127*(B17-C127)/100</f>
        <v>0.44555076038214197</v>
      </c>
      <c r="F127" s="149">
        <f>E127+D127</f>
        <v>0.82722801811014257</v>
      </c>
      <c r="G127" s="105">
        <f>F127/B127*100</f>
        <v>14.087771825136597</v>
      </c>
      <c r="H127" s="12"/>
    </row>
    <row r="128" spans="1:8" x14ac:dyDescent="0.2">
      <c r="A128" s="78" t="s">
        <v>170</v>
      </c>
      <c r="B128" s="170">
        <f>SUM($B$118:$B$121)*B25</f>
        <v>5.8719578112000095</v>
      </c>
      <c r="C128" s="245">
        <v>7.5</v>
      </c>
      <c r="D128" s="194">
        <f>C128*B128/100</f>
        <v>0.44039683584000072</v>
      </c>
      <c r="E128" s="149">
        <f>B128*(B18-C128)/100</f>
        <v>0.60999210290374217</v>
      </c>
      <c r="F128" s="149">
        <f>E128+D128</f>
        <v>1.0503889387437428</v>
      </c>
      <c r="G128" s="105">
        <f>F128/B128*100</f>
        <v>17.888223528109485</v>
      </c>
      <c r="H128" s="12"/>
    </row>
    <row r="129" spans="1:8" x14ac:dyDescent="0.2">
      <c r="A129" s="12"/>
      <c r="B129" s="186"/>
      <c r="C129" s="244"/>
      <c r="D129" s="194"/>
      <c r="E129" s="149"/>
      <c r="F129" s="149"/>
      <c r="G129" s="245"/>
      <c r="H129" s="12"/>
    </row>
    <row r="130" spans="1:8" ht="13.5" thickBot="1" x14ac:dyDescent="0.25">
      <c r="A130" s="146" t="s">
        <v>64</v>
      </c>
      <c r="B130" s="158">
        <f>SUM(B118:B121)</f>
        <v>48.932981760000004</v>
      </c>
      <c r="C130" s="242">
        <f>D130/B130*100</f>
        <v>13.897035300000002</v>
      </c>
      <c r="D130" s="193">
        <f>SUM(D118:D128)</f>
        <v>6.8002337485297621</v>
      </c>
      <c r="E130" s="193">
        <f>SUM(E118:E128)</f>
        <v>1.3710824485060975</v>
      </c>
      <c r="F130" s="193">
        <f>SUM(F118:F128)</f>
        <v>8.1713161970358588</v>
      </c>
      <c r="G130" s="242">
        <f>F130/B130*100</f>
        <v>16.698995040019117</v>
      </c>
      <c r="H130" s="148">
        <f>(G130-C130)/C130</f>
        <v>0.20162284109756229</v>
      </c>
    </row>
    <row r="131" spans="1:8" ht="13.5" thickTop="1" x14ac:dyDescent="0.2">
      <c r="A131" s="12"/>
      <c r="B131" s="94"/>
      <c r="C131" s="95"/>
      <c r="D131" s="15"/>
      <c r="E131" s="149"/>
      <c r="F131" s="16"/>
      <c r="G131" s="95"/>
      <c r="H131" s="12"/>
    </row>
    <row r="132" spans="1:8" x14ac:dyDescent="0.2">
      <c r="A132" s="12"/>
      <c r="B132" s="295"/>
      <c r="D132" s="15"/>
      <c r="E132" s="145"/>
      <c r="F132" s="187"/>
      <c r="G132" s="294"/>
      <c r="H132" s="12"/>
    </row>
    <row r="133" spans="1:8" x14ac:dyDescent="0.2">
      <c r="H133" s="45" t="s">
        <v>131</v>
      </c>
    </row>
    <row r="134" spans="1:8" ht="20.25" x14ac:dyDescent="0.3">
      <c r="A134" s="312" t="s">
        <v>9</v>
      </c>
      <c r="B134" s="312"/>
      <c r="C134" s="312"/>
      <c r="D134" s="312"/>
      <c r="E134" s="312"/>
      <c r="F134" s="312"/>
      <c r="G134" s="312"/>
      <c r="H134" s="312"/>
    </row>
    <row r="135" spans="1:8" ht="20.25" x14ac:dyDescent="0.3">
      <c r="A135" s="312" t="s">
        <v>41</v>
      </c>
      <c r="B135" s="312"/>
      <c r="C135" s="312"/>
      <c r="D135" s="312"/>
      <c r="E135" s="312"/>
      <c r="F135" s="312"/>
      <c r="G135" s="312"/>
      <c r="H135" s="312"/>
    </row>
    <row r="136" spans="1:8" ht="13.5" thickBot="1" x14ac:dyDescent="0.25">
      <c r="A136" s="63"/>
      <c r="B136" s="63"/>
      <c r="C136" s="63"/>
      <c r="D136" s="63"/>
      <c r="E136" s="63"/>
      <c r="F136" s="63"/>
      <c r="G136" s="63"/>
      <c r="H136" s="63"/>
    </row>
    <row r="137" spans="1:8" x14ac:dyDescent="0.2">
      <c r="A137" s="67" t="s">
        <v>65</v>
      </c>
      <c r="B137" s="88"/>
      <c r="C137" s="89"/>
      <c r="D137" s="63"/>
      <c r="E137" s="63"/>
      <c r="F137" s="63"/>
      <c r="G137" s="63"/>
      <c r="H137" s="63"/>
    </row>
    <row r="138" spans="1:8" x14ac:dyDescent="0.2">
      <c r="A138" s="8"/>
      <c r="B138" s="90"/>
      <c r="C138" s="91"/>
      <c r="D138" s="63"/>
      <c r="E138" s="63"/>
      <c r="F138" s="63"/>
      <c r="G138" s="63"/>
      <c r="H138" s="63"/>
    </row>
    <row r="139" spans="1:8" x14ac:dyDescent="0.2">
      <c r="A139" s="42" t="s">
        <v>66</v>
      </c>
      <c r="B139" s="90"/>
      <c r="C139" s="91"/>
      <c r="D139" s="63"/>
      <c r="E139" s="63"/>
      <c r="F139" s="63"/>
      <c r="G139" s="63"/>
      <c r="H139" s="63"/>
    </row>
    <row r="140" spans="1:8" x14ac:dyDescent="0.2">
      <c r="A140" s="43" t="s">
        <v>52</v>
      </c>
      <c r="B140" s="90"/>
      <c r="C140" s="207">
        <f>G153-C153</f>
        <v>16.122753191309904</v>
      </c>
      <c r="D140" s="63"/>
      <c r="E140" s="63"/>
      <c r="F140" s="63"/>
      <c r="G140" s="63"/>
      <c r="H140" s="63"/>
    </row>
    <row r="141" spans="1:8" x14ac:dyDescent="0.2">
      <c r="A141" s="43" t="s">
        <v>53</v>
      </c>
      <c r="B141" s="90"/>
      <c r="C141" s="207">
        <f>G154-C154</f>
        <v>2.2010589197345762</v>
      </c>
      <c r="D141" s="63"/>
      <c r="E141" s="63"/>
      <c r="F141" s="63"/>
      <c r="G141" s="63"/>
      <c r="H141" s="63"/>
    </row>
    <row r="142" spans="1:8" x14ac:dyDescent="0.2">
      <c r="A142" s="43" t="s">
        <v>112</v>
      </c>
      <c r="B142" s="90"/>
      <c r="C142" s="207">
        <f>G155-C155</f>
        <v>-1.6660783779252348</v>
      </c>
      <c r="D142" s="63"/>
      <c r="E142" s="63"/>
      <c r="F142" s="63"/>
      <c r="G142" s="63"/>
      <c r="H142" s="63"/>
    </row>
    <row r="143" spans="1:8" x14ac:dyDescent="0.2">
      <c r="A143" s="43"/>
      <c r="B143" s="90"/>
      <c r="C143" s="207"/>
      <c r="D143" s="63"/>
      <c r="E143" s="63"/>
      <c r="F143" s="63"/>
      <c r="G143" s="63"/>
      <c r="H143" s="63"/>
    </row>
    <row r="144" spans="1:8" x14ac:dyDescent="0.2">
      <c r="A144" s="8" t="s">
        <v>67</v>
      </c>
      <c r="B144" s="90"/>
      <c r="C144" s="207"/>
      <c r="D144" s="63"/>
      <c r="E144" s="190"/>
      <c r="F144" s="63"/>
      <c r="G144" s="63"/>
      <c r="H144" s="63"/>
    </row>
    <row r="145" spans="1:19" x14ac:dyDescent="0.2">
      <c r="A145" s="43" t="s">
        <v>68</v>
      </c>
      <c r="B145" s="90"/>
      <c r="C145" s="207">
        <v>2.6</v>
      </c>
      <c r="D145" s="63"/>
      <c r="E145" s="63"/>
      <c r="F145" s="63"/>
      <c r="G145" s="63"/>
      <c r="H145" s="63"/>
    </row>
    <row r="146" spans="1:19" ht="13.5" thickBot="1" x14ac:dyDescent="0.25">
      <c r="A146" s="80" t="s">
        <v>128</v>
      </c>
      <c r="B146" s="92"/>
      <c r="C146" s="208">
        <v>1.23</v>
      </c>
      <c r="D146" s="63"/>
      <c r="E146" s="63"/>
      <c r="F146" s="63"/>
      <c r="G146" s="63"/>
      <c r="H146" s="63"/>
    </row>
    <row r="147" spans="1:19" ht="13.5" thickBot="1" x14ac:dyDescent="0.25">
      <c r="A147" s="47"/>
      <c r="B147" s="90"/>
      <c r="C147" s="90"/>
      <c r="D147" s="63"/>
      <c r="E147" s="63"/>
      <c r="F147" s="63"/>
      <c r="G147" s="63"/>
      <c r="H147" s="63"/>
    </row>
    <row r="148" spans="1:19" ht="64.5" thickBot="1" x14ac:dyDescent="0.25">
      <c r="A148" s="2" t="s">
        <v>0</v>
      </c>
      <c r="B148" s="3" t="s">
        <v>46</v>
      </c>
      <c r="C148" s="3" t="s">
        <v>86</v>
      </c>
      <c r="D148" s="3" t="s">
        <v>51</v>
      </c>
      <c r="E148" s="3" t="s">
        <v>186</v>
      </c>
      <c r="F148" s="3" t="s">
        <v>6</v>
      </c>
      <c r="G148" s="3" t="s">
        <v>47</v>
      </c>
      <c r="H148" s="3" t="s">
        <v>48</v>
      </c>
    </row>
    <row r="149" spans="1:19" x14ac:dyDescent="0.2">
      <c r="A149" s="12"/>
      <c r="B149" s="94"/>
      <c r="C149" s="95"/>
      <c r="D149" s="15"/>
      <c r="E149" s="16"/>
      <c r="F149" s="16"/>
      <c r="G149" s="95"/>
      <c r="H149" s="12"/>
      <c r="M149" s="23"/>
      <c r="N149" s="123" t="s">
        <v>96</v>
      </c>
      <c r="O149" s="123"/>
      <c r="P149" s="101"/>
      <c r="Q149" s="123" t="s">
        <v>90</v>
      </c>
      <c r="S149" s="123" t="s">
        <v>97</v>
      </c>
    </row>
    <row r="150" spans="1:19" x14ac:dyDescent="0.2">
      <c r="A150" s="44" t="s">
        <v>87</v>
      </c>
      <c r="B150" s="94"/>
      <c r="C150" s="95"/>
      <c r="D150" s="15"/>
      <c r="E150" s="16"/>
      <c r="F150" s="16"/>
      <c r="G150" s="36"/>
      <c r="H150" s="12"/>
      <c r="M150" s="127"/>
      <c r="N150" s="124" t="s">
        <v>98</v>
      </c>
      <c r="O150" s="128"/>
      <c r="P150" s="128"/>
      <c r="Q150" s="124" t="s">
        <v>107</v>
      </c>
      <c r="S150" s="124" t="s">
        <v>100</v>
      </c>
    </row>
    <row r="151" spans="1:19" x14ac:dyDescent="0.2">
      <c r="A151" s="44"/>
      <c r="B151" s="94"/>
      <c r="C151" s="95"/>
      <c r="D151" s="15"/>
      <c r="E151" s="16"/>
      <c r="F151" s="16"/>
      <c r="G151" s="36"/>
      <c r="H151" s="12"/>
      <c r="M151" s="129" t="s">
        <v>10</v>
      </c>
      <c r="N151" s="198">
        <f t="shared" ref="N151:N156" si="1">B153</f>
        <v>1.7240750592E-2</v>
      </c>
      <c r="O151" s="130"/>
      <c r="Q151" s="191">
        <f>Q152*2.6</f>
        <v>0.22622753191309899</v>
      </c>
      <c r="S151" s="131">
        <f t="shared" ref="S151:S156" si="2">Q151*N151</f>
        <v>3.9003324547574603E-3</v>
      </c>
    </row>
    <row r="152" spans="1:19" x14ac:dyDescent="0.2">
      <c r="A152" s="77" t="s">
        <v>12</v>
      </c>
      <c r="B152" s="94"/>
      <c r="C152" s="95"/>
      <c r="D152" s="15"/>
      <c r="E152" s="16"/>
      <c r="F152" s="16"/>
      <c r="G152" s="36"/>
      <c r="H152" s="12"/>
      <c r="M152" s="129" t="s">
        <v>59</v>
      </c>
      <c r="N152" s="198">
        <f t="shared" si="1"/>
        <v>5.0682722688000004E-2</v>
      </c>
      <c r="O152" s="130"/>
      <c r="Q152" s="191">
        <f>0.095*S164</f>
        <v>8.7010589197345764E-2</v>
      </c>
      <c r="S152" s="131">
        <f t="shared" si="2"/>
        <v>4.4099335632085644E-3</v>
      </c>
    </row>
    <row r="153" spans="1:19" x14ac:dyDescent="0.2">
      <c r="A153" s="96" t="s">
        <v>10</v>
      </c>
      <c r="B153" s="102">
        <f>0.017521088*0.984</f>
        <v>1.7240750592E-2</v>
      </c>
      <c r="C153" s="245">
        <f>8.671+6.5</f>
        <v>15.170999999999999</v>
      </c>
      <c r="D153" s="194">
        <f t="shared" ref="D153:D158" si="3">C153*B153/100</f>
        <v>2.61559427231232E-3</v>
      </c>
      <c r="E153" s="149">
        <f t="shared" ref="E153:E158" si="4">B153*(Q151-0.065)</f>
        <v>2.7796836662774605E-3</v>
      </c>
      <c r="F153" s="149">
        <f t="shared" ref="F153:F158" si="5">D153+E153</f>
        <v>5.395277938589781E-3</v>
      </c>
      <c r="G153" s="245">
        <f t="shared" ref="G153:G158" si="6">F153/B153*100</f>
        <v>31.293753191309904</v>
      </c>
      <c r="H153" s="12"/>
      <c r="M153" s="45" t="s">
        <v>106</v>
      </c>
      <c r="N153" s="198">
        <f t="shared" si="1"/>
        <v>4.0552686719999995E-2</v>
      </c>
      <c r="Q153" s="191">
        <f>Q152/1.8</f>
        <v>4.8339216220747647E-2</v>
      </c>
      <c r="S153" s="131">
        <f t="shared" si="2"/>
        <v>1.9602850916903215E-3</v>
      </c>
    </row>
    <row r="154" spans="1:19" x14ac:dyDescent="0.2">
      <c r="A154" s="96" t="s">
        <v>59</v>
      </c>
      <c r="B154" s="102">
        <f>0.051506832*0.984</f>
        <v>5.0682722688000004E-2</v>
      </c>
      <c r="C154" s="245">
        <f>7.158+6.5</f>
        <v>13.658000000000001</v>
      </c>
      <c r="D154" s="194">
        <f t="shared" si="3"/>
        <v>6.9222462647270415E-3</v>
      </c>
      <c r="E154" s="149">
        <f t="shared" si="4"/>
        <v>1.1155565884885638E-3</v>
      </c>
      <c r="F154" s="149">
        <f t="shared" si="5"/>
        <v>8.0378028532156059E-3</v>
      </c>
      <c r="G154" s="245">
        <f t="shared" si="6"/>
        <v>15.859058919734577</v>
      </c>
      <c r="H154" s="12"/>
      <c r="M154" s="129" t="s">
        <v>60</v>
      </c>
      <c r="N154" s="198">
        <f t="shared" si="1"/>
        <v>1.7326098816000002E-2</v>
      </c>
      <c r="O154" s="130"/>
      <c r="Q154" s="191">
        <f>Q151</f>
        <v>0.22622753191309899</v>
      </c>
      <c r="S154" s="131">
        <f t="shared" si="2"/>
        <v>3.919640572826147E-3</v>
      </c>
    </row>
    <row r="155" spans="1:19" x14ac:dyDescent="0.2">
      <c r="A155" s="96" t="s">
        <v>69</v>
      </c>
      <c r="B155" s="102">
        <f>0.04121208*0.984</f>
        <v>4.0552686719999995E-2</v>
      </c>
      <c r="C155" s="245">
        <f>6.954+6.5</f>
        <v>13.454000000000001</v>
      </c>
      <c r="D155" s="194">
        <f t="shared" si="3"/>
        <v>5.4559584713087996E-3</v>
      </c>
      <c r="E155" s="149">
        <f t="shared" si="4"/>
        <v>-6.7563954510967833E-4</v>
      </c>
      <c r="F155" s="149">
        <f t="shared" si="5"/>
        <v>4.7803189261991213E-3</v>
      </c>
      <c r="G155" s="245">
        <f t="shared" si="6"/>
        <v>11.787921622074766</v>
      </c>
      <c r="H155" s="12"/>
      <c r="M155" s="129" t="s">
        <v>61</v>
      </c>
      <c r="N155" s="198">
        <f t="shared" si="1"/>
        <v>5.2083907200000001E-2</v>
      </c>
      <c r="O155" s="132"/>
      <c r="Q155" s="191">
        <f>Q152</f>
        <v>8.7010589197345764E-2</v>
      </c>
      <c r="S155" s="121">
        <f t="shared" si="2"/>
        <v>4.5318514531718793E-3</v>
      </c>
    </row>
    <row r="156" spans="1:19" x14ac:dyDescent="0.2">
      <c r="A156" s="96" t="s">
        <v>60</v>
      </c>
      <c r="B156" s="102">
        <f>0.017607824*0.984</f>
        <v>1.7326098816000002E-2</v>
      </c>
      <c r="C156" s="245">
        <f>7.376+6.5</f>
        <v>13.876000000000001</v>
      </c>
      <c r="D156" s="194">
        <f t="shared" si="3"/>
        <v>2.4041694717081607E-3</v>
      </c>
      <c r="E156" s="149">
        <f t="shared" si="4"/>
        <v>2.793444149786147E-3</v>
      </c>
      <c r="F156" s="149">
        <f t="shared" si="5"/>
        <v>5.1976136214943076E-3</v>
      </c>
      <c r="G156" s="245">
        <f t="shared" si="6"/>
        <v>29.998753191309902</v>
      </c>
      <c r="H156" s="12"/>
      <c r="M156" s="150" t="s">
        <v>106</v>
      </c>
      <c r="N156" s="199">
        <f t="shared" si="1"/>
        <v>3.9066153983999999E-2</v>
      </c>
      <c r="O156" s="142"/>
      <c r="P156" s="142"/>
      <c r="Q156" s="192">
        <f>Q153</f>
        <v>4.8339216220747647E-2</v>
      </c>
      <c r="R156" s="142"/>
      <c r="S156" s="133">
        <f t="shared" si="2"/>
        <v>1.888427264345598E-3</v>
      </c>
    </row>
    <row r="157" spans="1:19" x14ac:dyDescent="0.2">
      <c r="A157" s="96" t="s">
        <v>61</v>
      </c>
      <c r="B157" s="102">
        <f>0.0529308*0.984</f>
        <v>5.2083907200000001E-2</v>
      </c>
      <c r="C157" s="245">
        <f>7.158+6.5</f>
        <v>13.658000000000001</v>
      </c>
      <c r="D157" s="194">
        <f t="shared" si="3"/>
        <v>7.1136200453760009E-3</v>
      </c>
      <c r="E157" s="149">
        <f t="shared" si="4"/>
        <v>1.1463974851718792E-3</v>
      </c>
      <c r="F157" s="149">
        <f t="shared" si="5"/>
        <v>8.2600175305478796E-3</v>
      </c>
      <c r="G157" s="245">
        <f t="shared" si="6"/>
        <v>15.859058919734576</v>
      </c>
      <c r="H157" s="12"/>
      <c r="M157" s="23" t="s">
        <v>101</v>
      </c>
      <c r="N157" s="198">
        <f>SUM(N151:N156)</f>
        <v>0.21695231999999998</v>
      </c>
      <c r="O157" s="130"/>
      <c r="S157" s="122">
        <f>SUM(S151:S156)</f>
        <v>2.0610470399999969E-2</v>
      </c>
    </row>
    <row r="158" spans="1:19" x14ac:dyDescent="0.2">
      <c r="A158" s="96" t="s">
        <v>69</v>
      </c>
      <c r="B158" s="102">
        <f>0.039701376*0.984</f>
        <v>3.9066153983999999E-2</v>
      </c>
      <c r="C158" s="245">
        <f>6.954+6.5</f>
        <v>13.454000000000001</v>
      </c>
      <c r="D158" s="194">
        <f t="shared" si="3"/>
        <v>5.2559603570073599E-3</v>
      </c>
      <c r="E158" s="149">
        <f t="shared" si="4"/>
        <v>-6.5087274461440197E-4</v>
      </c>
      <c r="F158" s="149">
        <f t="shared" si="5"/>
        <v>4.6050876123929583E-3</v>
      </c>
      <c r="G158" s="245">
        <f t="shared" si="6"/>
        <v>11.787921622074766</v>
      </c>
      <c r="H158" s="12"/>
      <c r="M158" s="23"/>
      <c r="N158" s="198"/>
    </row>
    <row r="159" spans="1:19" x14ac:dyDescent="0.2">
      <c r="A159" s="93"/>
      <c r="B159" s="94"/>
      <c r="C159" s="245"/>
      <c r="D159" s="194"/>
      <c r="E159" s="149"/>
      <c r="F159" s="149"/>
      <c r="G159" s="245"/>
      <c r="H159" s="12"/>
      <c r="M159" s="23" t="s">
        <v>101</v>
      </c>
      <c r="N159" s="197">
        <f>N157</f>
        <v>0.21695231999999998</v>
      </c>
      <c r="O159" s="134"/>
      <c r="P159" s="17"/>
      <c r="Q159" s="203">
        <f>0.065+0.0277+N56</f>
        <v>9.3084769859103897E-2</v>
      </c>
      <c r="S159" s="113">
        <f>Q159*N159</f>
        <v>2.0194956777598663E-2</v>
      </c>
    </row>
    <row r="160" spans="1:19" ht="13.5" thickBot="1" x14ac:dyDescent="0.25">
      <c r="A160" s="146" t="s">
        <v>89</v>
      </c>
      <c r="B160" s="147">
        <f>SUM(B153:B158)</f>
        <v>0.21695231999999998</v>
      </c>
      <c r="C160" s="242">
        <f>B153/B160*C153+B154/B160*C154+B155/B160*C155+B156/B160*C156+B157/B160*C157+B158/B160*C158</f>
        <v>13.720779239622644</v>
      </c>
      <c r="D160" s="193">
        <f>SUM(D153:D158)</f>
        <v>2.9767548882439682E-2</v>
      </c>
      <c r="E160" s="193">
        <f>SUM(E153:E158)</f>
        <v>6.5085695999999704E-3</v>
      </c>
      <c r="F160" s="193">
        <f>SUM(F153:F158)</f>
        <v>3.6276118482439654E-2</v>
      </c>
      <c r="G160" s="242">
        <f>F160/B160*100</f>
        <v>16.720779239622633</v>
      </c>
      <c r="H160" s="148">
        <f>(G160-C160)/C160</f>
        <v>0.21864647390700945</v>
      </c>
      <c r="M160" s="23"/>
      <c r="N160" s="134"/>
      <c r="O160" s="134"/>
      <c r="P160" s="17"/>
      <c r="Q160" s="135"/>
      <c r="S160" s="113"/>
    </row>
    <row r="161" spans="1:19" ht="13.5" thickTop="1" x14ac:dyDescent="0.2">
      <c r="A161" s="12"/>
      <c r="B161" s="109"/>
      <c r="C161" s="110"/>
      <c r="D161" s="155"/>
      <c r="E161" s="155"/>
      <c r="F161" s="155"/>
      <c r="G161" s="195"/>
      <c r="H161" s="156"/>
      <c r="M161" s="23"/>
      <c r="N161" s="197"/>
      <c r="O161" s="134"/>
      <c r="P161" s="17"/>
      <c r="Q161" s="135"/>
      <c r="S161" s="113"/>
    </row>
    <row r="162" spans="1:19" ht="13.5" thickBot="1" x14ac:dyDescent="0.25">
      <c r="A162" s="70"/>
      <c r="B162" s="153"/>
      <c r="C162" s="154"/>
      <c r="D162" s="222"/>
      <c r="E162" s="223"/>
      <c r="F162" s="223"/>
      <c r="G162" s="154"/>
      <c r="H162" s="70"/>
      <c r="M162" s="136" t="s">
        <v>102</v>
      </c>
      <c r="N162" s="137"/>
      <c r="O162" s="137"/>
      <c r="P162" s="137"/>
      <c r="Q162" s="137"/>
      <c r="R162" s="137"/>
      <c r="S162" s="138">
        <f>S159</f>
        <v>2.0194956777598663E-2</v>
      </c>
    </row>
    <row r="163" spans="1:19" ht="13.5" thickBot="1" x14ac:dyDescent="0.25">
      <c r="A163" s="69" t="s">
        <v>70</v>
      </c>
      <c r="B163" s="69">
        <f>B67+B111+B130+B160+B160</f>
        <v>6450.4321480988747</v>
      </c>
      <c r="C163" s="176">
        <f>B67/B163*C67+B111/B163*C111+B130/B163*C130+B160/B163*C160</f>
        <v>13.895495199175267</v>
      </c>
      <c r="D163" s="224">
        <f>D67+D111+D130+D160+D160</f>
        <v>896.3492570140196</v>
      </c>
      <c r="E163" s="224">
        <f>E67+E111+E130+E160+E160</f>
        <v>174.68649359636998</v>
      </c>
      <c r="F163" s="224">
        <f>F67+F111+F130+F160+F160</f>
        <v>1071.0357506103896</v>
      </c>
      <c r="G163" s="175">
        <f>F163/B163*100</f>
        <v>16.604092966485265</v>
      </c>
      <c r="H163" s="152">
        <f>(G163-C163)/C163</f>
        <v>0.19492632169530455</v>
      </c>
      <c r="M163" s="139" t="s">
        <v>103</v>
      </c>
      <c r="N163" s="31"/>
      <c r="O163" s="31"/>
      <c r="P163" s="31"/>
      <c r="Q163" s="31"/>
      <c r="R163" s="31"/>
      <c r="S163" s="140">
        <f>S157-S162</f>
        <v>4.1551362240130688E-4</v>
      </c>
    </row>
    <row r="164" spans="1:19" x14ac:dyDescent="0.2">
      <c r="A164" s="31"/>
      <c r="B164" s="31"/>
      <c r="C164" s="31"/>
      <c r="D164" s="31"/>
      <c r="E164" s="46"/>
      <c r="F164" s="31"/>
      <c r="G164" s="31"/>
      <c r="H164" s="31"/>
      <c r="M164" s="139" t="s">
        <v>104</v>
      </c>
      <c r="N164" s="31"/>
      <c r="O164" s="31"/>
      <c r="P164" s="31"/>
      <c r="Q164" s="31"/>
      <c r="R164" s="127"/>
      <c r="S164" s="284">
        <v>0.91590093891942903</v>
      </c>
    </row>
    <row r="165" spans="1:19" x14ac:dyDescent="0.2">
      <c r="A165" s="31"/>
      <c r="B165" s="31"/>
      <c r="C165" s="31"/>
      <c r="D165" s="111"/>
      <c r="E165" s="200"/>
      <c r="F165" s="31"/>
      <c r="G165" s="31"/>
      <c r="H165" s="31"/>
      <c r="M165" s="141" t="s">
        <v>105</v>
      </c>
      <c r="N165" s="142"/>
      <c r="O165" s="142"/>
      <c r="P165" s="142"/>
      <c r="Q165" s="142"/>
      <c r="R165" s="142"/>
      <c r="S165" s="143"/>
    </row>
    <row r="166" spans="1:19" x14ac:dyDescent="0.2">
      <c r="A166" s="31"/>
      <c r="B166" s="31"/>
      <c r="C166" s="31"/>
      <c r="D166" s="111"/>
      <c r="E166" s="201"/>
      <c r="F166" s="31"/>
      <c r="G166" s="31"/>
      <c r="H166" s="31"/>
      <c r="M166" s="188"/>
      <c r="N166" s="31"/>
      <c r="O166" s="31"/>
      <c r="P166" s="31"/>
      <c r="Q166" s="31"/>
      <c r="R166" s="31"/>
      <c r="S166" s="31"/>
    </row>
    <row r="167" spans="1:19" x14ac:dyDescent="0.2">
      <c r="A167" s="189" t="s">
        <v>127</v>
      </c>
      <c r="B167" s="31"/>
      <c r="C167" s="31"/>
      <c r="D167" s="31"/>
      <c r="E167" s="46"/>
      <c r="F167" s="31"/>
      <c r="G167" s="31"/>
      <c r="H167" s="31"/>
    </row>
    <row r="168" spans="1:19" x14ac:dyDescent="0.2">
      <c r="A168" s="31" t="s">
        <v>141</v>
      </c>
      <c r="C168" s="31"/>
      <c r="D168" s="31"/>
      <c r="E168" s="46"/>
      <c r="F168" s="31"/>
      <c r="G168" s="31"/>
      <c r="H168" s="31"/>
    </row>
    <row r="169" spans="1:19" x14ac:dyDescent="0.2">
      <c r="A169" s="31" t="s">
        <v>142</v>
      </c>
      <c r="C169" s="31"/>
      <c r="D169" s="31"/>
      <c r="E169" s="46"/>
      <c r="F169" s="31"/>
      <c r="G169" s="31"/>
      <c r="H169" s="31"/>
    </row>
    <row r="170" spans="1:19" x14ac:dyDescent="0.2">
      <c r="A170" s="189" t="s">
        <v>149</v>
      </c>
      <c r="C170" s="31"/>
      <c r="D170" s="31"/>
      <c r="E170" s="46"/>
      <c r="F170" s="31"/>
      <c r="G170" s="31"/>
      <c r="H170" s="31"/>
    </row>
    <row r="171" spans="1:19" x14ac:dyDescent="0.2">
      <c r="A171" s="189" t="s">
        <v>150</v>
      </c>
      <c r="C171" s="31"/>
      <c r="D171" s="31"/>
      <c r="E171" s="46"/>
      <c r="F171" s="31"/>
      <c r="G171" s="31"/>
      <c r="H171" s="31"/>
    </row>
    <row r="172" spans="1:19" x14ac:dyDescent="0.2">
      <c r="A172" s="31" t="s">
        <v>151</v>
      </c>
      <c r="C172" s="31"/>
      <c r="D172" s="31"/>
      <c r="E172" s="46"/>
      <c r="F172" s="31"/>
      <c r="G172" s="31"/>
      <c r="H172" s="31"/>
    </row>
    <row r="173" spans="1:19" x14ac:dyDescent="0.2">
      <c r="A173" s="31" t="s">
        <v>136</v>
      </c>
      <c r="C173" s="31"/>
      <c r="D173" s="31"/>
      <c r="E173" s="46"/>
      <c r="F173" s="31"/>
      <c r="G173" s="31"/>
      <c r="H173" s="31"/>
    </row>
    <row r="174" spans="1:19" x14ac:dyDescent="0.2">
      <c r="A174" s="31" t="s">
        <v>152</v>
      </c>
      <c r="C174" s="31"/>
      <c r="D174" s="31"/>
      <c r="E174" s="46"/>
      <c r="F174" s="31"/>
      <c r="G174" s="31"/>
      <c r="H174" s="31"/>
    </row>
    <row r="175" spans="1:19" x14ac:dyDescent="0.2">
      <c r="A175" s="31" t="s">
        <v>126</v>
      </c>
      <c r="C175" s="31"/>
      <c r="D175" s="31"/>
      <c r="E175" s="46"/>
      <c r="F175" s="31"/>
      <c r="G175" s="31"/>
      <c r="H175" s="31"/>
    </row>
    <row r="176" spans="1:19" x14ac:dyDescent="0.2">
      <c r="A176" s="6" t="s">
        <v>197</v>
      </c>
      <c r="C176" s="31"/>
      <c r="D176" s="31"/>
      <c r="E176" s="46"/>
      <c r="F176" s="31"/>
      <c r="G176" s="31"/>
      <c r="H176" s="31"/>
    </row>
    <row r="177" spans="1:8" x14ac:dyDescent="0.2">
      <c r="A177" s="31"/>
      <c r="B177" s="31"/>
      <c r="C177" s="31"/>
      <c r="D177" s="31"/>
      <c r="E177" s="46"/>
      <c r="F177" s="31"/>
      <c r="G177" s="31"/>
      <c r="H177" s="31"/>
    </row>
    <row r="178" spans="1:8" x14ac:dyDescent="0.2">
      <c r="A178" s="31"/>
      <c r="B178" s="31"/>
      <c r="C178" s="31"/>
      <c r="D178" s="31"/>
      <c r="E178" s="46"/>
      <c r="F178" s="31"/>
      <c r="G178" s="31"/>
      <c r="H178" s="31"/>
    </row>
    <row r="179" spans="1:8" x14ac:dyDescent="0.2">
      <c r="A179" s="31"/>
      <c r="B179" s="31"/>
      <c r="C179" s="31"/>
      <c r="D179" s="31"/>
      <c r="E179" s="46"/>
      <c r="F179" s="31"/>
      <c r="G179" s="31"/>
      <c r="H179" s="31"/>
    </row>
    <row r="180" spans="1:8" x14ac:dyDescent="0.2">
      <c r="A180" s="31"/>
      <c r="B180" s="31"/>
      <c r="C180" s="31"/>
      <c r="D180" s="31"/>
      <c r="E180" s="46"/>
      <c r="F180" s="31"/>
      <c r="G180" s="31"/>
      <c r="H180" s="31"/>
    </row>
    <row r="181" spans="1:8" x14ac:dyDescent="0.2">
      <c r="A181" s="31"/>
      <c r="B181" s="31"/>
      <c r="C181" s="31"/>
      <c r="D181" s="31"/>
      <c r="E181" s="46"/>
      <c r="F181" s="31"/>
      <c r="G181" s="31"/>
      <c r="H181" s="31"/>
    </row>
    <row r="182" spans="1:8" x14ac:dyDescent="0.2">
      <c r="A182" s="31"/>
      <c r="B182" s="31"/>
      <c r="C182" s="31"/>
      <c r="D182" s="31"/>
      <c r="E182" s="46"/>
      <c r="F182" s="31"/>
      <c r="G182" s="31"/>
      <c r="H182" s="31"/>
    </row>
    <row r="183" spans="1:8" x14ac:dyDescent="0.2">
      <c r="A183" s="31"/>
      <c r="B183" s="31"/>
      <c r="C183" s="31"/>
      <c r="D183" s="31"/>
      <c r="E183" s="46"/>
      <c r="F183" s="31"/>
      <c r="G183" s="31"/>
      <c r="H183" s="31"/>
    </row>
    <row r="184" spans="1:8" x14ac:dyDescent="0.2">
      <c r="A184" s="31"/>
      <c r="B184" s="31"/>
      <c r="C184" s="31"/>
      <c r="D184" s="31"/>
      <c r="E184" s="46"/>
      <c r="F184" s="31"/>
      <c r="G184" s="31"/>
      <c r="H184" s="31"/>
    </row>
    <row r="185" spans="1:8" x14ac:dyDescent="0.2">
      <c r="A185" s="31"/>
      <c r="B185" s="31"/>
      <c r="C185" s="31"/>
      <c r="D185" s="31"/>
      <c r="E185" s="46"/>
      <c r="F185" s="31"/>
      <c r="G185" s="31"/>
      <c r="H185" s="31"/>
    </row>
    <row r="186" spans="1:8" x14ac:dyDescent="0.2">
      <c r="E186" s="34"/>
    </row>
    <row r="187" spans="1:8" x14ac:dyDescent="0.2">
      <c r="E187" s="34"/>
    </row>
    <row r="188" spans="1:8" x14ac:dyDescent="0.2">
      <c r="E188" s="34"/>
    </row>
    <row r="189" spans="1:8" x14ac:dyDescent="0.2">
      <c r="E189" s="34"/>
    </row>
    <row r="190" spans="1:8" x14ac:dyDescent="0.2">
      <c r="E190" s="34"/>
    </row>
    <row r="191" spans="1:8" x14ac:dyDescent="0.2">
      <c r="E191" s="34"/>
    </row>
    <row r="192" spans="1:8" x14ac:dyDescent="0.2">
      <c r="E192" s="34"/>
    </row>
    <row r="193" spans="5:5" x14ac:dyDescent="0.2">
      <c r="E193" s="34"/>
    </row>
    <row r="194" spans="5:5" x14ac:dyDescent="0.2">
      <c r="E194" s="34"/>
    </row>
    <row r="195" spans="5:5" x14ac:dyDescent="0.2">
      <c r="E195" s="34"/>
    </row>
    <row r="196" spans="5:5" x14ac:dyDescent="0.2">
      <c r="E196" s="34"/>
    </row>
    <row r="197" spans="5:5" x14ac:dyDescent="0.2">
      <c r="E197" s="34"/>
    </row>
    <row r="198" spans="5:5" x14ac:dyDescent="0.2">
      <c r="E198" s="34"/>
    </row>
    <row r="199" spans="5:5" x14ac:dyDescent="0.2">
      <c r="E199" s="34"/>
    </row>
    <row r="200" spans="5:5" x14ac:dyDescent="0.2">
      <c r="E200" s="34"/>
    </row>
    <row r="201" spans="5:5" x14ac:dyDescent="0.2">
      <c r="E201" s="34"/>
    </row>
    <row r="202" spans="5:5" x14ac:dyDescent="0.2">
      <c r="E202" s="34"/>
    </row>
    <row r="203" spans="5:5" x14ac:dyDescent="0.2">
      <c r="E203" s="34"/>
    </row>
    <row r="204" spans="5:5" x14ac:dyDescent="0.2">
      <c r="E204" s="34"/>
    </row>
    <row r="205" spans="5:5" x14ac:dyDescent="0.2">
      <c r="E205" s="34"/>
    </row>
    <row r="206" spans="5:5" x14ac:dyDescent="0.2">
      <c r="E206" s="34"/>
    </row>
    <row r="207" spans="5:5" x14ac:dyDescent="0.2">
      <c r="E207" s="34"/>
    </row>
    <row r="208" spans="5:5" x14ac:dyDescent="0.2">
      <c r="E208" s="34"/>
    </row>
    <row r="209" spans="5:5" x14ac:dyDescent="0.2">
      <c r="E209" s="34"/>
    </row>
    <row r="210" spans="5:5" x14ac:dyDescent="0.2">
      <c r="E210" s="34"/>
    </row>
    <row r="211" spans="5:5" x14ac:dyDescent="0.2">
      <c r="E211" s="34"/>
    </row>
    <row r="212" spans="5:5" x14ac:dyDescent="0.2">
      <c r="E212" s="34"/>
    </row>
    <row r="213" spans="5:5" x14ac:dyDescent="0.2">
      <c r="E213" s="34"/>
    </row>
    <row r="214" spans="5:5" x14ac:dyDescent="0.2">
      <c r="E214" s="34"/>
    </row>
    <row r="215" spans="5:5" x14ac:dyDescent="0.2">
      <c r="E215" s="34"/>
    </row>
    <row r="216" spans="5:5" x14ac:dyDescent="0.2">
      <c r="E216" s="34"/>
    </row>
    <row r="217" spans="5:5" x14ac:dyDescent="0.2">
      <c r="E217" s="34"/>
    </row>
    <row r="218" spans="5:5" x14ac:dyDescent="0.2">
      <c r="E218" s="34"/>
    </row>
    <row r="219" spans="5:5" x14ac:dyDescent="0.2">
      <c r="E219" s="34"/>
    </row>
    <row r="220" spans="5:5" x14ac:dyDescent="0.2">
      <c r="E220" s="34"/>
    </row>
    <row r="221" spans="5:5" x14ac:dyDescent="0.2">
      <c r="E221" s="34"/>
    </row>
    <row r="222" spans="5:5" x14ac:dyDescent="0.2">
      <c r="E222" s="34"/>
    </row>
    <row r="223" spans="5:5" x14ac:dyDescent="0.2">
      <c r="E223" s="34"/>
    </row>
    <row r="224" spans="5:5" x14ac:dyDescent="0.2">
      <c r="E224" s="34"/>
    </row>
    <row r="225" spans="5:5" x14ac:dyDescent="0.2">
      <c r="E225" s="34"/>
    </row>
    <row r="226" spans="5:5" x14ac:dyDescent="0.2">
      <c r="E226" s="34"/>
    </row>
    <row r="227" spans="5:5" x14ac:dyDescent="0.2">
      <c r="E227" s="34"/>
    </row>
    <row r="228" spans="5:5" x14ac:dyDescent="0.2">
      <c r="E228" s="34"/>
    </row>
    <row r="229" spans="5:5" x14ac:dyDescent="0.2">
      <c r="E229" s="34"/>
    </row>
    <row r="230" spans="5:5" x14ac:dyDescent="0.2">
      <c r="E230" s="34"/>
    </row>
    <row r="231" spans="5:5" x14ac:dyDescent="0.2">
      <c r="E231" s="34"/>
    </row>
    <row r="232" spans="5:5" x14ac:dyDescent="0.2">
      <c r="E232" s="34"/>
    </row>
    <row r="233" spans="5:5" x14ac:dyDescent="0.2">
      <c r="E233" s="34"/>
    </row>
    <row r="234" spans="5:5" x14ac:dyDescent="0.2">
      <c r="E234" s="34"/>
    </row>
    <row r="235" spans="5:5" x14ac:dyDescent="0.2">
      <c r="E235" s="34"/>
    </row>
    <row r="236" spans="5:5" x14ac:dyDescent="0.2">
      <c r="E236" s="34"/>
    </row>
    <row r="237" spans="5:5" x14ac:dyDescent="0.2">
      <c r="E237" s="34"/>
    </row>
    <row r="238" spans="5:5" x14ac:dyDescent="0.2">
      <c r="E238" s="34"/>
    </row>
    <row r="239" spans="5:5" x14ac:dyDescent="0.2">
      <c r="E239" s="34"/>
    </row>
    <row r="240" spans="5:5" x14ac:dyDescent="0.2">
      <c r="E240" s="34"/>
    </row>
    <row r="241" spans="5:5" x14ac:dyDescent="0.2">
      <c r="E241" s="34"/>
    </row>
    <row r="242" spans="5:5" x14ac:dyDescent="0.2">
      <c r="E242" s="34"/>
    </row>
    <row r="243" spans="5:5" x14ac:dyDescent="0.2">
      <c r="E243" s="34"/>
    </row>
    <row r="244" spans="5:5" x14ac:dyDescent="0.2">
      <c r="E244" s="34"/>
    </row>
    <row r="245" spans="5:5" x14ac:dyDescent="0.2">
      <c r="E245" s="34"/>
    </row>
    <row r="246" spans="5:5" x14ac:dyDescent="0.2">
      <c r="E246" s="34"/>
    </row>
    <row r="247" spans="5:5" x14ac:dyDescent="0.2">
      <c r="E247" s="34"/>
    </row>
    <row r="248" spans="5:5" x14ac:dyDescent="0.2">
      <c r="E248" s="34"/>
    </row>
    <row r="249" spans="5:5" x14ac:dyDescent="0.2">
      <c r="E249" s="34"/>
    </row>
    <row r="250" spans="5:5" x14ac:dyDescent="0.2">
      <c r="E250" s="34"/>
    </row>
    <row r="251" spans="5:5" x14ac:dyDescent="0.2">
      <c r="E251" s="34"/>
    </row>
    <row r="252" spans="5:5" x14ac:dyDescent="0.2">
      <c r="E252" s="34"/>
    </row>
    <row r="253" spans="5:5" x14ac:dyDescent="0.2">
      <c r="E253" s="34"/>
    </row>
    <row r="254" spans="5:5" x14ac:dyDescent="0.2">
      <c r="E254" s="34"/>
    </row>
    <row r="255" spans="5:5" x14ac:dyDescent="0.2">
      <c r="E255" s="34"/>
    </row>
    <row r="256" spans="5:5" x14ac:dyDescent="0.2">
      <c r="E256" s="34"/>
    </row>
    <row r="257" spans="5:5" x14ac:dyDescent="0.2">
      <c r="E257" s="34"/>
    </row>
    <row r="258" spans="5:5" x14ac:dyDescent="0.2">
      <c r="E258" s="34"/>
    </row>
    <row r="259" spans="5:5" x14ac:dyDescent="0.2">
      <c r="E259" s="34"/>
    </row>
    <row r="260" spans="5:5" x14ac:dyDescent="0.2">
      <c r="E260" s="34"/>
    </row>
    <row r="261" spans="5:5" x14ac:dyDescent="0.2">
      <c r="E261" s="34"/>
    </row>
    <row r="262" spans="5:5" x14ac:dyDescent="0.2">
      <c r="E262" s="34"/>
    </row>
    <row r="263" spans="5:5" x14ac:dyDescent="0.2">
      <c r="E263" s="34"/>
    </row>
    <row r="264" spans="5:5" x14ac:dyDescent="0.2">
      <c r="E264" s="34"/>
    </row>
    <row r="265" spans="5:5" x14ac:dyDescent="0.2">
      <c r="E265" s="34"/>
    </row>
    <row r="266" spans="5:5" x14ac:dyDescent="0.2">
      <c r="E266" s="34"/>
    </row>
    <row r="267" spans="5:5" x14ac:dyDescent="0.2">
      <c r="E267" s="34"/>
    </row>
    <row r="268" spans="5:5" x14ac:dyDescent="0.2">
      <c r="E268" s="34"/>
    </row>
    <row r="269" spans="5:5" x14ac:dyDescent="0.2">
      <c r="E269" s="34"/>
    </row>
    <row r="270" spans="5:5" x14ac:dyDescent="0.2">
      <c r="E270" s="34"/>
    </row>
    <row r="271" spans="5:5" x14ac:dyDescent="0.2">
      <c r="E271" s="34"/>
    </row>
    <row r="272" spans="5:5" x14ac:dyDescent="0.2">
      <c r="E272" s="34"/>
    </row>
    <row r="273" spans="5:5" x14ac:dyDescent="0.2">
      <c r="E273" s="34"/>
    </row>
    <row r="274" spans="5:5" x14ac:dyDescent="0.2">
      <c r="E274" s="34"/>
    </row>
    <row r="275" spans="5:5" x14ac:dyDescent="0.2">
      <c r="E275" s="34"/>
    </row>
    <row r="276" spans="5:5" x14ac:dyDescent="0.2">
      <c r="E276" s="34"/>
    </row>
    <row r="277" spans="5:5" x14ac:dyDescent="0.2">
      <c r="E277" s="34"/>
    </row>
    <row r="278" spans="5:5" x14ac:dyDescent="0.2">
      <c r="E278" s="34"/>
    </row>
    <row r="279" spans="5:5" x14ac:dyDescent="0.2">
      <c r="E279" s="34"/>
    </row>
    <row r="280" spans="5:5" x14ac:dyDescent="0.2">
      <c r="E280" s="34"/>
    </row>
    <row r="281" spans="5:5" x14ac:dyDescent="0.2">
      <c r="E281" s="34"/>
    </row>
    <row r="282" spans="5:5" x14ac:dyDescent="0.2">
      <c r="E282" s="34"/>
    </row>
    <row r="283" spans="5:5" x14ac:dyDescent="0.2">
      <c r="E283" s="34"/>
    </row>
    <row r="284" spans="5:5" x14ac:dyDescent="0.2">
      <c r="E284" s="34"/>
    </row>
    <row r="285" spans="5:5" x14ac:dyDescent="0.2">
      <c r="E285" s="34"/>
    </row>
    <row r="286" spans="5:5" x14ac:dyDescent="0.2">
      <c r="E286" s="34"/>
    </row>
    <row r="287" spans="5:5" x14ac:dyDescent="0.2">
      <c r="E287" s="34"/>
    </row>
    <row r="288" spans="5:5" x14ac:dyDescent="0.2">
      <c r="E288" s="34"/>
    </row>
    <row r="289" spans="5:5" x14ac:dyDescent="0.2">
      <c r="E289" s="34"/>
    </row>
    <row r="290" spans="5:5" x14ac:dyDescent="0.2">
      <c r="E290" s="34"/>
    </row>
    <row r="291" spans="5:5" x14ac:dyDescent="0.2">
      <c r="E291" s="34"/>
    </row>
    <row r="292" spans="5:5" x14ac:dyDescent="0.2">
      <c r="E292" s="34"/>
    </row>
    <row r="293" spans="5:5" x14ac:dyDescent="0.2">
      <c r="E293" s="34"/>
    </row>
    <row r="294" spans="5:5" x14ac:dyDescent="0.2">
      <c r="E294" s="34"/>
    </row>
    <row r="295" spans="5:5" x14ac:dyDescent="0.2">
      <c r="E295" s="34"/>
    </row>
    <row r="296" spans="5:5" x14ac:dyDescent="0.2">
      <c r="E296" s="34"/>
    </row>
    <row r="297" spans="5:5" x14ac:dyDescent="0.2">
      <c r="E297" s="34"/>
    </row>
    <row r="298" spans="5:5" x14ac:dyDescent="0.2">
      <c r="E298" s="34"/>
    </row>
    <row r="299" spans="5:5" x14ac:dyDescent="0.2">
      <c r="E299" s="34"/>
    </row>
    <row r="300" spans="5:5" x14ac:dyDescent="0.2">
      <c r="E300" s="34"/>
    </row>
    <row r="301" spans="5:5" x14ac:dyDescent="0.2">
      <c r="E301" s="34"/>
    </row>
    <row r="302" spans="5:5" x14ac:dyDescent="0.2">
      <c r="E302" s="34"/>
    </row>
    <row r="303" spans="5:5" x14ac:dyDescent="0.2">
      <c r="E303" s="34"/>
    </row>
    <row r="304" spans="5:5" x14ac:dyDescent="0.2">
      <c r="E304" s="34"/>
    </row>
    <row r="305" spans="5:5" x14ac:dyDescent="0.2">
      <c r="E305" s="34"/>
    </row>
    <row r="306" spans="5:5" x14ac:dyDescent="0.2">
      <c r="E306" s="34"/>
    </row>
    <row r="307" spans="5:5" x14ac:dyDescent="0.2">
      <c r="E307" s="34"/>
    </row>
    <row r="308" spans="5:5" x14ac:dyDescent="0.2">
      <c r="E308" s="34"/>
    </row>
    <row r="309" spans="5:5" x14ac:dyDescent="0.2">
      <c r="E309" s="34"/>
    </row>
    <row r="310" spans="5:5" x14ac:dyDescent="0.2">
      <c r="E310" s="34"/>
    </row>
    <row r="311" spans="5:5" x14ac:dyDescent="0.2">
      <c r="E311" s="34"/>
    </row>
    <row r="312" spans="5:5" x14ac:dyDescent="0.2">
      <c r="E312" s="34"/>
    </row>
    <row r="313" spans="5:5" x14ac:dyDescent="0.2">
      <c r="E313" s="34"/>
    </row>
    <row r="314" spans="5:5" x14ac:dyDescent="0.2">
      <c r="E314" s="34"/>
    </row>
    <row r="315" spans="5:5" x14ac:dyDescent="0.2">
      <c r="E315" s="34"/>
    </row>
    <row r="316" spans="5:5" x14ac:dyDescent="0.2">
      <c r="E316" s="34"/>
    </row>
    <row r="317" spans="5:5" x14ac:dyDescent="0.2">
      <c r="E317" s="34"/>
    </row>
    <row r="318" spans="5:5" x14ac:dyDescent="0.2">
      <c r="E318" s="34"/>
    </row>
    <row r="319" spans="5:5" x14ac:dyDescent="0.2">
      <c r="E319" s="34"/>
    </row>
    <row r="320" spans="5:5" x14ac:dyDescent="0.2">
      <c r="E320" s="34"/>
    </row>
    <row r="321" spans="5:5" x14ac:dyDescent="0.2">
      <c r="E321" s="34"/>
    </row>
    <row r="322" spans="5:5" x14ac:dyDescent="0.2">
      <c r="E322" s="34"/>
    </row>
    <row r="323" spans="5:5" x14ac:dyDescent="0.2">
      <c r="E323" s="34"/>
    </row>
    <row r="324" spans="5:5" x14ac:dyDescent="0.2">
      <c r="E324" s="34"/>
    </row>
    <row r="325" spans="5:5" x14ac:dyDescent="0.2">
      <c r="E325" s="34"/>
    </row>
    <row r="326" spans="5:5" x14ac:dyDescent="0.2">
      <c r="E326" s="34"/>
    </row>
    <row r="327" spans="5:5" x14ac:dyDescent="0.2">
      <c r="E327" s="34"/>
    </row>
    <row r="328" spans="5:5" x14ac:dyDescent="0.2">
      <c r="E328" s="34"/>
    </row>
    <row r="329" spans="5:5" x14ac:dyDescent="0.2">
      <c r="E329" s="34"/>
    </row>
    <row r="330" spans="5:5" x14ac:dyDescent="0.2">
      <c r="E330" s="34"/>
    </row>
    <row r="331" spans="5:5" x14ac:dyDescent="0.2">
      <c r="E331" s="34"/>
    </row>
    <row r="332" spans="5:5" x14ac:dyDescent="0.2">
      <c r="E332" s="34"/>
    </row>
    <row r="333" spans="5:5" x14ac:dyDescent="0.2">
      <c r="E333" s="34"/>
    </row>
    <row r="334" spans="5:5" x14ac:dyDescent="0.2">
      <c r="E334" s="34"/>
    </row>
    <row r="335" spans="5:5" x14ac:dyDescent="0.2">
      <c r="E335" s="34"/>
    </row>
    <row r="336" spans="5:5" x14ac:dyDescent="0.2">
      <c r="E336" s="34"/>
    </row>
    <row r="337" spans="5:5" x14ac:dyDescent="0.2">
      <c r="E337" s="34"/>
    </row>
    <row r="338" spans="5:5" x14ac:dyDescent="0.2">
      <c r="E338" s="34"/>
    </row>
    <row r="339" spans="5:5" x14ac:dyDescent="0.2">
      <c r="E339" s="34"/>
    </row>
    <row r="340" spans="5:5" x14ac:dyDescent="0.2">
      <c r="E340" s="34"/>
    </row>
    <row r="341" spans="5:5" x14ac:dyDescent="0.2">
      <c r="E341" s="34"/>
    </row>
    <row r="342" spans="5:5" x14ac:dyDescent="0.2">
      <c r="E342" s="34"/>
    </row>
    <row r="343" spans="5:5" x14ac:dyDescent="0.2">
      <c r="E343" s="34"/>
    </row>
    <row r="344" spans="5:5" x14ac:dyDescent="0.2">
      <c r="E344" s="34"/>
    </row>
    <row r="345" spans="5:5" x14ac:dyDescent="0.2">
      <c r="E345" s="34"/>
    </row>
    <row r="346" spans="5:5" x14ac:dyDescent="0.2">
      <c r="E346" s="34"/>
    </row>
    <row r="347" spans="5:5" x14ac:dyDescent="0.2">
      <c r="E347" s="34"/>
    </row>
    <row r="348" spans="5:5" x14ac:dyDescent="0.2">
      <c r="E348" s="34"/>
    </row>
    <row r="349" spans="5:5" x14ac:dyDescent="0.2">
      <c r="E349" s="34"/>
    </row>
    <row r="350" spans="5:5" x14ac:dyDescent="0.2">
      <c r="E350" s="34"/>
    </row>
    <row r="351" spans="5:5" x14ac:dyDescent="0.2">
      <c r="E351" s="34"/>
    </row>
    <row r="352" spans="5:5" x14ac:dyDescent="0.2">
      <c r="E352" s="34"/>
    </row>
    <row r="353" spans="5:5" x14ac:dyDescent="0.2">
      <c r="E353" s="34"/>
    </row>
    <row r="354" spans="5:5" x14ac:dyDescent="0.2">
      <c r="E354" s="34"/>
    </row>
    <row r="355" spans="5:5" x14ac:dyDescent="0.2">
      <c r="E355" s="34"/>
    </row>
    <row r="356" spans="5:5" x14ac:dyDescent="0.2">
      <c r="E356" s="34"/>
    </row>
    <row r="357" spans="5:5" x14ac:dyDescent="0.2">
      <c r="E357" s="34"/>
    </row>
    <row r="358" spans="5:5" x14ac:dyDescent="0.2">
      <c r="E358" s="34"/>
    </row>
    <row r="359" spans="5:5" x14ac:dyDescent="0.2">
      <c r="E359" s="34"/>
    </row>
    <row r="360" spans="5:5" x14ac:dyDescent="0.2">
      <c r="E360" s="34"/>
    </row>
    <row r="361" spans="5:5" x14ac:dyDescent="0.2">
      <c r="E361" s="34"/>
    </row>
    <row r="362" spans="5:5" x14ac:dyDescent="0.2">
      <c r="E362" s="34"/>
    </row>
    <row r="363" spans="5:5" x14ac:dyDescent="0.2">
      <c r="E363" s="34"/>
    </row>
    <row r="364" spans="5:5" x14ac:dyDescent="0.2">
      <c r="E364" s="34"/>
    </row>
    <row r="365" spans="5:5" x14ac:dyDescent="0.2">
      <c r="E365" s="34"/>
    </row>
    <row r="366" spans="5:5" x14ac:dyDescent="0.2">
      <c r="E366" s="34"/>
    </row>
    <row r="367" spans="5:5" x14ac:dyDescent="0.2">
      <c r="E367" s="34"/>
    </row>
    <row r="368" spans="5:5" x14ac:dyDescent="0.2">
      <c r="E368" s="34"/>
    </row>
    <row r="369" spans="5:5" x14ac:dyDescent="0.2">
      <c r="E369" s="34"/>
    </row>
    <row r="370" spans="5:5" x14ac:dyDescent="0.2">
      <c r="E370" s="34"/>
    </row>
    <row r="371" spans="5:5" x14ac:dyDescent="0.2">
      <c r="E371" s="34"/>
    </row>
    <row r="372" spans="5:5" x14ac:dyDescent="0.2">
      <c r="E372" s="34"/>
    </row>
    <row r="373" spans="5:5" x14ac:dyDescent="0.2">
      <c r="E373" s="34"/>
    </row>
    <row r="374" spans="5:5" x14ac:dyDescent="0.2">
      <c r="E374" s="34"/>
    </row>
    <row r="375" spans="5:5" x14ac:dyDescent="0.2">
      <c r="E375" s="34"/>
    </row>
    <row r="376" spans="5:5" x14ac:dyDescent="0.2">
      <c r="E376" s="34"/>
    </row>
    <row r="377" spans="5:5" x14ac:dyDescent="0.2">
      <c r="E377" s="34"/>
    </row>
    <row r="378" spans="5:5" x14ac:dyDescent="0.2">
      <c r="E378" s="34"/>
    </row>
    <row r="379" spans="5:5" x14ac:dyDescent="0.2">
      <c r="E379" s="34"/>
    </row>
    <row r="380" spans="5:5" x14ac:dyDescent="0.2">
      <c r="E380" s="34"/>
    </row>
    <row r="381" spans="5:5" x14ac:dyDescent="0.2">
      <c r="E381" s="34"/>
    </row>
    <row r="382" spans="5:5" x14ac:dyDescent="0.2">
      <c r="E382" s="34"/>
    </row>
    <row r="383" spans="5:5" x14ac:dyDescent="0.2">
      <c r="E383" s="34"/>
    </row>
    <row r="384" spans="5:5" x14ac:dyDescent="0.2">
      <c r="E384" s="34"/>
    </row>
    <row r="385" spans="5:5" x14ac:dyDescent="0.2">
      <c r="E385" s="34"/>
    </row>
    <row r="386" spans="5:5" x14ac:dyDescent="0.2">
      <c r="E386" s="34"/>
    </row>
    <row r="387" spans="5:5" x14ac:dyDescent="0.2">
      <c r="E387" s="34"/>
    </row>
    <row r="388" spans="5:5" x14ac:dyDescent="0.2">
      <c r="E388" s="34"/>
    </row>
    <row r="389" spans="5:5" x14ac:dyDescent="0.2">
      <c r="E389" s="34"/>
    </row>
    <row r="390" spans="5:5" x14ac:dyDescent="0.2">
      <c r="E390" s="34"/>
    </row>
    <row r="391" spans="5:5" x14ac:dyDescent="0.2">
      <c r="E391" s="34"/>
    </row>
    <row r="392" spans="5:5" x14ac:dyDescent="0.2">
      <c r="E392" s="34"/>
    </row>
    <row r="393" spans="5:5" x14ac:dyDescent="0.2">
      <c r="E393" s="34"/>
    </row>
    <row r="394" spans="5:5" x14ac:dyDescent="0.2">
      <c r="E394" s="34"/>
    </row>
    <row r="395" spans="5:5" x14ac:dyDescent="0.2">
      <c r="E395" s="34"/>
    </row>
    <row r="396" spans="5:5" x14ac:dyDescent="0.2">
      <c r="E396" s="34"/>
    </row>
    <row r="397" spans="5:5" x14ac:dyDescent="0.2">
      <c r="E397" s="34"/>
    </row>
    <row r="398" spans="5:5" x14ac:dyDescent="0.2">
      <c r="E398" s="34"/>
    </row>
    <row r="399" spans="5:5" x14ac:dyDescent="0.2">
      <c r="E399" s="34"/>
    </row>
    <row r="400" spans="5:5" x14ac:dyDescent="0.2">
      <c r="E400" s="34"/>
    </row>
    <row r="401" spans="5:5" x14ac:dyDescent="0.2">
      <c r="E401" s="34"/>
    </row>
    <row r="402" spans="5:5" x14ac:dyDescent="0.2">
      <c r="E402" s="34"/>
    </row>
    <row r="403" spans="5:5" x14ac:dyDescent="0.2">
      <c r="E403" s="34"/>
    </row>
    <row r="404" spans="5:5" x14ac:dyDescent="0.2">
      <c r="E404" s="34"/>
    </row>
    <row r="405" spans="5:5" x14ac:dyDescent="0.2">
      <c r="E405" s="34"/>
    </row>
    <row r="406" spans="5:5" x14ac:dyDescent="0.2">
      <c r="E406" s="34"/>
    </row>
    <row r="407" spans="5:5" x14ac:dyDescent="0.2">
      <c r="E407" s="34"/>
    </row>
    <row r="408" spans="5:5" x14ac:dyDescent="0.2">
      <c r="E408" s="34"/>
    </row>
    <row r="409" spans="5:5" x14ac:dyDescent="0.2">
      <c r="E409" s="34"/>
    </row>
    <row r="410" spans="5:5" x14ac:dyDescent="0.2">
      <c r="E410" s="34"/>
    </row>
    <row r="411" spans="5:5" x14ac:dyDescent="0.2">
      <c r="E411" s="34"/>
    </row>
    <row r="412" spans="5:5" x14ac:dyDescent="0.2">
      <c r="E412" s="34"/>
    </row>
    <row r="413" spans="5:5" x14ac:dyDescent="0.2">
      <c r="E413" s="34"/>
    </row>
    <row r="414" spans="5:5" x14ac:dyDescent="0.2">
      <c r="E414" s="34"/>
    </row>
    <row r="415" spans="5:5" x14ac:dyDescent="0.2">
      <c r="E415" s="34"/>
    </row>
    <row r="416" spans="5:5" x14ac:dyDescent="0.2">
      <c r="E416" s="34"/>
    </row>
    <row r="417" spans="5:5" x14ac:dyDescent="0.2">
      <c r="E417" s="34"/>
    </row>
    <row r="418" spans="5:5" x14ac:dyDescent="0.2">
      <c r="E418" s="34"/>
    </row>
    <row r="419" spans="5:5" x14ac:dyDescent="0.2">
      <c r="E419" s="34"/>
    </row>
    <row r="420" spans="5:5" x14ac:dyDescent="0.2">
      <c r="E420" s="34"/>
    </row>
    <row r="421" spans="5:5" x14ac:dyDescent="0.2">
      <c r="E421" s="34"/>
    </row>
    <row r="422" spans="5:5" x14ac:dyDescent="0.2">
      <c r="E422" s="34"/>
    </row>
    <row r="423" spans="5:5" x14ac:dyDescent="0.2">
      <c r="E423" s="34"/>
    </row>
    <row r="424" spans="5:5" x14ac:dyDescent="0.2">
      <c r="E424" s="34"/>
    </row>
    <row r="425" spans="5:5" x14ac:dyDescent="0.2">
      <c r="E425" s="34"/>
    </row>
    <row r="426" spans="5:5" x14ac:dyDescent="0.2">
      <c r="E426" s="34"/>
    </row>
    <row r="427" spans="5:5" x14ac:dyDescent="0.2">
      <c r="E427" s="34"/>
    </row>
    <row r="428" spans="5:5" x14ac:dyDescent="0.2">
      <c r="E428" s="34"/>
    </row>
    <row r="429" spans="5:5" x14ac:dyDescent="0.2">
      <c r="E429" s="34"/>
    </row>
    <row r="430" spans="5:5" x14ac:dyDescent="0.2">
      <c r="E430" s="34"/>
    </row>
    <row r="431" spans="5:5" x14ac:dyDescent="0.2">
      <c r="E431" s="34"/>
    </row>
    <row r="432" spans="5:5" x14ac:dyDescent="0.2">
      <c r="E432" s="34"/>
    </row>
    <row r="433" spans="5:5" x14ac:dyDescent="0.2">
      <c r="E433" s="34"/>
    </row>
    <row r="434" spans="5:5" x14ac:dyDescent="0.2">
      <c r="E434" s="34"/>
    </row>
    <row r="435" spans="5:5" x14ac:dyDescent="0.2">
      <c r="E435" s="34"/>
    </row>
    <row r="436" spans="5:5" x14ac:dyDescent="0.2">
      <c r="E436" s="34"/>
    </row>
    <row r="437" spans="5:5" x14ac:dyDescent="0.2">
      <c r="E437" s="34"/>
    </row>
    <row r="438" spans="5:5" x14ac:dyDescent="0.2">
      <c r="E438" s="34"/>
    </row>
    <row r="439" spans="5:5" x14ac:dyDescent="0.2">
      <c r="E439" s="34"/>
    </row>
    <row r="440" spans="5:5" x14ac:dyDescent="0.2">
      <c r="E440" s="34"/>
    </row>
    <row r="441" spans="5:5" x14ac:dyDescent="0.2">
      <c r="E441" s="34"/>
    </row>
    <row r="442" spans="5:5" x14ac:dyDescent="0.2">
      <c r="E442" s="34"/>
    </row>
    <row r="443" spans="5:5" x14ac:dyDescent="0.2">
      <c r="E443" s="34"/>
    </row>
    <row r="444" spans="5:5" x14ac:dyDescent="0.2">
      <c r="E444" s="34"/>
    </row>
    <row r="445" spans="5:5" x14ac:dyDescent="0.2">
      <c r="E445" s="34"/>
    </row>
    <row r="446" spans="5:5" x14ac:dyDescent="0.2">
      <c r="E446" s="34"/>
    </row>
    <row r="447" spans="5:5" x14ac:dyDescent="0.2">
      <c r="E447" s="34"/>
    </row>
    <row r="448" spans="5:5" x14ac:dyDescent="0.2">
      <c r="E448" s="34"/>
    </row>
    <row r="449" spans="5:5" x14ac:dyDescent="0.2">
      <c r="E449" s="34"/>
    </row>
    <row r="450" spans="5:5" x14ac:dyDescent="0.2">
      <c r="E450" s="34"/>
    </row>
    <row r="451" spans="5:5" x14ac:dyDescent="0.2">
      <c r="E451" s="34"/>
    </row>
    <row r="452" spans="5:5" x14ac:dyDescent="0.2">
      <c r="E452" s="34"/>
    </row>
    <row r="453" spans="5:5" x14ac:dyDescent="0.2">
      <c r="E453" s="34"/>
    </row>
    <row r="454" spans="5:5" x14ac:dyDescent="0.2">
      <c r="E454" s="34"/>
    </row>
    <row r="455" spans="5:5" x14ac:dyDescent="0.2">
      <c r="E455" s="34"/>
    </row>
    <row r="456" spans="5:5" x14ac:dyDescent="0.2">
      <c r="E456" s="34"/>
    </row>
    <row r="457" spans="5:5" x14ac:dyDescent="0.2">
      <c r="E457" s="34"/>
    </row>
    <row r="458" spans="5:5" x14ac:dyDescent="0.2">
      <c r="E458" s="34"/>
    </row>
    <row r="459" spans="5:5" x14ac:dyDescent="0.2">
      <c r="E459" s="34"/>
    </row>
    <row r="460" spans="5:5" x14ac:dyDescent="0.2">
      <c r="E460" s="34"/>
    </row>
    <row r="461" spans="5:5" x14ac:dyDescent="0.2">
      <c r="E461" s="34"/>
    </row>
    <row r="462" spans="5:5" x14ac:dyDescent="0.2">
      <c r="E462" s="34"/>
    </row>
    <row r="463" spans="5:5" x14ac:dyDescent="0.2">
      <c r="E463" s="34"/>
    </row>
    <row r="464" spans="5:5" x14ac:dyDescent="0.2">
      <c r="E464" s="34"/>
    </row>
    <row r="465" spans="5:5" x14ac:dyDescent="0.2">
      <c r="E465" s="34"/>
    </row>
    <row r="466" spans="5:5" x14ac:dyDescent="0.2">
      <c r="E466" s="34"/>
    </row>
    <row r="467" spans="5:5" x14ac:dyDescent="0.2">
      <c r="E467" s="34"/>
    </row>
    <row r="468" spans="5:5" x14ac:dyDescent="0.2">
      <c r="E468" s="34"/>
    </row>
    <row r="469" spans="5:5" x14ac:dyDescent="0.2">
      <c r="E469" s="34"/>
    </row>
    <row r="470" spans="5:5" x14ac:dyDescent="0.2">
      <c r="E470" s="34"/>
    </row>
    <row r="471" spans="5:5" x14ac:dyDescent="0.2">
      <c r="E471" s="34"/>
    </row>
    <row r="472" spans="5:5" x14ac:dyDescent="0.2">
      <c r="E472" s="34"/>
    </row>
    <row r="473" spans="5:5" x14ac:dyDescent="0.2">
      <c r="E473" s="34"/>
    </row>
    <row r="474" spans="5:5" x14ac:dyDescent="0.2">
      <c r="E474" s="34"/>
    </row>
    <row r="475" spans="5:5" x14ac:dyDescent="0.2">
      <c r="E475" s="34"/>
    </row>
    <row r="476" spans="5:5" x14ac:dyDescent="0.2">
      <c r="E476" s="34"/>
    </row>
    <row r="477" spans="5:5" x14ac:dyDescent="0.2">
      <c r="E477" s="34"/>
    </row>
    <row r="478" spans="5:5" x14ac:dyDescent="0.2">
      <c r="E478" s="34"/>
    </row>
    <row r="479" spans="5:5" x14ac:dyDescent="0.2">
      <c r="E479" s="34"/>
    </row>
    <row r="480" spans="5:5" x14ac:dyDescent="0.2">
      <c r="E480" s="34"/>
    </row>
    <row r="481" spans="5:5" x14ac:dyDescent="0.2">
      <c r="E481" s="34"/>
    </row>
    <row r="482" spans="5:5" x14ac:dyDescent="0.2">
      <c r="E482" s="34"/>
    </row>
    <row r="483" spans="5:5" x14ac:dyDescent="0.2">
      <c r="E483" s="34"/>
    </row>
    <row r="484" spans="5:5" x14ac:dyDescent="0.2">
      <c r="E484" s="34"/>
    </row>
    <row r="485" spans="5:5" x14ac:dyDescent="0.2">
      <c r="E485" s="34"/>
    </row>
    <row r="486" spans="5:5" x14ac:dyDescent="0.2">
      <c r="E486" s="34"/>
    </row>
    <row r="487" spans="5:5" x14ac:dyDescent="0.2">
      <c r="E487" s="34"/>
    </row>
    <row r="488" spans="5:5" x14ac:dyDescent="0.2">
      <c r="E488" s="34"/>
    </row>
    <row r="489" spans="5:5" x14ac:dyDescent="0.2">
      <c r="E489" s="34"/>
    </row>
    <row r="490" spans="5:5" x14ac:dyDescent="0.2">
      <c r="E490" s="34"/>
    </row>
    <row r="491" spans="5:5" x14ac:dyDescent="0.2">
      <c r="E491" s="34"/>
    </row>
    <row r="492" spans="5:5" x14ac:dyDescent="0.2">
      <c r="E492" s="34"/>
    </row>
    <row r="493" spans="5:5" x14ac:dyDescent="0.2">
      <c r="E493" s="34"/>
    </row>
    <row r="494" spans="5:5" x14ac:dyDescent="0.2">
      <c r="E494" s="34"/>
    </row>
    <row r="495" spans="5:5" x14ac:dyDescent="0.2">
      <c r="E495" s="34"/>
    </row>
    <row r="496" spans="5:5" x14ac:dyDescent="0.2">
      <c r="E496" s="34"/>
    </row>
    <row r="497" spans="5:5" x14ac:dyDescent="0.2">
      <c r="E497" s="34"/>
    </row>
    <row r="498" spans="5:5" x14ac:dyDescent="0.2">
      <c r="E498" s="34"/>
    </row>
    <row r="499" spans="5:5" x14ac:dyDescent="0.2">
      <c r="E499" s="34"/>
    </row>
    <row r="500" spans="5:5" x14ac:dyDescent="0.2">
      <c r="E500" s="34"/>
    </row>
    <row r="501" spans="5:5" x14ac:dyDescent="0.2">
      <c r="E501" s="34"/>
    </row>
    <row r="502" spans="5:5" x14ac:dyDescent="0.2">
      <c r="E502" s="34"/>
    </row>
    <row r="503" spans="5:5" x14ac:dyDescent="0.2">
      <c r="E503" s="34"/>
    </row>
    <row r="504" spans="5:5" x14ac:dyDescent="0.2">
      <c r="E504" s="34"/>
    </row>
    <row r="505" spans="5:5" x14ac:dyDescent="0.2">
      <c r="E505" s="34"/>
    </row>
    <row r="506" spans="5:5" x14ac:dyDescent="0.2">
      <c r="E506" s="34"/>
    </row>
    <row r="507" spans="5:5" x14ac:dyDescent="0.2">
      <c r="E507" s="34"/>
    </row>
    <row r="508" spans="5:5" x14ac:dyDescent="0.2">
      <c r="E508" s="34"/>
    </row>
    <row r="509" spans="5:5" x14ac:dyDescent="0.2">
      <c r="E509" s="34"/>
    </row>
    <row r="510" spans="5:5" x14ac:dyDescent="0.2">
      <c r="E510" s="34"/>
    </row>
    <row r="511" spans="5:5" x14ac:dyDescent="0.2">
      <c r="E511" s="34"/>
    </row>
    <row r="512" spans="5:5" x14ac:dyDescent="0.2">
      <c r="E512" s="34"/>
    </row>
    <row r="513" spans="5:5" x14ac:dyDescent="0.2">
      <c r="E513" s="34"/>
    </row>
    <row r="514" spans="5:5" x14ac:dyDescent="0.2">
      <c r="E514" s="34"/>
    </row>
    <row r="515" spans="5:5" x14ac:dyDescent="0.2">
      <c r="E515" s="34"/>
    </row>
    <row r="516" spans="5:5" x14ac:dyDescent="0.2">
      <c r="E516" s="34"/>
    </row>
    <row r="517" spans="5:5" x14ac:dyDescent="0.2">
      <c r="E517" s="34"/>
    </row>
    <row r="518" spans="5:5" x14ac:dyDescent="0.2">
      <c r="E518" s="34"/>
    </row>
    <row r="519" spans="5:5" x14ac:dyDescent="0.2">
      <c r="E519" s="34"/>
    </row>
    <row r="520" spans="5:5" x14ac:dyDescent="0.2">
      <c r="E520" s="34"/>
    </row>
    <row r="521" spans="5:5" x14ac:dyDescent="0.2">
      <c r="E521" s="34"/>
    </row>
    <row r="522" spans="5:5" x14ac:dyDescent="0.2">
      <c r="E522" s="34"/>
    </row>
    <row r="523" spans="5:5" x14ac:dyDescent="0.2">
      <c r="E523" s="34"/>
    </row>
    <row r="524" spans="5:5" x14ac:dyDescent="0.2">
      <c r="E524" s="34"/>
    </row>
    <row r="525" spans="5:5" x14ac:dyDescent="0.2">
      <c r="E525" s="34"/>
    </row>
    <row r="526" spans="5:5" x14ac:dyDescent="0.2">
      <c r="E526" s="34"/>
    </row>
    <row r="527" spans="5:5" x14ac:dyDescent="0.2">
      <c r="E527" s="34"/>
    </row>
    <row r="528" spans="5:5" x14ac:dyDescent="0.2">
      <c r="E528" s="34"/>
    </row>
    <row r="529" spans="5:5" x14ac:dyDescent="0.2">
      <c r="E529" s="34"/>
    </row>
    <row r="530" spans="5:5" x14ac:dyDescent="0.2">
      <c r="E530" s="34"/>
    </row>
    <row r="531" spans="5:5" x14ac:dyDescent="0.2">
      <c r="E531" s="34"/>
    </row>
    <row r="532" spans="5:5" x14ac:dyDescent="0.2">
      <c r="E532" s="34"/>
    </row>
    <row r="533" spans="5:5" x14ac:dyDescent="0.2">
      <c r="E533" s="34"/>
    </row>
    <row r="534" spans="5:5" x14ac:dyDescent="0.2">
      <c r="E534" s="34"/>
    </row>
    <row r="535" spans="5:5" x14ac:dyDescent="0.2">
      <c r="E535" s="34"/>
    </row>
    <row r="536" spans="5:5" x14ac:dyDescent="0.2">
      <c r="E536" s="34"/>
    </row>
    <row r="537" spans="5:5" x14ac:dyDescent="0.2">
      <c r="E537" s="34"/>
    </row>
    <row r="538" spans="5:5" x14ac:dyDescent="0.2">
      <c r="E538" s="34"/>
    </row>
    <row r="539" spans="5:5" x14ac:dyDescent="0.2">
      <c r="E539" s="34"/>
    </row>
    <row r="540" spans="5:5" x14ac:dyDescent="0.2">
      <c r="E540" s="34"/>
    </row>
    <row r="541" spans="5:5" x14ac:dyDescent="0.2">
      <c r="E541" s="34"/>
    </row>
    <row r="542" spans="5:5" x14ac:dyDescent="0.2">
      <c r="E542" s="34"/>
    </row>
    <row r="543" spans="5:5" x14ac:dyDescent="0.2">
      <c r="E543" s="34"/>
    </row>
    <row r="544" spans="5:5" x14ac:dyDescent="0.2">
      <c r="E544" s="34"/>
    </row>
    <row r="545" spans="5:5" x14ac:dyDescent="0.2">
      <c r="E545" s="34"/>
    </row>
    <row r="546" spans="5:5" x14ac:dyDescent="0.2">
      <c r="E546" s="34"/>
    </row>
    <row r="547" spans="5:5" x14ac:dyDescent="0.2">
      <c r="E547" s="34"/>
    </row>
    <row r="548" spans="5:5" x14ac:dyDescent="0.2">
      <c r="E548" s="34"/>
    </row>
    <row r="549" spans="5:5" x14ac:dyDescent="0.2">
      <c r="E549" s="34"/>
    </row>
    <row r="550" spans="5:5" x14ac:dyDescent="0.2">
      <c r="E550" s="34"/>
    </row>
    <row r="551" spans="5:5" x14ac:dyDescent="0.2">
      <c r="E551" s="34"/>
    </row>
    <row r="552" spans="5:5" x14ac:dyDescent="0.2">
      <c r="E552" s="34"/>
    </row>
    <row r="553" spans="5:5" x14ac:dyDescent="0.2">
      <c r="E553" s="34"/>
    </row>
    <row r="554" spans="5:5" x14ac:dyDescent="0.2">
      <c r="E554" s="34"/>
    </row>
    <row r="555" spans="5:5" x14ac:dyDescent="0.2">
      <c r="E555" s="34"/>
    </row>
    <row r="556" spans="5:5" x14ac:dyDescent="0.2">
      <c r="E556" s="34"/>
    </row>
    <row r="557" spans="5:5" x14ac:dyDescent="0.2">
      <c r="E557" s="34"/>
    </row>
    <row r="558" spans="5:5" x14ac:dyDescent="0.2">
      <c r="E558" s="34"/>
    </row>
    <row r="559" spans="5:5" x14ac:dyDescent="0.2">
      <c r="E559" s="34"/>
    </row>
    <row r="560" spans="5:5" x14ac:dyDescent="0.2">
      <c r="E560" s="34"/>
    </row>
    <row r="561" spans="5:5" x14ac:dyDescent="0.2">
      <c r="E561" s="34"/>
    </row>
    <row r="562" spans="5:5" x14ac:dyDescent="0.2">
      <c r="E562" s="34"/>
    </row>
    <row r="563" spans="5:5" x14ac:dyDescent="0.2">
      <c r="E563" s="34"/>
    </row>
    <row r="564" spans="5:5" x14ac:dyDescent="0.2">
      <c r="E564" s="34"/>
    </row>
    <row r="565" spans="5:5" x14ac:dyDescent="0.2">
      <c r="E565" s="34"/>
    </row>
    <row r="566" spans="5:5" x14ac:dyDescent="0.2">
      <c r="E566" s="34"/>
    </row>
    <row r="567" spans="5:5" x14ac:dyDescent="0.2">
      <c r="E567" s="34"/>
    </row>
    <row r="568" spans="5:5" x14ac:dyDescent="0.2">
      <c r="E568" s="34"/>
    </row>
    <row r="569" spans="5:5" x14ac:dyDescent="0.2">
      <c r="E569" s="34"/>
    </row>
    <row r="570" spans="5:5" x14ac:dyDescent="0.2">
      <c r="E570" s="34"/>
    </row>
    <row r="571" spans="5:5" x14ac:dyDescent="0.2">
      <c r="E571" s="34"/>
    </row>
    <row r="572" spans="5:5" x14ac:dyDescent="0.2">
      <c r="E572" s="34"/>
    </row>
    <row r="573" spans="5:5" x14ac:dyDescent="0.2">
      <c r="E573" s="34"/>
    </row>
    <row r="574" spans="5:5" x14ac:dyDescent="0.2">
      <c r="E574" s="34"/>
    </row>
    <row r="575" spans="5:5" x14ac:dyDescent="0.2">
      <c r="E575" s="34"/>
    </row>
    <row r="576" spans="5:5" x14ac:dyDescent="0.2">
      <c r="E576" s="34"/>
    </row>
    <row r="577" spans="5:5" x14ac:dyDescent="0.2">
      <c r="E577" s="34"/>
    </row>
    <row r="578" spans="5:5" x14ac:dyDescent="0.2">
      <c r="E578" s="34"/>
    </row>
    <row r="579" spans="5:5" x14ac:dyDescent="0.2">
      <c r="E579" s="34"/>
    </row>
    <row r="580" spans="5:5" x14ac:dyDescent="0.2">
      <c r="E580" s="34"/>
    </row>
    <row r="581" spans="5:5" x14ac:dyDescent="0.2">
      <c r="E581" s="34"/>
    </row>
    <row r="582" spans="5:5" x14ac:dyDescent="0.2">
      <c r="E582" s="34"/>
    </row>
    <row r="583" spans="5:5" x14ac:dyDescent="0.2">
      <c r="E583" s="34"/>
    </row>
    <row r="584" spans="5:5" x14ac:dyDescent="0.2">
      <c r="E584" s="34"/>
    </row>
    <row r="585" spans="5:5" x14ac:dyDescent="0.2">
      <c r="E585" s="34"/>
    </row>
    <row r="586" spans="5:5" x14ac:dyDescent="0.2">
      <c r="E586" s="34"/>
    </row>
    <row r="587" spans="5:5" x14ac:dyDescent="0.2">
      <c r="E587" s="34"/>
    </row>
    <row r="588" spans="5:5" x14ac:dyDescent="0.2">
      <c r="E588" s="34"/>
    </row>
    <row r="589" spans="5:5" x14ac:dyDescent="0.2">
      <c r="E589" s="34"/>
    </row>
    <row r="590" spans="5:5" x14ac:dyDescent="0.2">
      <c r="E590" s="34"/>
    </row>
    <row r="591" spans="5:5" x14ac:dyDescent="0.2">
      <c r="E591" s="34"/>
    </row>
    <row r="592" spans="5:5" x14ac:dyDescent="0.2">
      <c r="E592" s="34"/>
    </row>
    <row r="593" spans="5:5" x14ac:dyDescent="0.2">
      <c r="E593" s="34"/>
    </row>
    <row r="594" spans="5:5" x14ac:dyDescent="0.2">
      <c r="E594" s="34"/>
    </row>
    <row r="595" spans="5:5" x14ac:dyDescent="0.2">
      <c r="E595" s="34"/>
    </row>
    <row r="596" spans="5:5" x14ac:dyDescent="0.2">
      <c r="E596" s="34"/>
    </row>
    <row r="597" spans="5:5" x14ac:dyDescent="0.2">
      <c r="E597" s="34"/>
    </row>
    <row r="598" spans="5:5" x14ac:dyDescent="0.2">
      <c r="E598" s="34"/>
    </row>
    <row r="599" spans="5:5" x14ac:dyDescent="0.2">
      <c r="E599" s="34"/>
    </row>
    <row r="600" spans="5:5" x14ac:dyDescent="0.2">
      <c r="E600" s="34"/>
    </row>
    <row r="601" spans="5:5" x14ac:dyDescent="0.2">
      <c r="E601" s="34"/>
    </row>
    <row r="602" spans="5:5" x14ac:dyDescent="0.2">
      <c r="E602" s="34"/>
    </row>
    <row r="603" spans="5:5" x14ac:dyDescent="0.2">
      <c r="E603" s="34"/>
    </row>
    <row r="604" spans="5:5" x14ac:dyDescent="0.2">
      <c r="E604" s="34"/>
    </row>
    <row r="605" spans="5:5" x14ac:dyDescent="0.2">
      <c r="E605" s="34"/>
    </row>
    <row r="606" spans="5:5" x14ac:dyDescent="0.2">
      <c r="E606" s="34"/>
    </row>
    <row r="607" spans="5:5" x14ac:dyDescent="0.2">
      <c r="E607" s="34"/>
    </row>
    <row r="608" spans="5:5" x14ac:dyDescent="0.2">
      <c r="E608" s="34"/>
    </row>
    <row r="609" spans="5:5" x14ac:dyDescent="0.2">
      <c r="E609" s="34"/>
    </row>
    <row r="610" spans="5:5" x14ac:dyDescent="0.2">
      <c r="E610" s="34"/>
    </row>
    <row r="611" spans="5:5" x14ac:dyDescent="0.2">
      <c r="E611" s="34"/>
    </row>
    <row r="612" spans="5:5" x14ac:dyDescent="0.2">
      <c r="E612" s="34"/>
    </row>
    <row r="613" spans="5:5" x14ac:dyDescent="0.2">
      <c r="E613" s="34"/>
    </row>
    <row r="614" spans="5:5" x14ac:dyDescent="0.2">
      <c r="E614" s="34"/>
    </row>
    <row r="615" spans="5:5" x14ac:dyDescent="0.2">
      <c r="E615" s="34"/>
    </row>
    <row r="616" spans="5:5" x14ac:dyDescent="0.2">
      <c r="E616" s="34"/>
    </row>
    <row r="617" spans="5:5" x14ac:dyDescent="0.2">
      <c r="E617" s="34"/>
    </row>
    <row r="618" spans="5:5" x14ac:dyDescent="0.2">
      <c r="E618" s="34"/>
    </row>
    <row r="619" spans="5:5" x14ac:dyDescent="0.2">
      <c r="E619" s="34"/>
    </row>
    <row r="620" spans="5:5" x14ac:dyDescent="0.2">
      <c r="E620" s="34"/>
    </row>
    <row r="621" spans="5:5" x14ac:dyDescent="0.2">
      <c r="E621" s="34"/>
    </row>
    <row r="622" spans="5:5" x14ac:dyDescent="0.2">
      <c r="E622" s="34"/>
    </row>
    <row r="623" spans="5:5" x14ac:dyDescent="0.2">
      <c r="E623" s="34"/>
    </row>
    <row r="624" spans="5:5" x14ac:dyDescent="0.2">
      <c r="E624" s="34"/>
    </row>
    <row r="625" spans="5:5" x14ac:dyDescent="0.2">
      <c r="E625" s="34"/>
    </row>
    <row r="626" spans="5:5" x14ac:dyDescent="0.2">
      <c r="E626" s="34"/>
    </row>
    <row r="627" spans="5:5" x14ac:dyDescent="0.2">
      <c r="E627" s="34"/>
    </row>
    <row r="628" spans="5:5" x14ac:dyDescent="0.2">
      <c r="E628" s="34"/>
    </row>
    <row r="629" spans="5:5" x14ac:dyDescent="0.2">
      <c r="E629" s="34"/>
    </row>
    <row r="630" spans="5:5" x14ac:dyDescent="0.2">
      <c r="E630" s="34"/>
    </row>
    <row r="631" spans="5:5" x14ac:dyDescent="0.2">
      <c r="E631" s="34"/>
    </row>
    <row r="632" spans="5:5" x14ac:dyDescent="0.2">
      <c r="E632" s="34"/>
    </row>
    <row r="633" spans="5:5" x14ac:dyDescent="0.2">
      <c r="E633" s="34"/>
    </row>
    <row r="634" spans="5:5" x14ac:dyDescent="0.2">
      <c r="E634" s="34"/>
    </row>
    <row r="635" spans="5:5" x14ac:dyDescent="0.2">
      <c r="E635" s="34"/>
    </row>
    <row r="636" spans="5:5" x14ac:dyDescent="0.2">
      <c r="E636" s="34"/>
    </row>
    <row r="637" spans="5:5" x14ac:dyDescent="0.2">
      <c r="E637" s="34"/>
    </row>
    <row r="638" spans="5:5" x14ac:dyDescent="0.2">
      <c r="E638" s="34"/>
    </row>
    <row r="639" spans="5:5" x14ac:dyDescent="0.2">
      <c r="E639" s="34"/>
    </row>
    <row r="640" spans="5:5" x14ac:dyDescent="0.2">
      <c r="E640" s="34"/>
    </row>
    <row r="641" spans="5:5" x14ac:dyDescent="0.2">
      <c r="E641" s="34"/>
    </row>
    <row r="642" spans="5:5" x14ac:dyDescent="0.2">
      <c r="E642" s="34"/>
    </row>
    <row r="643" spans="5:5" x14ac:dyDescent="0.2">
      <c r="E643" s="34"/>
    </row>
    <row r="644" spans="5:5" x14ac:dyDescent="0.2">
      <c r="E644" s="34"/>
    </row>
    <row r="645" spans="5:5" x14ac:dyDescent="0.2">
      <c r="E645" s="34"/>
    </row>
    <row r="646" spans="5:5" x14ac:dyDescent="0.2">
      <c r="E646" s="34"/>
    </row>
    <row r="647" spans="5:5" x14ac:dyDescent="0.2">
      <c r="E647" s="34"/>
    </row>
    <row r="648" spans="5:5" x14ac:dyDescent="0.2">
      <c r="E648" s="34"/>
    </row>
    <row r="649" spans="5:5" x14ac:dyDescent="0.2">
      <c r="E649" s="34"/>
    </row>
    <row r="650" spans="5:5" x14ac:dyDescent="0.2">
      <c r="E650" s="34"/>
    </row>
    <row r="651" spans="5:5" x14ac:dyDescent="0.2">
      <c r="E651" s="34"/>
    </row>
    <row r="652" spans="5:5" x14ac:dyDescent="0.2">
      <c r="E652" s="34"/>
    </row>
    <row r="653" spans="5:5" x14ac:dyDescent="0.2">
      <c r="E653" s="34"/>
    </row>
    <row r="654" spans="5:5" x14ac:dyDescent="0.2">
      <c r="E654" s="34"/>
    </row>
    <row r="655" spans="5:5" x14ac:dyDescent="0.2">
      <c r="E655" s="34"/>
    </row>
    <row r="656" spans="5:5" x14ac:dyDescent="0.2">
      <c r="E656" s="34"/>
    </row>
    <row r="657" spans="5:5" x14ac:dyDescent="0.2">
      <c r="E657" s="34"/>
    </row>
    <row r="658" spans="5:5" x14ac:dyDescent="0.2">
      <c r="E658" s="34"/>
    </row>
    <row r="659" spans="5:5" x14ac:dyDescent="0.2">
      <c r="E659" s="34"/>
    </row>
    <row r="660" spans="5:5" x14ac:dyDescent="0.2">
      <c r="E660" s="34"/>
    </row>
    <row r="661" spans="5:5" x14ac:dyDescent="0.2">
      <c r="E661" s="34"/>
    </row>
    <row r="662" spans="5:5" x14ac:dyDescent="0.2">
      <c r="E662" s="34"/>
    </row>
    <row r="663" spans="5:5" x14ac:dyDescent="0.2">
      <c r="E663" s="34"/>
    </row>
    <row r="664" spans="5:5" x14ac:dyDescent="0.2">
      <c r="E664" s="34"/>
    </row>
    <row r="665" spans="5:5" x14ac:dyDescent="0.2">
      <c r="E665" s="34"/>
    </row>
    <row r="666" spans="5:5" x14ac:dyDescent="0.2">
      <c r="E666" s="34"/>
    </row>
    <row r="667" spans="5:5" x14ac:dyDescent="0.2">
      <c r="E667" s="34"/>
    </row>
    <row r="668" spans="5:5" x14ac:dyDescent="0.2">
      <c r="E668" s="34"/>
    </row>
    <row r="669" spans="5:5" x14ac:dyDescent="0.2">
      <c r="E669" s="34"/>
    </row>
    <row r="670" spans="5:5" x14ac:dyDescent="0.2">
      <c r="E670" s="34"/>
    </row>
    <row r="671" spans="5:5" x14ac:dyDescent="0.2">
      <c r="E671" s="34"/>
    </row>
    <row r="672" spans="5:5" x14ac:dyDescent="0.2">
      <c r="E672" s="34"/>
    </row>
    <row r="673" spans="5:5" x14ac:dyDescent="0.2">
      <c r="E673" s="34"/>
    </row>
    <row r="674" spans="5:5" x14ac:dyDescent="0.2">
      <c r="E674" s="34"/>
    </row>
    <row r="675" spans="5:5" x14ac:dyDescent="0.2">
      <c r="E675" s="34"/>
    </row>
    <row r="676" spans="5:5" x14ac:dyDescent="0.2">
      <c r="E676" s="34"/>
    </row>
    <row r="677" spans="5:5" x14ac:dyDescent="0.2">
      <c r="E677" s="34"/>
    </row>
    <row r="678" spans="5:5" x14ac:dyDescent="0.2">
      <c r="E678" s="34"/>
    </row>
    <row r="679" spans="5:5" x14ac:dyDescent="0.2">
      <c r="E679" s="34"/>
    </row>
    <row r="680" spans="5:5" x14ac:dyDescent="0.2">
      <c r="E680" s="34"/>
    </row>
    <row r="681" spans="5:5" x14ac:dyDescent="0.2">
      <c r="E681" s="34"/>
    </row>
    <row r="682" spans="5:5" x14ac:dyDescent="0.2">
      <c r="E682" s="34"/>
    </row>
    <row r="683" spans="5:5" x14ac:dyDescent="0.2">
      <c r="E683" s="34"/>
    </row>
    <row r="684" spans="5:5" x14ac:dyDescent="0.2">
      <c r="E684" s="34"/>
    </row>
    <row r="685" spans="5:5" x14ac:dyDescent="0.2">
      <c r="E685" s="34"/>
    </row>
    <row r="686" spans="5:5" x14ac:dyDescent="0.2">
      <c r="E686" s="34"/>
    </row>
    <row r="687" spans="5:5" x14ac:dyDescent="0.2">
      <c r="E687" s="34"/>
    </row>
    <row r="688" spans="5:5" x14ac:dyDescent="0.2">
      <c r="E688" s="34"/>
    </row>
    <row r="689" spans="5:5" x14ac:dyDescent="0.2">
      <c r="E689" s="34"/>
    </row>
    <row r="690" spans="5:5" x14ac:dyDescent="0.2">
      <c r="E690" s="34"/>
    </row>
    <row r="691" spans="5:5" x14ac:dyDescent="0.2">
      <c r="E691" s="34"/>
    </row>
    <row r="692" spans="5:5" x14ac:dyDescent="0.2">
      <c r="E692" s="34"/>
    </row>
    <row r="693" spans="5:5" x14ac:dyDescent="0.2">
      <c r="E693" s="34"/>
    </row>
    <row r="694" spans="5:5" x14ac:dyDescent="0.2">
      <c r="E694" s="34"/>
    </row>
    <row r="695" spans="5:5" x14ac:dyDescent="0.2">
      <c r="E695" s="34"/>
    </row>
    <row r="696" spans="5:5" x14ac:dyDescent="0.2">
      <c r="E696" s="34"/>
    </row>
    <row r="697" spans="5:5" x14ac:dyDescent="0.2">
      <c r="E697" s="34"/>
    </row>
    <row r="698" spans="5:5" x14ac:dyDescent="0.2">
      <c r="E698" s="34"/>
    </row>
    <row r="699" spans="5:5" x14ac:dyDescent="0.2">
      <c r="E699" s="34"/>
    </row>
    <row r="700" spans="5:5" x14ac:dyDescent="0.2">
      <c r="E700" s="34"/>
    </row>
    <row r="701" spans="5:5" x14ac:dyDescent="0.2">
      <c r="E701" s="34"/>
    </row>
    <row r="702" spans="5:5" x14ac:dyDescent="0.2">
      <c r="E702" s="34"/>
    </row>
    <row r="703" spans="5:5" x14ac:dyDescent="0.2">
      <c r="E703" s="34"/>
    </row>
    <row r="704" spans="5:5" x14ac:dyDescent="0.2">
      <c r="E704" s="34"/>
    </row>
    <row r="705" spans="5:5" x14ac:dyDescent="0.2">
      <c r="E705" s="34"/>
    </row>
    <row r="706" spans="5:5" x14ac:dyDescent="0.2">
      <c r="E706" s="34"/>
    </row>
    <row r="707" spans="5:5" x14ac:dyDescent="0.2">
      <c r="E707" s="34"/>
    </row>
    <row r="708" spans="5:5" x14ac:dyDescent="0.2">
      <c r="E708" s="34"/>
    </row>
    <row r="709" spans="5:5" x14ac:dyDescent="0.2">
      <c r="E709" s="34"/>
    </row>
    <row r="710" spans="5:5" x14ac:dyDescent="0.2">
      <c r="E710" s="34"/>
    </row>
    <row r="711" spans="5:5" x14ac:dyDescent="0.2">
      <c r="E711" s="34"/>
    </row>
    <row r="712" spans="5:5" x14ac:dyDescent="0.2">
      <c r="E712" s="34"/>
    </row>
    <row r="713" spans="5:5" x14ac:dyDescent="0.2">
      <c r="E713" s="34"/>
    </row>
    <row r="714" spans="5:5" x14ac:dyDescent="0.2">
      <c r="E714" s="34"/>
    </row>
    <row r="715" spans="5:5" x14ac:dyDescent="0.2">
      <c r="E715" s="34"/>
    </row>
    <row r="716" spans="5:5" x14ac:dyDescent="0.2">
      <c r="E716" s="34"/>
    </row>
    <row r="717" spans="5:5" x14ac:dyDescent="0.2">
      <c r="E717" s="34"/>
    </row>
    <row r="718" spans="5:5" x14ac:dyDescent="0.2">
      <c r="E718" s="34"/>
    </row>
    <row r="719" spans="5:5" x14ac:dyDescent="0.2">
      <c r="E719" s="34"/>
    </row>
    <row r="720" spans="5:5" x14ac:dyDescent="0.2">
      <c r="E720" s="34"/>
    </row>
    <row r="721" spans="5:5" x14ac:dyDescent="0.2">
      <c r="E721" s="34"/>
    </row>
    <row r="722" spans="5:5" x14ac:dyDescent="0.2">
      <c r="E722" s="34"/>
    </row>
    <row r="723" spans="5:5" x14ac:dyDescent="0.2">
      <c r="E723" s="34"/>
    </row>
    <row r="724" spans="5:5" x14ac:dyDescent="0.2">
      <c r="E724" s="34"/>
    </row>
    <row r="725" spans="5:5" x14ac:dyDescent="0.2">
      <c r="E725" s="34"/>
    </row>
    <row r="726" spans="5:5" x14ac:dyDescent="0.2">
      <c r="E726" s="34"/>
    </row>
    <row r="727" spans="5:5" x14ac:dyDescent="0.2">
      <c r="E727" s="34"/>
    </row>
    <row r="728" spans="5:5" x14ac:dyDescent="0.2">
      <c r="E728" s="34"/>
    </row>
    <row r="729" spans="5:5" x14ac:dyDescent="0.2">
      <c r="E729" s="34"/>
    </row>
    <row r="730" spans="5:5" x14ac:dyDescent="0.2">
      <c r="E730" s="34"/>
    </row>
    <row r="731" spans="5:5" x14ac:dyDescent="0.2">
      <c r="E731" s="34"/>
    </row>
    <row r="732" spans="5:5" x14ac:dyDescent="0.2">
      <c r="E732" s="34"/>
    </row>
    <row r="733" spans="5:5" x14ac:dyDescent="0.2">
      <c r="E733" s="34"/>
    </row>
    <row r="734" spans="5:5" x14ac:dyDescent="0.2">
      <c r="E734" s="34"/>
    </row>
    <row r="735" spans="5:5" x14ac:dyDescent="0.2">
      <c r="E735" s="34"/>
    </row>
    <row r="736" spans="5:5" x14ac:dyDescent="0.2">
      <c r="E736" s="34"/>
    </row>
    <row r="737" spans="5:5" x14ac:dyDescent="0.2">
      <c r="E737" s="34"/>
    </row>
    <row r="738" spans="5:5" x14ac:dyDescent="0.2">
      <c r="E738" s="34"/>
    </row>
    <row r="739" spans="5:5" x14ac:dyDescent="0.2">
      <c r="E739" s="34"/>
    </row>
    <row r="740" spans="5:5" x14ac:dyDescent="0.2">
      <c r="E740" s="34"/>
    </row>
    <row r="741" spans="5:5" x14ac:dyDescent="0.2">
      <c r="E741" s="34"/>
    </row>
    <row r="742" spans="5:5" x14ac:dyDescent="0.2">
      <c r="E742" s="34"/>
    </row>
    <row r="743" spans="5:5" x14ac:dyDescent="0.2">
      <c r="E743" s="34"/>
    </row>
    <row r="744" spans="5:5" x14ac:dyDescent="0.2">
      <c r="E744" s="34"/>
    </row>
    <row r="745" spans="5:5" x14ac:dyDescent="0.2">
      <c r="E745" s="34"/>
    </row>
    <row r="746" spans="5:5" x14ac:dyDescent="0.2">
      <c r="E746" s="34"/>
    </row>
    <row r="747" spans="5:5" x14ac:dyDescent="0.2">
      <c r="E747" s="34"/>
    </row>
    <row r="748" spans="5:5" x14ac:dyDescent="0.2">
      <c r="E748" s="34"/>
    </row>
    <row r="749" spans="5:5" x14ac:dyDescent="0.2">
      <c r="E749" s="34"/>
    </row>
    <row r="750" spans="5:5" x14ac:dyDescent="0.2">
      <c r="E750" s="34"/>
    </row>
    <row r="751" spans="5:5" x14ac:dyDescent="0.2">
      <c r="E751" s="34"/>
    </row>
    <row r="752" spans="5:5" x14ac:dyDescent="0.2">
      <c r="E752" s="34"/>
    </row>
    <row r="753" spans="5:5" x14ac:dyDescent="0.2">
      <c r="E753" s="34"/>
    </row>
    <row r="754" spans="5:5" x14ac:dyDescent="0.2">
      <c r="E754" s="34"/>
    </row>
    <row r="755" spans="5:5" x14ac:dyDescent="0.2">
      <c r="E755" s="34"/>
    </row>
    <row r="756" spans="5:5" x14ac:dyDescent="0.2">
      <c r="E756" s="34"/>
    </row>
    <row r="757" spans="5:5" x14ac:dyDescent="0.2">
      <c r="E757" s="34"/>
    </row>
    <row r="758" spans="5:5" x14ac:dyDescent="0.2">
      <c r="E758" s="34"/>
    </row>
    <row r="759" spans="5:5" x14ac:dyDescent="0.2">
      <c r="E759" s="34"/>
    </row>
    <row r="760" spans="5:5" x14ac:dyDescent="0.2">
      <c r="E760" s="34"/>
    </row>
    <row r="761" spans="5:5" x14ac:dyDescent="0.2">
      <c r="E761" s="34"/>
    </row>
    <row r="762" spans="5:5" x14ac:dyDescent="0.2">
      <c r="E762" s="34"/>
    </row>
    <row r="763" spans="5:5" x14ac:dyDescent="0.2">
      <c r="E763" s="34"/>
    </row>
    <row r="764" spans="5:5" x14ac:dyDescent="0.2">
      <c r="E764" s="34"/>
    </row>
    <row r="765" spans="5:5" x14ac:dyDescent="0.2">
      <c r="E765" s="34"/>
    </row>
    <row r="766" spans="5:5" x14ac:dyDescent="0.2">
      <c r="E766" s="34"/>
    </row>
    <row r="767" spans="5:5" x14ac:dyDescent="0.2">
      <c r="E767" s="34"/>
    </row>
    <row r="768" spans="5:5" x14ac:dyDescent="0.2">
      <c r="E768" s="34"/>
    </row>
    <row r="769" spans="5:5" x14ac:dyDescent="0.2">
      <c r="E769" s="34"/>
    </row>
    <row r="770" spans="5:5" x14ac:dyDescent="0.2">
      <c r="E770" s="34"/>
    </row>
    <row r="771" spans="5:5" x14ac:dyDescent="0.2">
      <c r="E771" s="34"/>
    </row>
    <row r="772" spans="5:5" x14ac:dyDescent="0.2">
      <c r="E772" s="34"/>
    </row>
    <row r="773" spans="5:5" x14ac:dyDescent="0.2">
      <c r="E773" s="34"/>
    </row>
    <row r="774" spans="5:5" x14ac:dyDescent="0.2">
      <c r="E774" s="34"/>
    </row>
    <row r="775" spans="5:5" x14ac:dyDescent="0.2">
      <c r="E775" s="34"/>
    </row>
    <row r="776" spans="5:5" x14ac:dyDescent="0.2">
      <c r="E776" s="34"/>
    </row>
    <row r="777" spans="5:5" x14ac:dyDescent="0.2">
      <c r="E777" s="34"/>
    </row>
    <row r="778" spans="5:5" x14ac:dyDescent="0.2">
      <c r="E778" s="34"/>
    </row>
    <row r="779" spans="5:5" x14ac:dyDescent="0.2">
      <c r="E779" s="34"/>
    </row>
    <row r="780" spans="5:5" x14ac:dyDescent="0.2">
      <c r="E780" s="34"/>
    </row>
    <row r="781" spans="5:5" x14ac:dyDescent="0.2">
      <c r="E781" s="34"/>
    </row>
    <row r="782" spans="5:5" x14ac:dyDescent="0.2">
      <c r="E782" s="34"/>
    </row>
    <row r="783" spans="5:5" x14ac:dyDescent="0.2">
      <c r="E783" s="34"/>
    </row>
    <row r="784" spans="5:5" x14ac:dyDescent="0.2">
      <c r="E784" s="34"/>
    </row>
    <row r="785" spans="5:5" x14ac:dyDescent="0.2">
      <c r="E785" s="34"/>
    </row>
    <row r="786" spans="5:5" x14ac:dyDescent="0.2">
      <c r="E786" s="34"/>
    </row>
    <row r="787" spans="5:5" x14ac:dyDescent="0.2">
      <c r="E787" s="34"/>
    </row>
    <row r="788" spans="5:5" x14ac:dyDescent="0.2">
      <c r="E788" s="34"/>
    </row>
    <row r="789" spans="5:5" x14ac:dyDescent="0.2">
      <c r="E789" s="34"/>
    </row>
    <row r="790" spans="5:5" x14ac:dyDescent="0.2">
      <c r="E790" s="34"/>
    </row>
    <row r="791" spans="5:5" x14ac:dyDescent="0.2">
      <c r="E791" s="34"/>
    </row>
    <row r="792" spans="5:5" x14ac:dyDescent="0.2">
      <c r="E792" s="34"/>
    </row>
    <row r="793" spans="5:5" x14ac:dyDescent="0.2">
      <c r="E793" s="34"/>
    </row>
    <row r="794" spans="5:5" x14ac:dyDescent="0.2">
      <c r="E794" s="34"/>
    </row>
    <row r="795" spans="5:5" x14ac:dyDescent="0.2">
      <c r="E795" s="34"/>
    </row>
    <row r="796" spans="5:5" x14ac:dyDescent="0.2">
      <c r="E796" s="34"/>
    </row>
    <row r="797" spans="5:5" x14ac:dyDescent="0.2">
      <c r="E797" s="34"/>
    </row>
    <row r="798" spans="5:5" x14ac:dyDescent="0.2">
      <c r="E798" s="34"/>
    </row>
    <row r="799" spans="5:5" x14ac:dyDescent="0.2">
      <c r="E799" s="34"/>
    </row>
    <row r="800" spans="5:5" x14ac:dyDescent="0.2">
      <c r="E800" s="34"/>
    </row>
    <row r="801" spans="5:5" x14ac:dyDescent="0.2">
      <c r="E801" s="34"/>
    </row>
    <row r="802" spans="5:5" x14ac:dyDescent="0.2">
      <c r="E802" s="34"/>
    </row>
    <row r="803" spans="5:5" x14ac:dyDescent="0.2">
      <c r="E803" s="34"/>
    </row>
    <row r="804" spans="5:5" x14ac:dyDescent="0.2">
      <c r="E804" s="34"/>
    </row>
    <row r="805" spans="5:5" x14ac:dyDescent="0.2">
      <c r="E805" s="34"/>
    </row>
    <row r="806" spans="5:5" x14ac:dyDescent="0.2">
      <c r="E806" s="34"/>
    </row>
    <row r="807" spans="5:5" x14ac:dyDescent="0.2">
      <c r="E807" s="34"/>
    </row>
    <row r="808" spans="5:5" x14ac:dyDescent="0.2">
      <c r="E808" s="34"/>
    </row>
    <row r="809" spans="5:5" x14ac:dyDescent="0.2">
      <c r="E809" s="34"/>
    </row>
    <row r="810" spans="5:5" x14ac:dyDescent="0.2">
      <c r="E810" s="34"/>
    </row>
    <row r="811" spans="5:5" x14ac:dyDescent="0.2">
      <c r="E811" s="34"/>
    </row>
    <row r="812" spans="5:5" x14ac:dyDescent="0.2">
      <c r="E812" s="34"/>
    </row>
    <row r="813" spans="5:5" x14ac:dyDescent="0.2">
      <c r="E813" s="34"/>
    </row>
    <row r="814" spans="5:5" x14ac:dyDescent="0.2">
      <c r="E814" s="34"/>
    </row>
    <row r="815" spans="5:5" x14ac:dyDescent="0.2">
      <c r="E815" s="34"/>
    </row>
    <row r="816" spans="5:5" x14ac:dyDescent="0.2">
      <c r="E816" s="34"/>
    </row>
    <row r="817" spans="5:5" x14ac:dyDescent="0.2">
      <c r="E817" s="34"/>
    </row>
    <row r="818" spans="5:5" x14ac:dyDescent="0.2">
      <c r="E818" s="34"/>
    </row>
    <row r="819" spans="5:5" x14ac:dyDescent="0.2">
      <c r="E819" s="34"/>
    </row>
    <row r="820" spans="5:5" x14ac:dyDescent="0.2">
      <c r="E820" s="34"/>
    </row>
    <row r="821" spans="5:5" x14ac:dyDescent="0.2">
      <c r="E821" s="34"/>
    </row>
    <row r="822" spans="5:5" x14ac:dyDescent="0.2">
      <c r="E822" s="34"/>
    </row>
    <row r="823" spans="5:5" x14ac:dyDescent="0.2">
      <c r="E823" s="34"/>
    </row>
    <row r="824" spans="5:5" x14ac:dyDescent="0.2">
      <c r="E824" s="34"/>
    </row>
    <row r="825" spans="5:5" x14ac:dyDescent="0.2">
      <c r="E825" s="34"/>
    </row>
    <row r="826" spans="5:5" x14ac:dyDescent="0.2">
      <c r="E826" s="34"/>
    </row>
    <row r="827" spans="5:5" x14ac:dyDescent="0.2">
      <c r="E827" s="34"/>
    </row>
    <row r="828" spans="5:5" x14ac:dyDescent="0.2">
      <c r="E828" s="34"/>
    </row>
    <row r="829" spans="5:5" x14ac:dyDescent="0.2">
      <c r="E829" s="34"/>
    </row>
    <row r="830" spans="5:5" x14ac:dyDescent="0.2">
      <c r="E830" s="34"/>
    </row>
    <row r="831" spans="5:5" x14ac:dyDescent="0.2">
      <c r="E831" s="34"/>
    </row>
    <row r="832" spans="5:5" x14ac:dyDescent="0.2">
      <c r="E832" s="34"/>
    </row>
    <row r="833" spans="5:5" x14ac:dyDescent="0.2">
      <c r="E833" s="34"/>
    </row>
    <row r="834" spans="5:5" x14ac:dyDescent="0.2">
      <c r="E834" s="34"/>
    </row>
    <row r="835" spans="5:5" x14ac:dyDescent="0.2">
      <c r="E835" s="34"/>
    </row>
    <row r="836" spans="5:5" x14ac:dyDescent="0.2">
      <c r="E836" s="34"/>
    </row>
    <row r="837" spans="5:5" x14ac:dyDescent="0.2">
      <c r="E837" s="34"/>
    </row>
    <row r="838" spans="5:5" x14ac:dyDescent="0.2">
      <c r="E838" s="34"/>
    </row>
    <row r="839" spans="5:5" x14ac:dyDescent="0.2">
      <c r="E839" s="34"/>
    </row>
    <row r="840" spans="5:5" x14ac:dyDescent="0.2">
      <c r="E840" s="34"/>
    </row>
    <row r="841" spans="5:5" x14ac:dyDescent="0.2">
      <c r="E841" s="34"/>
    </row>
    <row r="842" spans="5:5" x14ac:dyDescent="0.2">
      <c r="E842" s="34"/>
    </row>
    <row r="843" spans="5:5" x14ac:dyDescent="0.2">
      <c r="E843" s="34"/>
    </row>
    <row r="844" spans="5:5" x14ac:dyDescent="0.2">
      <c r="E844" s="34"/>
    </row>
    <row r="845" spans="5:5" x14ac:dyDescent="0.2">
      <c r="E845" s="34"/>
    </row>
    <row r="846" spans="5:5" x14ac:dyDescent="0.2">
      <c r="E846" s="34"/>
    </row>
    <row r="847" spans="5:5" x14ac:dyDescent="0.2">
      <c r="E847" s="34"/>
    </row>
    <row r="848" spans="5:5" x14ac:dyDescent="0.2">
      <c r="E848" s="34"/>
    </row>
    <row r="849" spans="5:5" x14ac:dyDescent="0.2">
      <c r="E849" s="34"/>
    </row>
    <row r="850" spans="5:5" x14ac:dyDescent="0.2">
      <c r="E850" s="34"/>
    </row>
    <row r="851" spans="5:5" x14ac:dyDescent="0.2">
      <c r="E851" s="34"/>
    </row>
    <row r="852" spans="5:5" x14ac:dyDescent="0.2">
      <c r="E852" s="34"/>
    </row>
    <row r="853" spans="5:5" x14ac:dyDescent="0.2">
      <c r="E853" s="34"/>
    </row>
    <row r="854" spans="5:5" x14ac:dyDescent="0.2">
      <c r="E854" s="34"/>
    </row>
    <row r="855" spans="5:5" x14ac:dyDescent="0.2">
      <c r="E855" s="34"/>
    </row>
    <row r="856" spans="5:5" x14ac:dyDescent="0.2">
      <c r="E856" s="34"/>
    </row>
    <row r="857" spans="5:5" x14ac:dyDescent="0.2">
      <c r="E857" s="34"/>
    </row>
    <row r="858" spans="5:5" x14ac:dyDescent="0.2">
      <c r="E858" s="34"/>
    </row>
    <row r="859" spans="5:5" x14ac:dyDescent="0.2">
      <c r="E859" s="34"/>
    </row>
    <row r="860" spans="5:5" x14ac:dyDescent="0.2">
      <c r="E860" s="34"/>
    </row>
    <row r="861" spans="5:5" x14ac:dyDescent="0.2">
      <c r="E861" s="34"/>
    </row>
    <row r="862" spans="5:5" x14ac:dyDescent="0.2">
      <c r="E862" s="34"/>
    </row>
    <row r="863" spans="5:5" x14ac:dyDescent="0.2">
      <c r="E863" s="34"/>
    </row>
    <row r="864" spans="5:5" x14ac:dyDescent="0.2">
      <c r="E864" s="34"/>
    </row>
    <row r="865" spans="5:5" x14ac:dyDescent="0.2">
      <c r="E865" s="34"/>
    </row>
    <row r="866" spans="5:5" x14ac:dyDescent="0.2">
      <c r="E866" s="34"/>
    </row>
    <row r="867" spans="5:5" x14ac:dyDescent="0.2">
      <c r="E867" s="34"/>
    </row>
    <row r="868" spans="5:5" x14ac:dyDescent="0.2">
      <c r="E868" s="34"/>
    </row>
    <row r="869" spans="5:5" x14ac:dyDescent="0.2">
      <c r="E869" s="34"/>
    </row>
    <row r="870" spans="5:5" x14ac:dyDescent="0.2">
      <c r="E870" s="34"/>
    </row>
    <row r="871" spans="5:5" x14ac:dyDescent="0.2">
      <c r="E871" s="34"/>
    </row>
    <row r="872" spans="5:5" x14ac:dyDescent="0.2">
      <c r="E872" s="34"/>
    </row>
    <row r="873" spans="5:5" x14ac:dyDescent="0.2">
      <c r="E873" s="34"/>
    </row>
    <row r="874" spans="5:5" x14ac:dyDescent="0.2">
      <c r="E874" s="34"/>
    </row>
    <row r="875" spans="5:5" x14ac:dyDescent="0.2">
      <c r="E875" s="34"/>
    </row>
    <row r="876" spans="5:5" x14ac:dyDescent="0.2">
      <c r="E876" s="34"/>
    </row>
    <row r="877" spans="5:5" x14ac:dyDescent="0.2">
      <c r="E877" s="34"/>
    </row>
    <row r="878" spans="5:5" x14ac:dyDescent="0.2">
      <c r="E878" s="34"/>
    </row>
    <row r="879" spans="5:5" x14ac:dyDescent="0.2">
      <c r="E879" s="34"/>
    </row>
    <row r="880" spans="5:5" x14ac:dyDescent="0.2">
      <c r="E880" s="34"/>
    </row>
    <row r="881" spans="5:5" x14ac:dyDescent="0.2">
      <c r="E881" s="34"/>
    </row>
    <row r="882" spans="5:5" x14ac:dyDescent="0.2">
      <c r="E882" s="34"/>
    </row>
    <row r="883" spans="5:5" x14ac:dyDescent="0.2">
      <c r="E883" s="34"/>
    </row>
    <row r="884" spans="5:5" x14ac:dyDescent="0.2">
      <c r="E884" s="34"/>
    </row>
    <row r="885" spans="5:5" x14ac:dyDescent="0.2">
      <c r="E885" s="34"/>
    </row>
    <row r="886" spans="5:5" x14ac:dyDescent="0.2">
      <c r="E886" s="34"/>
    </row>
    <row r="887" spans="5:5" x14ac:dyDescent="0.2">
      <c r="E887" s="34"/>
    </row>
    <row r="888" spans="5:5" x14ac:dyDescent="0.2">
      <c r="E888" s="34"/>
    </row>
    <row r="889" spans="5:5" x14ac:dyDescent="0.2">
      <c r="E889" s="34"/>
    </row>
    <row r="890" spans="5:5" x14ac:dyDescent="0.2">
      <c r="E890" s="34"/>
    </row>
    <row r="891" spans="5:5" x14ac:dyDescent="0.2">
      <c r="E891" s="34"/>
    </row>
    <row r="892" spans="5:5" x14ac:dyDescent="0.2">
      <c r="E892" s="34"/>
    </row>
    <row r="893" spans="5:5" x14ac:dyDescent="0.2">
      <c r="E893" s="34"/>
    </row>
    <row r="894" spans="5:5" x14ac:dyDescent="0.2">
      <c r="E894" s="34"/>
    </row>
    <row r="895" spans="5:5" x14ac:dyDescent="0.2">
      <c r="E895" s="34"/>
    </row>
    <row r="896" spans="5:5" x14ac:dyDescent="0.2">
      <c r="E896" s="34"/>
    </row>
    <row r="897" spans="5:5" x14ac:dyDescent="0.2">
      <c r="E897" s="34"/>
    </row>
    <row r="898" spans="5:5" x14ac:dyDescent="0.2">
      <c r="E898" s="34"/>
    </row>
    <row r="899" spans="5:5" x14ac:dyDescent="0.2">
      <c r="E899" s="34"/>
    </row>
    <row r="900" spans="5:5" x14ac:dyDescent="0.2">
      <c r="E900" s="34"/>
    </row>
    <row r="901" spans="5:5" x14ac:dyDescent="0.2">
      <c r="E901" s="34"/>
    </row>
    <row r="902" spans="5:5" x14ac:dyDescent="0.2">
      <c r="E902" s="34"/>
    </row>
    <row r="903" spans="5:5" x14ac:dyDescent="0.2">
      <c r="E903" s="34"/>
    </row>
    <row r="904" spans="5:5" x14ac:dyDescent="0.2">
      <c r="E904" s="34"/>
    </row>
    <row r="905" spans="5:5" x14ac:dyDescent="0.2">
      <c r="E905" s="34"/>
    </row>
    <row r="906" spans="5:5" x14ac:dyDescent="0.2">
      <c r="E906" s="34"/>
    </row>
    <row r="907" spans="5:5" x14ac:dyDescent="0.2">
      <c r="E907" s="34"/>
    </row>
    <row r="908" spans="5:5" x14ac:dyDescent="0.2">
      <c r="E908" s="34"/>
    </row>
    <row r="909" spans="5:5" x14ac:dyDescent="0.2">
      <c r="E909" s="34"/>
    </row>
    <row r="910" spans="5:5" x14ac:dyDescent="0.2">
      <c r="E910" s="34"/>
    </row>
    <row r="911" spans="5:5" x14ac:dyDescent="0.2">
      <c r="E911" s="34"/>
    </row>
    <row r="912" spans="5:5" x14ac:dyDescent="0.2">
      <c r="E912" s="34"/>
    </row>
    <row r="913" spans="5:5" x14ac:dyDescent="0.2">
      <c r="E913" s="34"/>
    </row>
    <row r="914" spans="5:5" x14ac:dyDescent="0.2">
      <c r="E914" s="34"/>
    </row>
    <row r="915" spans="5:5" x14ac:dyDescent="0.2">
      <c r="E915" s="34"/>
    </row>
    <row r="916" spans="5:5" x14ac:dyDescent="0.2">
      <c r="E916" s="34"/>
    </row>
    <row r="917" spans="5:5" x14ac:dyDescent="0.2">
      <c r="E917" s="34"/>
    </row>
    <row r="918" spans="5:5" x14ac:dyDescent="0.2">
      <c r="E918" s="34"/>
    </row>
    <row r="919" spans="5:5" x14ac:dyDescent="0.2">
      <c r="E919" s="34"/>
    </row>
    <row r="920" spans="5:5" x14ac:dyDescent="0.2">
      <c r="E920" s="34"/>
    </row>
    <row r="921" spans="5:5" x14ac:dyDescent="0.2">
      <c r="E921" s="34"/>
    </row>
    <row r="922" spans="5:5" x14ac:dyDescent="0.2">
      <c r="E922" s="34"/>
    </row>
    <row r="923" spans="5:5" x14ac:dyDescent="0.2">
      <c r="E923" s="34"/>
    </row>
    <row r="924" spans="5:5" x14ac:dyDescent="0.2">
      <c r="E924" s="34"/>
    </row>
    <row r="925" spans="5:5" x14ac:dyDescent="0.2">
      <c r="E925" s="34"/>
    </row>
    <row r="926" spans="5:5" x14ac:dyDescent="0.2">
      <c r="E926" s="34"/>
    </row>
    <row r="927" spans="5:5" x14ac:dyDescent="0.2">
      <c r="E927" s="34"/>
    </row>
    <row r="928" spans="5:5" x14ac:dyDescent="0.2">
      <c r="E928" s="34"/>
    </row>
    <row r="929" spans="5:5" x14ac:dyDescent="0.2">
      <c r="E929" s="34"/>
    </row>
    <row r="930" spans="5:5" x14ac:dyDescent="0.2">
      <c r="E930" s="34"/>
    </row>
    <row r="931" spans="5:5" x14ac:dyDescent="0.2">
      <c r="E931" s="34"/>
    </row>
    <row r="932" spans="5:5" x14ac:dyDescent="0.2">
      <c r="E932" s="34"/>
    </row>
    <row r="933" spans="5:5" x14ac:dyDescent="0.2">
      <c r="E933" s="34"/>
    </row>
    <row r="934" spans="5:5" x14ac:dyDescent="0.2">
      <c r="E934" s="34"/>
    </row>
    <row r="935" spans="5:5" x14ac:dyDescent="0.2">
      <c r="E935" s="34"/>
    </row>
    <row r="936" spans="5:5" x14ac:dyDescent="0.2">
      <c r="E936" s="34"/>
    </row>
    <row r="937" spans="5:5" x14ac:dyDescent="0.2">
      <c r="E937" s="34"/>
    </row>
    <row r="938" spans="5:5" x14ac:dyDescent="0.2">
      <c r="E938" s="34"/>
    </row>
    <row r="939" spans="5:5" x14ac:dyDescent="0.2">
      <c r="E939" s="34"/>
    </row>
    <row r="940" spans="5:5" x14ac:dyDescent="0.2">
      <c r="E940" s="34"/>
    </row>
    <row r="941" spans="5:5" x14ac:dyDescent="0.2">
      <c r="E941" s="34"/>
    </row>
    <row r="942" spans="5:5" x14ac:dyDescent="0.2">
      <c r="E942" s="34"/>
    </row>
    <row r="943" spans="5:5" x14ac:dyDescent="0.2">
      <c r="E943" s="34"/>
    </row>
    <row r="944" spans="5:5" x14ac:dyDescent="0.2">
      <c r="E944" s="34"/>
    </row>
    <row r="945" spans="5:5" x14ac:dyDescent="0.2">
      <c r="E945" s="34"/>
    </row>
    <row r="946" spans="5:5" x14ac:dyDescent="0.2">
      <c r="E946" s="34"/>
    </row>
    <row r="947" spans="5:5" x14ac:dyDescent="0.2">
      <c r="E947" s="34"/>
    </row>
    <row r="948" spans="5:5" x14ac:dyDescent="0.2">
      <c r="E948" s="34"/>
    </row>
    <row r="949" spans="5:5" x14ac:dyDescent="0.2">
      <c r="E949" s="34"/>
    </row>
    <row r="950" spans="5:5" x14ac:dyDescent="0.2">
      <c r="E950" s="34"/>
    </row>
    <row r="951" spans="5:5" x14ac:dyDescent="0.2">
      <c r="E951" s="34"/>
    </row>
    <row r="952" spans="5:5" x14ac:dyDescent="0.2">
      <c r="E952" s="34"/>
    </row>
    <row r="953" spans="5:5" x14ac:dyDescent="0.2">
      <c r="E953" s="34"/>
    </row>
    <row r="954" spans="5:5" x14ac:dyDescent="0.2">
      <c r="E954" s="34"/>
    </row>
    <row r="955" spans="5:5" x14ac:dyDescent="0.2">
      <c r="E955" s="34"/>
    </row>
    <row r="956" spans="5:5" x14ac:dyDescent="0.2">
      <c r="E956" s="34"/>
    </row>
    <row r="957" spans="5:5" x14ac:dyDescent="0.2">
      <c r="E957" s="34"/>
    </row>
    <row r="958" spans="5:5" x14ac:dyDescent="0.2">
      <c r="E958" s="34"/>
    </row>
    <row r="959" spans="5:5" x14ac:dyDescent="0.2">
      <c r="E959" s="34"/>
    </row>
    <row r="960" spans="5:5" x14ac:dyDescent="0.2">
      <c r="E960" s="34"/>
    </row>
    <row r="961" spans="5:5" x14ac:dyDescent="0.2">
      <c r="E961" s="34"/>
    </row>
    <row r="962" spans="5:5" x14ac:dyDescent="0.2">
      <c r="E962" s="34"/>
    </row>
    <row r="963" spans="5:5" x14ac:dyDescent="0.2">
      <c r="E963" s="34"/>
    </row>
    <row r="964" spans="5:5" x14ac:dyDescent="0.2">
      <c r="E964" s="34"/>
    </row>
    <row r="965" spans="5:5" x14ac:dyDescent="0.2">
      <c r="E965" s="34"/>
    </row>
    <row r="966" spans="5:5" x14ac:dyDescent="0.2">
      <c r="E966" s="34"/>
    </row>
    <row r="967" spans="5:5" x14ac:dyDescent="0.2">
      <c r="E967" s="34"/>
    </row>
    <row r="968" spans="5:5" x14ac:dyDescent="0.2">
      <c r="E968" s="34"/>
    </row>
    <row r="969" spans="5:5" x14ac:dyDescent="0.2">
      <c r="E969" s="34"/>
    </row>
    <row r="970" spans="5:5" x14ac:dyDescent="0.2">
      <c r="E970" s="34"/>
    </row>
    <row r="971" spans="5:5" x14ac:dyDescent="0.2">
      <c r="E971" s="34"/>
    </row>
    <row r="972" spans="5:5" x14ac:dyDescent="0.2">
      <c r="E972" s="34"/>
    </row>
    <row r="973" spans="5:5" x14ac:dyDescent="0.2">
      <c r="E973" s="34"/>
    </row>
    <row r="974" spans="5:5" x14ac:dyDescent="0.2">
      <c r="E974" s="34"/>
    </row>
    <row r="975" spans="5:5" x14ac:dyDescent="0.2">
      <c r="E975" s="34"/>
    </row>
    <row r="976" spans="5:5" x14ac:dyDescent="0.2">
      <c r="E976" s="34"/>
    </row>
    <row r="977" spans="5:5" x14ac:dyDescent="0.2">
      <c r="E977" s="34"/>
    </row>
    <row r="978" spans="5:5" x14ac:dyDescent="0.2">
      <c r="E978" s="34"/>
    </row>
    <row r="979" spans="5:5" x14ac:dyDescent="0.2">
      <c r="E979" s="34"/>
    </row>
    <row r="980" spans="5:5" x14ac:dyDescent="0.2">
      <c r="E980" s="34"/>
    </row>
    <row r="981" spans="5:5" x14ac:dyDescent="0.2">
      <c r="E981" s="34"/>
    </row>
    <row r="982" spans="5:5" x14ac:dyDescent="0.2">
      <c r="E982" s="34"/>
    </row>
    <row r="983" spans="5:5" x14ac:dyDescent="0.2">
      <c r="E983" s="34"/>
    </row>
    <row r="984" spans="5:5" x14ac:dyDescent="0.2">
      <c r="E984" s="34"/>
    </row>
    <row r="985" spans="5:5" x14ac:dyDescent="0.2">
      <c r="E985" s="34"/>
    </row>
    <row r="986" spans="5:5" x14ac:dyDescent="0.2">
      <c r="E986" s="34"/>
    </row>
    <row r="987" spans="5:5" x14ac:dyDescent="0.2">
      <c r="E987" s="34"/>
    </row>
    <row r="988" spans="5:5" x14ac:dyDescent="0.2">
      <c r="E988" s="34"/>
    </row>
    <row r="989" spans="5:5" x14ac:dyDescent="0.2">
      <c r="E989" s="34"/>
    </row>
    <row r="990" spans="5:5" x14ac:dyDescent="0.2">
      <c r="E990" s="34"/>
    </row>
    <row r="991" spans="5:5" x14ac:dyDescent="0.2">
      <c r="E991" s="34"/>
    </row>
    <row r="992" spans="5:5" x14ac:dyDescent="0.2">
      <c r="E992" s="34"/>
    </row>
    <row r="993" spans="5:5" x14ac:dyDescent="0.2">
      <c r="E993" s="34"/>
    </row>
    <row r="994" spans="5:5" x14ac:dyDescent="0.2">
      <c r="E994" s="34"/>
    </row>
    <row r="995" spans="5:5" x14ac:dyDescent="0.2">
      <c r="E995" s="34"/>
    </row>
    <row r="996" spans="5:5" x14ac:dyDescent="0.2">
      <c r="E996" s="34"/>
    </row>
    <row r="997" spans="5:5" x14ac:dyDescent="0.2">
      <c r="E997" s="34"/>
    </row>
    <row r="998" spans="5:5" x14ac:dyDescent="0.2">
      <c r="E998" s="34"/>
    </row>
    <row r="999" spans="5:5" x14ac:dyDescent="0.2">
      <c r="E999" s="34"/>
    </row>
    <row r="1000" spans="5:5" x14ac:dyDescent="0.2">
      <c r="E1000" s="34"/>
    </row>
    <row r="1001" spans="5:5" x14ac:dyDescent="0.2">
      <c r="E1001" s="34"/>
    </row>
    <row r="1002" spans="5:5" x14ac:dyDescent="0.2">
      <c r="E1002" s="34"/>
    </row>
    <row r="1003" spans="5:5" x14ac:dyDescent="0.2">
      <c r="E1003" s="34"/>
    </row>
    <row r="1004" spans="5:5" x14ac:dyDescent="0.2">
      <c r="E1004" s="34"/>
    </row>
    <row r="1005" spans="5:5" x14ac:dyDescent="0.2">
      <c r="E1005" s="34"/>
    </row>
    <row r="1006" spans="5:5" x14ac:dyDescent="0.2">
      <c r="E1006" s="34"/>
    </row>
    <row r="1007" spans="5:5" x14ac:dyDescent="0.2">
      <c r="E1007" s="34"/>
    </row>
    <row r="1008" spans="5:5" x14ac:dyDescent="0.2">
      <c r="E1008" s="34"/>
    </row>
    <row r="1009" spans="5:5" x14ac:dyDescent="0.2">
      <c r="E1009" s="34"/>
    </row>
    <row r="1010" spans="5:5" x14ac:dyDescent="0.2">
      <c r="E1010" s="34"/>
    </row>
    <row r="1011" spans="5:5" x14ac:dyDescent="0.2">
      <c r="E1011" s="34"/>
    </row>
    <row r="1012" spans="5:5" x14ac:dyDescent="0.2">
      <c r="E1012" s="34"/>
    </row>
    <row r="1013" spans="5:5" x14ac:dyDescent="0.2">
      <c r="E1013" s="34"/>
    </row>
    <row r="1014" spans="5:5" x14ac:dyDescent="0.2">
      <c r="E1014" s="34"/>
    </row>
    <row r="1015" spans="5:5" x14ac:dyDescent="0.2">
      <c r="E1015" s="34"/>
    </row>
    <row r="1016" spans="5:5" x14ac:dyDescent="0.2">
      <c r="E1016" s="34"/>
    </row>
    <row r="1017" spans="5:5" x14ac:dyDescent="0.2">
      <c r="E1017" s="34"/>
    </row>
    <row r="1018" spans="5:5" x14ac:dyDescent="0.2">
      <c r="E1018" s="34"/>
    </row>
    <row r="1019" spans="5:5" x14ac:dyDescent="0.2">
      <c r="E1019" s="34"/>
    </row>
    <row r="1020" spans="5:5" x14ac:dyDescent="0.2">
      <c r="E1020" s="34"/>
    </row>
    <row r="1021" spans="5:5" x14ac:dyDescent="0.2">
      <c r="E1021" s="34"/>
    </row>
    <row r="1022" spans="5:5" x14ac:dyDescent="0.2">
      <c r="E1022" s="34"/>
    </row>
    <row r="1023" spans="5:5" x14ac:dyDescent="0.2">
      <c r="E1023" s="34"/>
    </row>
    <row r="1024" spans="5:5" x14ac:dyDescent="0.2">
      <c r="E1024" s="34"/>
    </row>
    <row r="1025" spans="5:5" x14ac:dyDescent="0.2">
      <c r="E1025" s="34"/>
    </row>
    <row r="1026" spans="5:5" x14ac:dyDescent="0.2">
      <c r="E1026" s="34"/>
    </row>
    <row r="1027" spans="5:5" x14ac:dyDescent="0.2">
      <c r="E1027" s="34"/>
    </row>
    <row r="1028" spans="5:5" x14ac:dyDescent="0.2">
      <c r="E1028" s="34"/>
    </row>
    <row r="1029" spans="5:5" x14ac:dyDescent="0.2">
      <c r="E1029" s="34"/>
    </row>
    <row r="1030" spans="5:5" x14ac:dyDescent="0.2">
      <c r="E1030" s="34"/>
    </row>
    <row r="1031" spans="5:5" x14ac:dyDescent="0.2">
      <c r="E1031" s="34"/>
    </row>
    <row r="1032" spans="5:5" x14ac:dyDescent="0.2">
      <c r="E1032" s="34"/>
    </row>
    <row r="1033" spans="5:5" x14ac:dyDescent="0.2">
      <c r="E1033" s="34"/>
    </row>
    <row r="1034" spans="5:5" x14ac:dyDescent="0.2">
      <c r="E1034" s="34"/>
    </row>
    <row r="1035" spans="5:5" x14ac:dyDescent="0.2">
      <c r="E1035" s="34"/>
    </row>
    <row r="1036" spans="5:5" x14ac:dyDescent="0.2">
      <c r="E1036" s="34"/>
    </row>
    <row r="1037" spans="5:5" x14ac:dyDescent="0.2">
      <c r="E1037" s="34"/>
    </row>
    <row r="1038" spans="5:5" x14ac:dyDescent="0.2">
      <c r="E1038" s="34"/>
    </row>
    <row r="1039" spans="5:5" x14ac:dyDescent="0.2">
      <c r="E1039" s="34"/>
    </row>
    <row r="1040" spans="5:5" x14ac:dyDescent="0.2">
      <c r="E1040" s="34"/>
    </row>
    <row r="1041" spans="5:5" x14ac:dyDescent="0.2">
      <c r="E1041" s="34"/>
    </row>
    <row r="1042" spans="5:5" x14ac:dyDescent="0.2">
      <c r="E1042" s="34"/>
    </row>
    <row r="1043" spans="5:5" x14ac:dyDescent="0.2">
      <c r="E1043" s="34"/>
    </row>
    <row r="1044" spans="5:5" x14ac:dyDescent="0.2">
      <c r="E1044" s="34"/>
    </row>
    <row r="1045" spans="5:5" x14ac:dyDescent="0.2">
      <c r="E1045" s="34"/>
    </row>
    <row r="1046" spans="5:5" x14ac:dyDescent="0.2">
      <c r="E1046" s="34"/>
    </row>
    <row r="1047" spans="5:5" x14ac:dyDescent="0.2">
      <c r="E1047" s="34"/>
    </row>
    <row r="1048" spans="5:5" x14ac:dyDescent="0.2">
      <c r="E1048" s="34"/>
    </row>
    <row r="1049" spans="5:5" x14ac:dyDescent="0.2">
      <c r="E1049" s="34"/>
    </row>
    <row r="1050" spans="5:5" x14ac:dyDescent="0.2">
      <c r="E1050" s="34"/>
    </row>
    <row r="1051" spans="5:5" x14ac:dyDescent="0.2">
      <c r="E1051" s="34"/>
    </row>
    <row r="1052" spans="5:5" x14ac:dyDescent="0.2">
      <c r="E1052" s="34"/>
    </row>
    <row r="1053" spans="5:5" x14ac:dyDescent="0.2">
      <c r="E1053" s="34"/>
    </row>
    <row r="1054" spans="5:5" x14ac:dyDescent="0.2">
      <c r="E1054" s="34"/>
    </row>
    <row r="1055" spans="5:5" x14ac:dyDescent="0.2">
      <c r="E1055" s="34"/>
    </row>
    <row r="1056" spans="5:5" x14ac:dyDescent="0.2">
      <c r="E1056" s="34"/>
    </row>
    <row r="1057" spans="5:5" x14ac:dyDescent="0.2">
      <c r="E1057" s="34"/>
    </row>
    <row r="1058" spans="5:5" x14ac:dyDescent="0.2">
      <c r="E1058" s="34"/>
    </row>
    <row r="1059" spans="5:5" x14ac:dyDescent="0.2">
      <c r="E1059" s="34"/>
    </row>
    <row r="1060" spans="5:5" x14ac:dyDescent="0.2">
      <c r="E1060" s="34"/>
    </row>
    <row r="1061" spans="5:5" x14ac:dyDescent="0.2">
      <c r="E1061" s="34"/>
    </row>
    <row r="1062" spans="5:5" x14ac:dyDescent="0.2">
      <c r="E1062" s="34"/>
    </row>
    <row r="1063" spans="5:5" x14ac:dyDescent="0.2">
      <c r="E1063" s="34"/>
    </row>
    <row r="1064" spans="5:5" x14ac:dyDescent="0.2">
      <c r="E1064" s="34"/>
    </row>
    <row r="1065" spans="5:5" x14ac:dyDescent="0.2">
      <c r="E1065" s="34"/>
    </row>
    <row r="1066" spans="5:5" x14ac:dyDescent="0.2">
      <c r="E1066" s="34"/>
    </row>
    <row r="1067" spans="5:5" x14ac:dyDescent="0.2">
      <c r="E1067" s="34"/>
    </row>
    <row r="1068" spans="5:5" x14ac:dyDescent="0.2">
      <c r="E1068" s="34"/>
    </row>
    <row r="1069" spans="5:5" x14ac:dyDescent="0.2">
      <c r="E1069" s="34"/>
    </row>
    <row r="1070" spans="5:5" x14ac:dyDescent="0.2">
      <c r="E1070" s="34"/>
    </row>
    <row r="1071" spans="5:5" x14ac:dyDescent="0.2">
      <c r="E1071" s="34"/>
    </row>
    <row r="1072" spans="5:5" x14ac:dyDescent="0.2">
      <c r="E1072" s="34"/>
    </row>
    <row r="1073" spans="5:5" x14ac:dyDescent="0.2">
      <c r="E1073" s="34"/>
    </row>
    <row r="1074" spans="5:5" x14ac:dyDescent="0.2">
      <c r="E1074" s="34"/>
    </row>
    <row r="1075" spans="5:5" x14ac:dyDescent="0.2">
      <c r="E1075" s="34"/>
    </row>
    <row r="1076" spans="5:5" x14ac:dyDescent="0.2">
      <c r="E1076" s="34"/>
    </row>
    <row r="1077" spans="5:5" x14ac:dyDescent="0.2">
      <c r="E1077" s="34"/>
    </row>
    <row r="1078" spans="5:5" x14ac:dyDescent="0.2">
      <c r="E1078" s="34"/>
    </row>
    <row r="1079" spans="5:5" x14ac:dyDescent="0.2">
      <c r="E1079" s="34"/>
    </row>
    <row r="1080" spans="5:5" x14ac:dyDescent="0.2">
      <c r="E1080" s="34"/>
    </row>
    <row r="1081" spans="5:5" x14ac:dyDescent="0.2">
      <c r="E1081" s="34"/>
    </row>
    <row r="1082" spans="5:5" x14ac:dyDescent="0.2">
      <c r="E1082" s="34"/>
    </row>
    <row r="1083" spans="5:5" x14ac:dyDescent="0.2">
      <c r="E1083" s="34"/>
    </row>
    <row r="1084" spans="5:5" x14ac:dyDescent="0.2">
      <c r="E1084" s="34"/>
    </row>
    <row r="1085" spans="5:5" x14ac:dyDescent="0.2">
      <c r="E1085" s="34"/>
    </row>
    <row r="1086" spans="5:5" x14ac:dyDescent="0.2">
      <c r="E1086" s="34"/>
    </row>
    <row r="1087" spans="5:5" x14ac:dyDescent="0.2">
      <c r="E1087" s="34"/>
    </row>
    <row r="1088" spans="5:5" x14ac:dyDescent="0.2">
      <c r="E1088" s="34"/>
    </row>
    <row r="1089" spans="5:5" x14ac:dyDescent="0.2">
      <c r="E1089" s="34"/>
    </row>
    <row r="1090" spans="5:5" x14ac:dyDescent="0.2">
      <c r="E1090" s="34"/>
    </row>
    <row r="1091" spans="5:5" x14ac:dyDescent="0.2">
      <c r="E1091" s="34"/>
    </row>
    <row r="1092" spans="5:5" x14ac:dyDescent="0.2">
      <c r="E1092" s="34"/>
    </row>
    <row r="1093" spans="5:5" x14ac:dyDescent="0.2">
      <c r="E1093" s="34"/>
    </row>
    <row r="1094" spans="5:5" x14ac:dyDescent="0.2">
      <c r="E1094" s="34"/>
    </row>
    <row r="1095" spans="5:5" x14ac:dyDescent="0.2">
      <c r="E1095" s="34"/>
    </row>
    <row r="1096" spans="5:5" x14ac:dyDescent="0.2">
      <c r="E1096" s="34"/>
    </row>
    <row r="1097" spans="5:5" x14ac:dyDescent="0.2">
      <c r="E1097" s="34"/>
    </row>
    <row r="1098" spans="5:5" x14ac:dyDescent="0.2">
      <c r="E1098" s="34"/>
    </row>
    <row r="1099" spans="5:5" x14ac:dyDescent="0.2">
      <c r="E1099" s="34"/>
    </row>
    <row r="1100" spans="5:5" x14ac:dyDescent="0.2">
      <c r="E1100" s="34"/>
    </row>
    <row r="1101" spans="5:5" x14ac:dyDescent="0.2">
      <c r="E1101" s="34"/>
    </row>
    <row r="1102" spans="5:5" x14ac:dyDescent="0.2">
      <c r="E1102" s="34"/>
    </row>
    <row r="1103" spans="5:5" x14ac:dyDescent="0.2">
      <c r="E1103" s="34"/>
    </row>
    <row r="1104" spans="5:5" x14ac:dyDescent="0.2">
      <c r="E1104" s="34"/>
    </row>
    <row r="1105" spans="5:5" x14ac:dyDescent="0.2">
      <c r="E1105" s="34"/>
    </row>
    <row r="1106" spans="5:5" x14ac:dyDescent="0.2">
      <c r="E1106" s="34"/>
    </row>
    <row r="1107" spans="5:5" x14ac:dyDescent="0.2">
      <c r="E1107" s="34"/>
    </row>
    <row r="1108" spans="5:5" x14ac:dyDescent="0.2">
      <c r="E1108" s="34"/>
    </row>
    <row r="1109" spans="5:5" x14ac:dyDescent="0.2">
      <c r="E1109" s="34"/>
    </row>
    <row r="1110" spans="5:5" x14ac:dyDescent="0.2">
      <c r="E1110" s="34"/>
    </row>
    <row r="1111" spans="5:5" x14ac:dyDescent="0.2">
      <c r="E1111" s="34"/>
    </row>
    <row r="1112" spans="5:5" x14ac:dyDescent="0.2">
      <c r="E1112" s="34"/>
    </row>
    <row r="1113" spans="5:5" x14ac:dyDescent="0.2">
      <c r="E1113" s="34"/>
    </row>
    <row r="1114" spans="5:5" x14ac:dyDescent="0.2">
      <c r="E1114" s="34"/>
    </row>
    <row r="1115" spans="5:5" x14ac:dyDescent="0.2">
      <c r="E1115" s="34"/>
    </row>
    <row r="1116" spans="5:5" x14ac:dyDescent="0.2">
      <c r="E1116" s="34"/>
    </row>
    <row r="1117" spans="5:5" x14ac:dyDescent="0.2">
      <c r="E1117" s="34"/>
    </row>
    <row r="1118" spans="5:5" x14ac:dyDescent="0.2">
      <c r="E1118" s="34"/>
    </row>
    <row r="1119" spans="5:5" x14ac:dyDescent="0.2">
      <c r="E1119" s="34"/>
    </row>
    <row r="1120" spans="5:5" x14ac:dyDescent="0.2">
      <c r="E1120" s="34"/>
    </row>
    <row r="1121" spans="5:5" x14ac:dyDescent="0.2">
      <c r="E1121" s="34"/>
    </row>
    <row r="1122" spans="5:5" x14ac:dyDescent="0.2">
      <c r="E1122" s="34"/>
    </row>
    <row r="1123" spans="5:5" x14ac:dyDescent="0.2">
      <c r="E1123" s="34"/>
    </row>
    <row r="1124" spans="5:5" x14ac:dyDescent="0.2">
      <c r="E1124" s="34"/>
    </row>
    <row r="1125" spans="5:5" x14ac:dyDescent="0.2">
      <c r="E1125" s="34"/>
    </row>
    <row r="1126" spans="5:5" x14ac:dyDescent="0.2">
      <c r="E1126" s="34"/>
    </row>
    <row r="1127" spans="5:5" x14ac:dyDescent="0.2">
      <c r="E1127" s="34"/>
    </row>
    <row r="1128" spans="5:5" x14ac:dyDescent="0.2">
      <c r="E1128" s="34"/>
    </row>
    <row r="1129" spans="5:5" x14ac:dyDescent="0.2">
      <c r="E1129" s="34"/>
    </row>
    <row r="1130" spans="5:5" x14ac:dyDescent="0.2">
      <c r="E1130" s="34"/>
    </row>
    <row r="1131" spans="5:5" x14ac:dyDescent="0.2">
      <c r="E1131" s="34"/>
    </row>
    <row r="1132" spans="5:5" x14ac:dyDescent="0.2">
      <c r="E1132" s="34"/>
    </row>
    <row r="1133" spans="5:5" x14ac:dyDescent="0.2">
      <c r="E1133" s="34"/>
    </row>
    <row r="1134" spans="5:5" x14ac:dyDescent="0.2">
      <c r="E1134" s="34"/>
    </row>
    <row r="1135" spans="5:5" x14ac:dyDescent="0.2">
      <c r="E1135" s="34"/>
    </row>
    <row r="1136" spans="5:5" x14ac:dyDescent="0.2">
      <c r="E1136" s="34"/>
    </row>
    <row r="1137" spans="5:5" x14ac:dyDescent="0.2">
      <c r="E1137" s="34"/>
    </row>
    <row r="1138" spans="5:5" x14ac:dyDescent="0.2">
      <c r="E1138" s="34"/>
    </row>
    <row r="1139" spans="5:5" x14ac:dyDescent="0.2">
      <c r="E1139" s="34"/>
    </row>
    <row r="1140" spans="5:5" x14ac:dyDescent="0.2">
      <c r="E1140" s="34"/>
    </row>
    <row r="1141" spans="5:5" x14ac:dyDescent="0.2">
      <c r="E1141" s="34"/>
    </row>
    <row r="1142" spans="5:5" x14ac:dyDescent="0.2">
      <c r="E1142" s="34"/>
    </row>
    <row r="1143" spans="5:5" x14ac:dyDescent="0.2">
      <c r="E1143" s="34"/>
    </row>
    <row r="1144" spans="5:5" x14ac:dyDescent="0.2">
      <c r="E1144" s="34"/>
    </row>
    <row r="1145" spans="5:5" x14ac:dyDescent="0.2">
      <c r="E1145" s="34"/>
    </row>
    <row r="1146" spans="5:5" x14ac:dyDescent="0.2">
      <c r="E1146" s="34"/>
    </row>
    <row r="1147" spans="5:5" x14ac:dyDescent="0.2">
      <c r="E1147" s="34"/>
    </row>
    <row r="1148" spans="5:5" x14ac:dyDescent="0.2">
      <c r="E1148" s="34"/>
    </row>
    <row r="1149" spans="5:5" x14ac:dyDescent="0.2">
      <c r="E1149" s="34"/>
    </row>
    <row r="1150" spans="5:5" x14ac:dyDescent="0.2">
      <c r="E1150" s="34"/>
    </row>
    <row r="1151" spans="5:5" x14ac:dyDescent="0.2">
      <c r="E1151" s="34"/>
    </row>
    <row r="1152" spans="5:5" x14ac:dyDescent="0.2">
      <c r="E1152" s="34"/>
    </row>
    <row r="1153" spans="5:5" x14ac:dyDescent="0.2">
      <c r="E1153" s="34"/>
    </row>
    <row r="1154" spans="5:5" x14ac:dyDescent="0.2">
      <c r="E1154" s="34"/>
    </row>
    <row r="1155" spans="5:5" x14ac:dyDescent="0.2">
      <c r="E1155" s="34"/>
    </row>
    <row r="1156" spans="5:5" x14ac:dyDescent="0.2">
      <c r="E1156" s="34"/>
    </row>
    <row r="1157" spans="5:5" x14ac:dyDescent="0.2">
      <c r="E1157" s="34"/>
    </row>
    <row r="1158" spans="5:5" x14ac:dyDescent="0.2">
      <c r="E1158" s="34"/>
    </row>
    <row r="1159" spans="5:5" x14ac:dyDescent="0.2">
      <c r="E1159" s="34"/>
    </row>
    <row r="1160" spans="5:5" x14ac:dyDescent="0.2">
      <c r="E1160" s="34"/>
    </row>
    <row r="1161" spans="5:5" x14ac:dyDescent="0.2">
      <c r="E1161" s="34"/>
    </row>
    <row r="1162" spans="5:5" x14ac:dyDescent="0.2">
      <c r="E1162" s="34"/>
    </row>
    <row r="1163" spans="5:5" x14ac:dyDescent="0.2">
      <c r="E1163" s="34"/>
    </row>
    <row r="1164" spans="5:5" x14ac:dyDescent="0.2">
      <c r="E1164" s="34"/>
    </row>
    <row r="1165" spans="5:5" x14ac:dyDescent="0.2">
      <c r="E1165" s="34"/>
    </row>
    <row r="1166" spans="5:5" x14ac:dyDescent="0.2">
      <c r="E1166" s="34"/>
    </row>
    <row r="1167" spans="5:5" x14ac:dyDescent="0.2">
      <c r="E1167" s="34"/>
    </row>
    <row r="1168" spans="5:5" x14ac:dyDescent="0.2">
      <c r="E1168" s="34"/>
    </row>
    <row r="1169" spans="5:5" x14ac:dyDescent="0.2">
      <c r="E1169" s="34"/>
    </row>
    <row r="1170" spans="5:5" x14ac:dyDescent="0.2">
      <c r="E1170" s="34"/>
    </row>
    <row r="1171" spans="5:5" x14ac:dyDescent="0.2">
      <c r="E1171" s="34"/>
    </row>
    <row r="1172" spans="5:5" x14ac:dyDescent="0.2">
      <c r="E1172" s="34"/>
    </row>
    <row r="1173" spans="5:5" x14ac:dyDescent="0.2">
      <c r="E1173" s="34"/>
    </row>
    <row r="1174" spans="5:5" x14ac:dyDescent="0.2">
      <c r="E1174" s="34"/>
    </row>
    <row r="1175" spans="5:5" x14ac:dyDescent="0.2">
      <c r="E1175" s="34"/>
    </row>
    <row r="1176" spans="5:5" x14ac:dyDescent="0.2">
      <c r="E1176" s="34"/>
    </row>
    <row r="1177" spans="5:5" x14ac:dyDescent="0.2">
      <c r="E1177" s="34"/>
    </row>
    <row r="1178" spans="5:5" x14ac:dyDescent="0.2">
      <c r="E1178" s="34"/>
    </row>
    <row r="1179" spans="5:5" x14ac:dyDescent="0.2">
      <c r="E1179" s="34"/>
    </row>
    <row r="1180" spans="5:5" x14ac:dyDescent="0.2">
      <c r="E1180" s="34"/>
    </row>
    <row r="1181" spans="5:5" x14ac:dyDescent="0.2">
      <c r="E1181" s="34"/>
    </row>
    <row r="1182" spans="5:5" x14ac:dyDescent="0.2">
      <c r="E1182" s="34"/>
    </row>
    <row r="1183" spans="5:5" x14ac:dyDescent="0.2">
      <c r="E1183" s="34"/>
    </row>
    <row r="1184" spans="5:5" x14ac:dyDescent="0.2">
      <c r="E1184" s="34"/>
    </row>
    <row r="1185" spans="5:5" x14ac:dyDescent="0.2">
      <c r="E1185" s="34"/>
    </row>
    <row r="1186" spans="5:5" x14ac:dyDescent="0.2">
      <c r="E1186" s="34"/>
    </row>
    <row r="1187" spans="5:5" x14ac:dyDescent="0.2">
      <c r="E1187" s="34"/>
    </row>
    <row r="1188" spans="5:5" x14ac:dyDescent="0.2">
      <c r="E1188" s="34"/>
    </row>
    <row r="1189" spans="5:5" x14ac:dyDescent="0.2">
      <c r="E1189" s="34"/>
    </row>
    <row r="1190" spans="5:5" x14ac:dyDescent="0.2">
      <c r="E1190" s="34"/>
    </row>
    <row r="1191" spans="5:5" x14ac:dyDescent="0.2">
      <c r="E1191" s="34"/>
    </row>
    <row r="1192" spans="5:5" x14ac:dyDescent="0.2">
      <c r="E1192" s="34"/>
    </row>
    <row r="1193" spans="5:5" x14ac:dyDescent="0.2">
      <c r="E1193" s="34"/>
    </row>
    <row r="1194" spans="5:5" x14ac:dyDescent="0.2">
      <c r="E1194" s="34"/>
    </row>
    <row r="1195" spans="5:5" x14ac:dyDescent="0.2">
      <c r="E1195" s="34"/>
    </row>
    <row r="1196" spans="5:5" x14ac:dyDescent="0.2">
      <c r="E1196" s="34"/>
    </row>
    <row r="1197" spans="5:5" x14ac:dyDescent="0.2">
      <c r="E1197" s="34"/>
    </row>
    <row r="1198" spans="5:5" x14ac:dyDescent="0.2">
      <c r="E1198" s="34"/>
    </row>
    <row r="1199" spans="5:5" x14ac:dyDescent="0.2">
      <c r="E1199" s="34"/>
    </row>
    <row r="1200" spans="5:5" x14ac:dyDescent="0.2">
      <c r="E1200" s="34"/>
    </row>
    <row r="1201" spans="5:5" x14ac:dyDescent="0.2">
      <c r="E1201" s="34"/>
    </row>
    <row r="1202" spans="5:5" x14ac:dyDescent="0.2">
      <c r="E1202" s="34"/>
    </row>
    <row r="1203" spans="5:5" x14ac:dyDescent="0.2">
      <c r="E1203" s="34"/>
    </row>
    <row r="1204" spans="5:5" x14ac:dyDescent="0.2">
      <c r="E1204" s="34"/>
    </row>
    <row r="1205" spans="5:5" x14ac:dyDescent="0.2">
      <c r="E1205" s="34"/>
    </row>
    <row r="1206" spans="5:5" x14ac:dyDescent="0.2">
      <c r="E1206" s="34"/>
    </row>
    <row r="1207" spans="5:5" x14ac:dyDescent="0.2">
      <c r="E1207" s="34"/>
    </row>
    <row r="1208" spans="5:5" x14ac:dyDescent="0.2">
      <c r="E1208" s="34"/>
    </row>
    <row r="1209" spans="5:5" x14ac:dyDescent="0.2">
      <c r="E1209" s="34"/>
    </row>
    <row r="1210" spans="5:5" x14ac:dyDescent="0.2">
      <c r="E1210" s="34"/>
    </row>
    <row r="1211" spans="5:5" x14ac:dyDescent="0.2">
      <c r="E1211" s="34"/>
    </row>
    <row r="1212" spans="5:5" x14ac:dyDescent="0.2">
      <c r="E1212" s="34"/>
    </row>
    <row r="1213" spans="5:5" x14ac:dyDescent="0.2">
      <c r="E1213" s="34"/>
    </row>
    <row r="1214" spans="5:5" x14ac:dyDescent="0.2">
      <c r="E1214" s="34"/>
    </row>
    <row r="1215" spans="5:5" x14ac:dyDescent="0.2">
      <c r="E1215" s="34"/>
    </row>
    <row r="1216" spans="5:5" x14ac:dyDescent="0.2">
      <c r="E1216" s="34"/>
    </row>
    <row r="1217" spans="5:5" x14ac:dyDescent="0.2">
      <c r="E1217" s="34"/>
    </row>
    <row r="1218" spans="5:5" x14ac:dyDescent="0.2">
      <c r="E1218" s="34"/>
    </row>
    <row r="1219" spans="5:5" x14ac:dyDescent="0.2">
      <c r="E1219" s="34"/>
    </row>
    <row r="1220" spans="5:5" x14ac:dyDescent="0.2">
      <c r="E1220" s="34"/>
    </row>
    <row r="1221" spans="5:5" x14ac:dyDescent="0.2">
      <c r="E1221" s="34"/>
    </row>
    <row r="1222" spans="5:5" x14ac:dyDescent="0.2">
      <c r="E1222" s="34"/>
    </row>
    <row r="1223" spans="5:5" x14ac:dyDescent="0.2">
      <c r="E1223" s="34"/>
    </row>
    <row r="1224" spans="5:5" x14ac:dyDescent="0.2">
      <c r="E1224" s="34"/>
    </row>
    <row r="1225" spans="5:5" x14ac:dyDescent="0.2">
      <c r="E1225" s="34"/>
    </row>
    <row r="1226" spans="5:5" x14ac:dyDescent="0.2">
      <c r="E1226" s="34"/>
    </row>
    <row r="1227" spans="5:5" x14ac:dyDescent="0.2">
      <c r="E1227" s="34"/>
    </row>
    <row r="1228" spans="5:5" x14ac:dyDescent="0.2">
      <c r="E1228" s="34"/>
    </row>
    <row r="1229" spans="5:5" x14ac:dyDescent="0.2">
      <c r="E1229" s="34"/>
    </row>
    <row r="1230" spans="5:5" x14ac:dyDescent="0.2">
      <c r="E1230" s="34"/>
    </row>
    <row r="1231" spans="5:5" x14ac:dyDescent="0.2">
      <c r="E1231" s="34"/>
    </row>
    <row r="1232" spans="5:5" x14ac:dyDescent="0.2">
      <c r="E1232" s="34"/>
    </row>
    <row r="1233" spans="5:5" x14ac:dyDescent="0.2">
      <c r="E1233" s="34"/>
    </row>
    <row r="1234" spans="5:5" x14ac:dyDescent="0.2">
      <c r="E1234" s="34"/>
    </row>
    <row r="1235" spans="5:5" x14ac:dyDescent="0.2">
      <c r="E1235" s="34"/>
    </row>
    <row r="1236" spans="5:5" x14ac:dyDescent="0.2">
      <c r="E1236" s="34"/>
    </row>
    <row r="1237" spans="5:5" x14ac:dyDescent="0.2">
      <c r="E1237" s="34"/>
    </row>
    <row r="1238" spans="5:5" x14ac:dyDescent="0.2">
      <c r="E1238" s="34"/>
    </row>
    <row r="1239" spans="5:5" x14ac:dyDescent="0.2">
      <c r="E1239" s="34"/>
    </row>
    <row r="1240" spans="5:5" x14ac:dyDescent="0.2">
      <c r="E1240" s="34"/>
    </row>
    <row r="1241" spans="5:5" x14ac:dyDescent="0.2">
      <c r="E1241" s="34"/>
    </row>
    <row r="1242" spans="5:5" x14ac:dyDescent="0.2">
      <c r="E1242" s="34"/>
    </row>
    <row r="1243" spans="5:5" x14ac:dyDescent="0.2">
      <c r="E1243" s="34"/>
    </row>
    <row r="1244" spans="5:5" x14ac:dyDescent="0.2">
      <c r="E1244" s="34"/>
    </row>
    <row r="1245" spans="5:5" x14ac:dyDescent="0.2">
      <c r="E1245" s="34"/>
    </row>
    <row r="1246" spans="5:5" x14ac:dyDescent="0.2">
      <c r="E1246" s="34"/>
    </row>
    <row r="1247" spans="5:5" x14ac:dyDescent="0.2">
      <c r="E1247" s="34"/>
    </row>
    <row r="1248" spans="5:5" x14ac:dyDescent="0.2">
      <c r="E1248" s="34"/>
    </row>
    <row r="1249" spans="5:5" x14ac:dyDescent="0.2">
      <c r="E1249" s="34"/>
    </row>
    <row r="1250" spans="5:5" x14ac:dyDescent="0.2">
      <c r="E1250" s="34"/>
    </row>
    <row r="1251" spans="5:5" x14ac:dyDescent="0.2">
      <c r="E1251" s="34"/>
    </row>
    <row r="1252" spans="5:5" x14ac:dyDescent="0.2">
      <c r="E1252" s="34"/>
    </row>
    <row r="1253" spans="5:5" x14ac:dyDescent="0.2">
      <c r="E1253" s="34"/>
    </row>
    <row r="1254" spans="5:5" x14ac:dyDescent="0.2">
      <c r="E1254" s="34"/>
    </row>
    <row r="1255" spans="5:5" x14ac:dyDescent="0.2">
      <c r="E1255" s="34"/>
    </row>
    <row r="1256" spans="5:5" x14ac:dyDescent="0.2">
      <c r="E1256" s="34"/>
    </row>
    <row r="1257" spans="5:5" x14ac:dyDescent="0.2">
      <c r="E1257" s="34"/>
    </row>
    <row r="1258" spans="5:5" x14ac:dyDescent="0.2">
      <c r="E1258" s="34"/>
    </row>
    <row r="1259" spans="5:5" x14ac:dyDescent="0.2">
      <c r="E1259" s="34"/>
    </row>
    <row r="1260" spans="5:5" x14ac:dyDescent="0.2">
      <c r="E1260" s="34"/>
    </row>
    <row r="1261" spans="5:5" x14ac:dyDescent="0.2">
      <c r="E1261" s="34"/>
    </row>
    <row r="1262" spans="5:5" x14ac:dyDescent="0.2">
      <c r="E1262" s="34"/>
    </row>
    <row r="1263" spans="5:5" x14ac:dyDescent="0.2">
      <c r="E1263" s="34"/>
    </row>
    <row r="1264" spans="5:5" x14ac:dyDescent="0.2">
      <c r="E1264" s="34"/>
    </row>
    <row r="1265" spans="5:5" x14ac:dyDescent="0.2">
      <c r="E1265" s="34"/>
    </row>
    <row r="1266" spans="5:5" x14ac:dyDescent="0.2">
      <c r="E1266" s="34"/>
    </row>
    <row r="1267" spans="5:5" x14ac:dyDescent="0.2">
      <c r="E1267" s="34"/>
    </row>
    <row r="1268" spans="5:5" x14ac:dyDescent="0.2">
      <c r="E1268" s="34"/>
    </row>
    <row r="1269" spans="5:5" x14ac:dyDescent="0.2">
      <c r="E1269" s="34"/>
    </row>
    <row r="1270" spans="5:5" x14ac:dyDescent="0.2">
      <c r="E1270" s="34"/>
    </row>
    <row r="1271" spans="5:5" x14ac:dyDescent="0.2">
      <c r="E1271" s="34"/>
    </row>
    <row r="1272" spans="5:5" x14ac:dyDescent="0.2">
      <c r="E1272" s="34"/>
    </row>
    <row r="1273" spans="5:5" x14ac:dyDescent="0.2">
      <c r="E1273" s="34"/>
    </row>
    <row r="1274" spans="5:5" x14ac:dyDescent="0.2">
      <c r="E1274" s="34"/>
    </row>
    <row r="1275" spans="5:5" x14ac:dyDescent="0.2">
      <c r="E1275" s="34"/>
    </row>
    <row r="1276" spans="5:5" x14ac:dyDescent="0.2">
      <c r="E1276" s="34"/>
    </row>
    <row r="1277" spans="5:5" x14ac:dyDescent="0.2">
      <c r="E1277" s="34"/>
    </row>
    <row r="1278" spans="5:5" x14ac:dyDescent="0.2">
      <c r="E1278" s="34"/>
    </row>
    <row r="1279" spans="5:5" x14ac:dyDescent="0.2">
      <c r="E1279" s="34"/>
    </row>
    <row r="1280" spans="5:5" x14ac:dyDescent="0.2">
      <c r="E1280" s="34"/>
    </row>
    <row r="1281" spans="5:5" x14ac:dyDescent="0.2">
      <c r="E1281" s="34"/>
    </row>
    <row r="1282" spans="5:5" x14ac:dyDescent="0.2">
      <c r="E1282" s="34"/>
    </row>
    <row r="1283" spans="5:5" x14ac:dyDescent="0.2">
      <c r="E1283" s="34"/>
    </row>
    <row r="1284" spans="5:5" x14ac:dyDescent="0.2">
      <c r="E1284" s="34"/>
    </row>
    <row r="1285" spans="5:5" x14ac:dyDescent="0.2">
      <c r="E1285" s="34"/>
    </row>
    <row r="1286" spans="5:5" x14ac:dyDescent="0.2">
      <c r="E1286" s="34"/>
    </row>
    <row r="1287" spans="5:5" x14ac:dyDescent="0.2">
      <c r="E1287" s="34"/>
    </row>
    <row r="1288" spans="5:5" x14ac:dyDescent="0.2">
      <c r="E1288" s="34"/>
    </row>
    <row r="1289" spans="5:5" x14ac:dyDescent="0.2">
      <c r="E1289" s="34"/>
    </row>
    <row r="1290" spans="5:5" x14ac:dyDescent="0.2">
      <c r="E1290" s="34"/>
    </row>
    <row r="1291" spans="5:5" x14ac:dyDescent="0.2">
      <c r="E1291" s="34"/>
    </row>
    <row r="1292" spans="5:5" x14ac:dyDescent="0.2">
      <c r="E1292" s="34"/>
    </row>
    <row r="1293" spans="5:5" x14ac:dyDescent="0.2">
      <c r="E1293" s="34"/>
    </row>
    <row r="1294" spans="5:5" x14ac:dyDescent="0.2">
      <c r="E1294" s="34"/>
    </row>
    <row r="1295" spans="5:5" x14ac:dyDescent="0.2">
      <c r="E1295" s="34"/>
    </row>
    <row r="1296" spans="5:5" x14ac:dyDescent="0.2">
      <c r="E1296" s="34"/>
    </row>
    <row r="1297" spans="5:5" x14ac:dyDescent="0.2">
      <c r="E1297" s="34"/>
    </row>
    <row r="1298" spans="5:5" x14ac:dyDescent="0.2">
      <c r="E1298" s="34"/>
    </row>
    <row r="1299" spans="5:5" x14ac:dyDescent="0.2">
      <c r="E1299" s="34"/>
    </row>
    <row r="1300" spans="5:5" x14ac:dyDescent="0.2">
      <c r="E1300" s="34"/>
    </row>
    <row r="1301" spans="5:5" x14ac:dyDescent="0.2">
      <c r="E1301" s="34"/>
    </row>
    <row r="1302" spans="5:5" x14ac:dyDescent="0.2">
      <c r="E1302" s="34"/>
    </row>
    <row r="1303" spans="5:5" x14ac:dyDescent="0.2">
      <c r="E1303" s="34"/>
    </row>
    <row r="1304" spans="5:5" x14ac:dyDescent="0.2">
      <c r="E1304" s="34"/>
    </row>
    <row r="1305" spans="5:5" x14ac:dyDescent="0.2">
      <c r="E1305" s="34"/>
    </row>
    <row r="1306" spans="5:5" x14ac:dyDescent="0.2">
      <c r="E1306" s="34"/>
    </row>
    <row r="1307" spans="5:5" x14ac:dyDescent="0.2">
      <c r="E1307" s="34"/>
    </row>
    <row r="1308" spans="5:5" x14ac:dyDescent="0.2">
      <c r="E1308" s="34"/>
    </row>
    <row r="1309" spans="5:5" x14ac:dyDescent="0.2">
      <c r="E1309" s="34"/>
    </row>
    <row r="1310" spans="5:5" x14ac:dyDescent="0.2">
      <c r="E1310" s="34"/>
    </row>
    <row r="1311" spans="5:5" x14ac:dyDescent="0.2">
      <c r="E1311" s="34"/>
    </row>
    <row r="1312" spans="5:5" x14ac:dyDescent="0.2">
      <c r="E1312" s="34"/>
    </row>
    <row r="1313" spans="5:5" x14ac:dyDescent="0.2">
      <c r="E1313" s="34"/>
    </row>
    <row r="1314" spans="5:5" x14ac:dyDescent="0.2">
      <c r="E1314" s="34"/>
    </row>
    <row r="1315" spans="5:5" x14ac:dyDescent="0.2">
      <c r="E1315" s="34"/>
    </row>
    <row r="1316" spans="5:5" x14ac:dyDescent="0.2">
      <c r="E1316" s="34"/>
    </row>
    <row r="1317" spans="5:5" x14ac:dyDescent="0.2">
      <c r="E1317" s="34"/>
    </row>
    <row r="1318" spans="5:5" x14ac:dyDescent="0.2">
      <c r="E1318" s="34"/>
    </row>
    <row r="1319" spans="5:5" x14ac:dyDescent="0.2">
      <c r="E1319" s="34"/>
    </row>
    <row r="1320" spans="5:5" x14ac:dyDescent="0.2">
      <c r="E1320" s="34"/>
    </row>
    <row r="1321" spans="5:5" x14ac:dyDescent="0.2">
      <c r="E1321" s="34"/>
    </row>
    <row r="1322" spans="5:5" x14ac:dyDescent="0.2">
      <c r="E1322" s="34"/>
    </row>
    <row r="1323" spans="5:5" x14ac:dyDescent="0.2">
      <c r="E1323" s="34"/>
    </row>
    <row r="1324" spans="5:5" x14ac:dyDescent="0.2">
      <c r="E1324" s="34"/>
    </row>
    <row r="1325" spans="5:5" x14ac:dyDescent="0.2">
      <c r="E1325" s="34"/>
    </row>
    <row r="1326" spans="5:5" x14ac:dyDescent="0.2">
      <c r="E1326" s="34"/>
    </row>
    <row r="1327" spans="5:5" x14ac:dyDescent="0.2">
      <c r="E1327" s="34"/>
    </row>
    <row r="1328" spans="5:5" x14ac:dyDescent="0.2">
      <c r="E1328" s="34"/>
    </row>
    <row r="1329" spans="5:5" x14ac:dyDescent="0.2">
      <c r="E1329" s="34"/>
    </row>
    <row r="1330" spans="5:5" x14ac:dyDescent="0.2">
      <c r="E1330" s="34"/>
    </row>
    <row r="1331" spans="5:5" x14ac:dyDescent="0.2">
      <c r="E1331" s="34"/>
    </row>
    <row r="1332" spans="5:5" x14ac:dyDescent="0.2">
      <c r="E1332" s="34"/>
    </row>
    <row r="1333" spans="5:5" x14ac:dyDescent="0.2">
      <c r="E1333" s="34"/>
    </row>
    <row r="1334" spans="5:5" x14ac:dyDescent="0.2">
      <c r="E1334" s="34"/>
    </row>
    <row r="1335" spans="5:5" x14ac:dyDescent="0.2">
      <c r="E1335" s="34"/>
    </row>
    <row r="1336" spans="5:5" x14ac:dyDescent="0.2">
      <c r="E1336" s="34"/>
    </row>
    <row r="1337" spans="5:5" x14ac:dyDescent="0.2">
      <c r="E1337" s="34"/>
    </row>
    <row r="1338" spans="5:5" x14ac:dyDescent="0.2">
      <c r="E1338" s="34"/>
    </row>
    <row r="1339" spans="5:5" x14ac:dyDescent="0.2">
      <c r="E1339" s="34"/>
    </row>
    <row r="1340" spans="5:5" x14ac:dyDescent="0.2">
      <c r="E1340" s="34"/>
    </row>
    <row r="1341" spans="5:5" x14ac:dyDescent="0.2">
      <c r="E1341" s="34"/>
    </row>
    <row r="1342" spans="5:5" x14ac:dyDescent="0.2">
      <c r="E1342" s="34"/>
    </row>
    <row r="1343" spans="5:5" x14ac:dyDescent="0.2">
      <c r="E1343" s="34"/>
    </row>
    <row r="1344" spans="5:5" x14ac:dyDescent="0.2">
      <c r="E1344" s="34"/>
    </row>
    <row r="1345" spans="5:5" x14ac:dyDescent="0.2">
      <c r="E1345" s="34"/>
    </row>
    <row r="1346" spans="5:5" x14ac:dyDescent="0.2">
      <c r="E1346" s="34"/>
    </row>
    <row r="1347" spans="5:5" x14ac:dyDescent="0.2">
      <c r="E1347" s="34"/>
    </row>
    <row r="1348" spans="5:5" x14ac:dyDescent="0.2">
      <c r="E1348" s="34"/>
    </row>
    <row r="1349" spans="5:5" x14ac:dyDescent="0.2">
      <c r="E1349" s="34"/>
    </row>
    <row r="1350" spans="5:5" x14ac:dyDescent="0.2">
      <c r="E1350" s="34"/>
    </row>
    <row r="1351" spans="5:5" x14ac:dyDescent="0.2">
      <c r="E1351" s="34"/>
    </row>
    <row r="1352" spans="5:5" x14ac:dyDescent="0.2">
      <c r="E1352" s="34"/>
    </row>
    <row r="1353" spans="5:5" x14ac:dyDescent="0.2">
      <c r="E1353" s="34"/>
    </row>
    <row r="1354" spans="5:5" x14ac:dyDescent="0.2">
      <c r="E1354" s="34"/>
    </row>
    <row r="1355" spans="5:5" x14ac:dyDescent="0.2">
      <c r="E1355" s="34"/>
    </row>
    <row r="1356" spans="5:5" x14ac:dyDescent="0.2">
      <c r="E1356" s="34"/>
    </row>
    <row r="1357" spans="5:5" x14ac:dyDescent="0.2">
      <c r="E1357" s="34"/>
    </row>
    <row r="1358" spans="5:5" x14ac:dyDescent="0.2">
      <c r="E1358" s="34"/>
    </row>
    <row r="1359" spans="5:5" x14ac:dyDescent="0.2">
      <c r="E1359" s="34"/>
    </row>
    <row r="1360" spans="5:5" x14ac:dyDescent="0.2">
      <c r="E1360" s="34"/>
    </row>
    <row r="1361" spans="5:5" x14ac:dyDescent="0.2">
      <c r="E1361" s="34"/>
    </row>
    <row r="1362" spans="5:5" x14ac:dyDescent="0.2">
      <c r="E1362" s="34"/>
    </row>
    <row r="1363" spans="5:5" x14ac:dyDescent="0.2">
      <c r="E1363" s="34"/>
    </row>
    <row r="1364" spans="5:5" x14ac:dyDescent="0.2">
      <c r="E1364" s="34"/>
    </row>
    <row r="1365" spans="5:5" x14ac:dyDescent="0.2">
      <c r="E1365" s="34"/>
    </row>
    <row r="1366" spans="5:5" x14ac:dyDescent="0.2">
      <c r="E1366" s="34"/>
    </row>
    <row r="1367" spans="5:5" x14ac:dyDescent="0.2">
      <c r="E1367" s="34"/>
    </row>
    <row r="1368" spans="5:5" x14ac:dyDescent="0.2">
      <c r="E1368" s="34"/>
    </row>
    <row r="1369" spans="5:5" x14ac:dyDescent="0.2">
      <c r="E1369" s="34"/>
    </row>
    <row r="1370" spans="5:5" x14ac:dyDescent="0.2">
      <c r="E1370" s="34"/>
    </row>
    <row r="1371" spans="5:5" x14ac:dyDescent="0.2">
      <c r="E1371" s="34"/>
    </row>
    <row r="1372" spans="5:5" x14ac:dyDescent="0.2">
      <c r="E1372" s="34"/>
    </row>
    <row r="1373" spans="5:5" x14ac:dyDescent="0.2">
      <c r="E1373" s="34"/>
    </row>
    <row r="1374" spans="5:5" x14ac:dyDescent="0.2">
      <c r="E1374" s="34"/>
    </row>
    <row r="1375" spans="5:5" x14ac:dyDescent="0.2">
      <c r="E1375" s="34"/>
    </row>
    <row r="1376" spans="5:5" x14ac:dyDescent="0.2">
      <c r="E1376" s="34"/>
    </row>
    <row r="1377" spans="5:5" x14ac:dyDescent="0.2">
      <c r="E1377" s="34"/>
    </row>
    <row r="1378" spans="5:5" x14ac:dyDescent="0.2">
      <c r="E1378" s="34"/>
    </row>
    <row r="1379" spans="5:5" x14ac:dyDescent="0.2">
      <c r="E1379" s="34"/>
    </row>
    <row r="1380" spans="5:5" x14ac:dyDescent="0.2">
      <c r="E1380" s="34"/>
    </row>
    <row r="1381" spans="5:5" x14ac:dyDescent="0.2">
      <c r="E1381" s="34"/>
    </row>
    <row r="1382" spans="5:5" x14ac:dyDescent="0.2">
      <c r="E1382" s="34"/>
    </row>
    <row r="1383" spans="5:5" x14ac:dyDescent="0.2">
      <c r="E1383" s="34"/>
    </row>
    <row r="1384" spans="5:5" x14ac:dyDescent="0.2">
      <c r="E1384" s="34"/>
    </row>
    <row r="1385" spans="5:5" x14ac:dyDescent="0.2">
      <c r="E1385" s="34"/>
    </row>
    <row r="1386" spans="5:5" x14ac:dyDescent="0.2">
      <c r="E1386" s="34"/>
    </row>
    <row r="1387" spans="5:5" x14ac:dyDescent="0.2">
      <c r="E1387" s="34"/>
    </row>
    <row r="1388" spans="5:5" x14ac:dyDescent="0.2">
      <c r="E1388" s="34"/>
    </row>
    <row r="1389" spans="5:5" x14ac:dyDescent="0.2">
      <c r="E1389" s="34"/>
    </row>
    <row r="1390" spans="5:5" x14ac:dyDescent="0.2">
      <c r="E1390" s="34"/>
    </row>
    <row r="1391" spans="5:5" x14ac:dyDescent="0.2">
      <c r="E1391" s="34"/>
    </row>
    <row r="1392" spans="5:5" x14ac:dyDescent="0.2">
      <c r="E1392" s="34"/>
    </row>
    <row r="1393" spans="5:5" x14ac:dyDescent="0.2">
      <c r="E1393" s="34"/>
    </row>
    <row r="1394" spans="5:5" x14ac:dyDescent="0.2">
      <c r="E1394" s="34"/>
    </row>
    <row r="1395" spans="5:5" x14ac:dyDescent="0.2">
      <c r="E1395" s="34"/>
    </row>
    <row r="1396" spans="5:5" x14ac:dyDescent="0.2">
      <c r="E1396" s="34"/>
    </row>
    <row r="1397" spans="5:5" x14ac:dyDescent="0.2">
      <c r="E1397" s="34"/>
    </row>
    <row r="1398" spans="5:5" x14ac:dyDescent="0.2">
      <c r="E1398" s="34"/>
    </row>
    <row r="1399" spans="5:5" x14ac:dyDescent="0.2">
      <c r="E1399" s="34"/>
    </row>
    <row r="1400" spans="5:5" x14ac:dyDescent="0.2">
      <c r="E1400" s="34"/>
    </row>
    <row r="1401" spans="5:5" x14ac:dyDescent="0.2">
      <c r="E1401" s="34"/>
    </row>
    <row r="1402" spans="5:5" x14ac:dyDescent="0.2">
      <c r="E1402" s="34"/>
    </row>
    <row r="1403" spans="5:5" x14ac:dyDescent="0.2">
      <c r="E1403" s="34"/>
    </row>
    <row r="1404" spans="5:5" x14ac:dyDescent="0.2">
      <c r="E1404" s="34"/>
    </row>
    <row r="1405" spans="5:5" x14ac:dyDescent="0.2">
      <c r="E1405" s="34"/>
    </row>
    <row r="1406" spans="5:5" x14ac:dyDescent="0.2">
      <c r="E1406" s="34"/>
    </row>
    <row r="1407" spans="5:5" x14ac:dyDescent="0.2">
      <c r="E1407" s="34"/>
    </row>
    <row r="1408" spans="5:5" x14ac:dyDescent="0.2">
      <c r="E1408" s="34"/>
    </row>
    <row r="1409" spans="5:5" x14ac:dyDescent="0.2">
      <c r="E1409" s="34"/>
    </row>
    <row r="1410" spans="5:5" x14ac:dyDescent="0.2">
      <c r="E1410" s="34"/>
    </row>
    <row r="1411" spans="5:5" x14ac:dyDescent="0.2">
      <c r="E1411" s="34"/>
    </row>
    <row r="1412" spans="5:5" x14ac:dyDescent="0.2">
      <c r="E1412" s="34"/>
    </row>
    <row r="1413" spans="5:5" x14ac:dyDescent="0.2">
      <c r="E1413" s="34"/>
    </row>
    <row r="1414" spans="5:5" x14ac:dyDescent="0.2">
      <c r="E1414" s="34"/>
    </row>
    <row r="1415" spans="5:5" x14ac:dyDescent="0.2">
      <c r="E1415" s="34"/>
    </row>
    <row r="1416" spans="5:5" x14ac:dyDescent="0.2">
      <c r="E1416" s="34"/>
    </row>
    <row r="1417" spans="5:5" x14ac:dyDescent="0.2">
      <c r="E1417" s="34"/>
    </row>
    <row r="1418" spans="5:5" x14ac:dyDescent="0.2">
      <c r="E1418" s="34"/>
    </row>
    <row r="1419" spans="5:5" x14ac:dyDescent="0.2">
      <c r="E1419" s="34"/>
    </row>
    <row r="1420" spans="5:5" x14ac:dyDescent="0.2">
      <c r="E1420" s="34"/>
    </row>
    <row r="1421" spans="5:5" x14ac:dyDescent="0.2">
      <c r="E1421" s="34"/>
    </row>
    <row r="1422" spans="5:5" x14ac:dyDescent="0.2">
      <c r="E1422" s="34"/>
    </row>
    <row r="1423" spans="5:5" x14ac:dyDescent="0.2">
      <c r="E1423" s="34"/>
    </row>
    <row r="1424" spans="5:5" x14ac:dyDescent="0.2">
      <c r="E1424" s="34"/>
    </row>
    <row r="1425" spans="5:5" x14ac:dyDescent="0.2">
      <c r="E1425" s="34"/>
    </row>
    <row r="1426" spans="5:5" x14ac:dyDescent="0.2">
      <c r="E1426" s="34"/>
    </row>
    <row r="1427" spans="5:5" x14ac:dyDescent="0.2">
      <c r="E1427" s="34"/>
    </row>
    <row r="1428" spans="5:5" x14ac:dyDescent="0.2">
      <c r="E1428" s="34"/>
    </row>
    <row r="1429" spans="5:5" x14ac:dyDescent="0.2">
      <c r="E1429" s="34"/>
    </row>
    <row r="1430" spans="5:5" x14ac:dyDescent="0.2">
      <c r="E1430" s="34"/>
    </row>
    <row r="1431" spans="5:5" x14ac:dyDescent="0.2">
      <c r="E1431" s="34"/>
    </row>
    <row r="1432" spans="5:5" x14ac:dyDescent="0.2">
      <c r="E1432" s="34"/>
    </row>
    <row r="1433" spans="5:5" x14ac:dyDescent="0.2">
      <c r="E1433" s="34"/>
    </row>
    <row r="1434" spans="5:5" x14ac:dyDescent="0.2">
      <c r="E1434" s="34"/>
    </row>
    <row r="1435" spans="5:5" x14ac:dyDescent="0.2">
      <c r="E1435" s="34"/>
    </row>
    <row r="1436" spans="5:5" x14ac:dyDescent="0.2">
      <c r="E1436" s="34"/>
    </row>
    <row r="1437" spans="5:5" x14ac:dyDescent="0.2">
      <c r="E1437" s="34"/>
    </row>
    <row r="1438" spans="5:5" x14ac:dyDescent="0.2">
      <c r="E1438" s="34"/>
    </row>
    <row r="1439" spans="5:5" x14ac:dyDescent="0.2">
      <c r="E1439" s="34"/>
    </row>
    <row r="1440" spans="5:5" x14ac:dyDescent="0.2">
      <c r="E1440" s="34"/>
    </row>
    <row r="1441" spans="5:5" x14ac:dyDescent="0.2">
      <c r="E1441" s="34"/>
    </row>
    <row r="1442" spans="5:5" x14ac:dyDescent="0.2">
      <c r="E1442" s="34"/>
    </row>
    <row r="1443" spans="5:5" x14ac:dyDescent="0.2">
      <c r="E1443" s="34"/>
    </row>
    <row r="1444" spans="5:5" x14ac:dyDescent="0.2">
      <c r="E1444" s="34"/>
    </row>
    <row r="1445" spans="5:5" x14ac:dyDescent="0.2">
      <c r="E1445" s="34"/>
    </row>
    <row r="1446" spans="5:5" x14ac:dyDescent="0.2">
      <c r="E1446" s="34"/>
    </row>
    <row r="1447" spans="5:5" x14ac:dyDescent="0.2">
      <c r="E1447" s="34"/>
    </row>
    <row r="1448" spans="5:5" x14ac:dyDescent="0.2">
      <c r="E1448" s="34"/>
    </row>
    <row r="1449" spans="5:5" x14ac:dyDescent="0.2">
      <c r="E1449" s="34"/>
    </row>
    <row r="1450" spans="5:5" x14ac:dyDescent="0.2">
      <c r="E1450" s="34"/>
    </row>
    <row r="1451" spans="5:5" x14ac:dyDescent="0.2">
      <c r="E1451" s="34"/>
    </row>
    <row r="1452" spans="5:5" x14ac:dyDescent="0.2">
      <c r="E1452" s="34"/>
    </row>
    <row r="1453" spans="5:5" x14ac:dyDescent="0.2">
      <c r="E1453" s="34"/>
    </row>
    <row r="1454" spans="5:5" x14ac:dyDescent="0.2">
      <c r="E1454" s="34"/>
    </row>
    <row r="1455" spans="5:5" x14ac:dyDescent="0.2">
      <c r="E1455" s="34"/>
    </row>
    <row r="1456" spans="5:5" x14ac:dyDescent="0.2">
      <c r="E1456" s="34"/>
    </row>
    <row r="1457" spans="5:5" x14ac:dyDescent="0.2">
      <c r="E1457" s="34"/>
    </row>
    <row r="1458" spans="5:5" x14ac:dyDescent="0.2">
      <c r="E1458" s="34"/>
    </row>
    <row r="1459" spans="5:5" x14ac:dyDescent="0.2">
      <c r="E1459" s="34"/>
    </row>
    <row r="1460" spans="5:5" x14ac:dyDescent="0.2">
      <c r="E1460" s="34"/>
    </row>
    <row r="1461" spans="5:5" x14ac:dyDescent="0.2">
      <c r="E1461" s="34"/>
    </row>
    <row r="1462" spans="5:5" x14ac:dyDescent="0.2">
      <c r="E1462" s="34"/>
    </row>
    <row r="1463" spans="5:5" x14ac:dyDescent="0.2">
      <c r="E1463" s="34"/>
    </row>
    <row r="1464" spans="5:5" x14ac:dyDescent="0.2">
      <c r="E1464" s="34"/>
    </row>
    <row r="1465" spans="5:5" x14ac:dyDescent="0.2">
      <c r="E1465" s="34"/>
    </row>
    <row r="1466" spans="5:5" x14ac:dyDescent="0.2">
      <c r="E1466" s="34"/>
    </row>
    <row r="1467" spans="5:5" x14ac:dyDescent="0.2">
      <c r="E1467" s="34"/>
    </row>
    <row r="1468" spans="5:5" x14ac:dyDescent="0.2">
      <c r="E1468" s="34"/>
    </row>
    <row r="1469" spans="5:5" x14ac:dyDescent="0.2">
      <c r="E1469" s="34"/>
    </row>
    <row r="1470" spans="5:5" x14ac:dyDescent="0.2">
      <c r="E1470" s="34"/>
    </row>
    <row r="1471" spans="5:5" x14ac:dyDescent="0.2">
      <c r="E1471" s="34"/>
    </row>
    <row r="1472" spans="5:5" x14ac:dyDescent="0.2">
      <c r="E1472" s="34"/>
    </row>
    <row r="1473" spans="5:5" x14ac:dyDescent="0.2">
      <c r="E1473" s="34"/>
    </row>
    <row r="1474" spans="5:5" x14ac:dyDescent="0.2">
      <c r="E1474" s="34"/>
    </row>
    <row r="1475" spans="5:5" x14ac:dyDescent="0.2">
      <c r="E1475" s="34"/>
    </row>
    <row r="1476" spans="5:5" x14ac:dyDescent="0.2">
      <c r="E1476" s="34"/>
    </row>
    <row r="1477" spans="5:5" x14ac:dyDescent="0.2">
      <c r="E1477" s="34"/>
    </row>
    <row r="1478" spans="5:5" x14ac:dyDescent="0.2">
      <c r="E1478" s="34"/>
    </row>
    <row r="1479" spans="5:5" x14ac:dyDescent="0.2">
      <c r="E1479" s="34"/>
    </row>
    <row r="1480" spans="5:5" x14ac:dyDescent="0.2">
      <c r="E1480" s="34"/>
    </row>
    <row r="1481" spans="5:5" x14ac:dyDescent="0.2">
      <c r="E1481" s="34"/>
    </row>
    <row r="1482" spans="5:5" x14ac:dyDescent="0.2">
      <c r="E1482" s="34"/>
    </row>
    <row r="1483" spans="5:5" x14ac:dyDescent="0.2">
      <c r="E1483" s="34"/>
    </row>
    <row r="1484" spans="5:5" x14ac:dyDescent="0.2">
      <c r="E1484" s="34"/>
    </row>
    <row r="1485" spans="5:5" x14ac:dyDescent="0.2">
      <c r="E1485" s="34"/>
    </row>
    <row r="1486" spans="5:5" x14ac:dyDescent="0.2">
      <c r="E1486" s="34"/>
    </row>
    <row r="1487" spans="5:5" x14ac:dyDescent="0.2">
      <c r="E1487" s="34"/>
    </row>
    <row r="1488" spans="5:5" x14ac:dyDescent="0.2">
      <c r="E1488" s="34"/>
    </row>
    <row r="1489" spans="5:5" x14ac:dyDescent="0.2">
      <c r="E1489" s="34"/>
    </row>
    <row r="1490" spans="5:5" x14ac:dyDescent="0.2">
      <c r="E1490" s="34"/>
    </row>
    <row r="1491" spans="5:5" x14ac:dyDescent="0.2">
      <c r="E1491" s="34"/>
    </row>
    <row r="1492" spans="5:5" x14ac:dyDescent="0.2">
      <c r="E1492" s="34"/>
    </row>
    <row r="1493" spans="5:5" x14ac:dyDescent="0.2">
      <c r="E1493" s="34"/>
    </row>
    <row r="1494" spans="5:5" x14ac:dyDescent="0.2">
      <c r="E1494" s="34"/>
    </row>
    <row r="1495" spans="5:5" x14ac:dyDescent="0.2">
      <c r="E1495" s="34"/>
    </row>
    <row r="1496" spans="5:5" x14ac:dyDescent="0.2">
      <c r="E1496" s="34"/>
    </row>
    <row r="1497" spans="5:5" x14ac:dyDescent="0.2">
      <c r="E1497" s="34"/>
    </row>
    <row r="1498" spans="5:5" x14ac:dyDescent="0.2">
      <c r="E1498" s="34"/>
    </row>
    <row r="1499" spans="5:5" x14ac:dyDescent="0.2">
      <c r="E1499" s="34"/>
    </row>
    <row r="1500" spans="5:5" x14ac:dyDescent="0.2">
      <c r="E1500" s="34"/>
    </row>
    <row r="1501" spans="5:5" x14ac:dyDescent="0.2">
      <c r="E1501" s="34"/>
    </row>
    <row r="1502" spans="5:5" x14ac:dyDescent="0.2">
      <c r="E1502" s="34"/>
    </row>
    <row r="1503" spans="5:5" x14ac:dyDescent="0.2">
      <c r="E1503" s="34"/>
    </row>
    <row r="1504" spans="5:5" x14ac:dyDescent="0.2">
      <c r="E1504" s="34"/>
    </row>
    <row r="1505" spans="5:5" x14ac:dyDescent="0.2">
      <c r="E1505" s="34"/>
    </row>
    <row r="1506" spans="5:5" x14ac:dyDescent="0.2">
      <c r="E1506" s="34"/>
    </row>
    <row r="1507" spans="5:5" x14ac:dyDescent="0.2">
      <c r="E1507" s="34"/>
    </row>
    <row r="1508" spans="5:5" x14ac:dyDescent="0.2">
      <c r="E1508" s="34"/>
    </row>
    <row r="1509" spans="5:5" x14ac:dyDescent="0.2">
      <c r="E1509" s="34"/>
    </row>
    <row r="1510" spans="5:5" x14ac:dyDescent="0.2">
      <c r="E1510" s="34"/>
    </row>
    <row r="1511" spans="5:5" x14ac:dyDescent="0.2">
      <c r="E1511" s="34"/>
    </row>
    <row r="1512" spans="5:5" x14ac:dyDescent="0.2">
      <c r="E1512" s="34"/>
    </row>
    <row r="1513" spans="5:5" x14ac:dyDescent="0.2">
      <c r="E1513" s="34"/>
    </row>
    <row r="1514" spans="5:5" x14ac:dyDescent="0.2">
      <c r="E1514" s="34"/>
    </row>
    <row r="1515" spans="5:5" x14ac:dyDescent="0.2">
      <c r="E1515" s="34"/>
    </row>
    <row r="1516" spans="5:5" x14ac:dyDescent="0.2">
      <c r="E1516" s="34"/>
    </row>
    <row r="1517" spans="5:5" x14ac:dyDescent="0.2">
      <c r="E1517" s="34"/>
    </row>
    <row r="1518" spans="5:5" x14ac:dyDescent="0.2">
      <c r="E1518" s="34"/>
    </row>
    <row r="1519" spans="5:5" x14ac:dyDescent="0.2">
      <c r="E1519" s="34"/>
    </row>
    <row r="1520" spans="5:5" x14ac:dyDescent="0.2">
      <c r="E1520" s="34"/>
    </row>
    <row r="1521" spans="5:5" x14ac:dyDescent="0.2">
      <c r="E1521" s="34"/>
    </row>
    <row r="1522" spans="5:5" x14ac:dyDescent="0.2">
      <c r="E1522" s="34"/>
    </row>
    <row r="1523" spans="5:5" x14ac:dyDescent="0.2">
      <c r="E1523" s="34"/>
    </row>
    <row r="1524" spans="5:5" x14ac:dyDescent="0.2">
      <c r="E1524" s="34"/>
    </row>
    <row r="1525" spans="5:5" x14ac:dyDescent="0.2">
      <c r="E1525" s="34"/>
    </row>
    <row r="1526" spans="5:5" x14ac:dyDescent="0.2">
      <c r="E1526" s="34"/>
    </row>
    <row r="1527" spans="5:5" x14ac:dyDescent="0.2">
      <c r="E1527" s="34"/>
    </row>
    <row r="1528" spans="5:5" x14ac:dyDescent="0.2">
      <c r="E1528" s="34"/>
    </row>
    <row r="1529" spans="5:5" x14ac:dyDescent="0.2">
      <c r="E1529" s="34"/>
    </row>
    <row r="1530" spans="5:5" x14ac:dyDescent="0.2">
      <c r="E1530" s="34"/>
    </row>
    <row r="1531" spans="5:5" x14ac:dyDescent="0.2">
      <c r="E1531" s="34"/>
    </row>
    <row r="1532" spans="5:5" x14ac:dyDescent="0.2">
      <c r="E1532" s="34"/>
    </row>
    <row r="1533" spans="5:5" x14ac:dyDescent="0.2">
      <c r="E1533" s="34"/>
    </row>
    <row r="1534" spans="5:5" x14ac:dyDescent="0.2">
      <c r="E1534" s="34"/>
    </row>
    <row r="1535" spans="5:5" x14ac:dyDescent="0.2">
      <c r="E1535" s="34"/>
    </row>
    <row r="1536" spans="5:5" x14ac:dyDescent="0.2">
      <c r="E1536" s="34"/>
    </row>
    <row r="1537" spans="5:5" x14ac:dyDescent="0.2">
      <c r="E1537" s="34"/>
    </row>
    <row r="1538" spans="5:5" x14ac:dyDescent="0.2">
      <c r="E1538" s="34"/>
    </row>
    <row r="1539" spans="5:5" x14ac:dyDescent="0.2">
      <c r="E1539" s="34"/>
    </row>
    <row r="1540" spans="5:5" x14ac:dyDescent="0.2">
      <c r="E1540" s="34"/>
    </row>
    <row r="1541" spans="5:5" x14ac:dyDescent="0.2">
      <c r="E1541" s="34"/>
    </row>
    <row r="1542" spans="5:5" x14ac:dyDescent="0.2">
      <c r="E1542" s="34"/>
    </row>
    <row r="1543" spans="5:5" x14ac:dyDescent="0.2">
      <c r="E1543" s="34"/>
    </row>
    <row r="1544" spans="5:5" x14ac:dyDescent="0.2">
      <c r="E1544" s="34"/>
    </row>
    <row r="1545" spans="5:5" x14ac:dyDescent="0.2">
      <c r="E1545" s="34"/>
    </row>
    <row r="1546" spans="5:5" x14ac:dyDescent="0.2">
      <c r="E1546" s="34"/>
    </row>
    <row r="1547" spans="5:5" x14ac:dyDescent="0.2">
      <c r="E1547" s="34"/>
    </row>
    <row r="1548" spans="5:5" x14ac:dyDescent="0.2">
      <c r="E1548" s="34"/>
    </row>
    <row r="1549" spans="5:5" x14ac:dyDescent="0.2">
      <c r="E1549" s="34"/>
    </row>
    <row r="1550" spans="5:5" x14ac:dyDescent="0.2">
      <c r="E1550" s="34"/>
    </row>
    <row r="1551" spans="5:5" x14ac:dyDescent="0.2">
      <c r="E1551" s="34"/>
    </row>
    <row r="1552" spans="5:5" x14ac:dyDescent="0.2">
      <c r="E1552" s="34"/>
    </row>
    <row r="1553" spans="5:5" x14ac:dyDescent="0.2">
      <c r="E1553" s="34"/>
    </row>
    <row r="1554" spans="5:5" x14ac:dyDescent="0.2">
      <c r="E1554" s="34"/>
    </row>
    <row r="1555" spans="5:5" x14ac:dyDescent="0.2">
      <c r="E1555" s="34"/>
    </row>
    <row r="1556" spans="5:5" x14ac:dyDescent="0.2">
      <c r="E1556" s="34"/>
    </row>
    <row r="1557" spans="5:5" x14ac:dyDescent="0.2">
      <c r="E1557" s="34"/>
    </row>
    <row r="1558" spans="5:5" x14ac:dyDescent="0.2">
      <c r="E1558" s="34"/>
    </row>
    <row r="1559" spans="5:5" x14ac:dyDescent="0.2">
      <c r="E1559" s="34"/>
    </row>
    <row r="1560" spans="5:5" x14ac:dyDescent="0.2">
      <c r="E1560" s="34"/>
    </row>
    <row r="1561" spans="5:5" x14ac:dyDescent="0.2">
      <c r="E1561" s="34"/>
    </row>
    <row r="1562" spans="5:5" x14ac:dyDescent="0.2">
      <c r="E1562" s="34"/>
    </row>
    <row r="1563" spans="5:5" x14ac:dyDescent="0.2">
      <c r="E1563" s="34"/>
    </row>
    <row r="1564" spans="5:5" x14ac:dyDescent="0.2">
      <c r="E1564" s="34"/>
    </row>
    <row r="1565" spans="5:5" x14ac:dyDescent="0.2">
      <c r="E1565" s="34"/>
    </row>
    <row r="1566" spans="5:5" x14ac:dyDescent="0.2">
      <c r="E1566" s="34"/>
    </row>
    <row r="1567" spans="5:5" x14ac:dyDescent="0.2">
      <c r="E1567" s="34"/>
    </row>
    <row r="1568" spans="5:5" x14ac:dyDescent="0.2">
      <c r="E1568" s="34"/>
    </row>
    <row r="1569" spans="5:5" x14ac:dyDescent="0.2">
      <c r="E1569" s="34"/>
    </row>
    <row r="1570" spans="5:5" x14ac:dyDescent="0.2">
      <c r="E1570" s="34"/>
    </row>
    <row r="1571" spans="5:5" x14ac:dyDescent="0.2">
      <c r="E1571" s="34"/>
    </row>
    <row r="1572" spans="5:5" x14ac:dyDescent="0.2">
      <c r="E1572" s="34"/>
    </row>
    <row r="1573" spans="5:5" x14ac:dyDescent="0.2">
      <c r="E1573" s="34"/>
    </row>
    <row r="1574" spans="5:5" x14ac:dyDescent="0.2">
      <c r="E1574" s="34"/>
    </row>
    <row r="1575" spans="5:5" x14ac:dyDescent="0.2">
      <c r="E1575" s="34"/>
    </row>
    <row r="1576" spans="5:5" x14ac:dyDescent="0.2">
      <c r="E1576" s="34"/>
    </row>
    <row r="1577" spans="5:5" x14ac:dyDescent="0.2">
      <c r="E1577" s="34"/>
    </row>
    <row r="1578" spans="5:5" x14ac:dyDescent="0.2">
      <c r="E1578" s="34"/>
    </row>
    <row r="1579" spans="5:5" x14ac:dyDescent="0.2">
      <c r="E1579" s="34"/>
    </row>
    <row r="1580" spans="5:5" x14ac:dyDescent="0.2">
      <c r="E1580" s="34"/>
    </row>
    <row r="1581" spans="5:5" x14ac:dyDescent="0.2">
      <c r="E1581" s="34"/>
    </row>
    <row r="1582" spans="5:5" x14ac:dyDescent="0.2">
      <c r="E1582" s="34"/>
    </row>
    <row r="1583" spans="5:5" x14ac:dyDescent="0.2">
      <c r="E1583" s="34"/>
    </row>
    <row r="1584" spans="5:5" x14ac:dyDescent="0.2">
      <c r="E1584" s="34"/>
    </row>
    <row r="1585" spans="5:5" x14ac:dyDescent="0.2">
      <c r="E1585" s="34"/>
    </row>
    <row r="1586" spans="5:5" x14ac:dyDescent="0.2">
      <c r="E1586" s="34"/>
    </row>
    <row r="1587" spans="5:5" x14ac:dyDescent="0.2">
      <c r="E1587" s="34"/>
    </row>
    <row r="1588" spans="5:5" x14ac:dyDescent="0.2">
      <c r="E1588" s="34"/>
    </row>
    <row r="1589" spans="5:5" x14ac:dyDescent="0.2">
      <c r="E1589" s="34"/>
    </row>
    <row r="1590" spans="5:5" x14ac:dyDescent="0.2">
      <c r="E1590" s="34"/>
    </row>
    <row r="1591" spans="5:5" x14ac:dyDescent="0.2">
      <c r="E1591" s="34"/>
    </row>
    <row r="1592" spans="5:5" x14ac:dyDescent="0.2">
      <c r="E1592" s="34"/>
    </row>
    <row r="1593" spans="5:5" x14ac:dyDescent="0.2">
      <c r="E1593" s="34"/>
    </row>
    <row r="1594" spans="5:5" x14ac:dyDescent="0.2">
      <c r="E1594" s="34"/>
    </row>
    <row r="1595" spans="5:5" x14ac:dyDescent="0.2">
      <c r="E1595" s="34"/>
    </row>
    <row r="1596" spans="5:5" x14ac:dyDescent="0.2">
      <c r="E1596" s="34"/>
    </row>
    <row r="1597" spans="5:5" x14ac:dyDescent="0.2">
      <c r="E1597" s="34"/>
    </row>
    <row r="1598" spans="5:5" x14ac:dyDescent="0.2">
      <c r="E1598" s="34"/>
    </row>
    <row r="1599" spans="5:5" x14ac:dyDescent="0.2">
      <c r="E1599" s="34"/>
    </row>
    <row r="1600" spans="5:5" x14ac:dyDescent="0.2">
      <c r="E1600" s="34"/>
    </row>
    <row r="1601" spans="5:5" x14ac:dyDescent="0.2">
      <c r="E1601" s="34"/>
    </row>
    <row r="1602" spans="5:5" x14ac:dyDescent="0.2">
      <c r="E1602" s="34"/>
    </row>
    <row r="1603" spans="5:5" x14ac:dyDescent="0.2">
      <c r="E1603" s="34"/>
    </row>
    <row r="1604" spans="5:5" x14ac:dyDescent="0.2">
      <c r="E1604" s="34"/>
    </row>
    <row r="1605" spans="5:5" x14ac:dyDescent="0.2">
      <c r="E1605" s="34"/>
    </row>
    <row r="1606" spans="5:5" x14ac:dyDescent="0.2">
      <c r="E1606" s="34"/>
    </row>
    <row r="1607" spans="5:5" x14ac:dyDescent="0.2">
      <c r="E1607" s="34"/>
    </row>
    <row r="1608" spans="5:5" x14ac:dyDescent="0.2">
      <c r="E1608" s="34"/>
    </row>
    <row r="1609" spans="5:5" x14ac:dyDescent="0.2">
      <c r="E1609" s="34"/>
    </row>
    <row r="1610" spans="5:5" x14ac:dyDescent="0.2">
      <c r="E1610" s="34"/>
    </row>
    <row r="1611" spans="5:5" x14ac:dyDescent="0.2">
      <c r="E1611" s="34"/>
    </row>
    <row r="1612" spans="5:5" x14ac:dyDescent="0.2">
      <c r="E1612" s="34"/>
    </row>
    <row r="1613" spans="5:5" x14ac:dyDescent="0.2">
      <c r="E1613" s="34"/>
    </row>
    <row r="1614" spans="5:5" x14ac:dyDescent="0.2">
      <c r="E1614" s="34"/>
    </row>
    <row r="1615" spans="5:5" x14ac:dyDescent="0.2">
      <c r="E1615" s="34"/>
    </row>
    <row r="1616" spans="5:5" x14ac:dyDescent="0.2">
      <c r="E1616" s="34"/>
    </row>
    <row r="1617" spans="5:5" x14ac:dyDescent="0.2">
      <c r="E1617" s="34"/>
    </row>
    <row r="1618" spans="5:5" x14ac:dyDescent="0.2">
      <c r="E1618" s="34"/>
    </row>
    <row r="1619" spans="5:5" x14ac:dyDescent="0.2">
      <c r="E1619" s="34"/>
    </row>
    <row r="1620" spans="5:5" x14ac:dyDescent="0.2">
      <c r="E1620" s="34"/>
    </row>
    <row r="1621" spans="5:5" x14ac:dyDescent="0.2">
      <c r="E1621" s="34"/>
    </row>
    <row r="1622" spans="5:5" x14ac:dyDescent="0.2">
      <c r="E1622" s="34"/>
    </row>
    <row r="1623" spans="5:5" x14ac:dyDescent="0.2">
      <c r="E1623" s="34"/>
    </row>
    <row r="1624" spans="5:5" x14ac:dyDescent="0.2">
      <c r="E1624" s="34"/>
    </row>
    <row r="1625" spans="5:5" x14ac:dyDescent="0.2">
      <c r="E1625" s="34"/>
    </row>
    <row r="1626" spans="5:5" x14ac:dyDescent="0.2">
      <c r="E1626" s="34"/>
    </row>
    <row r="1627" spans="5:5" x14ac:dyDescent="0.2">
      <c r="E1627" s="34"/>
    </row>
    <row r="1628" spans="5:5" x14ac:dyDescent="0.2">
      <c r="E1628" s="34"/>
    </row>
    <row r="1629" spans="5:5" x14ac:dyDescent="0.2">
      <c r="E1629" s="34"/>
    </row>
    <row r="1630" spans="5:5" x14ac:dyDescent="0.2">
      <c r="E1630" s="34"/>
    </row>
    <row r="1631" spans="5:5" x14ac:dyDescent="0.2">
      <c r="E1631" s="34"/>
    </row>
    <row r="1632" spans="5:5" x14ac:dyDescent="0.2">
      <c r="E1632" s="34"/>
    </row>
    <row r="1633" spans="5:5" x14ac:dyDescent="0.2">
      <c r="E1633" s="34"/>
    </row>
    <row r="1634" spans="5:5" x14ac:dyDescent="0.2">
      <c r="E1634" s="34"/>
    </row>
    <row r="1635" spans="5:5" x14ac:dyDescent="0.2">
      <c r="E1635" s="34"/>
    </row>
    <row r="1636" spans="5:5" x14ac:dyDescent="0.2">
      <c r="E1636" s="34"/>
    </row>
    <row r="1637" spans="5:5" x14ac:dyDescent="0.2">
      <c r="E1637" s="34"/>
    </row>
    <row r="1638" spans="5:5" x14ac:dyDescent="0.2">
      <c r="E1638" s="34"/>
    </row>
    <row r="1639" spans="5:5" x14ac:dyDescent="0.2">
      <c r="E1639" s="34"/>
    </row>
    <row r="1640" spans="5:5" x14ac:dyDescent="0.2">
      <c r="E1640" s="34"/>
    </row>
    <row r="1641" spans="5:5" x14ac:dyDescent="0.2">
      <c r="E1641" s="34"/>
    </row>
    <row r="1642" spans="5:5" x14ac:dyDescent="0.2">
      <c r="E1642" s="34"/>
    </row>
    <row r="1643" spans="5:5" x14ac:dyDescent="0.2">
      <c r="E1643" s="34"/>
    </row>
    <row r="1644" spans="5:5" x14ac:dyDescent="0.2">
      <c r="E1644" s="34"/>
    </row>
    <row r="1645" spans="5:5" x14ac:dyDescent="0.2">
      <c r="E1645" s="34"/>
    </row>
    <row r="1646" spans="5:5" x14ac:dyDescent="0.2">
      <c r="E1646" s="34"/>
    </row>
    <row r="1647" spans="5:5" x14ac:dyDescent="0.2">
      <c r="E1647" s="34"/>
    </row>
    <row r="1648" spans="5:5" x14ac:dyDescent="0.2">
      <c r="E1648" s="34"/>
    </row>
    <row r="1649" spans="5:5" x14ac:dyDescent="0.2">
      <c r="E1649" s="34"/>
    </row>
    <row r="1650" spans="5:5" x14ac:dyDescent="0.2">
      <c r="E1650" s="34"/>
    </row>
    <row r="1651" spans="5:5" x14ac:dyDescent="0.2">
      <c r="E1651" s="34"/>
    </row>
    <row r="1652" spans="5:5" x14ac:dyDescent="0.2">
      <c r="E1652" s="34"/>
    </row>
    <row r="1653" spans="5:5" x14ac:dyDescent="0.2">
      <c r="E1653" s="34"/>
    </row>
    <row r="1654" spans="5:5" x14ac:dyDescent="0.2">
      <c r="E1654" s="34"/>
    </row>
    <row r="1655" spans="5:5" x14ac:dyDescent="0.2">
      <c r="E1655" s="34"/>
    </row>
    <row r="1656" spans="5:5" x14ac:dyDescent="0.2">
      <c r="E1656" s="34"/>
    </row>
    <row r="1657" spans="5:5" x14ac:dyDescent="0.2">
      <c r="E1657" s="34"/>
    </row>
    <row r="1658" spans="5:5" x14ac:dyDescent="0.2">
      <c r="E1658" s="34"/>
    </row>
    <row r="1659" spans="5:5" x14ac:dyDescent="0.2">
      <c r="E1659" s="34"/>
    </row>
    <row r="1660" spans="5:5" x14ac:dyDescent="0.2">
      <c r="E1660" s="34"/>
    </row>
    <row r="1661" spans="5:5" x14ac:dyDescent="0.2">
      <c r="E1661" s="34"/>
    </row>
    <row r="1662" spans="5:5" x14ac:dyDescent="0.2">
      <c r="E1662" s="34"/>
    </row>
    <row r="1663" spans="5:5" x14ac:dyDescent="0.2">
      <c r="E1663" s="34"/>
    </row>
    <row r="1664" spans="5:5" x14ac:dyDescent="0.2">
      <c r="E1664" s="34"/>
    </row>
    <row r="1665" spans="5:5" x14ac:dyDescent="0.2">
      <c r="E1665" s="34"/>
    </row>
    <row r="1666" spans="5:5" x14ac:dyDescent="0.2">
      <c r="E1666" s="34"/>
    </row>
    <row r="1667" spans="5:5" x14ac:dyDescent="0.2">
      <c r="E1667" s="34"/>
    </row>
    <row r="1668" spans="5:5" x14ac:dyDescent="0.2">
      <c r="E1668" s="34"/>
    </row>
    <row r="1669" spans="5:5" x14ac:dyDescent="0.2">
      <c r="E1669" s="34"/>
    </row>
    <row r="1670" spans="5:5" x14ac:dyDescent="0.2">
      <c r="E1670" s="34"/>
    </row>
    <row r="1671" spans="5:5" x14ac:dyDescent="0.2">
      <c r="E1671" s="34"/>
    </row>
    <row r="1672" spans="5:5" x14ac:dyDescent="0.2">
      <c r="E1672" s="34"/>
    </row>
    <row r="1673" spans="5:5" x14ac:dyDescent="0.2">
      <c r="E1673" s="34"/>
    </row>
    <row r="1674" spans="5:5" x14ac:dyDescent="0.2">
      <c r="E1674" s="34"/>
    </row>
    <row r="1675" spans="5:5" x14ac:dyDescent="0.2">
      <c r="E1675" s="34"/>
    </row>
    <row r="1676" spans="5:5" x14ac:dyDescent="0.2">
      <c r="E1676" s="34"/>
    </row>
    <row r="1677" spans="5:5" x14ac:dyDescent="0.2">
      <c r="E1677" s="34"/>
    </row>
    <row r="1678" spans="5:5" x14ac:dyDescent="0.2">
      <c r="E1678" s="34"/>
    </row>
    <row r="1679" spans="5:5" x14ac:dyDescent="0.2">
      <c r="E1679" s="34"/>
    </row>
    <row r="1680" spans="5:5" x14ac:dyDescent="0.2">
      <c r="E1680" s="34"/>
    </row>
    <row r="1681" spans="5:5" x14ac:dyDescent="0.2">
      <c r="E1681" s="34"/>
    </row>
    <row r="1682" spans="5:5" x14ac:dyDescent="0.2">
      <c r="E1682" s="34"/>
    </row>
    <row r="1683" spans="5:5" x14ac:dyDescent="0.2">
      <c r="E1683" s="34"/>
    </row>
    <row r="1684" spans="5:5" x14ac:dyDescent="0.2">
      <c r="E1684" s="34"/>
    </row>
    <row r="1685" spans="5:5" x14ac:dyDescent="0.2">
      <c r="E1685" s="34"/>
    </row>
    <row r="1686" spans="5:5" x14ac:dyDescent="0.2">
      <c r="E1686" s="34"/>
    </row>
    <row r="1687" spans="5:5" x14ac:dyDescent="0.2">
      <c r="E1687" s="34"/>
    </row>
    <row r="1688" spans="5:5" x14ac:dyDescent="0.2">
      <c r="E1688" s="34"/>
    </row>
    <row r="1689" spans="5:5" x14ac:dyDescent="0.2">
      <c r="E1689" s="34"/>
    </row>
    <row r="1690" spans="5:5" x14ac:dyDescent="0.2">
      <c r="E1690" s="34"/>
    </row>
    <row r="1691" spans="5:5" x14ac:dyDescent="0.2">
      <c r="E1691" s="34"/>
    </row>
    <row r="1692" spans="5:5" x14ac:dyDescent="0.2">
      <c r="E1692" s="34"/>
    </row>
    <row r="1693" spans="5:5" x14ac:dyDescent="0.2">
      <c r="E1693" s="34"/>
    </row>
    <row r="1694" spans="5:5" x14ac:dyDescent="0.2">
      <c r="E1694" s="34"/>
    </row>
    <row r="1695" spans="5:5" x14ac:dyDescent="0.2">
      <c r="E1695" s="34"/>
    </row>
    <row r="1696" spans="5:5" x14ac:dyDescent="0.2">
      <c r="E1696" s="34"/>
    </row>
    <row r="1697" spans="5:5" x14ac:dyDescent="0.2">
      <c r="E1697" s="34"/>
    </row>
    <row r="1698" spans="5:5" x14ac:dyDescent="0.2">
      <c r="E1698" s="34"/>
    </row>
    <row r="1699" spans="5:5" x14ac:dyDescent="0.2">
      <c r="E1699" s="34"/>
    </row>
    <row r="1700" spans="5:5" x14ac:dyDescent="0.2">
      <c r="E1700" s="34"/>
    </row>
    <row r="1701" spans="5:5" x14ac:dyDescent="0.2">
      <c r="E1701" s="34"/>
    </row>
    <row r="1702" spans="5:5" x14ac:dyDescent="0.2">
      <c r="E1702" s="34"/>
    </row>
    <row r="1703" spans="5:5" x14ac:dyDescent="0.2">
      <c r="E1703" s="34"/>
    </row>
    <row r="1704" spans="5:5" x14ac:dyDescent="0.2">
      <c r="E1704" s="34"/>
    </row>
    <row r="1705" spans="5:5" x14ac:dyDescent="0.2">
      <c r="E1705" s="34"/>
    </row>
    <row r="1706" spans="5:5" x14ac:dyDescent="0.2">
      <c r="E1706" s="34"/>
    </row>
    <row r="1707" spans="5:5" x14ac:dyDescent="0.2">
      <c r="E1707" s="34"/>
    </row>
    <row r="1708" spans="5:5" x14ac:dyDescent="0.2">
      <c r="E1708" s="34"/>
    </row>
    <row r="1709" spans="5:5" x14ac:dyDescent="0.2">
      <c r="E1709" s="34"/>
    </row>
    <row r="1710" spans="5:5" x14ac:dyDescent="0.2">
      <c r="E1710" s="34"/>
    </row>
    <row r="1711" spans="5:5" x14ac:dyDescent="0.2">
      <c r="E1711" s="34"/>
    </row>
    <row r="1712" spans="5:5" x14ac:dyDescent="0.2">
      <c r="E1712" s="34"/>
    </row>
    <row r="1713" spans="5:5" x14ac:dyDescent="0.2">
      <c r="E1713" s="34"/>
    </row>
    <row r="1714" spans="5:5" x14ac:dyDescent="0.2">
      <c r="E1714" s="34"/>
    </row>
    <row r="1715" spans="5:5" x14ac:dyDescent="0.2">
      <c r="E1715" s="34"/>
    </row>
    <row r="1716" spans="5:5" x14ac:dyDescent="0.2">
      <c r="E1716" s="34"/>
    </row>
    <row r="1717" spans="5:5" x14ac:dyDescent="0.2">
      <c r="E1717" s="34"/>
    </row>
    <row r="1718" spans="5:5" x14ac:dyDescent="0.2">
      <c r="E1718" s="34"/>
    </row>
    <row r="1719" spans="5:5" x14ac:dyDescent="0.2">
      <c r="E1719" s="34"/>
    </row>
    <row r="1720" spans="5:5" x14ac:dyDescent="0.2">
      <c r="E1720" s="34"/>
    </row>
    <row r="1721" spans="5:5" x14ac:dyDescent="0.2">
      <c r="E1721" s="34"/>
    </row>
    <row r="1722" spans="5:5" x14ac:dyDescent="0.2">
      <c r="E1722" s="34"/>
    </row>
    <row r="1723" spans="5:5" x14ac:dyDescent="0.2">
      <c r="E1723" s="34"/>
    </row>
    <row r="1724" spans="5:5" x14ac:dyDescent="0.2">
      <c r="E1724" s="34"/>
    </row>
    <row r="1725" spans="5:5" x14ac:dyDescent="0.2">
      <c r="E1725" s="34"/>
    </row>
    <row r="1726" spans="5:5" x14ac:dyDescent="0.2">
      <c r="E1726" s="34"/>
    </row>
    <row r="1727" spans="5:5" x14ac:dyDescent="0.2">
      <c r="E1727" s="34"/>
    </row>
    <row r="1728" spans="5:5" x14ac:dyDescent="0.2">
      <c r="E1728" s="34"/>
    </row>
    <row r="1729" spans="5:5" x14ac:dyDescent="0.2">
      <c r="E1729" s="34"/>
    </row>
    <row r="1730" spans="5:5" x14ac:dyDescent="0.2">
      <c r="E1730" s="34"/>
    </row>
    <row r="1731" spans="5:5" x14ac:dyDescent="0.2">
      <c r="E1731" s="34"/>
    </row>
    <row r="1732" spans="5:5" x14ac:dyDescent="0.2">
      <c r="E1732" s="34"/>
    </row>
    <row r="1733" spans="5:5" x14ac:dyDescent="0.2">
      <c r="E1733" s="34"/>
    </row>
    <row r="1734" spans="5:5" x14ac:dyDescent="0.2">
      <c r="E1734" s="34"/>
    </row>
    <row r="1735" spans="5:5" x14ac:dyDescent="0.2">
      <c r="E1735" s="34"/>
    </row>
    <row r="1736" spans="5:5" x14ac:dyDescent="0.2">
      <c r="E1736" s="34"/>
    </row>
    <row r="1737" spans="5:5" x14ac:dyDescent="0.2">
      <c r="E1737" s="34"/>
    </row>
    <row r="1738" spans="5:5" x14ac:dyDescent="0.2">
      <c r="E1738" s="34"/>
    </row>
    <row r="1739" spans="5:5" x14ac:dyDescent="0.2">
      <c r="E1739" s="34"/>
    </row>
    <row r="1740" spans="5:5" x14ac:dyDescent="0.2">
      <c r="E1740" s="34"/>
    </row>
    <row r="1741" spans="5:5" x14ac:dyDescent="0.2">
      <c r="E1741" s="34"/>
    </row>
    <row r="1742" spans="5:5" x14ac:dyDescent="0.2">
      <c r="E1742" s="34"/>
    </row>
    <row r="1743" spans="5:5" x14ac:dyDescent="0.2">
      <c r="E1743" s="34"/>
    </row>
    <row r="1744" spans="5:5" x14ac:dyDescent="0.2">
      <c r="E1744" s="34"/>
    </row>
    <row r="1745" spans="5:5" x14ac:dyDescent="0.2">
      <c r="E1745" s="34"/>
    </row>
    <row r="1746" spans="5:5" x14ac:dyDescent="0.2">
      <c r="E1746" s="34"/>
    </row>
    <row r="1747" spans="5:5" x14ac:dyDescent="0.2">
      <c r="E1747" s="34"/>
    </row>
    <row r="1748" spans="5:5" x14ac:dyDescent="0.2">
      <c r="E1748" s="34"/>
    </row>
    <row r="1749" spans="5:5" x14ac:dyDescent="0.2">
      <c r="E1749" s="34"/>
    </row>
    <row r="1750" spans="5:5" x14ac:dyDescent="0.2">
      <c r="E1750" s="34"/>
    </row>
    <row r="1751" spans="5:5" x14ac:dyDescent="0.2">
      <c r="E1751" s="34"/>
    </row>
    <row r="1752" spans="5:5" x14ac:dyDescent="0.2">
      <c r="E1752" s="34"/>
    </row>
    <row r="1753" spans="5:5" x14ac:dyDescent="0.2">
      <c r="E1753" s="34"/>
    </row>
    <row r="1754" spans="5:5" x14ac:dyDescent="0.2">
      <c r="E1754" s="34"/>
    </row>
    <row r="1755" spans="5:5" x14ac:dyDescent="0.2">
      <c r="E1755" s="34"/>
    </row>
    <row r="1756" spans="5:5" x14ac:dyDescent="0.2">
      <c r="E1756" s="34"/>
    </row>
    <row r="1757" spans="5:5" x14ac:dyDescent="0.2">
      <c r="E1757" s="34"/>
    </row>
    <row r="1758" spans="5:5" x14ac:dyDescent="0.2">
      <c r="E1758" s="34"/>
    </row>
    <row r="1759" spans="5:5" x14ac:dyDescent="0.2">
      <c r="E1759" s="34"/>
    </row>
    <row r="1760" spans="5:5" x14ac:dyDescent="0.2">
      <c r="E1760" s="34"/>
    </row>
    <row r="1761" spans="5:5" x14ac:dyDescent="0.2">
      <c r="E1761" s="34"/>
    </row>
    <row r="1762" spans="5:5" x14ac:dyDescent="0.2">
      <c r="E1762" s="34"/>
    </row>
    <row r="1763" spans="5:5" x14ac:dyDescent="0.2">
      <c r="E1763" s="34"/>
    </row>
    <row r="1764" spans="5:5" x14ac:dyDescent="0.2">
      <c r="E1764" s="34"/>
    </row>
    <row r="1765" spans="5:5" x14ac:dyDescent="0.2">
      <c r="E1765" s="34"/>
    </row>
    <row r="1766" spans="5:5" x14ac:dyDescent="0.2">
      <c r="E1766" s="34"/>
    </row>
    <row r="1767" spans="5:5" x14ac:dyDescent="0.2">
      <c r="E1767" s="34"/>
    </row>
    <row r="1768" spans="5:5" x14ac:dyDescent="0.2">
      <c r="E1768" s="34"/>
    </row>
    <row r="1769" spans="5:5" x14ac:dyDescent="0.2">
      <c r="E1769" s="34"/>
    </row>
    <row r="1770" spans="5:5" x14ac:dyDescent="0.2">
      <c r="E1770" s="34"/>
    </row>
    <row r="1771" spans="5:5" x14ac:dyDescent="0.2">
      <c r="E1771" s="34"/>
    </row>
    <row r="1772" spans="5:5" x14ac:dyDescent="0.2">
      <c r="E1772" s="34"/>
    </row>
    <row r="1773" spans="5:5" x14ac:dyDescent="0.2">
      <c r="E1773" s="34"/>
    </row>
    <row r="1774" spans="5:5" x14ac:dyDescent="0.2">
      <c r="E1774" s="34"/>
    </row>
    <row r="1775" spans="5:5" x14ac:dyDescent="0.2">
      <c r="E1775" s="34"/>
    </row>
    <row r="1776" spans="5:5" x14ac:dyDescent="0.2">
      <c r="E1776" s="34"/>
    </row>
    <row r="1777" spans="5:5" x14ac:dyDescent="0.2">
      <c r="E1777" s="34"/>
    </row>
    <row r="1778" spans="5:5" x14ac:dyDescent="0.2">
      <c r="E1778" s="34"/>
    </row>
    <row r="1779" spans="5:5" x14ac:dyDescent="0.2">
      <c r="E1779" s="34"/>
    </row>
    <row r="1780" spans="5:5" x14ac:dyDescent="0.2">
      <c r="E1780" s="34"/>
    </row>
    <row r="1781" spans="5:5" x14ac:dyDescent="0.2">
      <c r="E1781" s="34"/>
    </row>
    <row r="1782" spans="5:5" x14ac:dyDescent="0.2">
      <c r="E1782" s="34"/>
    </row>
    <row r="1783" spans="5:5" x14ac:dyDescent="0.2">
      <c r="E1783" s="34"/>
    </row>
    <row r="1784" spans="5:5" x14ac:dyDescent="0.2">
      <c r="E1784" s="34"/>
    </row>
    <row r="1785" spans="5:5" x14ac:dyDescent="0.2">
      <c r="E1785" s="34"/>
    </row>
    <row r="1786" spans="5:5" x14ac:dyDescent="0.2">
      <c r="E1786" s="34"/>
    </row>
    <row r="1787" spans="5:5" x14ac:dyDescent="0.2">
      <c r="E1787" s="34"/>
    </row>
    <row r="1788" spans="5:5" x14ac:dyDescent="0.2">
      <c r="E1788" s="34"/>
    </row>
    <row r="1789" spans="5:5" x14ac:dyDescent="0.2">
      <c r="E1789" s="34"/>
    </row>
    <row r="1790" spans="5:5" x14ac:dyDescent="0.2">
      <c r="E1790" s="34"/>
    </row>
    <row r="1791" spans="5:5" x14ac:dyDescent="0.2">
      <c r="E1791" s="34"/>
    </row>
    <row r="1792" spans="5:5" x14ac:dyDescent="0.2">
      <c r="E1792" s="34"/>
    </row>
    <row r="1793" spans="5:5" x14ac:dyDescent="0.2">
      <c r="E1793" s="34"/>
    </row>
    <row r="1794" spans="5:5" x14ac:dyDescent="0.2">
      <c r="E1794" s="34"/>
    </row>
    <row r="1795" spans="5:5" x14ac:dyDescent="0.2">
      <c r="E1795" s="34"/>
    </row>
    <row r="1796" spans="5:5" x14ac:dyDescent="0.2">
      <c r="E1796" s="34"/>
    </row>
    <row r="1797" spans="5:5" x14ac:dyDescent="0.2">
      <c r="E1797" s="34"/>
    </row>
    <row r="1798" spans="5:5" x14ac:dyDescent="0.2">
      <c r="E1798" s="34"/>
    </row>
    <row r="1799" spans="5:5" x14ac:dyDescent="0.2">
      <c r="E1799" s="34"/>
    </row>
    <row r="1800" spans="5:5" x14ac:dyDescent="0.2">
      <c r="E1800" s="34"/>
    </row>
    <row r="1801" spans="5:5" x14ac:dyDescent="0.2">
      <c r="E1801" s="34"/>
    </row>
    <row r="1802" spans="5:5" x14ac:dyDescent="0.2">
      <c r="E1802" s="34"/>
    </row>
    <row r="1803" spans="5:5" x14ac:dyDescent="0.2">
      <c r="E1803" s="34"/>
    </row>
    <row r="1804" spans="5:5" x14ac:dyDescent="0.2">
      <c r="E1804" s="34"/>
    </row>
    <row r="1805" spans="5:5" x14ac:dyDescent="0.2">
      <c r="E1805" s="34"/>
    </row>
    <row r="1806" spans="5:5" x14ac:dyDescent="0.2">
      <c r="E1806" s="34"/>
    </row>
    <row r="1807" spans="5:5" x14ac:dyDescent="0.2">
      <c r="E1807" s="34"/>
    </row>
    <row r="1808" spans="5:5" x14ac:dyDescent="0.2">
      <c r="E1808" s="34"/>
    </row>
    <row r="1809" spans="5:5" x14ac:dyDescent="0.2">
      <c r="E1809" s="34"/>
    </row>
    <row r="1810" spans="5:5" x14ac:dyDescent="0.2">
      <c r="E1810" s="34"/>
    </row>
    <row r="1811" spans="5:5" x14ac:dyDescent="0.2">
      <c r="E1811" s="34"/>
    </row>
    <row r="1812" spans="5:5" x14ac:dyDescent="0.2">
      <c r="E1812" s="34"/>
    </row>
    <row r="1813" spans="5:5" x14ac:dyDescent="0.2">
      <c r="E1813" s="34"/>
    </row>
    <row r="1814" spans="5:5" x14ac:dyDescent="0.2">
      <c r="E1814" s="34"/>
    </row>
    <row r="1815" spans="5:5" x14ac:dyDescent="0.2">
      <c r="E1815" s="34"/>
    </row>
    <row r="1816" spans="5:5" x14ac:dyDescent="0.2">
      <c r="E1816" s="34"/>
    </row>
    <row r="1817" spans="5:5" x14ac:dyDescent="0.2">
      <c r="E1817" s="34"/>
    </row>
    <row r="1818" spans="5:5" x14ac:dyDescent="0.2">
      <c r="E1818" s="34"/>
    </row>
    <row r="1819" spans="5:5" x14ac:dyDescent="0.2">
      <c r="E1819" s="34"/>
    </row>
    <row r="1820" spans="5:5" x14ac:dyDescent="0.2">
      <c r="E1820" s="34"/>
    </row>
    <row r="1821" spans="5:5" x14ac:dyDescent="0.2">
      <c r="E1821" s="34"/>
    </row>
    <row r="1822" spans="5:5" x14ac:dyDescent="0.2">
      <c r="E1822" s="34"/>
    </row>
    <row r="1823" spans="5:5" x14ac:dyDescent="0.2">
      <c r="E1823" s="34"/>
    </row>
    <row r="1824" spans="5:5" x14ac:dyDescent="0.2">
      <c r="E1824" s="34"/>
    </row>
    <row r="1825" spans="5:5" x14ac:dyDescent="0.2">
      <c r="E1825" s="34"/>
    </row>
    <row r="1826" spans="5:5" x14ac:dyDescent="0.2">
      <c r="E1826" s="34"/>
    </row>
    <row r="1827" spans="5:5" x14ac:dyDescent="0.2">
      <c r="E1827" s="34"/>
    </row>
    <row r="1828" spans="5:5" x14ac:dyDescent="0.2">
      <c r="E1828" s="34"/>
    </row>
    <row r="1829" spans="5:5" x14ac:dyDescent="0.2">
      <c r="E1829" s="34"/>
    </row>
    <row r="1830" spans="5:5" x14ac:dyDescent="0.2">
      <c r="E1830" s="34"/>
    </row>
    <row r="1831" spans="5:5" x14ac:dyDescent="0.2">
      <c r="E1831" s="34"/>
    </row>
    <row r="1832" spans="5:5" x14ac:dyDescent="0.2">
      <c r="E1832" s="34"/>
    </row>
    <row r="1833" spans="5:5" x14ac:dyDescent="0.2">
      <c r="E1833" s="34"/>
    </row>
    <row r="1834" spans="5:5" x14ac:dyDescent="0.2">
      <c r="E1834" s="34"/>
    </row>
    <row r="1835" spans="5:5" x14ac:dyDescent="0.2">
      <c r="E1835" s="34"/>
    </row>
    <row r="1836" spans="5:5" x14ac:dyDescent="0.2">
      <c r="E1836" s="34"/>
    </row>
    <row r="1837" spans="5:5" x14ac:dyDescent="0.2">
      <c r="E1837" s="34"/>
    </row>
    <row r="1838" spans="5:5" x14ac:dyDescent="0.2">
      <c r="E1838" s="34"/>
    </row>
    <row r="1839" spans="5:5" x14ac:dyDescent="0.2">
      <c r="E1839" s="34"/>
    </row>
    <row r="1840" spans="5:5" x14ac:dyDescent="0.2">
      <c r="E1840" s="34"/>
    </row>
    <row r="1841" spans="5:5" x14ac:dyDescent="0.2">
      <c r="E1841" s="34"/>
    </row>
    <row r="1842" spans="5:5" x14ac:dyDescent="0.2">
      <c r="E1842" s="34"/>
    </row>
    <row r="1843" spans="5:5" x14ac:dyDescent="0.2">
      <c r="E1843" s="34"/>
    </row>
    <row r="1844" spans="5:5" x14ac:dyDescent="0.2">
      <c r="E1844" s="34"/>
    </row>
    <row r="1845" spans="5:5" x14ac:dyDescent="0.2">
      <c r="E1845" s="34"/>
    </row>
    <row r="1846" spans="5:5" x14ac:dyDescent="0.2">
      <c r="E1846" s="34"/>
    </row>
    <row r="1847" spans="5:5" x14ac:dyDescent="0.2">
      <c r="E1847" s="34"/>
    </row>
    <row r="1848" spans="5:5" x14ac:dyDescent="0.2">
      <c r="E1848" s="34"/>
    </row>
    <row r="1849" spans="5:5" x14ac:dyDescent="0.2">
      <c r="E1849" s="34"/>
    </row>
    <row r="1850" spans="5:5" x14ac:dyDescent="0.2">
      <c r="E1850" s="34"/>
    </row>
    <row r="1851" spans="5:5" x14ac:dyDescent="0.2">
      <c r="E1851" s="34"/>
    </row>
    <row r="1852" spans="5:5" x14ac:dyDescent="0.2">
      <c r="E1852" s="34"/>
    </row>
    <row r="1853" spans="5:5" x14ac:dyDescent="0.2">
      <c r="E1853" s="34"/>
    </row>
    <row r="1854" spans="5:5" x14ac:dyDescent="0.2">
      <c r="E1854" s="34"/>
    </row>
    <row r="1855" spans="5:5" x14ac:dyDescent="0.2">
      <c r="E1855" s="34"/>
    </row>
    <row r="1856" spans="5:5" x14ac:dyDescent="0.2">
      <c r="E1856" s="34"/>
    </row>
    <row r="1857" spans="5:5" x14ac:dyDescent="0.2">
      <c r="E1857" s="34"/>
    </row>
    <row r="1858" spans="5:5" x14ac:dyDescent="0.2">
      <c r="E1858" s="34"/>
    </row>
    <row r="1859" spans="5:5" x14ac:dyDescent="0.2">
      <c r="E1859" s="34"/>
    </row>
    <row r="1860" spans="5:5" x14ac:dyDescent="0.2">
      <c r="E1860" s="34"/>
    </row>
    <row r="1861" spans="5:5" x14ac:dyDescent="0.2">
      <c r="E1861" s="34"/>
    </row>
    <row r="1862" spans="5:5" x14ac:dyDescent="0.2">
      <c r="E1862" s="34"/>
    </row>
    <row r="1863" spans="5:5" x14ac:dyDescent="0.2">
      <c r="E1863" s="34"/>
    </row>
    <row r="1864" spans="5:5" x14ac:dyDescent="0.2">
      <c r="E1864" s="34"/>
    </row>
    <row r="1865" spans="5:5" x14ac:dyDescent="0.2">
      <c r="E1865" s="34"/>
    </row>
    <row r="1866" spans="5:5" x14ac:dyDescent="0.2">
      <c r="E1866" s="34"/>
    </row>
    <row r="1867" spans="5:5" x14ac:dyDescent="0.2">
      <c r="E1867" s="34"/>
    </row>
    <row r="1868" spans="5:5" x14ac:dyDescent="0.2">
      <c r="E1868" s="34"/>
    </row>
    <row r="1869" spans="5:5" x14ac:dyDescent="0.2">
      <c r="E1869" s="34"/>
    </row>
    <row r="1870" spans="5:5" x14ac:dyDescent="0.2">
      <c r="E1870" s="34"/>
    </row>
    <row r="1871" spans="5:5" x14ac:dyDescent="0.2">
      <c r="E1871" s="34"/>
    </row>
    <row r="1872" spans="5:5" x14ac:dyDescent="0.2">
      <c r="E1872" s="34"/>
    </row>
    <row r="1873" spans="5:5" x14ac:dyDescent="0.2">
      <c r="E1873" s="34"/>
    </row>
    <row r="1874" spans="5:5" x14ac:dyDescent="0.2">
      <c r="E1874" s="34"/>
    </row>
    <row r="1875" spans="5:5" x14ac:dyDescent="0.2">
      <c r="E1875" s="34"/>
    </row>
    <row r="1876" spans="5:5" x14ac:dyDescent="0.2">
      <c r="E1876" s="34"/>
    </row>
    <row r="1877" spans="5:5" x14ac:dyDescent="0.2">
      <c r="E1877" s="34"/>
    </row>
    <row r="1878" spans="5:5" x14ac:dyDescent="0.2">
      <c r="E1878" s="34"/>
    </row>
    <row r="1879" spans="5:5" x14ac:dyDescent="0.2">
      <c r="E1879" s="34"/>
    </row>
    <row r="1880" spans="5:5" x14ac:dyDescent="0.2">
      <c r="E1880" s="34"/>
    </row>
    <row r="1881" spans="5:5" x14ac:dyDescent="0.2">
      <c r="E1881" s="34"/>
    </row>
    <row r="1882" spans="5:5" x14ac:dyDescent="0.2">
      <c r="E1882" s="34"/>
    </row>
    <row r="1883" spans="5:5" x14ac:dyDescent="0.2">
      <c r="E1883" s="34"/>
    </row>
    <row r="1884" spans="5:5" x14ac:dyDescent="0.2">
      <c r="E1884" s="34"/>
    </row>
    <row r="1885" spans="5:5" x14ac:dyDescent="0.2">
      <c r="E1885" s="34"/>
    </row>
    <row r="1886" spans="5:5" x14ac:dyDescent="0.2">
      <c r="E1886" s="34"/>
    </row>
    <row r="1887" spans="5:5" x14ac:dyDescent="0.2">
      <c r="E1887" s="34"/>
    </row>
    <row r="1888" spans="5:5" x14ac:dyDescent="0.2">
      <c r="E1888" s="34"/>
    </row>
    <row r="1889" spans="5:5" x14ac:dyDescent="0.2">
      <c r="E1889" s="34"/>
    </row>
    <row r="1890" spans="5:5" x14ac:dyDescent="0.2">
      <c r="E1890" s="34"/>
    </row>
    <row r="1891" spans="5:5" x14ac:dyDescent="0.2">
      <c r="E1891" s="34"/>
    </row>
    <row r="1892" spans="5:5" x14ac:dyDescent="0.2">
      <c r="E1892" s="34"/>
    </row>
    <row r="1893" spans="5:5" x14ac:dyDescent="0.2">
      <c r="E1893" s="34"/>
    </row>
    <row r="1894" spans="5:5" x14ac:dyDescent="0.2">
      <c r="E1894" s="34"/>
    </row>
    <row r="1895" spans="5:5" x14ac:dyDescent="0.2">
      <c r="E1895" s="34"/>
    </row>
    <row r="1896" spans="5:5" x14ac:dyDescent="0.2">
      <c r="E1896" s="34"/>
    </row>
    <row r="1897" spans="5:5" x14ac:dyDescent="0.2">
      <c r="E1897" s="34"/>
    </row>
    <row r="1898" spans="5:5" x14ac:dyDescent="0.2">
      <c r="E1898" s="34"/>
    </row>
    <row r="1899" spans="5:5" x14ac:dyDescent="0.2">
      <c r="E1899" s="34"/>
    </row>
    <row r="1900" spans="5:5" x14ac:dyDescent="0.2">
      <c r="E1900" s="34"/>
    </row>
    <row r="1901" spans="5:5" x14ac:dyDescent="0.2">
      <c r="E1901" s="34"/>
    </row>
    <row r="1902" spans="5:5" x14ac:dyDescent="0.2">
      <c r="E1902" s="34"/>
    </row>
    <row r="1903" spans="5:5" x14ac:dyDescent="0.2">
      <c r="E1903" s="34"/>
    </row>
    <row r="1904" spans="5:5" x14ac:dyDescent="0.2">
      <c r="E1904" s="34"/>
    </row>
    <row r="1905" spans="5:5" x14ac:dyDescent="0.2">
      <c r="E1905" s="34"/>
    </row>
    <row r="1906" spans="5:5" x14ac:dyDescent="0.2">
      <c r="E1906" s="34"/>
    </row>
    <row r="1907" spans="5:5" x14ac:dyDescent="0.2">
      <c r="E1907" s="34"/>
    </row>
    <row r="1908" spans="5:5" x14ac:dyDescent="0.2">
      <c r="E1908" s="34"/>
    </row>
    <row r="1909" spans="5:5" x14ac:dyDescent="0.2">
      <c r="E1909" s="34"/>
    </row>
    <row r="1910" spans="5:5" x14ac:dyDescent="0.2">
      <c r="E1910" s="34"/>
    </row>
    <row r="1911" spans="5:5" x14ac:dyDescent="0.2">
      <c r="E1911" s="34"/>
    </row>
    <row r="1912" spans="5:5" x14ac:dyDescent="0.2">
      <c r="E1912" s="34"/>
    </row>
    <row r="1913" spans="5:5" x14ac:dyDescent="0.2">
      <c r="E1913" s="34"/>
    </row>
    <row r="1914" spans="5:5" x14ac:dyDescent="0.2">
      <c r="E1914" s="34"/>
    </row>
    <row r="1915" spans="5:5" x14ac:dyDescent="0.2">
      <c r="E1915" s="34"/>
    </row>
    <row r="1916" spans="5:5" x14ac:dyDescent="0.2">
      <c r="E1916" s="34"/>
    </row>
    <row r="1917" spans="5:5" x14ac:dyDescent="0.2">
      <c r="E1917" s="34"/>
    </row>
    <row r="1918" spans="5:5" x14ac:dyDescent="0.2">
      <c r="E1918" s="34"/>
    </row>
    <row r="1919" spans="5:5" x14ac:dyDescent="0.2">
      <c r="E1919" s="34"/>
    </row>
    <row r="1920" spans="5:5" x14ac:dyDescent="0.2">
      <c r="E1920" s="34"/>
    </row>
    <row r="1921" spans="5:5" x14ac:dyDescent="0.2">
      <c r="E1921" s="34"/>
    </row>
    <row r="1922" spans="5:5" x14ac:dyDescent="0.2">
      <c r="E1922" s="34"/>
    </row>
    <row r="1923" spans="5:5" x14ac:dyDescent="0.2">
      <c r="E1923" s="34"/>
    </row>
    <row r="1924" spans="5:5" x14ac:dyDescent="0.2">
      <c r="E1924" s="34"/>
    </row>
    <row r="1925" spans="5:5" x14ac:dyDescent="0.2">
      <c r="E1925" s="34"/>
    </row>
    <row r="1926" spans="5:5" x14ac:dyDescent="0.2">
      <c r="E1926" s="34"/>
    </row>
    <row r="1927" spans="5:5" x14ac:dyDescent="0.2">
      <c r="E1927" s="34"/>
    </row>
    <row r="1928" spans="5:5" x14ac:dyDescent="0.2">
      <c r="E1928" s="34"/>
    </row>
    <row r="1929" spans="5:5" x14ac:dyDescent="0.2">
      <c r="E1929" s="34"/>
    </row>
    <row r="1930" spans="5:5" x14ac:dyDescent="0.2">
      <c r="E1930" s="34"/>
    </row>
    <row r="1931" spans="5:5" x14ac:dyDescent="0.2">
      <c r="E1931" s="34"/>
    </row>
    <row r="1932" spans="5:5" x14ac:dyDescent="0.2">
      <c r="E1932" s="34"/>
    </row>
    <row r="1933" spans="5:5" x14ac:dyDescent="0.2">
      <c r="E1933" s="34"/>
    </row>
    <row r="1934" spans="5:5" x14ac:dyDescent="0.2">
      <c r="E1934" s="34"/>
    </row>
    <row r="1935" spans="5:5" x14ac:dyDescent="0.2">
      <c r="E1935" s="34"/>
    </row>
    <row r="1936" spans="5:5" x14ac:dyDescent="0.2">
      <c r="E1936" s="34"/>
    </row>
    <row r="1937" spans="5:5" x14ac:dyDescent="0.2">
      <c r="E1937" s="34"/>
    </row>
    <row r="1938" spans="5:5" x14ac:dyDescent="0.2">
      <c r="E1938" s="34"/>
    </row>
    <row r="1939" spans="5:5" x14ac:dyDescent="0.2">
      <c r="E1939" s="34"/>
    </row>
    <row r="1940" spans="5:5" x14ac:dyDescent="0.2">
      <c r="E1940" s="34"/>
    </row>
    <row r="1941" spans="5:5" x14ac:dyDescent="0.2">
      <c r="E1941" s="34"/>
    </row>
    <row r="1942" spans="5:5" x14ac:dyDescent="0.2">
      <c r="E1942" s="34"/>
    </row>
    <row r="1943" spans="5:5" x14ac:dyDescent="0.2">
      <c r="E1943" s="34"/>
    </row>
    <row r="1944" spans="5:5" x14ac:dyDescent="0.2">
      <c r="E1944" s="34"/>
    </row>
    <row r="1945" spans="5:5" x14ac:dyDescent="0.2">
      <c r="E1945" s="34"/>
    </row>
    <row r="1946" spans="5:5" x14ac:dyDescent="0.2">
      <c r="E1946" s="34"/>
    </row>
    <row r="1947" spans="5:5" x14ac:dyDescent="0.2">
      <c r="E1947" s="34"/>
    </row>
    <row r="1948" spans="5:5" x14ac:dyDescent="0.2">
      <c r="E1948" s="34"/>
    </row>
    <row r="1949" spans="5:5" x14ac:dyDescent="0.2">
      <c r="E1949" s="34"/>
    </row>
    <row r="1950" spans="5:5" x14ac:dyDescent="0.2">
      <c r="E1950" s="34"/>
    </row>
    <row r="1951" spans="5:5" x14ac:dyDescent="0.2">
      <c r="E1951" s="34"/>
    </row>
    <row r="1952" spans="5:5" x14ac:dyDescent="0.2">
      <c r="E1952" s="34"/>
    </row>
    <row r="1953" spans="5:5" x14ac:dyDescent="0.2">
      <c r="E1953" s="34"/>
    </row>
    <row r="1954" spans="5:5" x14ac:dyDescent="0.2">
      <c r="E1954" s="34"/>
    </row>
    <row r="1955" spans="5:5" x14ac:dyDescent="0.2">
      <c r="E1955" s="34"/>
    </row>
    <row r="1956" spans="5:5" x14ac:dyDescent="0.2">
      <c r="E1956" s="34"/>
    </row>
    <row r="1957" spans="5:5" x14ac:dyDescent="0.2">
      <c r="E1957" s="34"/>
    </row>
    <row r="1958" spans="5:5" x14ac:dyDescent="0.2">
      <c r="E1958" s="34"/>
    </row>
    <row r="1959" spans="5:5" x14ac:dyDescent="0.2">
      <c r="E1959" s="34"/>
    </row>
    <row r="1960" spans="5:5" x14ac:dyDescent="0.2">
      <c r="E1960" s="34"/>
    </row>
    <row r="1961" spans="5:5" x14ac:dyDescent="0.2">
      <c r="E1961" s="34"/>
    </row>
    <row r="1962" spans="5:5" x14ac:dyDescent="0.2">
      <c r="E1962" s="34"/>
    </row>
    <row r="1963" spans="5:5" x14ac:dyDescent="0.2">
      <c r="E1963" s="34"/>
    </row>
    <row r="1964" spans="5:5" x14ac:dyDescent="0.2">
      <c r="E1964" s="34"/>
    </row>
    <row r="1965" spans="5:5" x14ac:dyDescent="0.2">
      <c r="E1965" s="34"/>
    </row>
    <row r="1966" spans="5:5" x14ac:dyDescent="0.2">
      <c r="E1966" s="34"/>
    </row>
    <row r="1967" spans="5:5" x14ac:dyDescent="0.2">
      <c r="E1967" s="34"/>
    </row>
    <row r="1968" spans="5:5" x14ac:dyDescent="0.2">
      <c r="E1968" s="34"/>
    </row>
    <row r="1969" spans="5:5" x14ac:dyDescent="0.2">
      <c r="E1969" s="34"/>
    </row>
    <row r="1970" spans="5:5" x14ac:dyDescent="0.2">
      <c r="E1970" s="34"/>
    </row>
    <row r="1971" spans="5:5" x14ac:dyDescent="0.2">
      <c r="E1971" s="34"/>
    </row>
    <row r="1972" spans="5:5" x14ac:dyDescent="0.2">
      <c r="E1972" s="34"/>
    </row>
    <row r="1973" spans="5:5" x14ac:dyDescent="0.2">
      <c r="E1973" s="34"/>
    </row>
    <row r="1974" spans="5:5" x14ac:dyDescent="0.2">
      <c r="E1974" s="34"/>
    </row>
    <row r="1975" spans="5:5" x14ac:dyDescent="0.2">
      <c r="E1975" s="34"/>
    </row>
    <row r="1976" spans="5:5" x14ac:dyDescent="0.2">
      <c r="E1976" s="34"/>
    </row>
    <row r="1977" spans="5:5" x14ac:dyDescent="0.2">
      <c r="E1977" s="34"/>
    </row>
    <row r="1978" spans="5:5" x14ac:dyDescent="0.2">
      <c r="E1978" s="34"/>
    </row>
    <row r="1979" spans="5:5" x14ac:dyDescent="0.2">
      <c r="E1979" s="34"/>
    </row>
    <row r="1980" spans="5:5" x14ac:dyDescent="0.2">
      <c r="E1980" s="34"/>
    </row>
    <row r="1981" spans="5:5" x14ac:dyDescent="0.2">
      <c r="E1981" s="34"/>
    </row>
    <row r="1982" spans="5:5" x14ac:dyDescent="0.2">
      <c r="E1982" s="34"/>
    </row>
    <row r="1983" spans="5:5" x14ac:dyDescent="0.2">
      <c r="E1983" s="34"/>
    </row>
    <row r="1984" spans="5:5" x14ac:dyDescent="0.2">
      <c r="E1984" s="34"/>
    </row>
    <row r="1985" spans="5:5" x14ac:dyDescent="0.2">
      <c r="E1985" s="34"/>
    </row>
    <row r="1986" spans="5:5" x14ac:dyDescent="0.2">
      <c r="E1986" s="34"/>
    </row>
    <row r="1987" spans="5:5" x14ac:dyDescent="0.2">
      <c r="E1987" s="34"/>
    </row>
    <row r="1988" spans="5:5" x14ac:dyDescent="0.2">
      <c r="E1988" s="34"/>
    </row>
    <row r="1989" spans="5:5" x14ac:dyDescent="0.2">
      <c r="E1989" s="34"/>
    </row>
    <row r="1990" spans="5:5" x14ac:dyDescent="0.2">
      <c r="E1990" s="34"/>
    </row>
    <row r="1991" spans="5:5" x14ac:dyDescent="0.2">
      <c r="E1991" s="34"/>
    </row>
    <row r="1992" spans="5:5" x14ac:dyDescent="0.2">
      <c r="E1992" s="34"/>
    </row>
    <row r="1993" spans="5:5" x14ac:dyDescent="0.2">
      <c r="E1993" s="34"/>
    </row>
    <row r="1994" spans="5:5" x14ac:dyDescent="0.2">
      <c r="E1994" s="34"/>
    </row>
    <row r="1995" spans="5:5" x14ac:dyDescent="0.2">
      <c r="E1995" s="34"/>
    </row>
    <row r="1996" spans="5:5" x14ac:dyDescent="0.2">
      <c r="E1996" s="34"/>
    </row>
    <row r="1997" spans="5:5" x14ac:dyDescent="0.2">
      <c r="E1997" s="34"/>
    </row>
    <row r="1998" spans="5:5" x14ac:dyDescent="0.2">
      <c r="E1998" s="34"/>
    </row>
    <row r="1999" spans="5:5" x14ac:dyDescent="0.2">
      <c r="E1999" s="34"/>
    </row>
    <row r="2000" spans="5:5" x14ac:dyDescent="0.2">
      <c r="E2000" s="34"/>
    </row>
    <row r="2001" spans="5:5" x14ac:dyDescent="0.2">
      <c r="E2001" s="34"/>
    </row>
    <row r="2002" spans="5:5" x14ac:dyDescent="0.2">
      <c r="E2002" s="34"/>
    </row>
    <row r="2003" spans="5:5" x14ac:dyDescent="0.2">
      <c r="E2003" s="34"/>
    </row>
    <row r="2004" spans="5:5" x14ac:dyDescent="0.2">
      <c r="E2004" s="34"/>
    </row>
    <row r="2005" spans="5:5" x14ac:dyDescent="0.2">
      <c r="E2005" s="34"/>
    </row>
    <row r="2006" spans="5:5" x14ac:dyDescent="0.2">
      <c r="E2006" s="34"/>
    </row>
    <row r="2007" spans="5:5" x14ac:dyDescent="0.2">
      <c r="E2007" s="34"/>
    </row>
    <row r="2008" spans="5:5" x14ac:dyDescent="0.2">
      <c r="E2008" s="34"/>
    </row>
    <row r="2009" spans="5:5" x14ac:dyDescent="0.2">
      <c r="E2009" s="34"/>
    </row>
    <row r="2010" spans="5:5" x14ac:dyDescent="0.2">
      <c r="E2010" s="34"/>
    </row>
    <row r="2011" spans="5:5" x14ac:dyDescent="0.2">
      <c r="E2011" s="34"/>
    </row>
    <row r="2012" spans="5:5" x14ac:dyDescent="0.2">
      <c r="E2012" s="34"/>
    </row>
    <row r="2013" spans="5:5" x14ac:dyDescent="0.2">
      <c r="E2013" s="34"/>
    </row>
    <row r="2014" spans="5:5" x14ac:dyDescent="0.2">
      <c r="E2014" s="34"/>
    </row>
    <row r="2015" spans="5:5" x14ac:dyDescent="0.2">
      <c r="E2015" s="34"/>
    </row>
    <row r="2016" spans="5:5" x14ac:dyDescent="0.2">
      <c r="E2016" s="34"/>
    </row>
    <row r="2017" spans="5:5" x14ac:dyDescent="0.2">
      <c r="E2017" s="34"/>
    </row>
    <row r="2018" spans="5:5" x14ac:dyDescent="0.2">
      <c r="E2018" s="34"/>
    </row>
    <row r="2019" spans="5:5" x14ac:dyDescent="0.2">
      <c r="E2019" s="34"/>
    </row>
    <row r="2020" spans="5:5" x14ac:dyDescent="0.2">
      <c r="E2020" s="34"/>
    </row>
    <row r="2021" spans="5:5" x14ac:dyDescent="0.2">
      <c r="E2021" s="34"/>
    </row>
    <row r="2022" spans="5:5" x14ac:dyDescent="0.2">
      <c r="E2022" s="34"/>
    </row>
    <row r="2023" spans="5:5" x14ac:dyDescent="0.2">
      <c r="E2023" s="34"/>
    </row>
    <row r="2024" spans="5:5" x14ac:dyDescent="0.2">
      <c r="E2024" s="34"/>
    </row>
    <row r="2025" spans="5:5" x14ac:dyDescent="0.2">
      <c r="E2025" s="34"/>
    </row>
    <row r="2026" spans="5:5" x14ac:dyDescent="0.2">
      <c r="E2026" s="34"/>
    </row>
    <row r="2027" spans="5:5" x14ac:dyDescent="0.2">
      <c r="E2027" s="34"/>
    </row>
    <row r="2028" spans="5:5" x14ac:dyDescent="0.2">
      <c r="E2028" s="34"/>
    </row>
    <row r="2029" spans="5:5" x14ac:dyDescent="0.2">
      <c r="E2029" s="34"/>
    </row>
    <row r="2030" spans="5:5" x14ac:dyDescent="0.2">
      <c r="E2030" s="34"/>
    </row>
    <row r="2031" spans="5:5" x14ac:dyDescent="0.2">
      <c r="E2031" s="34"/>
    </row>
    <row r="2032" spans="5:5" x14ac:dyDescent="0.2">
      <c r="E2032" s="34"/>
    </row>
    <row r="2033" spans="5:5" x14ac:dyDescent="0.2">
      <c r="E2033" s="34"/>
    </row>
    <row r="2034" spans="5:5" x14ac:dyDescent="0.2">
      <c r="E2034" s="34"/>
    </row>
    <row r="2035" spans="5:5" x14ac:dyDescent="0.2">
      <c r="E2035" s="34"/>
    </row>
    <row r="2036" spans="5:5" x14ac:dyDescent="0.2">
      <c r="E2036" s="34"/>
    </row>
    <row r="2037" spans="5:5" x14ac:dyDescent="0.2">
      <c r="E2037" s="34"/>
    </row>
    <row r="2038" spans="5:5" x14ac:dyDescent="0.2">
      <c r="E2038" s="34"/>
    </row>
    <row r="2039" spans="5:5" x14ac:dyDescent="0.2">
      <c r="E2039" s="34"/>
    </row>
    <row r="2040" spans="5:5" x14ac:dyDescent="0.2">
      <c r="E2040" s="34"/>
    </row>
    <row r="2041" spans="5:5" x14ac:dyDescent="0.2">
      <c r="E2041" s="34"/>
    </row>
    <row r="2042" spans="5:5" x14ac:dyDescent="0.2">
      <c r="E2042" s="34"/>
    </row>
    <row r="2043" spans="5:5" x14ac:dyDescent="0.2">
      <c r="E2043" s="34"/>
    </row>
    <row r="2044" spans="5:5" x14ac:dyDescent="0.2">
      <c r="E2044" s="34"/>
    </row>
    <row r="2045" spans="5:5" x14ac:dyDescent="0.2">
      <c r="E2045" s="34"/>
    </row>
    <row r="2046" spans="5:5" x14ac:dyDescent="0.2">
      <c r="E2046" s="34"/>
    </row>
    <row r="2047" spans="5:5" x14ac:dyDescent="0.2">
      <c r="E2047" s="34"/>
    </row>
    <row r="2048" spans="5:5" x14ac:dyDescent="0.2">
      <c r="E2048" s="34"/>
    </row>
    <row r="2049" spans="5:5" x14ac:dyDescent="0.2">
      <c r="E2049" s="34"/>
    </row>
    <row r="2050" spans="5:5" x14ac:dyDescent="0.2">
      <c r="E2050" s="34"/>
    </row>
    <row r="2051" spans="5:5" x14ac:dyDescent="0.2">
      <c r="E2051" s="34"/>
    </row>
    <row r="2052" spans="5:5" x14ac:dyDescent="0.2">
      <c r="E2052" s="34"/>
    </row>
    <row r="2053" spans="5:5" x14ac:dyDescent="0.2">
      <c r="E2053" s="34"/>
    </row>
    <row r="2054" spans="5:5" x14ac:dyDescent="0.2">
      <c r="E2054" s="34"/>
    </row>
    <row r="2055" spans="5:5" x14ac:dyDescent="0.2">
      <c r="E2055" s="34"/>
    </row>
    <row r="2056" spans="5:5" x14ac:dyDescent="0.2">
      <c r="E2056" s="34"/>
    </row>
    <row r="2057" spans="5:5" x14ac:dyDescent="0.2">
      <c r="E2057" s="34"/>
    </row>
    <row r="2058" spans="5:5" x14ac:dyDescent="0.2">
      <c r="E2058" s="34"/>
    </row>
    <row r="2059" spans="5:5" x14ac:dyDescent="0.2">
      <c r="E2059" s="34"/>
    </row>
    <row r="2060" spans="5:5" x14ac:dyDescent="0.2">
      <c r="E2060" s="34"/>
    </row>
    <row r="2061" spans="5:5" x14ac:dyDescent="0.2">
      <c r="E2061" s="34"/>
    </row>
    <row r="2062" spans="5:5" x14ac:dyDescent="0.2">
      <c r="E2062" s="34"/>
    </row>
    <row r="2063" spans="5:5" x14ac:dyDescent="0.2">
      <c r="E2063" s="34"/>
    </row>
    <row r="2064" spans="5:5" x14ac:dyDescent="0.2">
      <c r="E2064" s="34"/>
    </row>
    <row r="2065" spans="5:5" x14ac:dyDescent="0.2">
      <c r="E2065" s="34"/>
    </row>
    <row r="2066" spans="5:5" x14ac:dyDescent="0.2">
      <c r="E2066" s="34"/>
    </row>
    <row r="2067" spans="5:5" x14ac:dyDescent="0.2">
      <c r="E2067" s="34"/>
    </row>
    <row r="2068" spans="5:5" x14ac:dyDescent="0.2">
      <c r="E2068" s="34"/>
    </row>
    <row r="2069" spans="5:5" x14ac:dyDescent="0.2">
      <c r="E2069" s="34"/>
    </row>
    <row r="2070" spans="5:5" x14ac:dyDescent="0.2">
      <c r="E2070" s="34"/>
    </row>
    <row r="2071" spans="5:5" x14ac:dyDescent="0.2">
      <c r="E2071" s="34"/>
    </row>
    <row r="2072" spans="5:5" x14ac:dyDescent="0.2">
      <c r="E2072" s="34"/>
    </row>
    <row r="2073" spans="5:5" x14ac:dyDescent="0.2">
      <c r="E2073" s="34"/>
    </row>
    <row r="2074" spans="5:5" x14ac:dyDescent="0.2">
      <c r="E2074" s="34"/>
    </row>
    <row r="2075" spans="5:5" x14ac:dyDescent="0.2">
      <c r="E2075" s="34"/>
    </row>
    <row r="2076" spans="5:5" x14ac:dyDescent="0.2">
      <c r="E2076" s="34"/>
    </row>
    <row r="2077" spans="5:5" x14ac:dyDescent="0.2">
      <c r="E2077" s="34"/>
    </row>
    <row r="2078" spans="5:5" x14ac:dyDescent="0.2">
      <c r="E2078" s="34"/>
    </row>
    <row r="2079" spans="5:5" x14ac:dyDescent="0.2">
      <c r="E2079" s="34"/>
    </row>
    <row r="2080" spans="5:5" x14ac:dyDescent="0.2">
      <c r="E2080" s="34"/>
    </row>
    <row r="2081" spans="5:5" x14ac:dyDescent="0.2">
      <c r="E2081" s="34"/>
    </row>
    <row r="2082" spans="5:5" x14ac:dyDescent="0.2">
      <c r="E2082" s="34"/>
    </row>
    <row r="2083" spans="5:5" x14ac:dyDescent="0.2">
      <c r="E2083" s="34"/>
    </row>
    <row r="2084" spans="5:5" x14ac:dyDescent="0.2">
      <c r="E2084" s="34"/>
    </row>
    <row r="2085" spans="5:5" x14ac:dyDescent="0.2">
      <c r="E2085" s="34"/>
    </row>
    <row r="2086" spans="5:5" x14ac:dyDescent="0.2">
      <c r="E2086" s="34"/>
    </row>
    <row r="2087" spans="5:5" x14ac:dyDescent="0.2">
      <c r="E2087" s="34"/>
    </row>
    <row r="2088" spans="5:5" x14ac:dyDescent="0.2">
      <c r="E2088" s="34"/>
    </row>
    <row r="2089" spans="5:5" x14ac:dyDescent="0.2">
      <c r="E2089" s="34"/>
    </row>
    <row r="2090" spans="5:5" x14ac:dyDescent="0.2">
      <c r="E2090" s="34"/>
    </row>
    <row r="2091" spans="5:5" x14ac:dyDescent="0.2">
      <c r="E2091" s="34"/>
    </row>
    <row r="2092" spans="5:5" x14ac:dyDescent="0.2">
      <c r="E2092" s="34"/>
    </row>
    <row r="2093" spans="5:5" x14ac:dyDescent="0.2">
      <c r="E2093" s="34"/>
    </row>
    <row r="2094" spans="5:5" x14ac:dyDescent="0.2">
      <c r="E2094" s="34"/>
    </row>
    <row r="2095" spans="5:5" x14ac:dyDescent="0.2">
      <c r="E2095" s="34"/>
    </row>
    <row r="2096" spans="5:5" x14ac:dyDescent="0.2">
      <c r="E2096" s="34"/>
    </row>
    <row r="2097" spans="5:5" x14ac:dyDescent="0.2">
      <c r="E2097" s="34"/>
    </row>
    <row r="2098" spans="5:5" x14ac:dyDescent="0.2">
      <c r="E2098" s="34"/>
    </row>
    <row r="2099" spans="5:5" x14ac:dyDescent="0.2">
      <c r="E2099" s="34"/>
    </row>
    <row r="2100" spans="5:5" x14ac:dyDescent="0.2">
      <c r="E2100" s="34"/>
    </row>
    <row r="2101" spans="5:5" x14ac:dyDescent="0.2">
      <c r="E2101" s="34"/>
    </row>
    <row r="2102" spans="5:5" x14ac:dyDescent="0.2">
      <c r="E2102" s="34"/>
    </row>
    <row r="2103" spans="5:5" x14ac:dyDescent="0.2">
      <c r="E2103" s="34"/>
    </row>
    <row r="2104" spans="5:5" x14ac:dyDescent="0.2">
      <c r="E2104" s="34"/>
    </row>
    <row r="2105" spans="5:5" x14ac:dyDescent="0.2">
      <c r="E2105" s="34"/>
    </row>
    <row r="2106" spans="5:5" x14ac:dyDescent="0.2">
      <c r="E2106" s="34"/>
    </row>
    <row r="2107" spans="5:5" x14ac:dyDescent="0.2">
      <c r="E2107" s="34"/>
    </row>
    <row r="2108" spans="5:5" x14ac:dyDescent="0.2">
      <c r="E2108" s="34"/>
    </row>
    <row r="2109" spans="5:5" x14ac:dyDescent="0.2">
      <c r="E2109" s="34"/>
    </row>
    <row r="2110" spans="5:5" x14ac:dyDescent="0.2">
      <c r="E2110" s="34"/>
    </row>
    <row r="2111" spans="5:5" x14ac:dyDescent="0.2">
      <c r="E2111" s="34"/>
    </row>
    <row r="2112" spans="5:5" x14ac:dyDescent="0.2">
      <c r="E2112" s="34"/>
    </row>
    <row r="2113" spans="5:5" x14ac:dyDescent="0.2">
      <c r="E2113" s="34"/>
    </row>
    <row r="2114" spans="5:5" x14ac:dyDescent="0.2">
      <c r="E2114" s="34"/>
    </row>
    <row r="2115" spans="5:5" x14ac:dyDescent="0.2">
      <c r="E2115" s="34"/>
    </row>
    <row r="2116" spans="5:5" x14ac:dyDescent="0.2">
      <c r="E2116" s="34"/>
    </row>
    <row r="2117" spans="5:5" x14ac:dyDescent="0.2">
      <c r="E2117" s="34"/>
    </row>
    <row r="2118" spans="5:5" x14ac:dyDescent="0.2">
      <c r="E2118" s="34"/>
    </row>
    <row r="2119" spans="5:5" x14ac:dyDescent="0.2">
      <c r="E2119" s="34"/>
    </row>
    <row r="2120" spans="5:5" x14ac:dyDescent="0.2">
      <c r="E2120" s="34"/>
    </row>
    <row r="2121" spans="5:5" x14ac:dyDescent="0.2">
      <c r="E2121" s="34"/>
    </row>
    <row r="2122" spans="5:5" x14ac:dyDescent="0.2">
      <c r="E2122" s="34"/>
    </row>
    <row r="2123" spans="5:5" x14ac:dyDescent="0.2">
      <c r="E2123" s="34"/>
    </row>
    <row r="2124" spans="5:5" x14ac:dyDescent="0.2">
      <c r="E2124" s="34"/>
    </row>
    <row r="2125" spans="5:5" x14ac:dyDescent="0.2">
      <c r="E2125" s="34"/>
    </row>
    <row r="2126" spans="5:5" x14ac:dyDescent="0.2">
      <c r="E2126" s="34"/>
    </row>
    <row r="2127" spans="5:5" x14ac:dyDescent="0.2">
      <c r="E2127" s="34"/>
    </row>
    <row r="2128" spans="5:5" x14ac:dyDescent="0.2">
      <c r="E2128" s="34"/>
    </row>
    <row r="2129" spans="5:5" x14ac:dyDescent="0.2">
      <c r="E2129" s="34"/>
    </row>
    <row r="2130" spans="5:5" x14ac:dyDescent="0.2">
      <c r="E2130" s="34"/>
    </row>
    <row r="2131" spans="5:5" x14ac:dyDescent="0.2">
      <c r="E2131" s="34"/>
    </row>
    <row r="2132" spans="5:5" x14ac:dyDescent="0.2">
      <c r="E2132" s="34"/>
    </row>
    <row r="2133" spans="5:5" x14ac:dyDescent="0.2">
      <c r="E2133" s="34"/>
    </row>
    <row r="2134" spans="5:5" x14ac:dyDescent="0.2">
      <c r="E2134" s="34"/>
    </row>
    <row r="2135" spans="5:5" x14ac:dyDescent="0.2">
      <c r="E2135" s="34"/>
    </row>
    <row r="2136" spans="5:5" x14ac:dyDescent="0.2">
      <c r="E2136" s="34"/>
    </row>
    <row r="2137" spans="5:5" x14ac:dyDescent="0.2">
      <c r="E2137" s="34"/>
    </row>
    <row r="2138" spans="5:5" x14ac:dyDescent="0.2">
      <c r="E2138" s="34"/>
    </row>
    <row r="2139" spans="5:5" x14ac:dyDescent="0.2">
      <c r="E2139" s="34"/>
    </row>
    <row r="2140" spans="5:5" x14ac:dyDescent="0.2">
      <c r="E2140" s="34"/>
    </row>
    <row r="2141" spans="5:5" x14ac:dyDescent="0.2">
      <c r="E2141" s="34"/>
    </row>
    <row r="2142" spans="5:5" x14ac:dyDescent="0.2">
      <c r="E2142" s="34"/>
    </row>
    <row r="2143" spans="5:5" x14ac:dyDescent="0.2">
      <c r="E2143" s="34"/>
    </row>
    <row r="2144" spans="5:5" x14ac:dyDescent="0.2">
      <c r="E2144" s="34"/>
    </row>
    <row r="2145" spans="5:5" x14ac:dyDescent="0.2">
      <c r="E2145" s="34"/>
    </row>
    <row r="2146" spans="5:5" x14ac:dyDescent="0.2">
      <c r="E2146" s="34"/>
    </row>
    <row r="2147" spans="5:5" x14ac:dyDescent="0.2">
      <c r="E2147" s="34"/>
    </row>
    <row r="2148" spans="5:5" x14ac:dyDescent="0.2">
      <c r="E2148" s="34"/>
    </row>
    <row r="2149" spans="5:5" x14ac:dyDescent="0.2">
      <c r="E2149" s="34"/>
    </row>
    <row r="2150" spans="5:5" x14ac:dyDescent="0.2">
      <c r="E2150" s="34"/>
    </row>
    <row r="2151" spans="5:5" x14ac:dyDescent="0.2">
      <c r="E2151" s="34"/>
    </row>
    <row r="2152" spans="5:5" x14ac:dyDescent="0.2">
      <c r="E2152" s="34"/>
    </row>
    <row r="2153" spans="5:5" x14ac:dyDescent="0.2">
      <c r="E2153" s="34"/>
    </row>
    <row r="2154" spans="5:5" x14ac:dyDescent="0.2">
      <c r="E2154" s="34"/>
    </row>
    <row r="2155" spans="5:5" x14ac:dyDescent="0.2">
      <c r="E2155" s="34"/>
    </row>
    <row r="2156" spans="5:5" x14ac:dyDescent="0.2">
      <c r="E2156" s="34"/>
    </row>
    <row r="2157" spans="5:5" x14ac:dyDescent="0.2">
      <c r="E2157" s="34"/>
    </row>
    <row r="2158" spans="5:5" x14ac:dyDescent="0.2">
      <c r="E2158" s="34"/>
    </row>
    <row r="2159" spans="5:5" x14ac:dyDescent="0.2">
      <c r="E2159" s="34"/>
    </row>
    <row r="2160" spans="5:5" x14ac:dyDescent="0.2">
      <c r="E2160" s="34"/>
    </row>
    <row r="2161" spans="5:5" x14ac:dyDescent="0.2">
      <c r="E2161" s="34"/>
    </row>
    <row r="2162" spans="5:5" x14ac:dyDescent="0.2">
      <c r="E2162" s="34"/>
    </row>
    <row r="2163" spans="5:5" x14ac:dyDescent="0.2">
      <c r="E2163" s="34"/>
    </row>
    <row r="2164" spans="5:5" x14ac:dyDescent="0.2">
      <c r="E2164" s="34"/>
    </row>
    <row r="2165" spans="5:5" x14ac:dyDescent="0.2">
      <c r="E2165" s="34"/>
    </row>
    <row r="2166" spans="5:5" x14ac:dyDescent="0.2">
      <c r="E2166" s="34"/>
    </row>
    <row r="2167" spans="5:5" x14ac:dyDescent="0.2">
      <c r="E2167" s="34"/>
    </row>
    <row r="2168" spans="5:5" x14ac:dyDescent="0.2">
      <c r="E2168" s="34"/>
    </row>
    <row r="2169" spans="5:5" x14ac:dyDescent="0.2">
      <c r="E2169" s="34"/>
    </row>
    <row r="2170" spans="5:5" x14ac:dyDescent="0.2">
      <c r="E2170" s="34"/>
    </row>
    <row r="2171" spans="5:5" x14ac:dyDescent="0.2">
      <c r="E2171" s="34"/>
    </row>
    <row r="2172" spans="5:5" x14ac:dyDescent="0.2">
      <c r="E2172" s="34"/>
    </row>
    <row r="2173" spans="5:5" x14ac:dyDescent="0.2">
      <c r="E2173" s="34"/>
    </row>
    <row r="2174" spans="5:5" x14ac:dyDescent="0.2">
      <c r="E2174" s="34"/>
    </row>
    <row r="2175" spans="5:5" x14ac:dyDescent="0.2">
      <c r="E2175" s="34"/>
    </row>
    <row r="2176" spans="5:5" x14ac:dyDescent="0.2">
      <c r="E2176" s="34"/>
    </row>
    <row r="2177" spans="5:5" x14ac:dyDescent="0.2">
      <c r="E2177" s="34"/>
    </row>
    <row r="2178" spans="5:5" x14ac:dyDescent="0.2">
      <c r="E2178" s="34"/>
    </row>
    <row r="2179" spans="5:5" x14ac:dyDescent="0.2">
      <c r="E2179" s="34"/>
    </row>
    <row r="2180" spans="5:5" x14ac:dyDescent="0.2">
      <c r="E2180" s="34"/>
    </row>
    <row r="2181" spans="5:5" x14ac:dyDescent="0.2">
      <c r="E2181" s="34"/>
    </row>
    <row r="2182" spans="5:5" x14ac:dyDescent="0.2">
      <c r="E2182" s="34"/>
    </row>
    <row r="2183" spans="5:5" x14ac:dyDescent="0.2">
      <c r="E2183" s="34"/>
    </row>
    <row r="2184" spans="5:5" x14ac:dyDescent="0.2">
      <c r="E2184" s="34"/>
    </row>
    <row r="2185" spans="5:5" x14ac:dyDescent="0.2">
      <c r="E2185" s="34"/>
    </row>
    <row r="2186" spans="5:5" x14ac:dyDescent="0.2">
      <c r="E2186" s="34"/>
    </row>
    <row r="2187" spans="5:5" x14ac:dyDescent="0.2">
      <c r="E2187" s="34"/>
    </row>
    <row r="2188" spans="5:5" x14ac:dyDescent="0.2">
      <c r="E2188" s="34"/>
    </row>
    <row r="2189" spans="5:5" x14ac:dyDescent="0.2">
      <c r="E2189" s="34"/>
    </row>
    <row r="2190" spans="5:5" x14ac:dyDescent="0.2">
      <c r="E2190" s="34"/>
    </row>
    <row r="2191" spans="5:5" x14ac:dyDescent="0.2">
      <c r="E2191" s="34"/>
    </row>
    <row r="2192" spans="5:5" x14ac:dyDescent="0.2">
      <c r="E2192" s="34"/>
    </row>
    <row r="2193" spans="5:5" x14ac:dyDescent="0.2">
      <c r="E2193" s="34"/>
    </row>
    <row r="2194" spans="5:5" x14ac:dyDescent="0.2">
      <c r="E2194" s="34"/>
    </row>
    <row r="2195" spans="5:5" x14ac:dyDescent="0.2">
      <c r="E2195" s="34"/>
    </row>
    <row r="2196" spans="5:5" x14ac:dyDescent="0.2">
      <c r="E2196" s="34"/>
    </row>
    <row r="2197" spans="5:5" x14ac:dyDescent="0.2">
      <c r="E2197" s="34"/>
    </row>
    <row r="2198" spans="5:5" x14ac:dyDescent="0.2">
      <c r="E2198" s="34"/>
    </row>
    <row r="2199" spans="5:5" x14ac:dyDescent="0.2">
      <c r="E2199" s="34"/>
    </row>
    <row r="2200" spans="5:5" x14ac:dyDescent="0.2">
      <c r="E2200" s="34"/>
    </row>
    <row r="2201" spans="5:5" x14ac:dyDescent="0.2">
      <c r="E2201" s="34"/>
    </row>
    <row r="2202" spans="5:5" x14ac:dyDescent="0.2">
      <c r="E2202" s="34"/>
    </row>
    <row r="2203" spans="5:5" x14ac:dyDescent="0.2">
      <c r="E2203" s="34"/>
    </row>
    <row r="2204" spans="5:5" x14ac:dyDescent="0.2">
      <c r="E2204" s="34"/>
    </row>
    <row r="2205" spans="5:5" x14ac:dyDescent="0.2">
      <c r="E2205" s="34"/>
    </row>
    <row r="2206" spans="5:5" x14ac:dyDescent="0.2">
      <c r="E2206" s="34"/>
    </row>
    <row r="2207" spans="5:5" x14ac:dyDescent="0.2">
      <c r="E2207" s="34"/>
    </row>
    <row r="2208" spans="5:5" x14ac:dyDescent="0.2">
      <c r="E2208" s="34"/>
    </row>
    <row r="2209" spans="5:5" x14ac:dyDescent="0.2">
      <c r="E2209" s="34"/>
    </row>
    <row r="2210" spans="5:5" x14ac:dyDescent="0.2">
      <c r="E2210" s="34"/>
    </row>
    <row r="2211" spans="5:5" x14ac:dyDescent="0.2">
      <c r="E2211" s="34"/>
    </row>
    <row r="2212" spans="5:5" x14ac:dyDescent="0.2">
      <c r="E2212" s="34"/>
    </row>
    <row r="2213" spans="5:5" x14ac:dyDescent="0.2">
      <c r="E2213" s="34"/>
    </row>
    <row r="2214" spans="5:5" x14ac:dyDescent="0.2">
      <c r="E2214" s="34"/>
    </row>
    <row r="2215" spans="5:5" x14ac:dyDescent="0.2">
      <c r="E2215" s="34"/>
    </row>
    <row r="2216" spans="5:5" x14ac:dyDescent="0.2">
      <c r="E2216" s="34"/>
    </row>
    <row r="2217" spans="5:5" x14ac:dyDescent="0.2">
      <c r="E2217" s="34"/>
    </row>
    <row r="2218" spans="5:5" x14ac:dyDescent="0.2">
      <c r="E2218" s="34"/>
    </row>
    <row r="2219" spans="5:5" x14ac:dyDescent="0.2">
      <c r="E2219" s="34"/>
    </row>
    <row r="2220" spans="5:5" x14ac:dyDescent="0.2">
      <c r="E2220" s="34"/>
    </row>
    <row r="2221" spans="5:5" x14ac:dyDescent="0.2">
      <c r="E2221" s="34"/>
    </row>
    <row r="2222" spans="5:5" x14ac:dyDescent="0.2">
      <c r="E2222" s="34"/>
    </row>
    <row r="2223" spans="5:5" x14ac:dyDescent="0.2">
      <c r="E2223" s="34"/>
    </row>
    <row r="2224" spans="5:5" x14ac:dyDescent="0.2">
      <c r="E2224" s="34"/>
    </row>
    <row r="2225" spans="5:5" x14ac:dyDescent="0.2">
      <c r="E2225" s="34"/>
    </row>
    <row r="2226" spans="5:5" x14ac:dyDescent="0.2">
      <c r="E2226" s="34"/>
    </row>
    <row r="2227" spans="5:5" x14ac:dyDescent="0.2">
      <c r="E2227" s="34"/>
    </row>
    <row r="2228" spans="5:5" x14ac:dyDescent="0.2">
      <c r="E2228" s="34"/>
    </row>
    <row r="2229" spans="5:5" x14ac:dyDescent="0.2">
      <c r="E2229" s="34"/>
    </row>
    <row r="2230" spans="5:5" x14ac:dyDescent="0.2">
      <c r="E2230" s="34"/>
    </row>
    <row r="2231" spans="5:5" x14ac:dyDescent="0.2">
      <c r="E2231" s="34"/>
    </row>
    <row r="2232" spans="5:5" x14ac:dyDescent="0.2">
      <c r="E2232" s="34"/>
    </row>
    <row r="2233" spans="5:5" x14ac:dyDescent="0.2">
      <c r="E2233" s="34"/>
    </row>
    <row r="2234" spans="5:5" x14ac:dyDescent="0.2">
      <c r="E2234" s="34"/>
    </row>
    <row r="2235" spans="5:5" x14ac:dyDescent="0.2">
      <c r="E2235" s="34"/>
    </row>
    <row r="2236" spans="5:5" x14ac:dyDescent="0.2">
      <c r="E2236" s="34"/>
    </row>
    <row r="2237" spans="5:5" x14ac:dyDescent="0.2">
      <c r="E2237" s="34"/>
    </row>
    <row r="2238" spans="5:5" x14ac:dyDescent="0.2">
      <c r="E2238" s="34"/>
    </row>
    <row r="2239" spans="5:5" x14ac:dyDescent="0.2">
      <c r="E2239" s="34"/>
    </row>
    <row r="2240" spans="5:5" x14ac:dyDescent="0.2">
      <c r="E2240" s="34"/>
    </row>
    <row r="2241" spans="5:5" x14ac:dyDescent="0.2">
      <c r="E2241" s="34"/>
    </row>
    <row r="2242" spans="5:5" x14ac:dyDescent="0.2">
      <c r="E2242" s="34"/>
    </row>
    <row r="2243" spans="5:5" x14ac:dyDescent="0.2">
      <c r="E2243" s="34"/>
    </row>
    <row r="2244" spans="5:5" x14ac:dyDescent="0.2">
      <c r="E2244" s="34"/>
    </row>
    <row r="2245" spans="5:5" x14ac:dyDescent="0.2">
      <c r="E2245" s="34"/>
    </row>
    <row r="2246" spans="5:5" x14ac:dyDescent="0.2">
      <c r="E2246" s="34"/>
    </row>
    <row r="2247" spans="5:5" x14ac:dyDescent="0.2">
      <c r="E2247" s="34"/>
    </row>
    <row r="2248" spans="5:5" x14ac:dyDescent="0.2">
      <c r="E2248" s="34"/>
    </row>
    <row r="2249" spans="5:5" x14ac:dyDescent="0.2">
      <c r="E2249" s="34"/>
    </row>
    <row r="2250" spans="5:5" x14ac:dyDescent="0.2">
      <c r="E2250" s="34"/>
    </row>
    <row r="2251" spans="5:5" x14ac:dyDescent="0.2">
      <c r="E2251" s="34"/>
    </row>
    <row r="2252" spans="5:5" x14ac:dyDescent="0.2">
      <c r="E2252" s="34"/>
    </row>
    <row r="2253" spans="5:5" x14ac:dyDescent="0.2">
      <c r="E2253" s="34"/>
    </row>
    <row r="2254" spans="5:5" x14ac:dyDescent="0.2">
      <c r="E2254" s="34"/>
    </row>
    <row r="2255" spans="5:5" x14ac:dyDescent="0.2">
      <c r="E2255" s="34"/>
    </row>
    <row r="2256" spans="5:5" x14ac:dyDescent="0.2">
      <c r="E2256" s="34"/>
    </row>
    <row r="2257" spans="5:5" x14ac:dyDescent="0.2">
      <c r="E2257" s="34"/>
    </row>
    <row r="2258" spans="5:5" x14ac:dyDescent="0.2">
      <c r="E2258" s="34"/>
    </row>
    <row r="2259" spans="5:5" x14ac:dyDescent="0.2">
      <c r="E2259" s="34"/>
    </row>
    <row r="2260" spans="5:5" x14ac:dyDescent="0.2">
      <c r="E2260" s="34"/>
    </row>
    <row r="2261" spans="5:5" x14ac:dyDescent="0.2">
      <c r="E2261" s="34"/>
    </row>
    <row r="2262" spans="5:5" x14ac:dyDescent="0.2">
      <c r="E2262" s="34"/>
    </row>
    <row r="2263" spans="5:5" x14ac:dyDescent="0.2">
      <c r="E2263" s="34"/>
    </row>
    <row r="2264" spans="5:5" x14ac:dyDescent="0.2">
      <c r="E2264" s="34"/>
    </row>
    <row r="2265" spans="5:5" x14ac:dyDescent="0.2">
      <c r="E2265" s="34"/>
    </row>
    <row r="2266" spans="5:5" x14ac:dyDescent="0.2">
      <c r="E2266" s="34"/>
    </row>
    <row r="2267" spans="5:5" x14ac:dyDescent="0.2">
      <c r="E2267" s="34"/>
    </row>
    <row r="2268" spans="5:5" x14ac:dyDescent="0.2">
      <c r="E2268" s="34"/>
    </row>
    <row r="2269" spans="5:5" x14ac:dyDescent="0.2">
      <c r="E2269" s="34"/>
    </row>
    <row r="2270" spans="5:5" x14ac:dyDescent="0.2">
      <c r="E2270" s="34"/>
    </row>
    <row r="2271" spans="5:5" x14ac:dyDescent="0.2">
      <c r="E2271" s="34"/>
    </row>
    <row r="2272" spans="5:5" x14ac:dyDescent="0.2">
      <c r="E2272" s="34"/>
    </row>
    <row r="2273" spans="5:5" x14ac:dyDescent="0.2">
      <c r="E2273" s="34"/>
    </row>
    <row r="2274" spans="5:5" x14ac:dyDescent="0.2">
      <c r="E2274" s="34"/>
    </row>
    <row r="2275" spans="5:5" x14ac:dyDescent="0.2">
      <c r="E2275" s="34"/>
    </row>
    <row r="2276" spans="5:5" x14ac:dyDescent="0.2">
      <c r="E2276" s="34"/>
    </row>
    <row r="2277" spans="5:5" x14ac:dyDescent="0.2">
      <c r="E2277" s="34"/>
    </row>
    <row r="2278" spans="5:5" x14ac:dyDescent="0.2">
      <c r="E2278" s="34"/>
    </row>
    <row r="2279" spans="5:5" x14ac:dyDescent="0.2">
      <c r="E2279" s="34"/>
    </row>
    <row r="2280" spans="5:5" x14ac:dyDescent="0.2">
      <c r="E2280" s="34"/>
    </row>
    <row r="2281" spans="5:5" x14ac:dyDescent="0.2">
      <c r="E2281" s="34"/>
    </row>
    <row r="2282" spans="5:5" x14ac:dyDescent="0.2">
      <c r="E2282" s="34"/>
    </row>
    <row r="2283" spans="5:5" x14ac:dyDescent="0.2">
      <c r="E2283" s="34"/>
    </row>
    <row r="2284" spans="5:5" x14ac:dyDescent="0.2">
      <c r="E2284" s="34"/>
    </row>
    <row r="2285" spans="5:5" x14ac:dyDescent="0.2">
      <c r="E2285" s="34"/>
    </row>
    <row r="2286" spans="5:5" x14ac:dyDescent="0.2">
      <c r="E2286" s="34"/>
    </row>
    <row r="2287" spans="5:5" x14ac:dyDescent="0.2">
      <c r="E2287" s="34"/>
    </row>
    <row r="2288" spans="5:5" x14ac:dyDescent="0.2">
      <c r="E2288" s="34"/>
    </row>
    <row r="2289" spans="5:5" x14ac:dyDescent="0.2">
      <c r="E2289" s="34"/>
    </row>
    <row r="2290" spans="5:5" x14ac:dyDescent="0.2">
      <c r="E2290" s="34"/>
    </row>
    <row r="2291" spans="5:5" x14ac:dyDescent="0.2">
      <c r="E2291" s="34"/>
    </row>
    <row r="2292" spans="5:5" x14ac:dyDescent="0.2">
      <c r="E2292" s="34"/>
    </row>
    <row r="2293" spans="5:5" x14ac:dyDescent="0.2">
      <c r="E2293" s="34"/>
    </row>
    <row r="2294" spans="5:5" x14ac:dyDescent="0.2">
      <c r="E2294" s="34"/>
    </row>
    <row r="2295" spans="5:5" x14ac:dyDescent="0.2">
      <c r="E2295" s="34"/>
    </row>
    <row r="2296" spans="5:5" x14ac:dyDescent="0.2">
      <c r="E2296" s="34"/>
    </row>
    <row r="2297" spans="5:5" x14ac:dyDescent="0.2">
      <c r="E2297" s="34"/>
    </row>
    <row r="2298" spans="5:5" x14ac:dyDescent="0.2">
      <c r="E2298" s="34"/>
    </row>
    <row r="2299" spans="5:5" x14ac:dyDescent="0.2">
      <c r="E2299" s="34"/>
    </row>
    <row r="2300" spans="5:5" x14ac:dyDescent="0.2">
      <c r="E2300" s="34"/>
    </row>
    <row r="2301" spans="5:5" x14ac:dyDescent="0.2">
      <c r="E2301" s="34"/>
    </row>
    <row r="2302" spans="5:5" x14ac:dyDescent="0.2">
      <c r="E2302" s="34"/>
    </row>
    <row r="2303" spans="5:5" x14ac:dyDescent="0.2">
      <c r="E2303" s="34"/>
    </row>
    <row r="2304" spans="5:5" x14ac:dyDescent="0.2">
      <c r="E2304" s="34"/>
    </row>
    <row r="2305" spans="5:5" x14ac:dyDescent="0.2">
      <c r="E2305" s="34"/>
    </row>
    <row r="2306" spans="5:5" x14ac:dyDescent="0.2">
      <c r="E2306" s="34"/>
    </row>
    <row r="2307" spans="5:5" x14ac:dyDescent="0.2">
      <c r="E2307" s="34"/>
    </row>
    <row r="2308" spans="5:5" x14ac:dyDescent="0.2">
      <c r="E2308" s="34"/>
    </row>
    <row r="2309" spans="5:5" x14ac:dyDescent="0.2">
      <c r="E2309" s="34"/>
    </row>
    <row r="2310" spans="5:5" x14ac:dyDescent="0.2">
      <c r="E2310" s="34"/>
    </row>
    <row r="2311" spans="5:5" x14ac:dyDescent="0.2">
      <c r="E2311" s="34"/>
    </row>
    <row r="2312" spans="5:5" x14ac:dyDescent="0.2">
      <c r="E2312" s="34"/>
    </row>
    <row r="2313" spans="5:5" x14ac:dyDescent="0.2">
      <c r="E2313" s="34"/>
    </row>
    <row r="2314" spans="5:5" x14ac:dyDescent="0.2">
      <c r="E2314" s="34"/>
    </row>
    <row r="2315" spans="5:5" x14ac:dyDescent="0.2">
      <c r="E2315" s="34"/>
    </row>
    <row r="2316" spans="5:5" x14ac:dyDescent="0.2">
      <c r="E2316" s="34"/>
    </row>
    <row r="2317" spans="5:5" x14ac:dyDescent="0.2">
      <c r="E2317" s="34"/>
    </row>
    <row r="2318" spans="5:5" x14ac:dyDescent="0.2">
      <c r="E2318" s="34"/>
    </row>
    <row r="2319" spans="5:5" x14ac:dyDescent="0.2">
      <c r="E2319" s="34"/>
    </row>
    <row r="2320" spans="5:5" x14ac:dyDescent="0.2">
      <c r="E2320" s="34"/>
    </row>
    <row r="2321" spans="5:5" x14ac:dyDescent="0.2">
      <c r="E2321" s="34"/>
    </row>
    <row r="2322" spans="5:5" x14ac:dyDescent="0.2">
      <c r="E2322" s="34"/>
    </row>
    <row r="2323" spans="5:5" x14ac:dyDescent="0.2">
      <c r="E2323" s="34"/>
    </row>
    <row r="2324" spans="5:5" x14ac:dyDescent="0.2">
      <c r="E2324" s="34"/>
    </row>
    <row r="2325" spans="5:5" x14ac:dyDescent="0.2">
      <c r="E2325" s="34"/>
    </row>
    <row r="2326" spans="5:5" x14ac:dyDescent="0.2">
      <c r="E2326" s="34"/>
    </row>
    <row r="2327" spans="5:5" x14ac:dyDescent="0.2">
      <c r="E2327" s="34"/>
    </row>
    <row r="2328" spans="5:5" x14ac:dyDescent="0.2">
      <c r="E2328" s="34"/>
    </row>
    <row r="2329" spans="5:5" x14ac:dyDescent="0.2">
      <c r="E2329" s="34"/>
    </row>
    <row r="2330" spans="5:5" x14ac:dyDescent="0.2">
      <c r="E2330" s="34"/>
    </row>
    <row r="2331" spans="5:5" x14ac:dyDescent="0.2">
      <c r="E2331" s="34"/>
    </row>
    <row r="2332" spans="5:5" x14ac:dyDescent="0.2">
      <c r="E2332" s="34"/>
    </row>
    <row r="2333" spans="5:5" x14ac:dyDescent="0.2">
      <c r="E2333" s="34"/>
    </row>
    <row r="2334" spans="5:5" x14ac:dyDescent="0.2">
      <c r="E2334" s="34"/>
    </row>
    <row r="2335" spans="5:5" x14ac:dyDescent="0.2">
      <c r="E2335" s="34"/>
    </row>
    <row r="2336" spans="5:5" x14ac:dyDescent="0.2">
      <c r="E2336" s="34"/>
    </row>
    <row r="2337" spans="5:5" x14ac:dyDescent="0.2">
      <c r="E2337" s="34"/>
    </row>
    <row r="2338" spans="5:5" x14ac:dyDescent="0.2">
      <c r="E2338" s="34"/>
    </row>
    <row r="2339" spans="5:5" x14ac:dyDescent="0.2">
      <c r="E2339" s="34"/>
    </row>
    <row r="2340" spans="5:5" x14ac:dyDescent="0.2">
      <c r="E2340" s="34"/>
    </row>
    <row r="2341" spans="5:5" x14ac:dyDescent="0.2">
      <c r="E2341" s="34"/>
    </row>
    <row r="2342" spans="5:5" x14ac:dyDescent="0.2">
      <c r="E2342" s="34"/>
    </row>
    <row r="2343" spans="5:5" x14ac:dyDescent="0.2">
      <c r="E2343" s="34"/>
    </row>
    <row r="2344" spans="5:5" x14ac:dyDescent="0.2">
      <c r="E2344" s="34"/>
    </row>
    <row r="2345" spans="5:5" x14ac:dyDescent="0.2">
      <c r="E2345" s="34"/>
    </row>
    <row r="2346" spans="5:5" x14ac:dyDescent="0.2">
      <c r="E2346" s="34"/>
    </row>
    <row r="2347" spans="5:5" x14ac:dyDescent="0.2">
      <c r="E2347" s="34"/>
    </row>
    <row r="2348" spans="5:5" x14ac:dyDescent="0.2">
      <c r="E2348" s="34"/>
    </row>
    <row r="2349" spans="5:5" x14ac:dyDescent="0.2">
      <c r="E2349" s="34"/>
    </row>
    <row r="2350" spans="5:5" x14ac:dyDescent="0.2">
      <c r="E2350" s="34"/>
    </row>
    <row r="2351" spans="5:5" x14ac:dyDescent="0.2">
      <c r="E2351" s="34"/>
    </row>
    <row r="2352" spans="5:5" x14ac:dyDescent="0.2">
      <c r="E2352" s="34"/>
    </row>
    <row r="2353" spans="5:5" x14ac:dyDescent="0.2">
      <c r="E2353" s="34"/>
    </row>
    <row r="2354" spans="5:5" x14ac:dyDescent="0.2">
      <c r="E2354" s="34"/>
    </row>
    <row r="2355" spans="5:5" x14ac:dyDescent="0.2">
      <c r="E2355" s="34"/>
    </row>
    <row r="2356" spans="5:5" x14ac:dyDescent="0.2">
      <c r="E2356" s="34"/>
    </row>
    <row r="2357" spans="5:5" x14ac:dyDescent="0.2">
      <c r="E2357" s="34"/>
    </row>
    <row r="2358" spans="5:5" x14ac:dyDescent="0.2">
      <c r="E2358" s="34"/>
    </row>
    <row r="2359" spans="5:5" x14ac:dyDescent="0.2">
      <c r="E2359" s="34"/>
    </row>
    <row r="2360" spans="5:5" x14ac:dyDescent="0.2">
      <c r="E2360" s="34"/>
    </row>
    <row r="2361" spans="5:5" x14ac:dyDescent="0.2">
      <c r="E2361" s="34"/>
    </row>
    <row r="2362" spans="5:5" x14ac:dyDescent="0.2">
      <c r="E2362" s="34"/>
    </row>
    <row r="2363" spans="5:5" x14ac:dyDescent="0.2">
      <c r="E2363" s="34"/>
    </row>
    <row r="2364" spans="5:5" x14ac:dyDescent="0.2">
      <c r="E2364" s="34"/>
    </row>
    <row r="2365" spans="5:5" x14ac:dyDescent="0.2">
      <c r="E2365" s="34"/>
    </row>
    <row r="2366" spans="5:5" x14ac:dyDescent="0.2">
      <c r="E2366" s="34"/>
    </row>
    <row r="2367" spans="5:5" x14ac:dyDescent="0.2">
      <c r="E2367" s="34"/>
    </row>
    <row r="2368" spans="5:5" x14ac:dyDescent="0.2">
      <c r="E2368" s="34"/>
    </row>
    <row r="2369" spans="5:5" x14ac:dyDescent="0.2">
      <c r="E2369" s="34"/>
    </row>
    <row r="2370" spans="5:5" x14ac:dyDescent="0.2">
      <c r="E2370" s="34"/>
    </row>
    <row r="2371" spans="5:5" x14ac:dyDescent="0.2">
      <c r="E2371" s="34"/>
    </row>
    <row r="2372" spans="5:5" x14ac:dyDescent="0.2">
      <c r="E2372" s="34"/>
    </row>
    <row r="2373" spans="5:5" x14ac:dyDescent="0.2">
      <c r="E2373" s="34"/>
    </row>
    <row r="2374" spans="5:5" x14ac:dyDescent="0.2">
      <c r="E2374" s="34"/>
    </row>
    <row r="2375" spans="5:5" x14ac:dyDescent="0.2">
      <c r="E2375" s="34"/>
    </row>
    <row r="2376" spans="5:5" x14ac:dyDescent="0.2">
      <c r="E2376" s="34"/>
    </row>
    <row r="2377" spans="5:5" x14ac:dyDescent="0.2">
      <c r="E2377" s="34"/>
    </row>
    <row r="2378" spans="5:5" x14ac:dyDescent="0.2">
      <c r="E2378" s="34"/>
    </row>
    <row r="2379" spans="5:5" x14ac:dyDescent="0.2">
      <c r="E2379" s="34"/>
    </row>
    <row r="2380" spans="5:5" x14ac:dyDescent="0.2">
      <c r="E2380" s="34"/>
    </row>
    <row r="2381" spans="5:5" x14ac:dyDescent="0.2">
      <c r="E2381" s="34"/>
    </row>
    <row r="2382" spans="5:5" x14ac:dyDescent="0.2">
      <c r="E2382" s="34"/>
    </row>
    <row r="2383" spans="5:5" x14ac:dyDescent="0.2">
      <c r="E2383" s="34"/>
    </row>
    <row r="2384" spans="5:5" x14ac:dyDescent="0.2">
      <c r="E2384" s="34"/>
    </row>
    <row r="2385" spans="5:5" x14ac:dyDescent="0.2">
      <c r="E2385" s="34"/>
    </row>
    <row r="2386" spans="5:5" x14ac:dyDescent="0.2">
      <c r="E2386" s="34"/>
    </row>
    <row r="2387" spans="5:5" x14ac:dyDescent="0.2">
      <c r="E2387" s="34"/>
    </row>
    <row r="2388" spans="5:5" x14ac:dyDescent="0.2">
      <c r="E2388" s="34"/>
    </row>
    <row r="2389" spans="5:5" x14ac:dyDescent="0.2">
      <c r="E2389" s="34"/>
    </row>
    <row r="2390" spans="5:5" x14ac:dyDescent="0.2">
      <c r="E2390" s="34"/>
    </row>
    <row r="2391" spans="5:5" x14ac:dyDescent="0.2">
      <c r="E2391" s="34"/>
    </row>
    <row r="2392" spans="5:5" x14ac:dyDescent="0.2">
      <c r="E2392" s="34"/>
    </row>
    <row r="2393" spans="5:5" x14ac:dyDescent="0.2">
      <c r="E2393" s="34"/>
    </row>
    <row r="2394" spans="5:5" x14ac:dyDescent="0.2">
      <c r="E2394" s="34"/>
    </row>
    <row r="2395" spans="5:5" x14ac:dyDescent="0.2">
      <c r="E2395" s="34"/>
    </row>
    <row r="2396" spans="5:5" x14ac:dyDescent="0.2">
      <c r="E2396" s="34"/>
    </row>
    <row r="2397" spans="5:5" x14ac:dyDescent="0.2">
      <c r="E2397" s="34"/>
    </row>
    <row r="2398" spans="5:5" x14ac:dyDescent="0.2">
      <c r="E2398" s="34"/>
    </row>
    <row r="2399" spans="5:5" x14ac:dyDescent="0.2">
      <c r="E2399" s="34"/>
    </row>
    <row r="2400" spans="5:5" x14ac:dyDescent="0.2">
      <c r="E2400" s="34"/>
    </row>
    <row r="2401" spans="5:5" x14ac:dyDescent="0.2">
      <c r="E2401" s="34"/>
    </row>
    <row r="2402" spans="5:5" x14ac:dyDescent="0.2">
      <c r="E2402" s="34"/>
    </row>
    <row r="2403" spans="5:5" x14ac:dyDescent="0.2">
      <c r="E2403" s="34"/>
    </row>
    <row r="2404" spans="5:5" x14ac:dyDescent="0.2">
      <c r="E2404" s="34"/>
    </row>
    <row r="2405" spans="5:5" x14ac:dyDescent="0.2">
      <c r="E2405" s="34"/>
    </row>
    <row r="2406" spans="5:5" x14ac:dyDescent="0.2">
      <c r="E2406" s="34"/>
    </row>
    <row r="2407" spans="5:5" x14ac:dyDescent="0.2">
      <c r="E2407" s="34"/>
    </row>
    <row r="2408" spans="5:5" x14ac:dyDescent="0.2">
      <c r="E2408" s="34"/>
    </row>
    <row r="2409" spans="5:5" x14ac:dyDescent="0.2">
      <c r="E2409" s="34"/>
    </row>
    <row r="2410" spans="5:5" x14ac:dyDescent="0.2">
      <c r="E2410" s="34"/>
    </row>
    <row r="2411" spans="5:5" x14ac:dyDescent="0.2">
      <c r="E2411" s="34"/>
    </row>
    <row r="2412" spans="5:5" x14ac:dyDescent="0.2">
      <c r="E2412" s="34"/>
    </row>
    <row r="2413" spans="5:5" x14ac:dyDescent="0.2">
      <c r="E2413" s="34"/>
    </row>
    <row r="2414" spans="5:5" x14ac:dyDescent="0.2">
      <c r="E2414" s="34"/>
    </row>
    <row r="2415" spans="5:5" x14ac:dyDescent="0.2">
      <c r="E2415" s="34"/>
    </row>
    <row r="2416" spans="5:5" x14ac:dyDescent="0.2">
      <c r="E2416" s="34"/>
    </row>
    <row r="2417" spans="5:5" x14ac:dyDescent="0.2">
      <c r="E2417" s="34"/>
    </row>
    <row r="2418" spans="5:5" x14ac:dyDescent="0.2">
      <c r="E2418" s="34"/>
    </row>
    <row r="2419" spans="5:5" x14ac:dyDescent="0.2">
      <c r="E2419" s="34"/>
    </row>
    <row r="2420" spans="5:5" x14ac:dyDescent="0.2">
      <c r="E2420" s="34"/>
    </row>
    <row r="2421" spans="5:5" x14ac:dyDescent="0.2">
      <c r="E2421" s="34"/>
    </row>
    <row r="2422" spans="5:5" x14ac:dyDescent="0.2">
      <c r="E2422" s="34"/>
    </row>
    <row r="2423" spans="5:5" x14ac:dyDescent="0.2">
      <c r="E2423" s="34"/>
    </row>
    <row r="2424" spans="5:5" x14ac:dyDescent="0.2">
      <c r="E2424" s="34"/>
    </row>
    <row r="2425" spans="5:5" x14ac:dyDescent="0.2">
      <c r="E2425" s="34"/>
    </row>
    <row r="2426" spans="5:5" x14ac:dyDescent="0.2">
      <c r="E2426" s="34"/>
    </row>
    <row r="2427" spans="5:5" x14ac:dyDescent="0.2">
      <c r="E2427" s="34"/>
    </row>
    <row r="2428" spans="5:5" x14ac:dyDescent="0.2">
      <c r="E2428" s="34"/>
    </row>
    <row r="2429" spans="5:5" x14ac:dyDescent="0.2">
      <c r="E2429" s="34"/>
    </row>
    <row r="2430" spans="5:5" x14ac:dyDescent="0.2">
      <c r="E2430" s="34"/>
    </row>
    <row r="2431" spans="5:5" x14ac:dyDescent="0.2">
      <c r="E2431" s="34"/>
    </row>
    <row r="2432" spans="5:5" x14ac:dyDescent="0.2">
      <c r="E2432" s="34"/>
    </row>
    <row r="2433" spans="5:5" x14ac:dyDescent="0.2">
      <c r="E2433" s="34"/>
    </row>
    <row r="2434" spans="5:5" x14ac:dyDescent="0.2">
      <c r="E2434" s="34"/>
    </row>
    <row r="2435" spans="5:5" x14ac:dyDescent="0.2">
      <c r="E2435" s="34"/>
    </row>
    <row r="2436" spans="5:5" x14ac:dyDescent="0.2">
      <c r="E2436" s="34"/>
    </row>
    <row r="2437" spans="5:5" x14ac:dyDescent="0.2">
      <c r="E2437" s="34"/>
    </row>
    <row r="2438" spans="5:5" x14ac:dyDescent="0.2">
      <c r="E2438" s="34"/>
    </row>
    <row r="2439" spans="5:5" x14ac:dyDescent="0.2">
      <c r="E2439" s="34"/>
    </row>
    <row r="2440" spans="5:5" x14ac:dyDescent="0.2">
      <c r="E2440" s="34"/>
    </row>
    <row r="2441" spans="5:5" x14ac:dyDescent="0.2">
      <c r="E2441" s="34"/>
    </row>
    <row r="2442" spans="5:5" x14ac:dyDescent="0.2">
      <c r="E2442" s="34"/>
    </row>
    <row r="2443" spans="5:5" x14ac:dyDescent="0.2">
      <c r="E2443" s="34"/>
    </row>
    <row r="2444" spans="5:5" x14ac:dyDescent="0.2">
      <c r="E2444" s="34"/>
    </row>
    <row r="2445" spans="5:5" x14ac:dyDescent="0.2">
      <c r="E2445" s="34"/>
    </row>
    <row r="2446" spans="5:5" x14ac:dyDescent="0.2">
      <c r="E2446" s="34"/>
    </row>
    <row r="2447" spans="5:5" x14ac:dyDescent="0.2">
      <c r="E2447" s="34"/>
    </row>
    <row r="2448" spans="5:5" x14ac:dyDescent="0.2">
      <c r="E2448" s="34"/>
    </row>
    <row r="2449" spans="5:5" x14ac:dyDescent="0.2">
      <c r="E2449" s="34"/>
    </row>
    <row r="2450" spans="5:5" x14ac:dyDescent="0.2">
      <c r="E2450" s="34"/>
    </row>
    <row r="2451" spans="5:5" x14ac:dyDescent="0.2">
      <c r="E2451" s="34"/>
    </row>
    <row r="2452" spans="5:5" x14ac:dyDescent="0.2">
      <c r="E2452" s="34"/>
    </row>
    <row r="2453" spans="5:5" x14ac:dyDescent="0.2">
      <c r="E2453" s="34"/>
    </row>
    <row r="2454" spans="5:5" x14ac:dyDescent="0.2">
      <c r="E2454" s="34"/>
    </row>
    <row r="2455" spans="5:5" x14ac:dyDescent="0.2">
      <c r="E2455" s="34"/>
    </row>
    <row r="2456" spans="5:5" x14ac:dyDescent="0.2">
      <c r="E2456" s="34"/>
    </row>
    <row r="2457" spans="5:5" x14ac:dyDescent="0.2">
      <c r="E2457" s="34"/>
    </row>
    <row r="2458" spans="5:5" x14ac:dyDescent="0.2">
      <c r="E2458" s="34"/>
    </row>
    <row r="2459" spans="5:5" x14ac:dyDescent="0.2">
      <c r="E2459" s="34"/>
    </row>
    <row r="2460" spans="5:5" x14ac:dyDescent="0.2">
      <c r="E2460" s="34"/>
    </row>
    <row r="2461" spans="5:5" x14ac:dyDescent="0.2">
      <c r="E2461" s="34"/>
    </row>
    <row r="2462" spans="5:5" x14ac:dyDescent="0.2">
      <c r="E2462" s="34"/>
    </row>
    <row r="2463" spans="5:5" x14ac:dyDescent="0.2">
      <c r="E2463" s="34"/>
    </row>
    <row r="2464" spans="5:5" x14ac:dyDescent="0.2">
      <c r="E2464" s="34"/>
    </row>
    <row r="2465" spans="5:5" x14ac:dyDescent="0.2">
      <c r="E2465" s="34"/>
    </row>
    <row r="2466" spans="5:5" x14ac:dyDescent="0.2">
      <c r="E2466" s="34"/>
    </row>
    <row r="2467" spans="5:5" x14ac:dyDescent="0.2">
      <c r="E2467" s="34"/>
    </row>
    <row r="2468" spans="5:5" x14ac:dyDescent="0.2">
      <c r="E2468" s="34"/>
    </row>
    <row r="2469" spans="5:5" x14ac:dyDescent="0.2">
      <c r="E2469" s="34"/>
    </row>
    <row r="2470" spans="5:5" x14ac:dyDescent="0.2">
      <c r="E2470" s="34"/>
    </row>
    <row r="2471" spans="5:5" x14ac:dyDescent="0.2">
      <c r="E2471" s="34"/>
    </row>
    <row r="2472" spans="5:5" x14ac:dyDescent="0.2">
      <c r="E2472" s="34"/>
    </row>
    <row r="2473" spans="5:5" x14ac:dyDescent="0.2">
      <c r="E2473" s="34"/>
    </row>
    <row r="2474" spans="5:5" x14ac:dyDescent="0.2">
      <c r="E2474" s="34"/>
    </row>
    <row r="2475" spans="5:5" x14ac:dyDescent="0.2">
      <c r="E2475" s="34"/>
    </row>
    <row r="2476" spans="5:5" x14ac:dyDescent="0.2">
      <c r="E2476" s="34"/>
    </row>
    <row r="2477" spans="5:5" x14ac:dyDescent="0.2">
      <c r="E2477" s="34"/>
    </row>
    <row r="2478" spans="5:5" x14ac:dyDescent="0.2">
      <c r="E2478" s="34"/>
    </row>
    <row r="2479" spans="5:5" x14ac:dyDescent="0.2">
      <c r="E2479" s="34"/>
    </row>
    <row r="2480" spans="5:5" x14ac:dyDescent="0.2">
      <c r="E2480" s="34"/>
    </row>
    <row r="2481" spans="5:5" x14ac:dyDescent="0.2">
      <c r="E2481" s="34"/>
    </row>
    <row r="2482" spans="5:5" x14ac:dyDescent="0.2">
      <c r="E2482" s="34"/>
    </row>
    <row r="2483" spans="5:5" x14ac:dyDescent="0.2">
      <c r="E2483" s="34"/>
    </row>
    <row r="2484" spans="5:5" x14ac:dyDescent="0.2">
      <c r="E2484" s="34"/>
    </row>
    <row r="2485" spans="5:5" x14ac:dyDescent="0.2">
      <c r="E2485" s="34"/>
    </row>
    <row r="2486" spans="5:5" x14ac:dyDescent="0.2">
      <c r="E2486" s="34"/>
    </row>
    <row r="2487" spans="5:5" x14ac:dyDescent="0.2">
      <c r="E2487" s="34"/>
    </row>
    <row r="2488" spans="5:5" x14ac:dyDescent="0.2">
      <c r="E2488" s="34"/>
    </row>
    <row r="2489" spans="5:5" x14ac:dyDescent="0.2">
      <c r="E2489" s="34"/>
    </row>
    <row r="2490" spans="5:5" x14ac:dyDescent="0.2">
      <c r="E2490" s="34"/>
    </row>
    <row r="2491" spans="5:5" x14ac:dyDescent="0.2">
      <c r="E2491" s="34"/>
    </row>
    <row r="2492" spans="5:5" x14ac:dyDescent="0.2">
      <c r="E2492" s="34"/>
    </row>
    <row r="2493" spans="5:5" x14ac:dyDescent="0.2">
      <c r="E2493" s="34"/>
    </row>
    <row r="2494" spans="5:5" x14ac:dyDescent="0.2">
      <c r="E2494" s="34"/>
    </row>
    <row r="2495" spans="5:5" x14ac:dyDescent="0.2">
      <c r="E2495" s="34"/>
    </row>
    <row r="2496" spans="5:5" x14ac:dyDescent="0.2">
      <c r="E2496" s="34"/>
    </row>
    <row r="2497" spans="5:5" x14ac:dyDescent="0.2">
      <c r="E2497" s="34"/>
    </row>
    <row r="2498" spans="5:5" x14ac:dyDescent="0.2">
      <c r="E2498" s="34"/>
    </row>
    <row r="2499" spans="5:5" x14ac:dyDescent="0.2">
      <c r="E2499" s="34"/>
    </row>
    <row r="2500" spans="5:5" x14ac:dyDescent="0.2">
      <c r="E2500" s="34"/>
    </row>
    <row r="2501" spans="5:5" x14ac:dyDescent="0.2">
      <c r="E2501" s="34"/>
    </row>
    <row r="2502" spans="5:5" x14ac:dyDescent="0.2">
      <c r="E2502" s="34"/>
    </row>
    <row r="2503" spans="5:5" x14ac:dyDescent="0.2">
      <c r="E2503" s="34"/>
    </row>
    <row r="2504" spans="5:5" x14ac:dyDescent="0.2">
      <c r="E2504" s="34"/>
    </row>
    <row r="2505" spans="5:5" x14ac:dyDescent="0.2">
      <c r="E2505" s="34"/>
    </row>
    <row r="2506" spans="5:5" x14ac:dyDescent="0.2">
      <c r="E2506" s="34"/>
    </row>
    <row r="2507" spans="5:5" x14ac:dyDescent="0.2">
      <c r="E2507" s="34"/>
    </row>
    <row r="2508" spans="5:5" x14ac:dyDescent="0.2">
      <c r="E2508" s="34"/>
    </row>
    <row r="2509" spans="5:5" x14ac:dyDescent="0.2">
      <c r="E2509" s="34"/>
    </row>
    <row r="2510" spans="5:5" x14ac:dyDescent="0.2">
      <c r="E2510" s="34"/>
    </row>
    <row r="2511" spans="5:5" x14ac:dyDescent="0.2">
      <c r="E2511" s="34"/>
    </row>
    <row r="2512" spans="5:5" x14ac:dyDescent="0.2">
      <c r="E2512" s="34"/>
    </row>
    <row r="2513" spans="5:5" x14ac:dyDescent="0.2">
      <c r="E2513" s="34"/>
    </row>
    <row r="2514" spans="5:5" x14ac:dyDescent="0.2">
      <c r="E2514" s="34"/>
    </row>
    <row r="2515" spans="5:5" x14ac:dyDescent="0.2">
      <c r="E2515" s="34"/>
    </row>
    <row r="2516" spans="5:5" x14ac:dyDescent="0.2">
      <c r="E2516" s="34"/>
    </row>
    <row r="2517" spans="5:5" x14ac:dyDescent="0.2">
      <c r="E2517" s="34"/>
    </row>
    <row r="2518" spans="5:5" x14ac:dyDescent="0.2">
      <c r="E2518" s="34"/>
    </row>
    <row r="2519" spans="5:5" x14ac:dyDescent="0.2">
      <c r="E2519" s="34"/>
    </row>
    <row r="2520" spans="5:5" x14ac:dyDescent="0.2">
      <c r="E2520" s="34"/>
    </row>
    <row r="2521" spans="5:5" x14ac:dyDescent="0.2">
      <c r="E2521" s="34"/>
    </row>
    <row r="2522" spans="5:5" x14ac:dyDescent="0.2">
      <c r="E2522" s="34"/>
    </row>
    <row r="2523" spans="5:5" x14ac:dyDescent="0.2">
      <c r="E2523" s="34"/>
    </row>
    <row r="2524" spans="5:5" x14ac:dyDescent="0.2">
      <c r="E2524" s="34"/>
    </row>
    <row r="2525" spans="5:5" x14ac:dyDescent="0.2">
      <c r="E2525" s="34"/>
    </row>
    <row r="2526" spans="5:5" x14ac:dyDescent="0.2">
      <c r="E2526" s="34"/>
    </row>
    <row r="2527" spans="5:5" x14ac:dyDescent="0.2">
      <c r="E2527" s="34"/>
    </row>
    <row r="2528" spans="5:5" x14ac:dyDescent="0.2">
      <c r="E2528" s="34"/>
    </row>
    <row r="2529" spans="5:5" x14ac:dyDescent="0.2">
      <c r="E2529" s="34"/>
    </row>
    <row r="2530" spans="5:5" x14ac:dyDescent="0.2">
      <c r="E2530" s="34"/>
    </row>
    <row r="2531" spans="5:5" x14ac:dyDescent="0.2">
      <c r="E2531" s="34"/>
    </row>
    <row r="2532" spans="5:5" x14ac:dyDescent="0.2">
      <c r="E2532" s="34"/>
    </row>
    <row r="2533" spans="5:5" x14ac:dyDescent="0.2">
      <c r="E2533" s="34"/>
    </row>
    <row r="2534" spans="5:5" x14ac:dyDescent="0.2">
      <c r="E2534" s="34"/>
    </row>
    <row r="2535" spans="5:5" x14ac:dyDescent="0.2">
      <c r="E2535" s="34"/>
    </row>
    <row r="2536" spans="5:5" x14ac:dyDescent="0.2">
      <c r="E2536" s="34"/>
    </row>
    <row r="2537" spans="5:5" x14ac:dyDescent="0.2">
      <c r="E2537" s="34"/>
    </row>
    <row r="2538" spans="5:5" x14ac:dyDescent="0.2">
      <c r="E2538" s="34"/>
    </row>
    <row r="2539" spans="5:5" x14ac:dyDescent="0.2">
      <c r="E2539" s="34"/>
    </row>
    <row r="2540" spans="5:5" x14ac:dyDescent="0.2">
      <c r="E2540" s="34"/>
    </row>
    <row r="2541" spans="5:5" x14ac:dyDescent="0.2">
      <c r="E2541" s="34"/>
    </row>
    <row r="2542" spans="5:5" x14ac:dyDescent="0.2">
      <c r="E2542" s="34"/>
    </row>
    <row r="2543" spans="5:5" x14ac:dyDescent="0.2">
      <c r="E2543" s="34"/>
    </row>
    <row r="2544" spans="5:5" x14ac:dyDescent="0.2">
      <c r="E2544" s="34"/>
    </row>
    <row r="2545" spans="5:5" x14ac:dyDescent="0.2">
      <c r="E2545" s="34"/>
    </row>
    <row r="2546" spans="5:5" x14ac:dyDescent="0.2">
      <c r="E2546" s="34"/>
    </row>
    <row r="2547" spans="5:5" x14ac:dyDescent="0.2">
      <c r="E2547" s="34"/>
    </row>
    <row r="2548" spans="5:5" x14ac:dyDescent="0.2">
      <c r="E2548" s="34"/>
    </row>
    <row r="2549" spans="5:5" x14ac:dyDescent="0.2">
      <c r="E2549" s="34"/>
    </row>
    <row r="2550" spans="5:5" x14ac:dyDescent="0.2">
      <c r="E2550" s="34"/>
    </row>
    <row r="2551" spans="5:5" x14ac:dyDescent="0.2">
      <c r="E2551" s="34"/>
    </row>
    <row r="2552" spans="5:5" x14ac:dyDescent="0.2">
      <c r="E2552" s="34"/>
    </row>
    <row r="2553" spans="5:5" x14ac:dyDescent="0.2">
      <c r="E2553" s="34"/>
    </row>
    <row r="2554" spans="5:5" x14ac:dyDescent="0.2">
      <c r="E2554" s="34"/>
    </row>
    <row r="2555" spans="5:5" x14ac:dyDescent="0.2">
      <c r="E2555" s="34"/>
    </row>
    <row r="2556" spans="5:5" x14ac:dyDescent="0.2">
      <c r="E2556" s="34"/>
    </row>
    <row r="2557" spans="5:5" x14ac:dyDescent="0.2">
      <c r="E2557" s="34"/>
    </row>
    <row r="2558" spans="5:5" x14ac:dyDescent="0.2">
      <c r="E2558" s="34"/>
    </row>
    <row r="2559" spans="5:5" x14ac:dyDescent="0.2">
      <c r="E2559" s="34"/>
    </row>
    <row r="2560" spans="5:5" x14ac:dyDescent="0.2">
      <c r="E2560" s="34"/>
    </row>
    <row r="2561" spans="5:5" x14ac:dyDescent="0.2">
      <c r="E2561" s="34"/>
    </row>
    <row r="2562" spans="5:5" x14ac:dyDescent="0.2">
      <c r="E2562" s="34"/>
    </row>
    <row r="2563" spans="5:5" x14ac:dyDescent="0.2">
      <c r="E2563" s="34"/>
    </row>
    <row r="2564" spans="5:5" x14ac:dyDescent="0.2">
      <c r="E2564" s="34"/>
    </row>
    <row r="2565" spans="5:5" x14ac:dyDescent="0.2">
      <c r="E2565" s="34"/>
    </row>
    <row r="2566" spans="5:5" x14ac:dyDescent="0.2">
      <c r="E2566" s="34"/>
    </row>
    <row r="2567" spans="5:5" x14ac:dyDescent="0.2">
      <c r="E2567" s="34"/>
    </row>
    <row r="2568" spans="5:5" x14ac:dyDescent="0.2">
      <c r="E2568" s="34"/>
    </row>
    <row r="2569" spans="5:5" x14ac:dyDescent="0.2">
      <c r="E2569" s="34"/>
    </row>
    <row r="2570" spans="5:5" x14ac:dyDescent="0.2">
      <c r="E2570" s="34"/>
    </row>
    <row r="2571" spans="5:5" x14ac:dyDescent="0.2">
      <c r="E2571" s="34"/>
    </row>
    <row r="2572" spans="5:5" x14ac:dyDescent="0.2">
      <c r="E2572" s="34"/>
    </row>
    <row r="2573" spans="5:5" x14ac:dyDescent="0.2">
      <c r="E2573" s="34"/>
    </row>
    <row r="2574" spans="5:5" x14ac:dyDescent="0.2">
      <c r="E2574" s="34"/>
    </row>
    <row r="2575" spans="5:5" x14ac:dyDescent="0.2">
      <c r="E2575" s="34"/>
    </row>
    <row r="2576" spans="5:5" x14ac:dyDescent="0.2">
      <c r="E2576" s="34"/>
    </row>
    <row r="2577" spans="5:5" x14ac:dyDescent="0.2">
      <c r="E2577" s="34"/>
    </row>
    <row r="2578" spans="5:5" x14ac:dyDescent="0.2">
      <c r="E2578" s="34"/>
    </row>
    <row r="2579" spans="5:5" x14ac:dyDescent="0.2">
      <c r="E2579" s="34"/>
    </row>
    <row r="2580" spans="5:5" x14ac:dyDescent="0.2">
      <c r="E2580" s="34"/>
    </row>
    <row r="2581" spans="5:5" x14ac:dyDescent="0.2">
      <c r="E2581" s="34"/>
    </row>
    <row r="2582" spans="5:5" x14ac:dyDescent="0.2">
      <c r="E2582" s="34"/>
    </row>
    <row r="2583" spans="5:5" x14ac:dyDescent="0.2">
      <c r="E2583" s="34"/>
    </row>
    <row r="2584" spans="5:5" x14ac:dyDescent="0.2">
      <c r="E2584" s="34"/>
    </row>
    <row r="2585" spans="5:5" x14ac:dyDescent="0.2">
      <c r="E2585" s="34"/>
    </row>
    <row r="2586" spans="5:5" x14ac:dyDescent="0.2">
      <c r="E2586" s="34"/>
    </row>
    <row r="2587" spans="5:5" x14ac:dyDescent="0.2">
      <c r="E2587" s="34"/>
    </row>
    <row r="2588" spans="5:5" x14ac:dyDescent="0.2">
      <c r="E2588" s="34"/>
    </row>
    <row r="2589" spans="5:5" x14ac:dyDescent="0.2">
      <c r="E2589" s="34"/>
    </row>
    <row r="2590" spans="5:5" x14ac:dyDescent="0.2">
      <c r="E2590" s="34"/>
    </row>
    <row r="2591" spans="5:5" x14ac:dyDescent="0.2">
      <c r="E2591" s="34"/>
    </row>
    <row r="2592" spans="5:5" x14ac:dyDescent="0.2">
      <c r="E2592" s="34"/>
    </row>
    <row r="2593" spans="5:5" x14ac:dyDescent="0.2">
      <c r="E2593" s="34"/>
    </row>
    <row r="2594" spans="5:5" x14ac:dyDescent="0.2">
      <c r="E2594" s="34"/>
    </row>
    <row r="2595" spans="5:5" x14ac:dyDescent="0.2">
      <c r="E2595" s="34"/>
    </row>
    <row r="2596" spans="5:5" x14ac:dyDescent="0.2">
      <c r="E2596" s="34"/>
    </row>
    <row r="2597" spans="5:5" x14ac:dyDescent="0.2">
      <c r="E2597" s="34"/>
    </row>
    <row r="2598" spans="5:5" x14ac:dyDescent="0.2">
      <c r="E2598" s="34"/>
    </row>
    <row r="2599" spans="5:5" x14ac:dyDescent="0.2">
      <c r="E2599" s="34"/>
    </row>
    <row r="2600" spans="5:5" x14ac:dyDescent="0.2">
      <c r="E2600" s="34"/>
    </row>
    <row r="2601" spans="5:5" x14ac:dyDescent="0.2">
      <c r="E2601" s="34"/>
    </row>
    <row r="2602" spans="5:5" x14ac:dyDescent="0.2">
      <c r="E2602" s="34"/>
    </row>
    <row r="2603" spans="5:5" x14ac:dyDescent="0.2">
      <c r="E2603" s="34"/>
    </row>
    <row r="2604" spans="5:5" x14ac:dyDescent="0.2">
      <c r="E2604" s="34"/>
    </row>
    <row r="2605" spans="5:5" x14ac:dyDescent="0.2">
      <c r="E2605" s="34"/>
    </row>
    <row r="2606" spans="5:5" x14ac:dyDescent="0.2">
      <c r="E2606" s="34"/>
    </row>
    <row r="2607" spans="5:5" x14ac:dyDescent="0.2">
      <c r="E2607" s="34"/>
    </row>
    <row r="2608" spans="5:5" x14ac:dyDescent="0.2">
      <c r="E2608" s="34"/>
    </row>
    <row r="2609" spans="5:5" x14ac:dyDescent="0.2">
      <c r="E2609" s="34"/>
    </row>
    <row r="2610" spans="5:5" x14ac:dyDescent="0.2">
      <c r="E2610" s="34"/>
    </row>
    <row r="2611" spans="5:5" x14ac:dyDescent="0.2">
      <c r="E2611" s="34"/>
    </row>
    <row r="2612" spans="5:5" x14ac:dyDescent="0.2">
      <c r="E2612" s="34"/>
    </row>
    <row r="2613" spans="5:5" x14ac:dyDescent="0.2">
      <c r="E2613" s="34"/>
    </row>
    <row r="2614" spans="5:5" x14ac:dyDescent="0.2">
      <c r="E2614" s="34"/>
    </row>
    <row r="2615" spans="5:5" x14ac:dyDescent="0.2">
      <c r="E2615" s="34"/>
    </row>
    <row r="2616" spans="5:5" x14ac:dyDescent="0.2">
      <c r="E2616" s="34"/>
    </row>
    <row r="2617" spans="5:5" x14ac:dyDescent="0.2">
      <c r="E2617" s="34"/>
    </row>
    <row r="2618" spans="5:5" x14ac:dyDescent="0.2">
      <c r="E2618" s="34"/>
    </row>
    <row r="2619" spans="5:5" x14ac:dyDescent="0.2">
      <c r="E2619" s="34"/>
    </row>
    <row r="2620" spans="5:5" x14ac:dyDescent="0.2">
      <c r="E2620" s="34"/>
    </row>
    <row r="2621" spans="5:5" x14ac:dyDescent="0.2">
      <c r="E2621" s="34"/>
    </row>
    <row r="2622" spans="5:5" x14ac:dyDescent="0.2">
      <c r="E2622" s="34"/>
    </row>
    <row r="2623" spans="5:5" x14ac:dyDescent="0.2">
      <c r="E2623" s="34"/>
    </row>
    <row r="2624" spans="5:5" x14ac:dyDescent="0.2">
      <c r="E2624" s="34"/>
    </row>
    <row r="2625" spans="5:5" x14ac:dyDescent="0.2">
      <c r="E2625" s="34"/>
    </row>
    <row r="2626" spans="5:5" x14ac:dyDescent="0.2">
      <c r="E2626" s="34"/>
    </row>
    <row r="2627" spans="5:5" x14ac:dyDescent="0.2">
      <c r="E2627" s="34"/>
    </row>
    <row r="2628" spans="5:5" x14ac:dyDescent="0.2">
      <c r="E2628" s="34"/>
    </row>
    <row r="2629" spans="5:5" x14ac:dyDescent="0.2">
      <c r="E2629" s="34"/>
    </row>
    <row r="2630" spans="5:5" x14ac:dyDescent="0.2">
      <c r="E2630" s="34"/>
    </row>
    <row r="2631" spans="5:5" x14ac:dyDescent="0.2">
      <c r="E2631" s="34"/>
    </row>
    <row r="2632" spans="5:5" x14ac:dyDescent="0.2">
      <c r="E2632" s="34"/>
    </row>
    <row r="2633" spans="5:5" x14ac:dyDescent="0.2">
      <c r="E2633" s="34"/>
    </row>
    <row r="2634" spans="5:5" x14ac:dyDescent="0.2">
      <c r="E2634" s="34"/>
    </row>
    <row r="2635" spans="5:5" x14ac:dyDescent="0.2">
      <c r="E2635" s="34"/>
    </row>
    <row r="2636" spans="5:5" x14ac:dyDescent="0.2">
      <c r="E2636" s="34"/>
    </row>
    <row r="2637" spans="5:5" x14ac:dyDescent="0.2">
      <c r="E2637" s="34"/>
    </row>
    <row r="2638" spans="5:5" x14ac:dyDescent="0.2">
      <c r="E2638" s="34"/>
    </row>
    <row r="2639" spans="5:5" x14ac:dyDescent="0.2">
      <c r="E2639" s="34"/>
    </row>
    <row r="2640" spans="5:5" x14ac:dyDescent="0.2">
      <c r="E2640" s="34"/>
    </row>
    <row r="2641" spans="5:5" x14ac:dyDescent="0.2">
      <c r="E2641" s="34"/>
    </row>
    <row r="2642" spans="5:5" x14ac:dyDescent="0.2">
      <c r="E2642" s="34"/>
    </row>
    <row r="2643" spans="5:5" x14ac:dyDescent="0.2">
      <c r="E2643" s="34"/>
    </row>
    <row r="2644" spans="5:5" x14ac:dyDescent="0.2">
      <c r="E2644" s="34"/>
    </row>
    <row r="2645" spans="5:5" x14ac:dyDescent="0.2">
      <c r="E2645" s="34"/>
    </row>
    <row r="2646" spans="5:5" x14ac:dyDescent="0.2">
      <c r="E2646" s="34"/>
    </row>
    <row r="2647" spans="5:5" x14ac:dyDescent="0.2">
      <c r="E2647" s="34"/>
    </row>
    <row r="2648" spans="5:5" x14ac:dyDescent="0.2">
      <c r="E2648" s="34"/>
    </row>
    <row r="2649" spans="5:5" x14ac:dyDescent="0.2">
      <c r="E2649" s="34"/>
    </row>
    <row r="2650" spans="5:5" x14ac:dyDescent="0.2">
      <c r="E2650" s="34"/>
    </row>
    <row r="2651" spans="5:5" x14ac:dyDescent="0.2">
      <c r="E2651" s="34"/>
    </row>
    <row r="2652" spans="5:5" x14ac:dyDescent="0.2">
      <c r="E2652" s="34"/>
    </row>
    <row r="2653" spans="5:5" x14ac:dyDescent="0.2">
      <c r="E2653" s="34"/>
    </row>
    <row r="2654" spans="5:5" x14ac:dyDescent="0.2">
      <c r="E2654" s="34"/>
    </row>
    <row r="2655" spans="5:5" x14ac:dyDescent="0.2">
      <c r="E2655" s="34"/>
    </row>
    <row r="2656" spans="5:5" x14ac:dyDescent="0.2">
      <c r="E2656" s="34"/>
    </row>
    <row r="2657" spans="5:5" x14ac:dyDescent="0.2">
      <c r="E2657" s="34"/>
    </row>
    <row r="2658" spans="5:5" x14ac:dyDescent="0.2">
      <c r="E2658" s="34"/>
    </row>
    <row r="2659" spans="5:5" x14ac:dyDescent="0.2">
      <c r="E2659" s="34"/>
    </row>
    <row r="2660" spans="5:5" x14ac:dyDescent="0.2">
      <c r="E2660" s="34"/>
    </row>
    <row r="2661" spans="5:5" x14ac:dyDescent="0.2">
      <c r="E2661" s="34"/>
    </row>
    <row r="2662" spans="5:5" x14ac:dyDescent="0.2">
      <c r="E2662" s="34"/>
    </row>
    <row r="2663" spans="5:5" x14ac:dyDescent="0.2">
      <c r="E2663" s="34"/>
    </row>
    <row r="2664" spans="5:5" x14ac:dyDescent="0.2">
      <c r="E2664" s="34"/>
    </row>
    <row r="2665" spans="5:5" x14ac:dyDescent="0.2">
      <c r="E2665" s="34"/>
    </row>
    <row r="2666" spans="5:5" x14ac:dyDescent="0.2">
      <c r="E2666" s="34"/>
    </row>
    <row r="2667" spans="5:5" x14ac:dyDescent="0.2">
      <c r="E2667" s="34"/>
    </row>
    <row r="2668" spans="5:5" x14ac:dyDescent="0.2">
      <c r="E2668" s="34"/>
    </row>
    <row r="2669" spans="5:5" x14ac:dyDescent="0.2">
      <c r="E2669" s="34"/>
    </row>
    <row r="2670" spans="5:5" x14ac:dyDescent="0.2">
      <c r="E2670" s="34"/>
    </row>
    <row r="2671" spans="5:5" x14ac:dyDescent="0.2">
      <c r="E2671" s="34"/>
    </row>
    <row r="2672" spans="5:5" x14ac:dyDescent="0.2">
      <c r="E2672" s="34"/>
    </row>
    <row r="2673" spans="5:5" x14ac:dyDescent="0.2">
      <c r="E2673" s="34"/>
    </row>
    <row r="2674" spans="5:5" x14ac:dyDescent="0.2">
      <c r="E2674" s="34"/>
    </row>
    <row r="2675" spans="5:5" x14ac:dyDescent="0.2">
      <c r="E2675" s="34"/>
    </row>
    <row r="2676" spans="5:5" x14ac:dyDescent="0.2">
      <c r="E2676" s="34"/>
    </row>
    <row r="2677" spans="5:5" x14ac:dyDescent="0.2">
      <c r="E2677" s="34"/>
    </row>
    <row r="2678" spans="5:5" x14ac:dyDescent="0.2">
      <c r="E2678" s="34"/>
    </row>
    <row r="2679" spans="5:5" x14ac:dyDescent="0.2">
      <c r="E2679" s="34"/>
    </row>
    <row r="2680" spans="5:5" x14ac:dyDescent="0.2">
      <c r="E2680" s="34"/>
    </row>
    <row r="2681" spans="5:5" x14ac:dyDescent="0.2">
      <c r="E2681" s="34"/>
    </row>
    <row r="2682" spans="5:5" x14ac:dyDescent="0.2">
      <c r="E2682" s="34"/>
    </row>
    <row r="2683" spans="5:5" x14ac:dyDescent="0.2">
      <c r="E2683" s="34"/>
    </row>
    <row r="2684" spans="5:5" x14ac:dyDescent="0.2">
      <c r="E2684" s="34"/>
    </row>
    <row r="2685" spans="5:5" x14ac:dyDescent="0.2">
      <c r="E2685" s="34"/>
    </row>
    <row r="2686" spans="5:5" x14ac:dyDescent="0.2">
      <c r="E2686" s="34"/>
    </row>
    <row r="2687" spans="5:5" x14ac:dyDescent="0.2">
      <c r="E2687" s="34"/>
    </row>
    <row r="2688" spans="5:5" x14ac:dyDescent="0.2">
      <c r="E2688" s="34"/>
    </row>
    <row r="2689" spans="5:5" x14ac:dyDescent="0.2">
      <c r="E2689" s="34"/>
    </row>
    <row r="2690" spans="5:5" x14ac:dyDescent="0.2">
      <c r="E2690" s="34"/>
    </row>
    <row r="2691" spans="5:5" x14ac:dyDescent="0.2">
      <c r="E2691" s="34"/>
    </row>
    <row r="2692" spans="5:5" x14ac:dyDescent="0.2">
      <c r="E2692" s="34"/>
    </row>
    <row r="2693" spans="5:5" x14ac:dyDescent="0.2">
      <c r="E2693" s="34"/>
    </row>
    <row r="2694" spans="5:5" x14ac:dyDescent="0.2">
      <c r="E2694" s="34"/>
    </row>
    <row r="2695" spans="5:5" x14ac:dyDescent="0.2">
      <c r="E2695" s="34"/>
    </row>
    <row r="2696" spans="5:5" x14ac:dyDescent="0.2">
      <c r="E2696" s="34"/>
    </row>
    <row r="2697" spans="5:5" x14ac:dyDescent="0.2">
      <c r="E2697" s="34"/>
    </row>
    <row r="2698" spans="5:5" x14ac:dyDescent="0.2">
      <c r="E2698" s="34"/>
    </row>
    <row r="2699" spans="5:5" x14ac:dyDescent="0.2">
      <c r="E2699" s="34"/>
    </row>
    <row r="2700" spans="5:5" x14ac:dyDescent="0.2">
      <c r="E2700" s="34"/>
    </row>
    <row r="2701" spans="5:5" x14ac:dyDescent="0.2">
      <c r="E2701" s="34"/>
    </row>
    <row r="2702" spans="5:5" x14ac:dyDescent="0.2">
      <c r="E2702" s="34"/>
    </row>
    <row r="2703" spans="5:5" x14ac:dyDescent="0.2">
      <c r="E2703" s="34"/>
    </row>
    <row r="2704" spans="5:5" x14ac:dyDescent="0.2">
      <c r="E2704" s="34"/>
    </row>
    <row r="2705" spans="5:5" x14ac:dyDescent="0.2">
      <c r="E2705" s="34"/>
    </row>
    <row r="2706" spans="5:5" x14ac:dyDescent="0.2">
      <c r="E2706" s="34"/>
    </row>
    <row r="2707" spans="5:5" x14ac:dyDescent="0.2">
      <c r="E2707" s="34"/>
    </row>
    <row r="2708" spans="5:5" x14ac:dyDescent="0.2">
      <c r="E2708" s="34"/>
    </row>
    <row r="2709" spans="5:5" x14ac:dyDescent="0.2">
      <c r="E2709" s="34"/>
    </row>
    <row r="2710" spans="5:5" x14ac:dyDescent="0.2">
      <c r="E2710" s="34"/>
    </row>
    <row r="2711" spans="5:5" x14ac:dyDescent="0.2">
      <c r="E2711" s="34"/>
    </row>
    <row r="2712" spans="5:5" x14ac:dyDescent="0.2">
      <c r="E2712" s="34"/>
    </row>
    <row r="2713" spans="5:5" x14ac:dyDescent="0.2">
      <c r="E2713" s="34"/>
    </row>
    <row r="2714" spans="5:5" x14ac:dyDescent="0.2">
      <c r="E2714" s="34"/>
    </row>
    <row r="2715" spans="5:5" x14ac:dyDescent="0.2">
      <c r="E2715" s="34"/>
    </row>
    <row r="2716" spans="5:5" x14ac:dyDescent="0.2">
      <c r="E2716" s="34"/>
    </row>
    <row r="2717" spans="5:5" x14ac:dyDescent="0.2">
      <c r="E2717" s="34"/>
    </row>
    <row r="2718" spans="5:5" x14ac:dyDescent="0.2">
      <c r="E2718" s="34"/>
    </row>
    <row r="2719" spans="5:5" x14ac:dyDescent="0.2">
      <c r="E2719" s="34"/>
    </row>
    <row r="2720" spans="5:5" x14ac:dyDescent="0.2">
      <c r="E2720" s="34"/>
    </row>
    <row r="2721" spans="5:5" x14ac:dyDescent="0.2">
      <c r="E2721" s="34"/>
    </row>
    <row r="2722" spans="5:5" x14ac:dyDescent="0.2">
      <c r="E2722" s="34"/>
    </row>
    <row r="2723" spans="5:5" x14ac:dyDescent="0.2">
      <c r="E2723" s="34"/>
    </row>
    <row r="2724" spans="5:5" x14ac:dyDescent="0.2">
      <c r="E2724" s="34"/>
    </row>
    <row r="2725" spans="5:5" x14ac:dyDescent="0.2">
      <c r="E2725" s="34"/>
    </row>
    <row r="2726" spans="5:5" x14ac:dyDescent="0.2">
      <c r="E2726" s="34"/>
    </row>
    <row r="2727" spans="5:5" x14ac:dyDescent="0.2">
      <c r="E2727" s="34"/>
    </row>
    <row r="2728" spans="5:5" x14ac:dyDescent="0.2">
      <c r="E2728" s="34"/>
    </row>
    <row r="2729" spans="5:5" x14ac:dyDescent="0.2">
      <c r="E2729" s="34"/>
    </row>
    <row r="2730" spans="5:5" x14ac:dyDescent="0.2">
      <c r="E2730" s="34"/>
    </row>
    <row r="2731" spans="5:5" x14ac:dyDescent="0.2">
      <c r="E2731" s="34"/>
    </row>
    <row r="2732" spans="5:5" x14ac:dyDescent="0.2">
      <c r="E2732" s="34"/>
    </row>
    <row r="2733" spans="5:5" x14ac:dyDescent="0.2">
      <c r="E2733" s="34"/>
    </row>
    <row r="2734" spans="5:5" x14ac:dyDescent="0.2">
      <c r="E2734" s="34"/>
    </row>
    <row r="2735" spans="5:5" x14ac:dyDescent="0.2">
      <c r="E2735" s="34"/>
    </row>
    <row r="2736" spans="5:5" x14ac:dyDescent="0.2">
      <c r="E2736" s="34"/>
    </row>
    <row r="2737" spans="5:5" x14ac:dyDescent="0.2">
      <c r="E2737" s="34"/>
    </row>
    <row r="2738" spans="5:5" x14ac:dyDescent="0.2">
      <c r="E2738" s="34"/>
    </row>
    <row r="2739" spans="5:5" x14ac:dyDescent="0.2">
      <c r="E2739" s="34"/>
    </row>
    <row r="2740" spans="5:5" x14ac:dyDescent="0.2">
      <c r="E2740" s="34"/>
    </row>
    <row r="2741" spans="5:5" x14ac:dyDescent="0.2">
      <c r="E2741" s="34"/>
    </row>
    <row r="2742" spans="5:5" x14ac:dyDescent="0.2">
      <c r="E2742" s="34"/>
    </row>
    <row r="2743" spans="5:5" x14ac:dyDescent="0.2">
      <c r="E2743" s="34"/>
    </row>
    <row r="2744" spans="5:5" x14ac:dyDescent="0.2">
      <c r="E2744" s="34"/>
    </row>
    <row r="2745" spans="5:5" x14ac:dyDescent="0.2">
      <c r="E2745" s="34"/>
    </row>
    <row r="2746" spans="5:5" x14ac:dyDescent="0.2">
      <c r="E2746" s="34"/>
    </row>
    <row r="2747" spans="5:5" x14ac:dyDescent="0.2">
      <c r="E2747" s="34"/>
    </row>
    <row r="2748" spans="5:5" x14ac:dyDescent="0.2">
      <c r="E2748" s="34"/>
    </row>
    <row r="2749" spans="5:5" x14ac:dyDescent="0.2">
      <c r="E2749" s="34"/>
    </row>
    <row r="2750" spans="5:5" x14ac:dyDescent="0.2">
      <c r="E2750" s="34"/>
    </row>
    <row r="2751" spans="5:5" x14ac:dyDescent="0.2">
      <c r="E2751" s="34"/>
    </row>
    <row r="2752" spans="5:5" x14ac:dyDescent="0.2">
      <c r="E2752" s="34"/>
    </row>
    <row r="2753" spans="5:5" x14ac:dyDescent="0.2">
      <c r="E2753" s="34"/>
    </row>
    <row r="2754" spans="5:5" x14ac:dyDescent="0.2">
      <c r="E2754" s="34"/>
    </row>
    <row r="2755" spans="5:5" x14ac:dyDescent="0.2">
      <c r="E2755" s="34"/>
    </row>
    <row r="2756" spans="5:5" x14ac:dyDescent="0.2">
      <c r="E2756" s="34"/>
    </row>
    <row r="2757" spans="5:5" x14ac:dyDescent="0.2">
      <c r="E2757" s="34"/>
    </row>
    <row r="2758" spans="5:5" x14ac:dyDescent="0.2">
      <c r="E2758" s="34"/>
    </row>
    <row r="2759" spans="5:5" x14ac:dyDescent="0.2">
      <c r="E2759" s="34"/>
    </row>
    <row r="2760" spans="5:5" x14ac:dyDescent="0.2">
      <c r="E2760" s="34"/>
    </row>
    <row r="2761" spans="5:5" x14ac:dyDescent="0.2">
      <c r="E2761" s="34"/>
    </row>
    <row r="2762" spans="5:5" x14ac:dyDescent="0.2">
      <c r="E2762" s="34"/>
    </row>
    <row r="2763" spans="5:5" x14ac:dyDescent="0.2">
      <c r="E2763" s="34"/>
    </row>
    <row r="2764" spans="5:5" x14ac:dyDescent="0.2">
      <c r="E2764" s="34"/>
    </row>
    <row r="2765" spans="5:5" x14ac:dyDescent="0.2">
      <c r="E2765" s="34"/>
    </row>
    <row r="2766" spans="5:5" x14ac:dyDescent="0.2">
      <c r="E2766" s="34"/>
    </row>
    <row r="2767" spans="5:5" x14ac:dyDescent="0.2">
      <c r="E2767" s="34"/>
    </row>
    <row r="2768" spans="5:5" x14ac:dyDescent="0.2">
      <c r="E2768" s="34"/>
    </row>
    <row r="2769" spans="5:5" x14ac:dyDescent="0.2">
      <c r="E2769" s="34"/>
    </row>
    <row r="2770" spans="5:5" x14ac:dyDescent="0.2">
      <c r="E2770" s="34"/>
    </row>
    <row r="2771" spans="5:5" x14ac:dyDescent="0.2">
      <c r="E2771" s="34"/>
    </row>
    <row r="2772" spans="5:5" x14ac:dyDescent="0.2">
      <c r="E2772" s="34"/>
    </row>
    <row r="2773" spans="5:5" x14ac:dyDescent="0.2">
      <c r="E2773" s="34"/>
    </row>
    <row r="2774" spans="5:5" x14ac:dyDescent="0.2">
      <c r="E2774" s="34"/>
    </row>
    <row r="2775" spans="5:5" x14ac:dyDescent="0.2">
      <c r="E2775" s="34"/>
    </row>
    <row r="2776" spans="5:5" x14ac:dyDescent="0.2">
      <c r="E2776" s="34"/>
    </row>
    <row r="2777" spans="5:5" x14ac:dyDescent="0.2">
      <c r="E2777" s="34"/>
    </row>
    <row r="2778" spans="5:5" x14ac:dyDescent="0.2">
      <c r="E2778" s="34"/>
    </row>
    <row r="2779" spans="5:5" x14ac:dyDescent="0.2">
      <c r="E2779" s="34"/>
    </row>
    <row r="2780" spans="5:5" x14ac:dyDescent="0.2">
      <c r="E2780" s="34"/>
    </row>
    <row r="2781" spans="5:5" x14ac:dyDescent="0.2">
      <c r="E2781" s="34"/>
    </row>
    <row r="2782" spans="5:5" x14ac:dyDescent="0.2">
      <c r="E2782" s="34"/>
    </row>
    <row r="2783" spans="5:5" x14ac:dyDescent="0.2">
      <c r="E2783" s="34"/>
    </row>
    <row r="2784" spans="5:5" x14ac:dyDescent="0.2">
      <c r="E2784" s="34"/>
    </row>
    <row r="2785" spans="5:5" x14ac:dyDescent="0.2">
      <c r="E2785" s="34"/>
    </row>
    <row r="2786" spans="5:5" x14ac:dyDescent="0.2">
      <c r="E2786" s="34"/>
    </row>
    <row r="2787" spans="5:5" x14ac:dyDescent="0.2">
      <c r="E2787" s="34"/>
    </row>
    <row r="2788" spans="5:5" x14ac:dyDescent="0.2">
      <c r="E2788" s="34"/>
    </row>
    <row r="2789" spans="5:5" x14ac:dyDescent="0.2">
      <c r="E2789" s="34"/>
    </row>
    <row r="2790" spans="5:5" x14ac:dyDescent="0.2">
      <c r="E2790" s="34"/>
    </row>
    <row r="2791" spans="5:5" x14ac:dyDescent="0.2">
      <c r="E2791" s="34"/>
    </row>
    <row r="2792" spans="5:5" x14ac:dyDescent="0.2">
      <c r="E2792" s="34"/>
    </row>
    <row r="2793" spans="5:5" x14ac:dyDescent="0.2">
      <c r="E2793" s="34"/>
    </row>
    <row r="2794" spans="5:5" x14ac:dyDescent="0.2">
      <c r="E2794" s="34"/>
    </row>
    <row r="2795" spans="5:5" x14ac:dyDescent="0.2">
      <c r="E2795" s="34"/>
    </row>
    <row r="2796" spans="5:5" x14ac:dyDescent="0.2">
      <c r="E2796" s="34"/>
    </row>
    <row r="2797" spans="5:5" x14ac:dyDescent="0.2">
      <c r="E2797" s="34"/>
    </row>
    <row r="2798" spans="5:5" x14ac:dyDescent="0.2">
      <c r="E2798" s="34"/>
    </row>
    <row r="2799" spans="5:5" x14ac:dyDescent="0.2">
      <c r="E2799" s="34"/>
    </row>
    <row r="2800" spans="5:5" x14ac:dyDescent="0.2">
      <c r="E2800" s="34"/>
    </row>
    <row r="2801" spans="5:5" x14ac:dyDescent="0.2">
      <c r="E2801" s="34"/>
    </row>
    <row r="2802" spans="5:5" x14ac:dyDescent="0.2">
      <c r="E2802" s="34"/>
    </row>
    <row r="2803" spans="5:5" x14ac:dyDescent="0.2">
      <c r="E2803" s="34"/>
    </row>
    <row r="2804" spans="5:5" x14ac:dyDescent="0.2">
      <c r="E2804" s="34"/>
    </row>
    <row r="2805" spans="5:5" x14ac:dyDescent="0.2">
      <c r="E2805" s="34"/>
    </row>
    <row r="2806" spans="5:5" x14ac:dyDescent="0.2">
      <c r="E2806" s="34"/>
    </row>
    <row r="2807" spans="5:5" x14ac:dyDescent="0.2">
      <c r="E2807" s="34"/>
    </row>
    <row r="2808" spans="5:5" x14ac:dyDescent="0.2">
      <c r="E2808" s="34"/>
    </row>
    <row r="2809" spans="5:5" x14ac:dyDescent="0.2">
      <c r="E2809" s="34"/>
    </row>
    <row r="2810" spans="5:5" x14ac:dyDescent="0.2">
      <c r="E2810" s="34"/>
    </row>
    <row r="2811" spans="5:5" x14ac:dyDescent="0.2">
      <c r="E2811" s="34"/>
    </row>
    <row r="2812" spans="5:5" x14ac:dyDescent="0.2">
      <c r="E2812" s="34"/>
    </row>
    <row r="2813" spans="5:5" x14ac:dyDescent="0.2">
      <c r="E2813" s="34"/>
    </row>
    <row r="2814" spans="5:5" x14ac:dyDescent="0.2">
      <c r="E2814" s="34"/>
    </row>
    <row r="2815" spans="5:5" x14ac:dyDescent="0.2">
      <c r="E2815" s="34"/>
    </row>
    <row r="2816" spans="5:5" x14ac:dyDescent="0.2">
      <c r="E2816" s="34"/>
    </row>
    <row r="2817" spans="5:5" x14ac:dyDescent="0.2">
      <c r="E2817" s="34"/>
    </row>
    <row r="2818" spans="5:5" x14ac:dyDescent="0.2">
      <c r="E2818" s="34"/>
    </row>
    <row r="2819" spans="5:5" x14ac:dyDescent="0.2">
      <c r="E2819" s="34"/>
    </row>
    <row r="2820" spans="5:5" x14ac:dyDescent="0.2">
      <c r="E2820" s="34"/>
    </row>
    <row r="2821" spans="5:5" x14ac:dyDescent="0.2">
      <c r="E2821" s="34"/>
    </row>
    <row r="2822" spans="5:5" x14ac:dyDescent="0.2">
      <c r="E2822" s="34"/>
    </row>
    <row r="2823" spans="5:5" x14ac:dyDescent="0.2">
      <c r="E2823" s="34"/>
    </row>
    <row r="2824" spans="5:5" x14ac:dyDescent="0.2">
      <c r="E2824" s="34"/>
    </row>
    <row r="2825" spans="5:5" x14ac:dyDescent="0.2">
      <c r="E2825" s="34"/>
    </row>
    <row r="2826" spans="5:5" x14ac:dyDescent="0.2">
      <c r="E2826" s="34"/>
    </row>
    <row r="2827" spans="5:5" x14ac:dyDescent="0.2">
      <c r="E2827" s="34"/>
    </row>
    <row r="2828" spans="5:5" x14ac:dyDescent="0.2">
      <c r="E2828" s="34"/>
    </row>
    <row r="2829" spans="5:5" x14ac:dyDescent="0.2">
      <c r="E2829" s="34"/>
    </row>
    <row r="2830" spans="5:5" x14ac:dyDescent="0.2">
      <c r="E2830" s="34"/>
    </row>
    <row r="2831" spans="5:5" x14ac:dyDescent="0.2">
      <c r="E2831" s="34"/>
    </row>
    <row r="2832" spans="5:5" x14ac:dyDescent="0.2">
      <c r="E2832" s="34"/>
    </row>
    <row r="2833" spans="5:5" x14ac:dyDescent="0.2">
      <c r="E2833" s="34"/>
    </row>
    <row r="2834" spans="5:5" x14ac:dyDescent="0.2">
      <c r="E2834" s="34"/>
    </row>
    <row r="2835" spans="5:5" x14ac:dyDescent="0.2">
      <c r="E2835" s="34"/>
    </row>
    <row r="2836" spans="5:5" x14ac:dyDescent="0.2">
      <c r="E2836" s="34"/>
    </row>
    <row r="2837" spans="5:5" x14ac:dyDescent="0.2">
      <c r="E2837" s="34"/>
    </row>
    <row r="2838" spans="5:5" x14ac:dyDescent="0.2">
      <c r="E2838" s="34"/>
    </row>
    <row r="2839" spans="5:5" x14ac:dyDescent="0.2">
      <c r="E2839" s="34"/>
    </row>
    <row r="2840" spans="5:5" x14ac:dyDescent="0.2">
      <c r="E2840" s="34"/>
    </row>
    <row r="2841" spans="5:5" x14ac:dyDescent="0.2">
      <c r="E2841" s="34"/>
    </row>
    <row r="2842" spans="5:5" x14ac:dyDescent="0.2">
      <c r="E2842" s="34"/>
    </row>
    <row r="2843" spans="5:5" x14ac:dyDescent="0.2">
      <c r="E2843" s="34"/>
    </row>
    <row r="2844" spans="5:5" x14ac:dyDescent="0.2">
      <c r="E2844" s="34"/>
    </row>
    <row r="2845" spans="5:5" x14ac:dyDescent="0.2">
      <c r="E2845" s="34"/>
    </row>
    <row r="2846" spans="5:5" x14ac:dyDescent="0.2">
      <c r="E2846" s="34"/>
    </row>
    <row r="2847" spans="5:5" x14ac:dyDescent="0.2">
      <c r="E2847" s="34"/>
    </row>
    <row r="2848" spans="5:5" x14ac:dyDescent="0.2">
      <c r="E2848" s="34"/>
    </row>
    <row r="2849" spans="5:5" x14ac:dyDescent="0.2">
      <c r="E2849" s="34"/>
    </row>
    <row r="2850" spans="5:5" x14ac:dyDescent="0.2">
      <c r="E2850" s="34"/>
    </row>
    <row r="2851" spans="5:5" x14ac:dyDescent="0.2">
      <c r="E2851" s="34"/>
    </row>
    <row r="2852" spans="5:5" x14ac:dyDescent="0.2">
      <c r="E2852" s="34"/>
    </row>
    <row r="2853" spans="5:5" x14ac:dyDescent="0.2">
      <c r="E2853" s="34"/>
    </row>
    <row r="2854" spans="5:5" x14ac:dyDescent="0.2">
      <c r="E2854" s="34"/>
    </row>
    <row r="2855" spans="5:5" x14ac:dyDescent="0.2">
      <c r="E2855" s="34"/>
    </row>
    <row r="2856" spans="5:5" x14ac:dyDescent="0.2">
      <c r="E2856" s="34"/>
    </row>
    <row r="2857" spans="5:5" x14ac:dyDescent="0.2">
      <c r="E2857" s="34"/>
    </row>
    <row r="2858" spans="5:5" x14ac:dyDescent="0.2">
      <c r="E2858" s="34"/>
    </row>
    <row r="2859" spans="5:5" x14ac:dyDescent="0.2">
      <c r="E2859" s="34"/>
    </row>
    <row r="2860" spans="5:5" x14ac:dyDescent="0.2">
      <c r="E2860" s="34"/>
    </row>
    <row r="2861" spans="5:5" x14ac:dyDescent="0.2">
      <c r="E2861" s="34"/>
    </row>
    <row r="2862" spans="5:5" x14ac:dyDescent="0.2">
      <c r="E2862" s="34"/>
    </row>
    <row r="2863" spans="5:5" x14ac:dyDescent="0.2">
      <c r="E2863" s="34"/>
    </row>
    <row r="2864" spans="5:5" x14ac:dyDescent="0.2">
      <c r="E2864" s="34"/>
    </row>
    <row r="2865" spans="5:5" x14ac:dyDescent="0.2">
      <c r="E2865" s="34"/>
    </row>
    <row r="2866" spans="5:5" x14ac:dyDescent="0.2">
      <c r="E2866" s="34"/>
    </row>
    <row r="2867" spans="5:5" x14ac:dyDescent="0.2">
      <c r="E2867" s="34"/>
    </row>
    <row r="2868" spans="5:5" x14ac:dyDescent="0.2">
      <c r="E2868" s="34"/>
    </row>
    <row r="2869" spans="5:5" x14ac:dyDescent="0.2">
      <c r="E2869" s="34"/>
    </row>
    <row r="2870" spans="5:5" x14ac:dyDescent="0.2">
      <c r="E2870" s="34"/>
    </row>
    <row r="2871" spans="5:5" x14ac:dyDescent="0.2">
      <c r="E2871" s="34"/>
    </row>
    <row r="2872" spans="5:5" x14ac:dyDescent="0.2">
      <c r="E2872" s="34"/>
    </row>
    <row r="2873" spans="5:5" x14ac:dyDescent="0.2">
      <c r="E2873" s="34"/>
    </row>
    <row r="2874" spans="5:5" x14ac:dyDescent="0.2">
      <c r="E2874" s="34"/>
    </row>
    <row r="2875" spans="5:5" x14ac:dyDescent="0.2">
      <c r="E2875" s="34"/>
    </row>
    <row r="2876" spans="5:5" x14ac:dyDescent="0.2">
      <c r="E2876" s="34"/>
    </row>
    <row r="2877" spans="5:5" x14ac:dyDescent="0.2">
      <c r="E2877" s="34"/>
    </row>
    <row r="2878" spans="5:5" x14ac:dyDescent="0.2">
      <c r="E2878" s="34"/>
    </row>
    <row r="2879" spans="5:5" x14ac:dyDescent="0.2">
      <c r="E2879" s="34"/>
    </row>
    <row r="2880" spans="5:5" x14ac:dyDescent="0.2">
      <c r="E2880" s="34"/>
    </row>
    <row r="2881" spans="5:5" x14ac:dyDescent="0.2">
      <c r="E2881" s="34"/>
    </row>
    <row r="2882" spans="5:5" x14ac:dyDescent="0.2">
      <c r="E2882" s="34"/>
    </row>
    <row r="2883" spans="5:5" x14ac:dyDescent="0.2">
      <c r="E2883" s="34"/>
    </row>
    <row r="2884" spans="5:5" x14ac:dyDescent="0.2">
      <c r="E2884" s="34"/>
    </row>
    <row r="2885" spans="5:5" x14ac:dyDescent="0.2">
      <c r="E2885" s="34"/>
    </row>
    <row r="2886" spans="5:5" x14ac:dyDescent="0.2">
      <c r="E2886" s="34"/>
    </row>
    <row r="2887" spans="5:5" x14ac:dyDescent="0.2">
      <c r="E2887" s="34"/>
    </row>
    <row r="2888" spans="5:5" x14ac:dyDescent="0.2">
      <c r="E2888" s="34"/>
    </row>
    <row r="2889" spans="5:5" x14ac:dyDescent="0.2">
      <c r="E2889" s="34"/>
    </row>
    <row r="2890" spans="5:5" x14ac:dyDescent="0.2">
      <c r="E2890" s="34"/>
    </row>
    <row r="2891" spans="5:5" x14ac:dyDescent="0.2">
      <c r="E2891" s="34"/>
    </row>
    <row r="2892" spans="5:5" x14ac:dyDescent="0.2">
      <c r="E2892" s="34"/>
    </row>
    <row r="2893" spans="5:5" x14ac:dyDescent="0.2">
      <c r="E2893" s="34"/>
    </row>
    <row r="2894" spans="5:5" x14ac:dyDescent="0.2">
      <c r="E2894" s="34"/>
    </row>
    <row r="2895" spans="5:5" x14ac:dyDescent="0.2">
      <c r="E2895" s="34"/>
    </row>
    <row r="2896" spans="5:5" x14ac:dyDescent="0.2">
      <c r="E2896" s="34"/>
    </row>
    <row r="2897" spans="5:5" x14ac:dyDescent="0.2">
      <c r="E2897" s="34"/>
    </row>
    <row r="2898" spans="5:5" x14ac:dyDescent="0.2">
      <c r="E2898" s="34"/>
    </row>
    <row r="2899" spans="5:5" x14ac:dyDescent="0.2">
      <c r="E2899" s="34"/>
    </row>
    <row r="2900" spans="5:5" x14ac:dyDescent="0.2">
      <c r="E2900" s="34"/>
    </row>
    <row r="2901" spans="5:5" x14ac:dyDescent="0.2">
      <c r="E2901" s="34"/>
    </row>
    <row r="2902" spans="5:5" x14ac:dyDescent="0.2">
      <c r="E2902" s="34"/>
    </row>
    <row r="2903" spans="5:5" x14ac:dyDescent="0.2">
      <c r="E2903" s="34"/>
    </row>
    <row r="2904" spans="5:5" x14ac:dyDescent="0.2">
      <c r="E2904" s="34"/>
    </row>
    <row r="2905" spans="5:5" x14ac:dyDescent="0.2">
      <c r="E2905" s="34"/>
    </row>
    <row r="2906" spans="5:5" x14ac:dyDescent="0.2">
      <c r="E2906" s="34"/>
    </row>
    <row r="2907" spans="5:5" x14ac:dyDescent="0.2">
      <c r="E2907" s="34"/>
    </row>
    <row r="2908" spans="5:5" x14ac:dyDescent="0.2">
      <c r="E2908" s="34"/>
    </row>
    <row r="2909" spans="5:5" x14ac:dyDescent="0.2">
      <c r="E2909" s="34"/>
    </row>
    <row r="2910" spans="5:5" x14ac:dyDescent="0.2">
      <c r="E2910" s="34"/>
    </row>
    <row r="2911" spans="5:5" x14ac:dyDescent="0.2">
      <c r="E2911" s="34"/>
    </row>
    <row r="2912" spans="5:5" x14ac:dyDescent="0.2">
      <c r="E2912" s="34"/>
    </row>
    <row r="2913" spans="5:5" x14ac:dyDescent="0.2">
      <c r="E2913" s="34"/>
    </row>
    <row r="2914" spans="5:5" x14ac:dyDescent="0.2">
      <c r="E2914" s="34"/>
    </row>
    <row r="2915" spans="5:5" x14ac:dyDescent="0.2">
      <c r="E2915" s="34"/>
    </row>
    <row r="2916" spans="5:5" x14ac:dyDescent="0.2">
      <c r="E2916" s="34"/>
    </row>
    <row r="2917" spans="5:5" x14ac:dyDescent="0.2">
      <c r="E2917" s="34"/>
    </row>
    <row r="2918" spans="5:5" x14ac:dyDescent="0.2">
      <c r="E2918" s="34"/>
    </row>
    <row r="2919" spans="5:5" x14ac:dyDescent="0.2">
      <c r="E2919" s="34"/>
    </row>
    <row r="2920" spans="5:5" x14ac:dyDescent="0.2">
      <c r="E2920" s="34"/>
    </row>
    <row r="2921" spans="5:5" x14ac:dyDescent="0.2">
      <c r="E2921" s="34"/>
    </row>
    <row r="2922" spans="5:5" x14ac:dyDescent="0.2">
      <c r="E2922" s="34"/>
    </row>
    <row r="2923" spans="5:5" x14ac:dyDescent="0.2">
      <c r="E2923" s="34"/>
    </row>
    <row r="2924" spans="5:5" x14ac:dyDescent="0.2">
      <c r="E2924" s="34"/>
    </row>
    <row r="2925" spans="5:5" x14ac:dyDescent="0.2">
      <c r="E2925" s="34"/>
    </row>
    <row r="2926" spans="5:5" x14ac:dyDescent="0.2">
      <c r="E2926" s="34"/>
    </row>
    <row r="2927" spans="5:5" x14ac:dyDescent="0.2">
      <c r="E2927" s="34"/>
    </row>
    <row r="2928" spans="5:5" x14ac:dyDescent="0.2">
      <c r="E2928" s="34"/>
    </row>
    <row r="2929" spans="5:5" x14ac:dyDescent="0.2">
      <c r="E2929" s="34"/>
    </row>
    <row r="2930" spans="5:5" x14ac:dyDescent="0.2">
      <c r="E2930" s="34"/>
    </row>
    <row r="2931" spans="5:5" x14ac:dyDescent="0.2">
      <c r="E2931" s="34"/>
    </row>
    <row r="2932" spans="5:5" x14ac:dyDescent="0.2">
      <c r="E2932" s="34"/>
    </row>
    <row r="2933" spans="5:5" x14ac:dyDescent="0.2">
      <c r="E2933" s="34"/>
    </row>
    <row r="2934" spans="5:5" x14ac:dyDescent="0.2">
      <c r="E2934" s="34"/>
    </row>
    <row r="2935" spans="5:5" x14ac:dyDescent="0.2">
      <c r="E2935" s="34"/>
    </row>
    <row r="2936" spans="5:5" x14ac:dyDescent="0.2">
      <c r="E2936" s="34"/>
    </row>
    <row r="2937" spans="5:5" x14ac:dyDescent="0.2">
      <c r="E2937" s="34"/>
    </row>
    <row r="2938" spans="5:5" x14ac:dyDescent="0.2">
      <c r="E2938" s="34"/>
    </row>
    <row r="2939" spans="5:5" x14ac:dyDescent="0.2">
      <c r="E2939" s="34"/>
    </row>
    <row r="2940" spans="5:5" x14ac:dyDescent="0.2">
      <c r="E2940" s="34"/>
    </row>
    <row r="2941" spans="5:5" x14ac:dyDescent="0.2">
      <c r="E2941" s="34"/>
    </row>
    <row r="2942" spans="5:5" x14ac:dyDescent="0.2">
      <c r="E2942" s="34"/>
    </row>
    <row r="2943" spans="5:5" x14ac:dyDescent="0.2">
      <c r="E2943" s="34"/>
    </row>
    <row r="2944" spans="5:5" x14ac:dyDescent="0.2">
      <c r="E2944" s="34"/>
    </row>
    <row r="2945" spans="5:5" x14ac:dyDescent="0.2">
      <c r="E2945" s="34"/>
    </row>
    <row r="2946" spans="5:5" x14ac:dyDescent="0.2">
      <c r="E2946" s="34"/>
    </row>
    <row r="2947" spans="5:5" x14ac:dyDescent="0.2">
      <c r="E2947" s="34"/>
    </row>
    <row r="2948" spans="5:5" x14ac:dyDescent="0.2">
      <c r="E2948" s="34"/>
    </row>
    <row r="2949" spans="5:5" x14ac:dyDescent="0.2">
      <c r="E2949" s="34"/>
    </row>
    <row r="2950" spans="5:5" x14ac:dyDescent="0.2">
      <c r="E2950" s="34"/>
    </row>
    <row r="2951" spans="5:5" x14ac:dyDescent="0.2">
      <c r="E2951" s="34"/>
    </row>
    <row r="2952" spans="5:5" x14ac:dyDescent="0.2">
      <c r="E2952" s="34"/>
    </row>
    <row r="2953" spans="5:5" x14ac:dyDescent="0.2">
      <c r="E2953" s="34"/>
    </row>
    <row r="2954" spans="5:5" x14ac:dyDescent="0.2">
      <c r="E2954" s="34"/>
    </row>
    <row r="2955" spans="5:5" x14ac:dyDescent="0.2">
      <c r="E2955" s="34"/>
    </row>
    <row r="2956" spans="5:5" x14ac:dyDescent="0.2">
      <c r="E2956" s="34"/>
    </row>
    <row r="2957" spans="5:5" x14ac:dyDescent="0.2">
      <c r="E2957" s="34"/>
    </row>
    <row r="2958" spans="5:5" x14ac:dyDescent="0.2">
      <c r="E2958" s="34"/>
    </row>
    <row r="2959" spans="5:5" x14ac:dyDescent="0.2">
      <c r="E2959" s="34"/>
    </row>
    <row r="2960" spans="5:5" x14ac:dyDescent="0.2">
      <c r="E2960" s="34"/>
    </row>
    <row r="2961" spans="5:5" x14ac:dyDescent="0.2">
      <c r="E2961" s="34"/>
    </row>
    <row r="2962" spans="5:5" x14ac:dyDescent="0.2">
      <c r="E2962" s="34"/>
    </row>
    <row r="2963" spans="5:5" x14ac:dyDescent="0.2">
      <c r="E2963" s="34"/>
    </row>
    <row r="2964" spans="5:5" x14ac:dyDescent="0.2">
      <c r="E2964" s="34"/>
    </row>
    <row r="2965" spans="5:5" x14ac:dyDescent="0.2">
      <c r="E2965" s="34"/>
    </row>
    <row r="2966" spans="5:5" x14ac:dyDescent="0.2">
      <c r="E2966" s="34"/>
    </row>
    <row r="2967" spans="5:5" x14ac:dyDescent="0.2">
      <c r="E2967" s="34"/>
    </row>
    <row r="2968" spans="5:5" x14ac:dyDescent="0.2">
      <c r="E2968" s="34"/>
    </row>
    <row r="2969" spans="5:5" x14ac:dyDescent="0.2">
      <c r="E2969" s="34"/>
    </row>
    <row r="2970" spans="5:5" x14ac:dyDescent="0.2">
      <c r="E2970" s="34"/>
    </row>
    <row r="2971" spans="5:5" x14ac:dyDescent="0.2">
      <c r="E2971" s="34"/>
    </row>
    <row r="2972" spans="5:5" x14ac:dyDescent="0.2">
      <c r="E2972" s="34"/>
    </row>
    <row r="2973" spans="5:5" x14ac:dyDescent="0.2">
      <c r="E2973" s="34"/>
    </row>
    <row r="2974" spans="5:5" x14ac:dyDescent="0.2">
      <c r="E2974" s="34"/>
    </row>
    <row r="2975" spans="5:5" x14ac:dyDescent="0.2">
      <c r="E2975" s="34"/>
    </row>
    <row r="2976" spans="5:5" x14ac:dyDescent="0.2">
      <c r="E2976" s="34"/>
    </row>
    <row r="2977" spans="5:5" x14ac:dyDescent="0.2">
      <c r="E2977" s="34"/>
    </row>
    <row r="2978" spans="5:5" x14ac:dyDescent="0.2">
      <c r="E2978" s="34"/>
    </row>
  </sheetData>
  <mergeCells count="10">
    <mergeCell ref="A73:H73"/>
    <mergeCell ref="A3:H3"/>
    <mergeCell ref="A135:H135"/>
    <mergeCell ref="A2:H2"/>
    <mergeCell ref="A72:H72"/>
    <mergeCell ref="A134:H134"/>
    <mergeCell ref="G4:H4"/>
    <mergeCell ref="G5:H5"/>
    <mergeCell ref="G6:H6"/>
    <mergeCell ref="G8:H8"/>
  </mergeCells>
  <printOptions horizontalCentered="1"/>
  <pageMargins left="0.5" right="0.5" top="0.5" bottom="0.5" header="0.5" footer="0.5"/>
  <pageSetup scale="71" fitToHeight="7" orientation="portrait" r:id="rId1"/>
  <headerFooter alignWithMargins="0">
    <oddHeader xml:space="preserve">&amp;CATTACHMENT A
</oddHeader>
    <oddFooter>&amp;L&amp;F&amp;C&amp;A&amp;RSDGE ---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58"/>
  <sheetViews>
    <sheetView zoomScaleNormal="100" workbookViewId="0">
      <selection activeCell="A4" sqref="A4"/>
    </sheetView>
  </sheetViews>
  <sheetFormatPr defaultColWidth="2.140625" defaultRowHeight="12.75" x14ac:dyDescent="0.2"/>
  <cols>
    <col min="1" max="1" width="56.7109375" style="6" customWidth="1"/>
    <col min="2" max="3" width="11.7109375" style="6" customWidth="1"/>
    <col min="4" max="6" width="10.7109375" style="6" customWidth="1"/>
    <col min="7" max="8" width="11.7109375" style="6" customWidth="1"/>
    <col min="9" max="9" width="2.140625" style="6" customWidth="1"/>
    <col min="10" max="10" width="4.7109375" style="6" bestFit="1" customWidth="1"/>
    <col min="11" max="11" width="4" style="6" bestFit="1" customWidth="1"/>
    <col min="12" max="12" width="38.7109375" style="6" bestFit="1" customWidth="1"/>
    <col min="13" max="13" width="9.28515625" style="6" bestFit="1" customWidth="1"/>
    <col min="14" max="14" width="2.140625" style="6" customWidth="1"/>
    <col min="15" max="15" width="15.5703125" style="6" bestFit="1" customWidth="1"/>
    <col min="16" max="16" width="2.140625" style="6" customWidth="1"/>
    <col min="17" max="17" width="12.42578125" style="6" bestFit="1" customWidth="1"/>
    <col min="18" max="16384" width="2.140625" style="6"/>
  </cols>
  <sheetData>
    <row r="1" spans="1:8" x14ac:dyDescent="0.2">
      <c r="H1" s="45" t="s">
        <v>27</v>
      </c>
    </row>
    <row r="2" spans="1:8" ht="20.25" x14ac:dyDescent="0.3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0.25" x14ac:dyDescent="0.3">
      <c r="A3" s="312" t="s">
        <v>154</v>
      </c>
      <c r="B3" s="312"/>
      <c r="C3" s="312"/>
      <c r="D3" s="312"/>
      <c r="E3" s="312"/>
      <c r="F3" s="312"/>
      <c r="G3" s="312"/>
      <c r="H3" s="312"/>
    </row>
    <row r="4" spans="1:8" ht="13.5" thickBot="1" x14ac:dyDescent="0.25">
      <c r="A4" s="63"/>
      <c r="B4" s="63"/>
      <c r="C4" s="63"/>
      <c r="D4" s="63"/>
      <c r="E4" s="63"/>
      <c r="F4" s="63"/>
      <c r="G4" s="63"/>
      <c r="H4" s="63"/>
    </row>
    <row r="5" spans="1:8" x14ac:dyDescent="0.2">
      <c r="A5" s="67" t="s">
        <v>163</v>
      </c>
      <c r="B5" s="61"/>
      <c r="C5" s="62"/>
      <c r="D5" s="1"/>
      <c r="G5" s="313" t="s">
        <v>185</v>
      </c>
      <c r="H5" s="314"/>
    </row>
    <row r="6" spans="1:8" x14ac:dyDescent="0.2">
      <c r="A6" s="8"/>
      <c r="B6" s="31"/>
      <c r="C6" s="68"/>
      <c r="E6" s="66"/>
      <c r="F6" s="66"/>
      <c r="G6" s="315" t="s">
        <v>183</v>
      </c>
      <c r="H6" s="316"/>
    </row>
    <row r="7" spans="1:8" x14ac:dyDescent="0.2">
      <c r="A7" s="8" t="s">
        <v>164</v>
      </c>
      <c r="B7" s="31"/>
      <c r="C7" s="247">
        <f>G39-C39</f>
        <v>2.8084769859103851</v>
      </c>
      <c r="E7" s="38"/>
      <c r="F7" s="38"/>
      <c r="G7" s="317" t="s">
        <v>91</v>
      </c>
      <c r="H7" s="318"/>
    </row>
    <row r="8" spans="1:8" x14ac:dyDescent="0.2">
      <c r="A8" s="8"/>
      <c r="B8" s="31"/>
      <c r="C8" s="32"/>
      <c r="E8" s="38"/>
      <c r="F8" s="38"/>
      <c r="G8" s="285"/>
      <c r="H8" s="286"/>
    </row>
    <row r="9" spans="1:8" ht="13.5" thickBot="1" x14ac:dyDescent="0.25">
      <c r="A9" s="51" t="s">
        <v>165</v>
      </c>
      <c r="B9" s="33"/>
      <c r="C9" s="219">
        <f>E39</f>
        <v>60.254738821504219</v>
      </c>
      <c r="E9" s="38"/>
      <c r="F9" s="38"/>
      <c r="G9" s="319">
        <f>'Street Lighting'!G62-'Street Lighting'!C62</f>
        <v>2.7515977510158844</v>
      </c>
      <c r="H9" s="320"/>
    </row>
    <row r="10" spans="1:8" ht="13.5" thickBot="1" x14ac:dyDescent="0.25">
      <c r="A10" s="5"/>
      <c r="B10" s="30"/>
      <c r="C10" s="115"/>
      <c r="E10" s="38"/>
      <c r="F10" s="38"/>
      <c r="G10" s="290"/>
      <c r="H10" s="291"/>
    </row>
    <row r="11" spans="1:8" x14ac:dyDescent="0.2">
      <c r="A11" s="41" t="s">
        <v>193</v>
      </c>
      <c r="B11" s="31"/>
      <c r="C11" s="65"/>
      <c r="E11" s="38"/>
      <c r="F11" s="38"/>
    </row>
    <row r="12" spans="1:8" x14ac:dyDescent="0.2">
      <c r="A12" s="41"/>
      <c r="B12" s="49" t="s">
        <v>194</v>
      </c>
      <c r="C12" s="293" t="s">
        <v>195</v>
      </c>
      <c r="E12" s="38"/>
      <c r="F12" s="38"/>
    </row>
    <row r="13" spans="1:8" ht="13.5" thickBot="1" x14ac:dyDescent="0.25">
      <c r="A13" s="51" t="s">
        <v>198</v>
      </c>
      <c r="B13" s="310">
        <f>O21/O20</f>
        <v>0.7</v>
      </c>
      <c r="C13" s="311">
        <f>O22/O20</f>
        <v>0.3</v>
      </c>
      <c r="E13" s="38"/>
      <c r="F13" s="38"/>
    </row>
    <row r="14" spans="1:8" ht="13.5" thickBot="1" x14ac:dyDescent="0.25">
      <c r="A14" s="47"/>
      <c r="B14" s="31"/>
      <c r="C14" s="48"/>
      <c r="D14" s="7"/>
      <c r="E14" s="7"/>
      <c r="F14" s="7"/>
      <c r="G14" s="127"/>
      <c r="H14" s="39"/>
    </row>
    <row r="15" spans="1:8" ht="64.5" thickBot="1" x14ac:dyDescent="0.25">
      <c r="A15" s="2" t="s">
        <v>0</v>
      </c>
      <c r="B15" s="9" t="s">
        <v>46</v>
      </c>
      <c r="C15" s="9" t="s">
        <v>199</v>
      </c>
      <c r="D15" s="9" t="s">
        <v>51</v>
      </c>
      <c r="E15" s="9" t="s">
        <v>84</v>
      </c>
      <c r="F15" s="3" t="s">
        <v>6</v>
      </c>
      <c r="G15" s="3" t="s">
        <v>47</v>
      </c>
      <c r="H15" s="3" t="s">
        <v>48</v>
      </c>
    </row>
    <row r="16" spans="1:8" x14ac:dyDescent="0.2">
      <c r="A16" s="10"/>
      <c r="B16" s="11"/>
      <c r="C16" s="11"/>
      <c r="D16" s="11"/>
      <c r="E16" s="11"/>
      <c r="F16" s="11"/>
      <c r="G16" s="11"/>
      <c r="H16" s="10"/>
    </row>
    <row r="17" spans="1:17" x14ac:dyDescent="0.2">
      <c r="A17" s="44" t="s">
        <v>11</v>
      </c>
      <c r="B17" s="13"/>
      <c r="C17" s="14"/>
      <c r="D17" s="15"/>
      <c r="E17" s="16"/>
      <c r="F17" s="16"/>
      <c r="G17" s="14"/>
      <c r="H17" s="10"/>
      <c r="O17" s="6" t="s">
        <v>162</v>
      </c>
      <c r="Q17" s="6" t="s">
        <v>192</v>
      </c>
    </row>
    <row r="18" spans="1:17" x14ac:dyDescent="0.2">
      <c r="A18" s="44"/>
      <c r="B18" s="13"/>
      <c r="C18" s="14"/>
      <c r="D18" s="15"/>
      <c r="E18" s="16"/>
      <c r="F18" s="16"/>
      <c r="G18" s="14"/>
      <c r="H18" s="10"/>
      <c r="L18" s="142" t="s">
        <v>188</v>
      </c>
      <c r="O18" s="124" t="s">
        <v>100</v>
      </c>
      <c r="Q18" s="124" t="s">
        <v>107</v>
      </c>
    </row>
    <row r="19" spans="1:17" x14ac:dyDescent="0.2">
      <c r="A19" s="79" t="s">
        <v>119</v>
      </c>
      <c r="B19" s="13"/>
      <c r="C19" s="234">
        <f>D19/B27*100</f>
        <v>0.48256275161809226</v>
      </c>
      <c r="D19" s="194">
        <v>10.012568984716953</v>
      </c>
      <c r="E19" s="149">
        <f>F19-D19</f>
        <v>0</v>
      </c>
      <c r="F19" s="149">
        <f>D19</f>
        <v>10.012568984716953</v>
      </c>
      <c r="G19" s="234">
        <f>F19/B27*100</f>
        <v>0.48256275161809226</v>
      </c>
      <c r="H19" s="18"/>
    </row>
    <row r="20" spans="1:17" x14ac:dyDescent="0.2">
      <c r="A20" s="79"/>
      <c r="B20" s="13"/>
      <c r="D20" s="194"/>
      <c r="E20" s="149"/>
      <c r="F20" s="149"/>
      <c r="G20" s="35"/>
      <c r="H20" s="18"/>
      <c r="L20" s="6" t="s">
        <v>189</v>
      </c>
      <c r="M20" s="160">
        <f>B27</f>
        <v>2074.873982947001</v>
      </c>
      <c r="O20" s="113">
        <f>M20*Residential!N58</f>
        <v>58.27235829770877</v>
      </c>
      <c r="Q20" s="234">
        <f>O20/M20*100</f>
        <v>2.8084769859103886</v>
      </c>
    </row>
    <row r="21" spans="1:17" x14ac:dyDescent="0.2">
      <c r="A21" s="63" t="s">
        <v>12</v>
      </c>
      <c r="B21" s="13"/>
      <c r="C21" s="14"/>
      <c r="D21" s="194"/>
      <c r="E21" s="149"/>
      <c r="F21" s="149"/>
      <c r="G21" s="14"/>
      <c r="H21" s="19"/>
      <c r="L21" s="6" t="s">
        <v>190</v>
      </c>
      <c r="M21" s="160">
        <f>B22+B23</f>
        <v>916.17175171512781</v>
      </c>
      <c r="O21" s="113">
        <f>O20*0.7</f>
        <v>40.790650808396137</v>
      </c>
      <c r="Q21" s="234">
        <f>O21/M21*100</f>
        <v>4.4522930042356821</v>
      </c>
    </row>
    <row r="22" spans="1:17" x14ac:dyDescent="0.2">
      <c r="A22" s="45" t="s">
        <v>18</v>
      </c>
      <c r="B22" s="83">
        <f>927.066576705018*0.986</f>
        <v>914.08764463114767</v>
      </c>
      <c r="C22" s="105">
        <f>7.534+6.5</f>
        <v>14.033999999999999</v>
      </c>
      <c r="D22" s="194">
        <f>C22*B22/100</f>
        <v>128.28306004753526</v>
      </c>
      <c r="E22" s="149">
        <f>$Q$21*B22/100</f>
        <v>40.697860254495311</v>
      </c>
      <c r="F22" s="149">
        <f>E22+D22</f>
        <v>168.98092030203057</v>
      </c>
      <c r="G22" s="105">
        <f>F22/B22*100</f>
        <v>18.486293004235684</v>
      </c>
      <c r="H22" s="19"/>
      <c r="L22" s="6" t="s">
        <v>191</v>
      </c>
      <c r="M22" s="160">
        <f>B24+B25</f>
        <v>1158.7022312318729</v>
      </c>
      <c r="O22" s="113">
        <f>O20*0.3</f>
        <v>17.48170748931263</v>
      </c>
      <c r="Q22" s="234">
        <f>O22/M22*100</f>
        <v>1.5087316670415809</v>
      </c>
    </row>
    <row r="23" spans="1:17" x14ac:dyDescent="0.2">
      <c r="A23" s="45" t="s">
        <v>78</v>
      </c>
      <c r="B23" s="83">
        <f>2.11369886813403*0.986</f>
        <v>2.0841070839801534</v>
      </c>
      <c r="C23" s="105">
        <f>7.096+6.5</f>
        <v>13.596</v>
      </c>
      <c r="D23" s="194">
        <f>C23*B23/100</f>
        <v>0.28335519913794166</v>
      </c>
      <c r="E23" s="149">
        <f>$Q$21*B23/100</f>
        <v>9.2790553900828646E-2</v>
      </c>
      <c r="F23" s="149">
        <f>E23+D23</f>
        <v>0.37614575303877029</v>
      </c>
      <c r="G23" s="105">
        <f>F23/B23*100</f>
        <v>18.048293004235681</v>
      </c>
      <c r="H23" s="19"/>
    </row>
    <row r="24" spans="1:17" x14ac:dyDescent="0.2">
      <c r="A24" s="45" t="s">
        <v>19</v>
      </c>
      <c r="B24" s="83">
        <f>1172.48115205216*0.986</f>
        <v>1156.0664159234298</v>
      </c>
      <c r="C24" s="105">
        <f>6.691+6.5</f>
        <v>13.190999999999999</v>
      </c>
      <c r="D24" s="194">
        <f>C24*B24/100</f>
        <v>152.49672092445959</v>
      </c>
      <c r="E24" s="149">
        <f>$Q$22*B24/100</f>
        <v>17.441940109069421</v>
      </c>
      <c r="F24" s="149">
        <f>E24+D24</f>
        <v>169.938661033529</v>
      </c>
      <c r="G24" s="105">
        <f>F24/B24*100</f>
        <v>14.699731667041577</v>
      </c>
      <c r="H24" s="19"/>
      <c r="M24" s="113"/>
    </row>
    <row r="25" spans="1:17" x14ac:dyDescent="0.2">
      <c r="A25" s="45" t="s">
        <v>20</v>
      </c>
      <c r="B25" s="83">
        <f>2.67324067793429*0.986</f>
        <v>2.6358153084432097</v>
      </c>
      <c r="C25" s="105">
        <f>6.335+6.5</f>
        <v>12.835000000000001</v>
      </c>
      <c r="D25" s="194">
        <f>C25*B25/100</f>
        <v>0.33830689483868598</v>
      </c>
      <c r="E25" s="149">
        <f>$Q$22*B25/100</f>
        <v>3.9767380243212427E-2</v>
      </c>
      <c r="F25" s="149">
        <f>E25+D25</f>
        <v>0.37807427508189839</v>
      </c>
      <c r="G25" s="105">
        <f>F25/B25*100</f>
        <v>14.343731667041581</v>
      </c>
      <c r="H25" s="19"/>
    </row>
    <row r="26" spans="1:17" x14ac:dyDescent="0.2">
      <c r="A26" s="104"/>
      <c r="B26" s="83"/>
      <c r="C26" s="105"/>
      <c r="D26" s="194"/>
      <c r="E26" s="149"/>
      <c r="F26" s="149"/>
      <c r="G26" s="105"/>
      <c r="H26" s="19"/>
    </row>
    <row r="27" spans="1:17" ht="13.5" thickBot="1" x14ac:dyDescent="0.25">
      <c r="A27" s="146" t="s">
        <v>14</v>
      </c>
      <c r="B27" s="166">
        <f>SUM(B22:B25)</f>
        <v>2074.873982947001</v>
      </c>
      <c r="C27" s="240">
        <f>D27/B27*100</f>
        <v>14.044901735997723</v>
      </c>
      <c r="D27" s="225">
        <f>SUM(D19:D25)</f>
        <v>291.41401205068843</v>
      </c>
      <c r="E27" s="225">
        <f>SUM(E19:E25)</f>
        <v>58.27235829770877</v>
      </c>
      <c r="F27" s="225">
        <f>SUM(F19:F25)</f>
        <v>349.68637034839719</v>
      </c>
      <c r="G27" s="242">
        <f>F27/B27*100</f>
        <v>16.853378721908111</v>
      </c>
      <c r="H27" s="106">
        <f>(G27-C27)/C27</f>
        <v>0.19996416056882294</v>
      </c>
    </row>
    <row r="28" spans="1:17" ht="13.5" thickTop="1" x14ac:dyDescent="0.2">
      <c r="A28" s="12"/>
      <c r="B28" s="157"/>
      <c r="C28" s="248"/>
      <c r="D28" s="24"/>
      <c r="E28" s="24"/>
      <c r="F28" s="24"/>
      <c r="G28" s="254"/>
      <c r="H28" s="23"/>
    </row>
    <row r="29" spans="1:17" x14ac:dyDescent="0.2">
      <c r="A29" s="12"/>
      <c r="B29" s="20"/>
      <c r="C29" s="249"/>
      <c r="D29" s="24"/>
      <c r="E29" s="24"/>
      <c r="F29" s="24"/>
      <c r="G29" s="255"/>
      <c r="H29" s="23"/>
    </row>
    <row r="30" spans="1:17" x14ac:dyDescent="0.2">
      <c r="A30" s="10" t="s">
        <v>15</v>
      </c>
      <c r="B30" s="10"/>
      <c r="C30" s="249"/>
      <c r="D30" s="24"/>
      <c r="E30" s="24"/>
      <c r="F30" s="24"/>
      <c r="G30" s="255"/>
      <c r="H30" s="24"/>
    </row>
    <row r="31" spans="1:17" x14ac:dyDescent="0.2">
      <c r="A31" s="10"/>
      <c r="B31" s="10"/>
      <c r="C31" s="249"/>
      <c r="D31" s="24"/>
      <c r="E31" s="24"/>
      <c r="F31" s="24"/>
      <c r="G31" s="255"/>
      <c r="H31" s="24"/>
    </row>
    <row r="32" spans="1:17" x14ac:dyDescent="0.2">
      <c r="A32" s="79" t="s">
        <v>119</v>
      </c>
      <c r="B32" s="83"/>
      <c r="C32" s="105">
        <f>D32/B36*100</f>
        <v>1.0939746512476769</v>
      </c>
      <c r="D32" s="194">
        <v>0.77218864638704643</v>
      </c>
      <c r="E32" s="149">
        <f>F32-D32</f>
        <v>0</v>
      </c>
      <c r="F32" s="149">
        <f>D32</f>
        <v>0.77218864638704643</v>
      </c>
      <c r="G32" s="265">
        <f>F32/B36*100</f>
        <v>1.0939746512476769</v>
      </c>
      <c r="H32" s="24"/>
    </row>
    <row r="33" spans="1:8" x14ac:dyDescent="0.2">
      <c r="A33" s="79"/>
      <c r="B33" s="172"/>
      <c r="C33" s="248"/>
      <c r="D33" s="24"/>
      <c r="E33" s="24"/>
      <c r="F33" s="24"/>
      <c r="G33" s="255"/>
      <c r="H33" s="24"/>
    </row>
    <row r="34" spans="1:8" x14ac:dyDescent="0.2">
      <c r="A34" s="63" t="s">
        <v>12</v>
      </c>
      <c r="B34" s="83">
        <f>71.5878365636*0.986</f>
        <v>70.585606851709599</v>
      </c>
      <c r="C34" s="243">
        <f>4.496+6.5</f>
        <v>10.996</v>
      </c>
      <c r="D34" s="194">
        <f>C34*B34/100</f>
        <v>7.7615933294139881</v>
      </c>
      <c r="E34" s="194">
        <f>Residential!N58*B34</f>
        <v>1.9823805237954506</v>
      </c>
      <c r="F34" s="149">
        <f>D34+E34</f>
        <v>9.7439738532094395</v>
      </c>
      <c r="G34" s="243">
        <f>F34/B34*100</f>
        <v>13.804476985910391</v>
      </c>
      <c r="H34" s="25"/>
    </row>
    <row r="35" spans="1:8" x14ac:dyDescent="0.2">
      <c r="A35" s="53"/>
      <c r="B35" s="85"/>
      <c r="C35" s="250"/>
      <c r="D35" s="194"/>
      <c r="E35" s="226"/>
      <c r="F35" s="226"/>
      <c r="G35" s="250"/>
      <c r="H35" s="25"/>
    </row>
    <row r="36" spans="1:8" ht="13.5" thickBot="1" x14ac:dyDescent="0.25">
      <c r="A36" s="146" t="s">
        <v>16</v>
      </c>
      <c r="B36" s="166">
        <f>B34</f>
        <v>70.585606851709599</v>
      </c>
      <c r="C36" s="240">
        <f>D36/B36*100</f>
        <v>12.089974651247678</v>
      </c>
      <c r="D36" s="225">
        <f>SUM(D32:D34)</f>
        <v>8.533781975801034</v>
      </c>
      <c r="E36" s="225">
        <f>SUM(E32:E34)</f>
        <v>1.9823805237954506</v>
      </c>
      <c r="F36" s="225">
        <f>SUM(F32:F34)</f>
        <v>10.516162499596486</v>
      </c>
      <c r="G36" s="240">
        <f>F36/B36*100</f>
        <v>14.89845163715807</v>
      </c>
      <c r="H36" s="148">
        <f>(G36-C36)/C36</f>
        <v>0.23229800449751639</v>
      </c>
    </row>
    <row r="37" spans="1:8" ht="13.5" thickTop="1" x14ac:dyDescent="0.2">
      <c r="A37" s="12"/>
      <c r="B37" s="25"/>
      <c r="C37" s="251"/>
      <c r="D37" s="194"/>
      <c r="E37" s="226"/>
      <c r="F37" s="149"/>
      <c r="G37" s="251"/>
      <c r="H37" s="25"/>
    </row>
    <row r="38" spans="1:8" ht="13.5" thickBot="1" x14ac:dyDescent="0.25">
      <c r="A38" s="70"/>
      <c r="B38" s="174"/>
      <c r="C38" s="252"/>
      <c r="D38" s="222"/>
      <c r="E38" s="227"/>
      <c r="F38" s="223"/>
      <c r="G38" s="252"/>
      <c r="H38" s="71"/>
    </row>
    <row r="39" spans="1:8" ht="13.5" thickBot="1" x14ac:dyDescent="0.25">
      <c r="A39" s="69" t="s">
        <v>166</v>
      </c>
      <c r="B39" s="175">
        <f>B27+B36</f>
        <v>2145.4595897987106</v>
      </c>
      <c r="C39" s="253">
        <f>(D39-(D19+D32))/B39*100</f>
        <v>13.477906448124482</v>
      </c>
      <c r="D39" s="224">
        <f>D27+D36</f>
        <v>299.94779402648948</v>
      </c>
      <c r="E39" s="224">
        <f>E27+E36</f>
        <v>60.254738821504219</v>
      </c>
      <c r="F39" s="224">
        <f>F27+F36</f>
        <v>360.20253284799367</v>
      </c>
      <c r="G39" s="253">
        <f>(F39-(F19+F32))/B39*100</f>
        <v>16.286383434034867</v>
      </c>
      <c r="H39" s="152">
        <f>(G39-C39)/C39</f>
        <v>0.20837635256781284</v>
      </c>
    </row>
    <row r="40" spans="1:8" x14ac:dyDescent="0.2">
      <c r="A40" s="53"/>
      <c r="B40" s="13"/>
      <c r="C40" s="27"/>
      <c r="D40" s="15"/>
      <c r="E40" s="16"/>
      <c r="F40" s="16"/>
      <c r="G40" s="36"/>
      <c r="H40" s="12"/>
    </row>
    <row r="41" spans="1:8" x14ac:dyDescent="0.2">
      <c r="A41" s="12"/>
      <c r="B41" s="20"/>
      <c r="C41" s="21"/>
      <c r="D41" s="112"/>
      <c r="E41" s="24"/>
      <c r="F41" s="22"/>
      <c r="G41" s="21"/>
      <c r="H41" s="23"/>
    </row>
    <row r="42" spans="1:8" x14ac:dyDescent="0.2">
      <c r="A42" s="12"/>
      <c r="B42" s="20"/>
      <c r="C42" s="21"/>
      <c r="D42" s="112"/>
      <c r="E42" s="24"/>
      <c r="F42" s="22"/>
      <c r="G42" s="21"/>
      <c r="H42" s="23"/>
    </row>
    <row r="43" spans="1:8" x14ac:dyDescent="0.2">
      <c r="A43" s="189" t="s">
        <v>127</v>
      </c>
      <c r="B43" s="20"/>
      <c r="C43" s="21"/>
      <c r="D43" s="22"/>
      <c r="E43" s="22"/>
      <c r="F43" s="22"/>
      <c r="G43" s="21"/>
      <c r="H43" s="23"/>
    </row>
    <row r="44" spans="1:8" x14ac:dyDescent="0.2">
      <c r="A44" s="31" t="s">
        <v>141</v>
      </c>
      <c r="C44" s="31"/>
      <c r="D44" s="31"/>
      <c r="E44" s="46"/>
      <c r="F44" s="31"/>
      <c r="G44" s="31"/>
      <c r="H44" s="31"/>
    </row>
    <row r="45" spans="1:8" x14ac:dyDescent="0.2">
      <c r="A45" s="31" t="s">
        <v>143</v>
      </c>
      <c r="C45" s="31"/>
      <c r="D45" s="31"/>
      <c r="E45" s="46"/>
      <c r="F45" s="31"/>
      <c r="G45" s="31"/>
      <c r="H45" s="31"/>
    </row>
    <row r="46" spans="1:8" x14ac:dyDescent="0.2">
      <c r="A46" s="189" t="s">
        <v>153</v>
      </c>
      <c r="E46" s="34"/>
    </row>
    <row r="47" spans="1:8" x14ac:dyDescent="0.2">
      <c r="A47" s="189" t="s">
        <v>150</v>
      </c>
      <c r="E47" s="34"/>
    </row>
    <row r="48" spans="1:8" x14ac:dyDescent="0.2">
      <c r="E48" s="34"/>
    </row>
    <row r="49" spans="5:5" x14ac:dyDescent="0.2">
      <c r="E49" s="34"/>
    </row>
    <row r="50" spans="5:5" x14ac:dyDescent="0.2">
      <c r="E50" s="34"/>
    </row>
    <row r="51" spans="5:5" x14ac:dyDescent="0.2">
      <c r="E51" s="34"/>
    </row>
    <row r="52" spans="5:5" x14ac:dyDescent="0.2">
      <c r="E52" s="34"/>
    </row>
    <row r="53" spans="5:5" x14ac:dyDescent="0.2">
      <c r="E53" s="34"/>
    </row>
    <row r="54" spans="5:5" x14ac:dyDescent="0.2">
      <c r="E54" s="34"/>
    </row>
    <row r="55" spans="5:5" x14ac:dyDescent="0.2">
      <c r="E55" s="34"/>
    </row>
    <row r="56" spans="5:5" x14ac:dyDescent="0.2">
      <c r="E56" s="34"/>
    </row>
    <row r="57" spans="5:5" x14ac:dyDescent="0.2">
      <c r="E57" s="34"/>
    </row>
    <row r="58" spans="5:5" x14ac:dyDescent="0.2">
      <c r="E58" s="34"/>
    </row>
    <row r="59" spans="5:5" x14ac:dyDescent="0.2">
      <c r="E59" s="34"/>
    </row>
    <row r="60" spans="5:5" x14ac:dyDescent="0.2">
      <c r="E60" s="34"/>
    </row>
    <row r="61" spans="5:5" x14ac:dyDescent="0.2">
      <c r="E61" s="34"/>
    </row>
    <row r="62" spans="5:5" x14ac:dyDescent="0.2">
      <c r="E62" s="34"/>
    </row>
    <row r="63" spans="5:5" x14ac:dyDescent="0.2">
      <c r="E63" s="34"/>
    </row>
    <row r="64" spans="5:5" x14ac:dyDescent="0.2">
      <c r="E64" s="34"/>
    </row>
    <row r="65" spans="5:5" x14ac:dyDescent="0.2">
      <c r="E65" s="34"/>
    </row>
    <row r="66" spans="5:5" x14ac:dyDescent="0.2">
      <c r="E66" s="34"/>
    </row>
    <row r="67" spans="5:5" x14ac:dyDescent="0.2">
      <c r="E67" s="34"/>
    </row>
    <row r="68" spans="5:5" x14ac:dyDescent="0.2">
      <c r="E68" s="34"/>
    </row>
    <row r="69" spans="5:5" x14ac:dyDescent="0.2">
      <c r="E69" s="34"/>
    </row>
    <row r="70" spans="5:5" x14ac:dyDescent="0.2">
      <c r="E70" s="34"/>
    </row>
    <row r="71" spans="5:5" x14ac:dyDescent="0.2">
      <c r="E71" s="34"/>
    </row>
    <row r="72" spans="5:5" x14ac:dyDescent="0.2">
      <c r="E72" s="34"/>
    </row>
    <row r="73" spans="5:5" x14ac:dyDescent="0.2">
      <c r="E73" s="34"/>
    </row>
    <row r="74" spans="5:5" x14ac:dyDescent="0.2">
      <c r="E74" s="34"/>
    </row>
    <row r="75" spans="5:5" x14ac:dyDescent="0.2">
      <c r="E75" s="34"/>
    </row>
    <row r="76" spans="5:5" x14ac:dyDescent="0.2">
      <c r="E76" s="34"/>
    </row>
    <row r="77" spans="5:5" x14ac:dyDescent="0.2">
      <c r="E77" s="34"/>
    </row>
    <row r="78" spans="5:5" x14ac:dyDescent="0.2">
      <c r="E78" s="34"/>
    </row>
    <row r="79" spans="5:5" x14ac:dyDescent="0.2">
      <c r="E79" s="34"/>
    </row>
    <row r="80" spans="5:5" x14ac:dyDescent="0.2">
      <c r="E80" s="34"/>
    </row>
    <row r="81" spans="5:5" x14ac:dyDescent="0.2">
      <c r="E81" s="34"/>
    </row>
    <row r="82" spans="5:5" x14ac:dyDescent="0.2">
      <c r="E82" s="34"/>
    </row>
    <row r="83" spans="5:5" x14ac:dyDescent="0.2">
      <c r="E83" s="34"/>
    </row>
    <row r="84" spans="5:5" x14ac:dyDescent="0.2">
      <c r="E84" s="34"/>
    </row>
    <row r="85" spans="5:5" x14ac:dyDescent="0.2">
      <c r="E85" s="34"/>
    </row>
    <row r="86" spans="5:5" x14ac:dyDescent="0.2">
      <c r="E86" s="34"/>
    </row>
    <row r="87" spans="5:5" x14ac:dyDescent="0.2">
      <c r="E87" s="34"/>
    </row>
    <row r="88" spans="5:5" x14ac:dyDescent="0.2">
      <c r="E88" s="34"/>
    </row>
    <row r="89" spans="5:5" x14ac:dyDescent="0.2">
      <c r="E89" s="34"/>
    </row>
    <row r="90" spans="5:5" x14ac:dyDescent="0.2">
      <c r="E90" s="34"/>
    </row>
    <row r="91" spans="5:5" x14ac:dyDescent="0.2">
      <c r="E91" s="34"/>
    </row>
    <row r="92" spans="5:5" x14ac:dyDescent="0.2">
      <c r="E92" s="34"/>
    </row>
    <row r="93" spans="5:5" x14ac:dyDescent="0.2">
      <c r="E93" s="34"/>
    </row>
    <row r="94" spans="5:5" x14ac:dyDescent="0.2">
      <c r="E94" s="34"/>
    </row>
    <row r="95" spans="5:5" x14ac:dyDescent="0.2">
      <c r="E95" s="34"/>
    </row>
    <row r="96" spans="5:5" x14ac:dyDescent="0.2">
      <c r="E96" s="34"/>
    </row>
    <row r="97" spans="5:5" x14ac:dyDescent="0.2">
      <c r="E97" s="34"/>
    </row>
    <row r="98" spans="5:5" x14ac:dyDescent="0.2">
      <c r="E98" s="34"/>
    </row>
    <row r="99" spans="5:5" x14ac:dyDescent="0.2">
      <c r="E99" s="34"/>
    </row>
    <row r="100" spans="5:5" x14ac:dyDescent="0.2">
      <c r="E100" s="34"/>
    </row>
    <row r="101" spans="5:5" x14ac:dyDescent="0.2">
      <c r="E101" s="34"/>
    </row>
    <row r="102" spans="5:5" x14ac:dyDescent="0.2">
      <c r="E102" s="34"/>
    </row>
    <row r="103" spans="5:5" x14ac:dyDescent="0.2">
      <c r="E103" s="34"/>
    </row>
    <row r="104" spans="5:5" x14ac:dyDescent="0.2">
      <c r="E104" s="34"/>
    </row>
    <row r="105" spans="5:5" x14ac:dyDescent="0.2">
      <c r="E105" s="34"/>
    </row>
    <row r="106" spans="5:5" x14ac:dyDescent="0.2">
      <c r="E106" s="34"/>
    </row>
    <row r="107" spans="5:5" x14ac:dyDescent="0.2">
      <c r="E107" s="34"/>
    </row>
    <row r="108" spans="5:5" x14ac:dyDescent="0.2">
      <c r="E108" s="34"/>
    </row>
    <row r="109" spans="5:5" x14ac:dyDescent="0.2">
      <c r="E109" s="34"/>
    </row>
    <row r="110" spans="5:5" x14ac:dyDescent="0.2">
      <c r="E110" s="34"/>
    </row>
    <row r="111" spans="5:5" x14ac:dyDescent="0.2">
      <c r="E111" s="34"/>
    </row>
    <row r="112" spans="5:5" x14ac:dyDescent="0.2">
      <c r="E112" s="34"/>
    </row>
    <row r="113" spans="5:5" x14ac:dyDescent="0.2">
      <c r="E113" s="34"/>
    </row>
    <row r="114" spans="5:5" x14ac:dyDescent="0.2">
      <c r="E114" s="34"/>
    </row>
    <row r="115" spans="5:5" x14ac:dyDescent="0.2">
      <c r="E115" s="34"/>
    </row>
    <row r="116" spans="5:5" x14ac:dyDescent="0.2">
      <c r="E116" s="34"/>
    </row>
    <row r="117" spans="5:5" x14ac:dyDescent="0.2">
      <c r="E117" s="34"/>
    </row>
    <row r="118" spans="5:5" x14ac:dyDescent="0.2">
      <c r="E118" s="34"/>
    </row>
    <row r="119" spans="5:5" x14ac:dyDescent="0.2">
      <c r="E119" s="34"/>
    </row>
    <row r="120" spans="5:5" x14ac:dyDescent="0.2">
      <c r="E120" s="34"/>
    </row>
    <row r="121" spans="5:5" x14ac:dyDescent="0.2">
      <c r="E121" s="34"/>
    </row>
    <row r="122" spans="5:5" x14ac:dyDescent="0.2">
      <c r="E122" s="34"/>
    </row>
    <row r="123" spans="5:5" x14ac:dyDescent="0.2">
      <c r="E123" s="34"/>
    </row>
    <row r="124" spans="5:5" x14ac:dyDescent="0.2">
      <c r="E124" s="34"/>
    </row>
    <row r="125" spans="5:5" x14ac:dyDescent="0.2">
      <c r="E125" s="34"/>
    </row>
    <row r="126" spans="5:5" x14ac:dyDescent="0.2">
      <c r="E126" s="34"/>
    </row>
    <row r="127" spans="5:5" x14ac:dyDescent="0.2">
      <c r="E127" s="34"/>
    </row>
    <row r="128" spans="5:5" x14ac:dyDescent="0.2">
      <c r="E128" s="34"/>
    </row>
    <row r="129" spans="5:5" x14ac:dyDescent="0.2">
      <c r="E129" s="34"/>
    </row>
    <row r="130" spans="5:5" x14ac:dyDescent="0.2">
      <c r="E130" s="34"/>
    </row>
    <row r="131" spans="5:5" x14ac:dyDescent="0.2">
      <c r="E131" s="34"/>
    </row>
    <row r="132" spans="5:5" x14ac:dyDescent="0.2">
      <c r="E132" s="34"/>
    </row>
    <row r="133" spans="5:5" x14ac:dyDescent="0.2">
      <c r="E133" s="34"/>
    </row>
    <row r="134" spans="5:5" x14ac:dyDescent="0.2">
      <c r="E134" s="34"/>
    </row>
    <row r="135" spans="5:5" x14ac:dyDescent="0.2">
      <c r="E135" s="34"/>
    </row>
    <row r="136" spans="5:5" x14ac:dyDescent="0.2">
      <c r="E136" s="34"/>
    </row>
    <row r="137" spans="5:5" x14ac:dyDescent="0.2">
      <c r="E137" s="34"/>
    </row>
    <row r="138" spans="5:5" x14ac:dyDescent="0.2">
      <c r="E138" s="34"/>
    </row>
    <row r="139" spans="5:5" x14ac:dyDescent="0.2">
      <c r="E139" s="34"/>
    </row>
    <row r="140" spans="5:5" x14ac:dyDescent="0.2">
      <c r="E140" s="34"/>
    </row>
    <row r="141" spans="5:5" x14ac:dyDescent="0.2">
      <c r="E141" s="34"/>
    </row>
    <row r="142" spans="5:5" x14ac:dyDescent="0.2">
      <c r="E142" s="34"/>
    </row>
    <row r="143" spans="5:5" x14ac:dyDescent="0.2">
      <c r="E143" s="34"/>
    </row>
    <row r="144" spans="5:5" x14ac:dyDescent="0.2">
      <c r="E144" s="34"/>
    </row>
    <row r="145" spans="5:5" x14ac:dyDescent="0.2">
      <c r="E145" s="34"/>
    </row>
    <row r="146" spans="5:5" x14ac:dyDescent="0.2">
      <c r="E146" s="34"/>
    </row>
    <row r="147" spans="5:5" x14ac:dyDescent="0.2">
      <c r="E147" s="34"/>
    </row>
    <row r="148" spans="5:5" x14ac:dyDescent="0.2">
      <c r="E148" s="34"/>
    </row>
    <row r="149" spans="5:5" x14ac:dyDescent="0.2">
      <c r="E149" s="34"/>
    </row>
    <row r="150" spans="5:5" x14ac:dyDescent="0.2">
      <c r="E150" s="34"/>
    </row>
    <row r="151" spans="5:5" x14ac:dyDescent="0.2">
      <c r="E151" s="34"/>
    </row>
    <row r="152" spans="5:5" x14ac:dyDescent="0.2">
      <c r="E152" s="34"/>
    </row>
    <row r="153" spans="5:5" x14ac:dyDescent="0.2">
      <c r="E153" s="34"/>
    </row>
    <row r="154" spans="5:5" x14ac:dyDescent="0.2">
      <c r="E154" s="34"/>
    </row>
    <row r="155" spans="5:5" x14ac:dyDescent="0.2">
      <c r="E155" s="34"/>
    </row>
    <row r="156" spans="5:5" x14ac:dyDescent="0.2">
      <c r="E156" s="34"/>
    </row>
    <row r="157" spans="5:5" x14ac:dyDescent="0.2">
      <c r="E157" s="34"/>
    </row>
    <row r="158" spans="5:5" x14ac:dyDescent="0.2">
      <c r="E158" s="34"/>
    </row>
    <row r="159" spans="5:5" x14ac:dyDescent="0.2">
      <c r="E159" s="34"/>
    </row>
    <row r="160" spans="5:5" x14ac:dyDescent="0.2">
      <c r="E160" s="34"/>
    </row>
    <row r="161" spans="5:5" x14ac:dyDescent="0.2">
      <c r="E161" s="34"/>
    </row>
    <row r="162" spans="5:5" x14ac:dyDescent="0.2">
      <c r="E162" s="34"/>
    </row>
    <row r="163" spans="5:5" x14ac:dyDescent="0.2">
      <c r="E163" s="34"/>
    </row>
    <row r="164" spans="5:5" x14ac:dyDescent="0.2">
      <c r="E164" s="34"/>
    </row>
    <row r="165" spans="5:5" x14ac:dyDescent="0.2">
      <c r="E165" s="34"/>
    </row>
    <row r="166" spans="5:5" x14ac:dyDescent="0.2">
      <c r="E166" s="34"/>
    </row>
    <row r="167" spans="5:5" x14ac:dyDescent="0.2">
      <c r="E167" s="34"/>
    </row>
    <row r="168" spans="5:5" x14ac:dyDescent="0.2">
      <c r="E168" s="34"/>
    </row>
    <row r="169" spans="5:5" x14ac:dyDescent="0.2">
      <c r="E169" s="34"/>
    </row>
    <row r="170" spans="5:5" x14ac:dyDescent="0.2">
      <c r="E170" s="34"/>
    </row>
    <row r="171" spans="5:5" x14ac:dyDescent="0.2">
      <c r="E171" s="34"/>
    </row>
    <row r="172" spans="5:5" x14ac:dyDescent="0.2">
      <c r="E172" s="34"/>
    </row>
    <row r="173" spans="5:5" x14ac:dyDescent="0.2">
      <c r="E173" s="34"/>
    </row>
    <row r="174" spans="5:5" x14ac:dyDescent="0.2">
      <c r="E174" s="34"/>
    </row>
    <row r="175" spans="5:5" x14ac:dyDescent="0.2">
      <c r="E175" s="34"/>
    </row>
    <row r="176" spans="5:5" x14ac:dyDescent="0.2">
      <c r="E176" s="34"/>
    </row>
    <row r="177" spans="5:5" x14ac:dyDescent="0.2">
      <c r="E177" s="34"/>
    </row>
    <row r="178" spans="5:5" x14ac:dyDescent="0.2">
      <c r="E178" s="34"/>
    </row>
    <row r="179" spans="5:5" x14ac:dyDescent="0.2">
      <c r="E179" s="34"/>
    </row>
    <row r="180" spans="5:5" x14ac:dyDescent="0.2">
      <c r="E180" s="34"/>
    </row>
    <row r="181" spans="5:5" x14ac:dyDescent="0.2">
      <c r="E181" s="34"/>
    </row>
    <row r="182" spans="5:5" x14ac:dyDescent="0.2">
      <c r="E182" s="34"/>
    </row>
    <row r="183" spans="5:5" x14ac:dyDescent="0.2">
      <c r="E183" s="34"/>
    </row>
    <row r="184" spans="5:5" x14ac:dyDescent="0.2">
      <c r="E184" s="34"/>
    </row>
    <row r="185" spans="5:5" x14ac:dyDescent="0.2">
      <c r="E185" s="34"/>
    </row>
    <row r="186" spans="5:5" x14ac:dyDescent="0.2">
      <c r="E186" s="34"/>
    </row>
    <row r="187" spans="5:5" x14ac:dyDescent="0.2">
      <c r="E187" s="34"/>
    </row>
    <row r="188" spans="5:5" x14ac:dyDescent="0.2">
      <c r="E188" s="34"/>
    </row>
    <row r="189" spans="5:5" x14ac:dyDescent="0.2">
      <c r="E189" s="34"/>
    </row>
    <row r="190" spans="5:5" x14ac:dyDescent="0.2">
      <c r="E190" s="34"/>
    </row>
    <row r="191" spans="5:5" x14ac:dyDescent="0.2">
      <c r="E191" s="34"/>
    </row>
    <row r="192" spans="5:5" x14ac:dyDescent="0.2">
      <c r="E192" s="34"/>
    </row>
    <row r="193" spans="5:5" x14ac:dyDescent="0.2">
      <c r="E193" s="34"/>
    </row>
    <row r="194" spans="5:5" x14ac:dyDescent="0.2">
      <c r="E194" s="34"/>
    </row>
    <row r="195" spans="5:5" x14ac:dyDescent="0.2">
      <c r="E195" s="34"/>
    </row>
    <row r="196" spans="5:5" x14ac:dyDescent="0.2">
      <c r="E196" s="34"/>
    </row>
    <row r="197" spans="5:5" x14ac:dyDescent="0.2">
      <c r="E197" s="34"/>
    </row>
    <row r="198" spans="5:5" x14ac:dyDescent="0.2">
      <c r="E198" s="34"/>
    </row>
    <row r="199" spans="5:5" x14ac:dyDescent="0.2">
      <c r="E199" s="34"/>
    </row>
    <row r="200" spans="5:5" x14ac:dyDescent="0.2">
      <c r="E200" s="34"/>
    </row>
    <row r="201" spans="5:5" x14ac:dyDescent="0.2">
      <c r="E201" s="34"/>
    </row>
    <row r="202" spans="5:5" x14ac:dyDescent="0.2">
      <c r="E202" s="34"/>
    </row>
    <row r="203" spans="5:5" x14ac:dyDescent="0.2">
      <c r="E203" s="34"/>
    </row>
    <row r="204" spans="5:5" x14ac:dyDescent="0.2">
      <c r="E204" s="34"/>
    </row>
    <row r="205" spans="5:5" x14ac:dyDescent="0.2">
      <c r="E205" s="34"/>
    </row>
    <row r="206" spans="5:5" x14ac:dyDescent="0.2">
      <c r="E206" s="34"/>
    </row>
    <row r="207" spans="5:5" x14ac:dyDescent="0.2">
      <c r="E207" s="34"/>
    </row>
    <row r="208" spans="5:5" x14ac:dyDescent="0.2">
      <c r="E208" s="34"/>
    </row>
    <row r="209" spans="5:5" x14ac:dyDescent="0.2">
      <c r="E209" s="34"/>
    </row>
    <row r="210" spans="5:5" x14ac:dyDescent="0.2">
      <c r="E210" s="34"/>
    </row>
    <row r="211" spans="5:5" x14ac:dyDescent="0.2">
      <c r="E211" s="34"/>
    </row>
    <row r="212" spans="5:5" x14ac:dyDescent="0.2">
      <c r="E212" s="34"/>
    </row>
    <row r="213" spans="5:5" x14ac:dyDescent="0.2">
      <c r="E213" s="34"/>
    </row>
    <row r="214" spans="5:5" x14ac:dyDescent="0.2">
      <c r="E214" s="34"/>
    </row>
    <row r="215" spans="5:5" x14ac:dyDescent="0.2">
      <c r="E215" s="34"/>
    </row>
    <row r="216" spans="5:5" x14ac:dyDescent="0.2">
      <c r="E216" s="34"/>
    </row>
    <row r="217" spans="5:5" x14ac:dyDescent="0.2">
      <c r="E217" s="34"/>
    </row>
    <row r="218" spans="5:5" x14ac:dyDescent="0.2">
      <c r="E218" s="34"/>
    </row>
    <row r="219" spans="5:5" x14ac:dyDescent="0.2">
      <c r="E219" s="34"/>
    </row>
    <row r="220" spans="5:5" x14ac:dyDescent="0.2">
      <c r="E220" s="34"/>
    </row>
    <row r="221" spans="5:5" x14ac:dyDescent="0.2">
      <c r="E221" s="34"/>
    </row>
    <row r="222" spans="5:5" x14ac:dyDescent="0.2">
      <c r="E222" s="34"/>
    </row>
    <row r="223" spans="5:5" x14ac:dyDescent="0.2">
      <c r="E223" s="34"/>
    </row>
    <row r="224" spans="5:5" x14ac:dyDescent="0.2">
      <c r="E224" s="34"/>
    </row>
    <row r="225" spans="5:5" x14ac:dyDescent="0.2">
      <c r="E225" s="34"/>
    </row>
    <row r="226" spans="5:5" x14ac:dyDescent="0.2">
      <c r="E226" s="34"/>
    </row>
    <row r="227" spans="5:5" x14ac:dyDescent="0.2">
      <c r="E227" s="34"/>
    </row>
    <row r="228" spans="5:5" x14ac:dyDescent="0.2">
      <c r="E228" s="34"/>
    </row>
    <row r="229" spans="5:5" x14ac:dyDescent="0.2">
      <c r="E229" s="34"/>
    </row>
    <row r="230" spans="5:5" x14ac:dyDescent="0.2">
      <c r="E230" s="34"/>
    </row>
    <row r="231" spans="5:5" x14ac:dyDescent="0.2">
      <c r="E231" s="34"/>
    </row>
    <row r="232" spans="5:5" x14ac:dyDescent="0.2">
      <c r="E232" s="34"/>
    </row>
    <row r="233" spans="5:5" x14ac:dyDescent="0.2">
      <c r="E233" s="34"/>
    </row>
    <row r="234" spans="5:5" x14ac:dyDescent="0.2">
      <c r="E234" s="34"/>
    </row>
    <row r="235" spans="5:5" x14ac:dyDescent="0.2">
      <c r="E235" s="34"/>
    </row>
    <row r="236" spans="5:5" x14ac:dyDescent="0.2">
      <c r="E236" s="34"/>
    </row>
    <row r="237" spans="5:5" x14ac:dyDescent="0.2">
      <c r="E237" s="34"/>
    </row>
    <row r="238" spans="5:5" x14ac:dyDescent="0.2">
      <c r="E238" s="34"/>
    </row>
    <row r="239" spans="5:5" x14ac:dyDescent="0.2">
      <c r="E239" s="34"/>
    </row>
    <row r="240" spans="5:5" x14ac:dyDescent="0.2">
      <c r="E240" s="34"/>
    </row>
    <row r="241" spans="5:5" x14ac:dyDescent="0.2">
      <c r="E241" s="34"/>
    </row>
    <row r="242" spans="5:5" x14ac:dyDescent="0.2">
      <c r="E242" s="34"/>
    </row>
    <row r="243" spans="5:5" x14ac:dyDescent="0.2">
      <c r="E243" s="34"/>
    </row>
    <row r="244" spans="5:5" x14ac:dyDescent="0.2">
      <c r="E244" s="34"/>
    </row>
    <row r="245" spans="5:5" x14ac:dyDescent="0.2">
      <c r="E245" s="34"/>
    </row>
    <row r="246" spans="5:5" x14ac:dyDescent="0.2">
      <c r="E246" s="34"/>
    </row>
    <row r="247" spans="5:5" x14ac:dyDescent="0.2">
      <c r="E247" s="34"/>
    </row>
    <row r="248" spans="5:5" x14ac:dyDescent="0.2">
      <c r="E248" s="34"/>
    </row>
    <row r="249" spans="5:5" x14ac:dyDescent="0.2">
      <c r="E249" s="34"/>
    </row>
    <row r="250" spans="5:5" x14ac:dyDescent="0.2">
      <c r="E250" s="34"/>
    </row>
    <row r="251" spans="5:5" x14ac:dyDescent="0.2">
      <c r="E251" s="34"/>
    </row>
    <row r="252" spans="5:5" x14ac:dyDescent="0.2">
      <c r="E252" s="34"/>
    </row>
    <row r="253" spans="5:5" x14ac:dyDescent="0.2">
      <c r="E253" s="34"/>
    </row>
    <row r="254" spans="5:5" x14ac:dyDescent="0.2">
      <c r="E254" s="34"/>
    </row>
    <row r="255" spans="5:5" x14ac:dyDescent="0.2">
      <c r="E255" s="34"/>
    </row>
    <row r="256" spans="5:5" x14ac:dyDescent="0.2">
      <c r="E256" s="34"/>
    </row>
    <row r="257" spans="5:5" x14ac:dyDescent="0.2">
      <c r="E257" s="34"/>
    </row>
    <row r="258" spans="5:5" x14ac:dyDescent="0.2">
      <c r="E258" s="34"/>
    </row>
    <row r="259" spans="5:5" x14ac:dyDescent="0.2">
      <c r="E259" s="34"/>
    </row>
    <row r="260" spans="5:5" x14ac:dyDescent="0.2">
      <c r="E260" s="34"/>
    </row>
    <row r="261" spans="5:5" x14ac:dyDescent="0.2">
      <c r="E261" s="34"/>
    </row>
    <row r="262" spans="5:5" x14ac:dyDescent="0.2">
      <c r="E262" s="34"/>
    </row>
    <row r="263" spans="5:5" x14ac:dyDescent="0.2">
      <c r="E263" s="34"/>
    </row>
    <row r="264" spans="5:5" x14ac:dyDescent="0.2">
      <c r="E264" s="34"/>
    </row>
    <row r="265" spans="5:5" x14ac:dyDescent="0.2">
      <c r="E265" s="34"/>
    </row>
    <row r="266" spans="5:5" x14ac:dyDescent="0.2">
      <c r="E266" s="34"/>
    </row>
    <row r="267" spans="5:5" x14ac:dyDescent="0.2">
      <c r="E267" s="34"/>
    </row>
    <row r="268" spans="5:5" x14ac:dyDescent="0.2">
      <c r="E268" s="34"/>
    </row>
    <row r="269" spans="5:5" x14ac:dyDescent="0.2">
      <c r="E269" s="34"/>
    </row>
    <row r="270" spans="5:5" x14ac:dyDescent="0.2">
      <c r="E270" s="34"/>
    </row>
    <row r="271" spans="5:5" x14ac:dyDescent="0.2">
      <c r="E271" s="34"/>
    </row>
    <row r="272" spans="5:5" x14ac:dyDescent="0.2">
      <c r="E272" s="34"/>
    </row>
    <row r="273" spans="5:5" x14ac:dyDescent="0.2">
      <c r="E273" s="34"/>
    </row>
    <row r="274" spans="5:5" x14ac:dyDescent="0.2">
      <c r="E274" s="34"/>
    </row>
    <row r="275" spans="5:5" x14ac:dyDescent="0.2">
      <c r="E275" s="34"/>
    </row>
    <row r="276" spans="5:5" x14ac:dyDescent="0.2">
      <c r="E276" s="34"/>
    </row>
    <row r="277" spans="5:5" x14ac:dyDescent="0.2">
      <c r="E277" s="34"/>
    </row>
    <row r="278" spans="5:5" x14ac:dyDescent="0.2">
      <c r="E278" s="34"/>
    </row>
    <row r="279" spans="5:5" x14ac:dyDescent="0.2">
      <c r="E279" s="34"/>
    </row>
    <row r="280" spans="5:5" x14ac:dyDescent="0.2">
      <c r="E280" s="34"/>
    </row>
    <row r="281" spans="5:5" x14ac:dyDescent="0.2">
      <c r="E281" s="34"/>
    </row>
    <row r="282" spans="5:5" x14ac:dyDescent="0.2">
      <c r="E282" s="34"/>
    </row>
    <row r="283" spans="5:5" x14ac:dyDescent="0.2">
      <c r="E283" s="34"/>
    </row>
    <row r="284" spans="5:5" x14ac:dyDescent="0.2">
      <c r="E284" s="34"/>
    </row>
    <row r="285" spans="5:5" x14ac:dyDescent="0.2">
      <c r="E285" s="34"/>
    </row>
    <row r="286" spans="5:5" x14ac:dyDescent="0.2">
      <c r="E286" s="34"/>
    </row>
    <row r="287" spans="5:5" x14ac:dyDescent="0.2">
      <c r="E287" s="34"/>
    </row>
    <row r="288" spans="5:5" x14ac:dyDescent="0.2">
      <c r="E288" s="34"/>
    </row>
    <row r="289" spans="5:5" x14ac:dyDescent="0.2">
      <c r="E289" s="34"/>
    </row>
    <row r="290" spans="5:5" x14ac:dyDescent="0.2">
      <c r="E290" s="34"/>
    </row>
    <row r="291" spans="5:5" x14ac:dyDescent="0.2">
      <c r="E291" s="34"/>
    </row>
    <row r="292" spans="5:5" x14ac:dyDescent="0.2">
      <c r="E292" s="34"/>
    </row>
    <row r="293" spans="5:5" x14ac:dyDescent="0.2">
      <c r="E293" s="34"/>
    </row>
    <row r="294" spans="5:5" x14ac:dyDescent="0.2">
      <c r="E294" s="34"/>
    </row>
    <row r="295" spans="5:5" x14ac:dyDescent="0.2">
      <c r="E295" s="34"/>
    </row>
    <row r="296" spans="5:5" x14ac:dyDescent="0.2">
      <c r="E296" s="34"/>
    </row>
    <row r="297" spans="5:5" x14ac:dyDescent="0.2">
      <c r="E297" s="34"/>
    </row>
    <row r="298" spans="5:5" x14ac:dyDescent="0.2">
      <c r="E298" s="34"/>
    </row>
    <row r="299" spans="5:5" x14ac:dyDescent="0.2">
      <c r="E299" s="34"/>
    </row>
    <row r="300" spans="5:5" x14ac:dyDescent="0.2">
      <c r="E300" s="34"/>
    </row>
    <row r="301" spans="5:5" x14ac:dyDescent="0.2">
      <c r="E301" s="34"/>
    </row>
    <row r="302" spans="5:5" x14ac:dyDescent="0.2">
      <c r="E302" s="34"/>
    </row>
    <row r="303" spans="5:5" x14ac:dyDescent="0.2">
      <c r="E303" s="34"/>
    </row>
    <row r="304" spans="5:5" x14ac:dyDescent="0.2">
      <c r="E304" s="34"/>
    </row>
    <row r="305" spans="5:5" x14ac:dyDescent="0.2">
      <c r="E305" s="34"/>
    </row>
    <row r="306" spans="5:5" x14ac:dyDescent="0.2">
      <c r="E306" s="34"/>
    </row>
    <row r="307" spans="5:5" x14ac:dyDescent="0.2">
      <c r="E307" s="34"/>
    </row>
    <row r="308" spans="5:5" x14ac:dyDescent="0.2">
      <c r="E308" s="34"/>
    </row>
    <row r="309" spans="5:5" x14ac:dyDescent="0.2">
      <c r="E309" s="34"/>
    </row>
    <row r="310" spans="5:5" x14ac:dyDescent="0.2">
      <c r="E310" s="34"/>
    </row>
    <row r="311" spans="5:5" x14ac:dyDescent="0.2">
      <c r="E311" s="34"/>
    </row>
    <row r="312" spans="5:5" x14ac:dyDescent="0.2">
      <c r="E312" s="34"/>
    </row>
    <row r="313" spans="5:5" x14ac:dyDescent="0.2">
      <c r="E313" s="34"/>
    </row>
    <row r="314" spans="5:5" x14ac:dyDescent="0.2">
      <c r="E314" s="34"/>
    </row>
    <row r="315" spans="5:5" x14ac:dyDescent="0.2">
      <c r="E315" s="34"/>
    </row>
    <row r="316" spans="5:5" x14ac:dyDescent="0.2">
      <c r="E316" s="34"/>
    </row>
    <row r="317" spans="5:5" x14ac:dyDescent="0.2">
      <c r="E317" s="34"/>
    </row>
    <row r="318" spans="5:5" x14ac:dyDescent="0.2">
      <c r="E318" s="34"/>
    </row>
    <row r="319" spans="5:5" x14ac:dyDescent="0.2">
      <c r="E319" s="34"/>
    </row>
    <row r="320" spans="5:5" x14ac:dyDescent="0.2">
      <c r="E320" s="34"/>
    </row>
    <row r="321" spans="5:5" x14ac:dyDescent="0.2">
      <c r="E321" s="34"/>
    </row>
    <row r="322" spans="5:5" x14ac:dyDescent="0.2">
      <c r="E322" s="34"/>
    </row>
    <row r="323" spans="5:5" x14ac:dyDescent="0.2">
      <c r="E323" s="34"/>
    </row>
    <row r="324" spans="5:5" x14ac:dyDescent="0.2">
      <c r="E324" s="34"/>
    </row>
    <row r="325" spans="5:5" x14ac:dyDescent="0.2">
      <c r="E325" s="34"/>
    </row>
    <row r="326" spans="5:5" x14ac:dyDescent="0.2">
      <c r="E326" s="34"/>
    </row>
    <row r="327" spans="5:5" x14ac:dyDescent="0.2">
      <c r="E327" s="34"/>
    </row>
    <row r="328" spans="5:5" x14ac:dyDescent="0.2">
      <c r="E328" s="34"/>
    </row>
    <row r="329" spans="5:5" x14ac:dyDescent="0.2">
      <c r="E329" s="34"/>
    </row>
    <row r="330" spans="5:5" x14ac:dyDescent="0.2">
      <c r="E330" s="34"/>
    </row>
    <row r="331" spans="5:5" x14ac:dyDescent="0.2">
      <c r="E331" s="34"/>
    </row>
    <row r="332" spans="5:5" x14ac:dyDescent="0.2">
      <c r="E332" s="34"/>
    </row>
    <row r="333" spans="5:5" x14ac:dyDescent="0.2">
      <c r="E333" s="34"/>
    </row>
    <row r="334" spans="5:5" x14ac:dyDescent="0.2">
      <c r="E334" s="34"/>
    </row>
    <row r="335" spans="5:5" x14ac:dyDescent="0.2">
      <c r="E335" s="34"/>
    </row>
    <row r="336" spans="5:5" x14ac:dyDescent="0.2">
      <c r="E336" s="34"/>
    </row>
    <row r="337" spans="5:5" x14ac:dyDescent="0.2">
      <c r="E337" s="34"/>
    </row>
    <row r="338" spans="5:5" x14ac:dyDescent="0.2">
      <c r="E338" s="34"/>
    </row>
    <row r="339" spans="5:5" x14ac:dyDescent="0.2">
      <c r="E339" s="34"/>
    </row>
    <row r="340" spans="5:5" x14ac:dyDescent="0.2">
      <c r="E340" s="34"/>
    </row>
    <row r="341" spans="5:5" x14ac:dyDescent="0.2">
      <c r="E341" s="34"/>
    </row>
    <row r="342" spans="5:5" x14ac:dyDescent="0.2">
      <c r="E342" s="34"/>
    </row>
    <row r="343" spans="5:5" x14ac:dyDescent="0.2">
      <c r="E343" s="34"/>
    </row>
    <row r="344" spans="5:5" x14ac:dyDescent="0.2">
      <c r="E344" s="34"/>
    </row>
    <row r="345" spans="5:5" x14ac:dyDescent="0.2">
      <c r="E345" s="34"/>
    </row>
    <row r="346" spans="5:5" x14ac:dyDescent="0.2">
      <c r="E346" s="34"/>
    </row>
    <row r="347" spans="5:5" x14ac:dyDescent="0.2">
      <c r="E347" s="34"/>
    </row>
    <row r="348" spans="5:5" x14ac:dyDescent="0.2">
      <c r="E348" s="34"/>
    </row>
    <row r="349" spans="5:5" x14ac:dyDescent="0.2">
      <c r="E349" s="34"/>
    </row>
    <row r="350" spans="5:5" x14ac:dyDescent="0.2">
      <c r="E350" s="34"/>
    </row>
    <row r="351" spans="5:5" x14ac:dyDescent="0.2">
      <c r="E351" s="34"/>
    </row>
    <row r="352" spans="5:5" x14ac:dyDescent="0.2">
      <c r="E352" s="34"/>
    </row>
    <row r="353" spans="5:5" x14ac:dyDescent="0.2">
      <c r="E353" s="34"/>
    </row>
    <row r="354" spans="5:5" x14ac:dyDescent="0.2">
      <c r="E354" s="34"/>
    </row>
    <row r="355" spans="5:5" x14ac:dyDescent="0.2">
      <c r="E355" s="34"/>
    </row>
    <row r="356" spans="5:5" x14ac:dyDescent="0.2">
      <c r="E356" s="34"/>
    </row>
    <row r="357" spans="5:5" x14ac:dyDescent="0.2">
      <c r="E357" s="34"/>
    </row>
    <row r="358" spans="5:5" x14ac:dyDescent="0.2">
      <c r="E358" s="34"/>
    </row>
    <row r="359" spans="5:5" x14ac:dyDescent="0.2">
      <c r="E359" s="34"/>
    </row>
    <row r="360" spans="5:5" x14ac:dyDescent="0.2">
      <c r="E360" s="34"/>
    </row>
    <row r="361" spans="5:5" x14ac:dyDescent="0.2">
      <c r="E361" s="34"/>
    </row>
    <row r="362" spans="5:5" x14ac:dyDescent="0.2">
      <c r="E362" s="34"/>
    </row>
    <row r="363" spans="5:5" x14ac:dyDescent="0.2">
      <c r="E363" s="34"/>
    </row>
    <row r="364" spans="5:5" x14ac:dyDescent="0.2">
      <c r="E364" s="34"/>
    </row>
    <row r="365" spans="5:5" x14ac:dyDescent="0.2">
      <c r="E365" s="34"/>
    </row>
    <row r="366" spans="5:5" x14ac:dyDescent="0.2">
      <c r="E366" s="34"/>
    </row>
    <row r="367" spans="5:5" x14ac:dyDescent="0.2">
      <c r="E367" s="34"/>
    </row>
    <row r="368" spans="5:5" x14ac:dyDescent="0.2">
      <c r="E368" s="34"/>
    </row>
    <row r="369" spans="5:5" x14ac:dyDescent="0.2">
      <c r="E369" s="34"/>
    </row>
    <row r="370" spans="5:5" x14ac:dyDescent="0.2">
      <c r="E370" s="34"/>
    </row>
    <row r="371" spans="5:5" x14ac:dyDescent="0.2">
      <c r="E371" s="34"/>
    </row>
    <row r="372" spans="5:5" x14ac:dyDescent="0.2">
      <c r="E372" s="34"/>
    </row>
    <row r="373" spans="5:5" x14ac:dyDescent="0.2">
      <c r="E373" s="34"/>
    </row>
    <row r="374" spans="5:5" x14ac:dyDescent="0.2">
      <c r="E374" s="34"/>
    </row>
    <row r="375" spans="5:5" x14ac:dyDescent="0.2">
      <c r="E375" s="34"/>
    </row>
    <row r="376" spans="5:5" x14ac:dyDescent="0.2">
      <c r="E376" s="34"/>
    </row>
    <row r="377" spans="5:5" x14ac:dyDescent="0.2">
      <c r="E377" s="34"/>
    </row>
    <row r="378" spans="5:5" x14ac:dyDescent="0.2">
      <c r="E378" s="34"/>
    </row>
    <row r="379" spans="5:5" x14ac:dyDescent="0.2">
      <c r="E379" s="34"/>
    </row>
    <row r="380" spans="5:5" x14ac:dyDescent="0.2">
      <c r="E380" s="34"/>
    </row>
    <row r="381" spans="5:5" x14ac:dyDescent="0.2">
      <c r="E381" s="34"/>
    </row>
    <row r="382" spans="5:5" x14ac:dyDescent="0.2">
      <c r="E382" s="34"/>
    </row>
    <row r="383" spans="5:5" x14ac:dyDescent="0.2">
      <c r="E383" s="34"/>
    </row>
    <row r="384" spans="5:5" x14ac:dyDescent="0.2">
      <c r="E384" s="34"/>
    </row>
    <row r="385" spans="5:5" x14ac:dyDescent="0.2">
      <c r="E385" s="34"/>
    </row>
    <row r="386" spans="5:5" x14ac:dyDescent="0.2">
      <c r="E386" s="34"/>
    </row>
    <row r="387" spans="5:5" x14ac:dyDescent="0.2">
      <c r="E387" s="34"/>
    </row>
    <row r="388" spans="5:5" x14ac:dyDescent="0.2">
      <c r="E388" s="34"/>
    </row>
    <row r="389" spans="5:5" x14ac:dyDescent="0.2">
      <c r="E389" s="34"/>
    </row>
    <row r="390" spans="5:5" x14ac:dyDescent="0.2">
      <c r="E390" s="34"/>
    </row>
    <row r="391" spans="5:5" x14ac:dyDescent="0.2">
      <c r="E391" s="34"/>
    </row>
    <row r="392" spans="5:5" x14ac:dyDescent="0.2">
      <c r="E392" s="34"/>
    </row>
    <row r="393" spans="5:5" x14ac:dyDescent="0.2">
      <c r="E393" s="34"/>
    </row>
    <row r="394" spans="5:5" x14ac:dyDescent="0.2">
      <c r="E394" s="34"/>
    </row>
    <row r="395" spans="5:5" x14ac:dyDescent="0.2">
      <c r="E395" s="34"/>
    </row>
    <row r="396" spans="5:5" x14ac:dyDescent="0.2">
      <c r="E396" s="34"/>
    </row>
    <row r="397" spans="5:5" x14ac:dyDescent="0.2">
      <c r="E397" s="34"/>
    </row>
    <row r="398" spans="5:5" x14ac:dyDescent="0.2">
      <c r="E398" s="34"/>
    </row>
    <row r="399" spans="5:5" x14ac:dyDescent="0.2">
      <c r="E399" s="34"/>
    </row>
    <row r="400" spans="5:5" x14ac:dyDescent="0.2">
      <c r="E400" s="34"/>
    </row>
    <row r="401" spans="5:5" x14ac:dyDescent="0.2">
      <c r="E401" s="34"/>
    </row>
    <row r="402" spans="5:5" x14ac:dyDescent="0.2">
      <c r="E402" s="34"/>
    </row>
    <row r="403" spans="5:5" x14ac:dyDescent="0.2">
      <c r="E403" s="34"/>
    </row>
    <row r="404" spans="5:5" x14ac:dyDescent="0.2">
      <c r="E404" s="34"/>
    </row>
    <row r="405" spans="5:5" x14ac:dyDescent="0.2">
      <c r="E405" s="34"/>
    </row>
    <row r="406" spans="5:5" x14ac:dyDescent="0.2">
      <c r="E406" s="34"/>
    </row>
    <row r="407" spans="5:5" x14ac:dyDescent="0.2">
      <c r="E407" s="34"/>
    </row>
    <row r="408" spans="5:5" x14ac:dyDescent="0.2">
      <c r="E408" s="34"/>
    </row>
    <row r="409" spans="5:5" x14ac:dyDescent="0.2">
      <c r="E409" s="34"/>
    </row>
    <row r="410" spans="5:5" x14ac:dyDescent="0.2">
      <c r="E410" s="34"/>
    </row>
    <row r="411" spans="5:5" x14ac:dyDescent="0.2">
      <c r="E411" s="34"/>
    </row>
    <row r="412" spans="5:5" x14ac:dyDescent="0.2">
      <c r="E412" s="34"/>
    </row>
    <row r="413" spans="5:5" x14ac:dyDescent="0.2">
      <c r="E413" s="34"/>
    </row>
    <row r="414" spans="5:5" x14ac:dyDescent="0.2">
      <c r="E414" s="34"/>
    </row>
    <row r="415" spans="5:5" x14ac:dyDescent="0.2">
      <c r="E415" s="34"/>
    </row>
    <row r="416" spans="5:5" x14ac:dyDescent="0.2">
      <c r="E416" s="34"/>
    </row>
    <row r="417" spans="5:5" x14ac:dyDescent="0.2">
      <c r="E417" s="34"/>
    </row>
    <row r="418" spans="5:5" x14ac:dyDescent="0.2">
      <c r="E418" s="34"/>
    </row>
    <row r="419" spans="5:5" x14ac:dyDescent="0.2">
      <c r="E419" s="34"/>
    </row>
    <row r="420" spans="5:5" x14ac:dyDescent="0.2">
      <c r="E420" s="34"/>
    </row>
    <row r="421" spans="5:5" x14ac:dyDescent="0.2">
      <c r="E421" s="34"/>
    </row>
    <row r="422" spans="5:5" x14ac:dyDescent="0.2">
      <c r="E422" s="34"/>
    </row>
    <row r="423" spans="5:5" x14ac:dyDescent="0.2">
      <c r="E423" s="34"/>
    </row>
    <row r="424" spans="5:5" x14ac:dyDescent="0.2">
      <c r="E424" s="34"/>
    </row>
    <row r="425" spans="5:5" x14ac:dyDescent="0.2">
      <c r="E425" s="34"/>
    </row>
    <row r="426" spans="5:5" x14ac:dyDescent="0.2">
      <c r="E426" s="34"/>
    </row>
    <row r="427" spans="5:5" x14ac:dyDescent="0.2">
      <c r="E427" s="34"/>
    </row>
    <row r="428" spans="5:5" x14ac:dyDescent="0.2">
      <c r="E428" s="34"/>
    </row>
    <row r="429" spans="5:5" x14ac:dyDescent="0.2">
      <c r="E429" s="34"/>
    </row>
    <row r="430" spans="5:5" x14ac:dyDescent="0.2">
      <c r="E430" s="34"/>
    </row>
    <row r="431" spans="5:5" x14ac:dyDescent="0.2">
      <c r="E431" s="34"/>
    </row>
    <row r="432" spans="5:5" x14ac:dyDescent="0.2">
      <c r="E432" s="34"/>
    </row>
    <row r="433" spans="5:5" x14ac:dyDescent="0.2">
      <c r="E433" s="34"/>
    </row>
    <row r="434" spans="5:5" x14ac:dyDescent="0.2">
      <c r="E434" s="34"/>
    </row>
    <row r="435" spans="5:5" x14ac:dyDescent="0.2">
      <c r="E435" s="34"/>
    </row>
    <row r="436" spans="5:5" x14ac:dyDescent="0.2">
      <c r="E436" s="34"/>
    </row>
    <row r="437" spans="5:5" x14ac:dyDescent="0.2">
      <c r="E437" s="34"/>
    </row>
    <row r="438" spans="5:5" x14ac:dyDescent="0.2">
      <c r="E438" s="34"/>
    </row>
    <row r="439" spans="5:5" x14ac:dyDescent="0.2">
      <c r="E439" s="34"/>
    </row>
    <row r="440" spans="5:5" x14ac:dyDescent="0.2">
      <c r="E440" s="34"/>
    </row>
    <row r="441" spans="5:5" x14ac:dyDescent="0.2">
      <c r="E441" s="34"/>
    </row>
    <row r="442" spans="5:5" x14ac:dyDescent="0.2">
      <c r="E442" s="34"/>
    </row>
    <row r="443" spans="5:5" x14ac:dyDescent="0.2">
      <c r="E443" s="34"/>
    </row>
    <row r="444" spans="5:5" x14ac:dyDescent="0.2">
      <c r="E444" s="34"/>
    </row>
    <row r="445" spans="5:5" x14ac:dyDescent="0.2">
      <c r="E445" s="34"/>
    </row>
    <row r="446" spans="5:5" x14ac:dyDescent="0.2">
      <c r="E446" s="34"/>
    </row>
    <row r="447" spans="5:5" x14ac:dyDescent="0.2">
      <c r="E447" s="34"/>
    </row>
    <row r="448" spans="5:5" x14ac:dyDescent="0.2">
      <c r="E448" s="34"/>
    </row>
    <row r="449" spans="5:5" x14ac:dyDescent="0.2">
      <c r="E449" s="34"/>
    </row>
    <row r="450" spans="5:5" x14ac:dyDescent="0.2">
      <c r="E450" s="34"/>
    </row>
    <row r="451" spans="5:5" x14ac:dyDescent="0.2">
      <c r="E451" s="34"/>
    </row>
    <row r="452" spans="5:5" x14ac:dyDescent="0.2">
      <c r="E452" s="34"/>
    </row>
    <row r="453" spans="5:5" x14ac:dyDescent="0.2">
      <c r="E453" s="34"/>
    </row>
    <row r="454" spans="5:5" x14ac:dyDescent="0.2">
      <c r="E454" s="34"/>
    </row>
    <row r="455" spans="5:5" x14ac:dyDescent="0.2">
      <c r="E455" s="34"/>
    </row>
    <row r="456" spans="5:5" x14ac:dyDescent="0.2">
      <c r="E456" s="34"/>
    </row>
    <row r="457" spans="5:5" x14ac:dyDescent="0.2">
      <c r="E457" s="34"/>
    </row>
    <row r="458" spans="5:5" x14ac:dyDescent="0.2">
      <c r="E458" s="34"/>
    </row>
    <row r="459" spans="5:5" x14ac:dyDescent="0.2">
      <c r="E459" s="34"/>
    </row>
    <row r="460" spans="5:5" x14ac:dyDescent="0.2">
      <c r="E460" s="34"/>
    </row>
    <row r="461" spans="5:5" x14ac:dyDescent="0.2">
      <c r="E461" s="34"/>
    </row>
    <row r="462" spans="5:5" x14ac:dyDescent="0.2">
      <c r="E462" s="34"/>
    </row>
    <row r="463" spans="5:5" x14ac:dyDescent="0.2">
      <c r="E463" s="34"/>
    </row>
    <row r="464" spans="5:5" x14ac:dyDescent="0.2">
      <c r="E464" s="34"/>
    </row>
    <row r="465" spans="5:5" x14ac:dyDescent="0.2">
      <c r="E465" s="34"/>
    </row>
    <row r="466" spans="5:5" x14ac:dyDescent="0.2">
      <c r="E466" s="34"/>
    </row>
    <row r="467" spans="5:5" x14ac:dyDescent="0.2">
      <c r="E467" s="34"/>
    </row>
    <row r="468" spans="5:5" x14ac:dyDescent="0.2">
      <c r="E468" s="34"/>
    </row>
    <row r="469" spans="5:5" x14ac:dyDescent="0.2">
      <c r="E469" s="34"/>
    </row>
    <row r="470" spans="5:5" x14ac:dyDescent="0.2">
      <c r="E470" s="34"/>
    </row>
    <row r="471" spans="5:5" x14ac:dyDescent="0.2">
      <c r="E471" s="34"/>
    </row>
    <row r="472" spans="5:5" x14ac:dyDescent="0.2">
      <c r="E472" s="34"/>
    </row>
    <row r="473" spans="5:5" x14ac:dyDescent="0.2">
      <c r="E473" s="34"/>
    </row>
    <row r="474" spans="5:5" x14ac:dyDescent="0.2">
      <c r="E474" s="34"/>
    </row>
    <row r="475" spans="5:5" x14ac:dyDescent="0.2">
      <c r="E475" s="34"/>
    </row>
    <row r="476" spans="5:5" x14ac:dyDescent="0.2">
      <c r="E476" s="34"/>
    </row>
    <row r="477" spans="5:5" x14ac:dyDescent="0.2">
      <c r="E477" s="34"/>
    </row>
    <row r="478" spans="5:5" x14ac:dyDescent="0.2">
      <c r="E478" s="34"/>
    </row>
    <row r="479" spans="5:5" x14ac:dyDescent="0.2">
      <c r="E479" s="34"/>
    </row>
    <row r="480" spans="5:5" x14ac:dyDescent="0.2">
      <c r="E480" s="34"/>
    </row>
    <row r="481" spans="5:5" x14ac:dyDescent="0.2">
      <c r="E481" s="34"/>
    </row>
    <row r="482" spans="5:5" x14ac:dyDescent="0.2">
      <c r="E482" s="34"/>
    </row>
    <row r="483" spans="5:5" x14ac:dyDescent="0.2">
      <c r="E483" s="34"/>
    </row>
    <row r="484" spans="5:5" x14ac:dyDescent="0.2">
      <c r="E484" s="34"/>
    </row>
    <row r="485" spans="5:5" x14ac:dyDescent="0.2">
      <c r="E485" s="34"/>
    </row>
    <row r="486" spans="5:5" x14ac:dyDescent="0.2">
      <c r="E486" s="34"/>
    </row>
    <row r="487" spans="5:5" x14ac:dyDescent="0.2">
      <c r="E487" s="34"/>
    </row>
    <row r="488" spans="5:5" x14ac:dyDescent="0.2">
      <c r="E488" s="34"/>
    </row>
    <row r="489" spans="5:5" x14ac:dyDescent="0.2">
      <c r="E489" s="34"/>
    </row>
    <row r="490" spans="5:5" x14ac:dyDescent="0.2">
      <c r="E490" s="34"/>
    </row>
    <row r="491" spans="5:5" x14ac:dyDescent="0.2">
      <c r="E491" s="34"/>
    </row>
    <row r="492" spans="5:5" x14ac:dyDescent="0.2">
      <c r="E492" s="34"/>
    </row>
    <row r="493" spans="5:5" x14ac:dyDescent="0.2">
      <c r="E493" s="34"/>
    </row>
    <row r="494" spans="5:5" x14ac:dyDescent="0.2">
      <c r="E494" s="34"/>
    </row>
    <row r="495" spans="5:5" x14ac:dyDescent="0.2">
      <c r="E495" s="34"/>
    </row>
    <row r="496" spans="5:5" x14ac:dyDescent="0.2">
      <c r="E496" s="34"/>
    </row>
    <row r="497" spans="5:5" x14ac:dyDescent="0.2">
      <c r="E497" s="34"/>
    </row>
    <row r="498" spans="5:5" x14ac:dyDescent="0.2">
      <c r="E498" s="34"/>
    </row>
    <row r="499" spans="5:5" x14ac:dyDescent="0.2">
      <c r="E499" s="34"/>
    </row>
    <row r="500" spans="5:5" x14ac:dyDescent="0.2">
      <c r="E500" s="34"/>
    </row>
    <row r="501" spans="5:5" x14ac:dyDescent="0.2">
      <c r="E501" s="34"/>
    </row>
    <row r="502" spans="5:5" x14ac:dyDescent="0.2">
      <c r="E502" s="34"/>
    </row>
    <row r="503" spans="5:5" x14ac:dyDescent="0.2">
      <c r="E503" s="34"/>
    </row>
    <row r="504" spans="5:5" x14ac:dyDescent="0.2">
      <c r="E504" s="34"/>
    </row>
    <row r="505" spans="5:5" x14ac:dyDescent="0.2">
      <c r="E505" s="34"/>
    </row>
    <row r="506" spans="5:5" x14ac:dyDescent="0.2">
      <c r="E506" s="34"/>
    </row>
    <row r="507" spans="5:5" x14ac:dyDescent="0.2">
      <c r="E507" s="34"/>
    </row>
    <row r="508" spans="5:5" x14ac:dyDescent="0.2">
      <c r="E508" s="34"/>
    </row>
    <row r="509" spans="5:5" x14ac:dyDescent="0.2">
      <c r="E509" s="34"/>
    </row>
    <row r="510" spans="5:5" x14ac:dyDescent="0.2">
      <c r="E510" s="34"/>
    </row>
    <row r="511" spans="5:5" x14ac:dyDescent="0.2">
      <c r="E511" s="34"/>
    </row>
    <row r="512" spans="5:5" x14ac:dyDescent="0.2">
      <c r="E512" s="34"/>
    </row>
    <row r="513" spans="5:5" x14ac:dyDescent="0.2">
      <c r="E513" s="34"/>
    </row>
    <row r="514" spans="5:5" x14ac:dyDescent="0.2">
      <c r="E514" s="34"/>
    </row>
    <row r="515" spans="5:5" x14ac:dyDescent="0.2">
      <c r="E515" s="34"/>
    </row>
    <row r="516" spans="5:5" x14ac:dyDescent="0.2">
      <c r="E516" s="34"/>
    </row>
    <row r="517" spans="5:5" x14ac:dyDescent="0.2">
      <c r="E517" s="34"/>
    </row>
    <row r="518" spans="5:5" x14ac:dyDescent="0.2">
      <c r="E518" s="34"/>
    </row>
    <row r="519" spans="5:5" x14ac:dyDescent="0.2">
      <c r="E519" s="34"/>
    </row>
    <row r="520" spans="5:5" x14ac:dyDescent="0.2">
      <c r="E520" s="34"/>
    </row>
    <row r="521" spans="5:5" x14ac:dyDescent="0.2">
      <c r="E521" s="34"/>
    </row>
    <row r="522" spans="5:5" x14ac:dyDescent="0.2">
      <c r="E522" s="34"/>
    </row>
    <row r="523" spans="5:5" x14ac:dyDescent="0.2">
      <c r="E523" s="34"/>
    </row>
    <row r="524" spans="5:5" x14ac:dyDescent="0.2">
      <c r="E524" s="34"/>
    </row>
    <row r="525" spans="5:5" x14ac:dyDescent="0.2">
      <c r="E525" s="34"/>
    </row>
    <row r="526" spans="5:5" x14ac:dyDescent="0.2">
      <c r="E526" s="34"/>
    </row>
    <row r="527" spans="5:5" x14ac:dyDescent="0.2">
      <c r="E527" s="34"/>
    </row>
    <row r="528" spans="5:5" x14ac:dyDescent="0.2">
      <c r="E528" s="34"/>
    </row>
    <row r="529" spans="5:5" x14ac:dyDescent="0.2">
      <c r="E529" s="34"/>
    </row>
    <row r="530" spans="5:5" x14ac:dyDescent="0.2">
      <c r="E530" s="34"/>
    </row>
    <row r="531" spans="5:5" x14ac:dyDescent="0.2">
      <c r="E531" s="34"/>
    </row>
    <row r="532" spans="5:5" x14ac:dyDescent="0.2">
      <c r="E532" s="34"/>
    </row>
    <row r="533" spans="5:5" x14ac:dyDescent="0.2">
      <c r="E533" s="34"/>
    </row>
    <row r="534" spans="5:5" x14ac:dyDescent="0.2">
      <c r="E534" s="34"/>
    </row>
    <row r="535" spans="5:5" x14ac:dyDescent="0.2">
      <c r="E535" s="34"/>
    </row>
    <row r="536" spans="5:5" x14ac:dyDescent="0.2">
      <c r="E536" s="34"/>
    </row>
    <row r="537" spans="5:5" x14ac:dyDescent="0.2">
      <c r="E537" s="34"/>
    </row>
    <row r="538" spans="5:5" x14ac:dyDescent="0.2">
      <c r="E538" s="34"/>
    </row>
    <row r="539" spans="5:5" x14ac:dyDescent="0.2">
      <c r="E539" s="34"/>
    </row>
    <row r="540" spans="5:5" x14ac:dyDescent="0.2">
      <c r="E540" s="34"/>
    </row>
    <row r="541" spans="5:5" x14ac:dyDescent="0.2">
      <c r="E541" s="34"/>
    </row>
    <row r="542" spans="5:5" x14ac:dyDescent="0.2">
      <c r="E542" s="34"/>
    </row>
    <row r="543" spans="5:5" x14ac:dyDescent="0.2">
      <c r="E543" s="34"/>
    </row>
    <row r="544" spans="5:5" x14ac:dyDescent="0.2">
      <c r="E544" s="34"/>
    </row>
    <row r="545" spans="5:5" x14ac:dyDescent="0.2">
      <c r="E545" s="34"/>
    </row>
    <row r="546" spans="5:5" x14ac:dyDescent="0.2">
      <c r="E546" s="34"/>
    </row>
    <row r="547" spans="5:5" x14ac:dyDescent="0.2">
      <c r="E547" s="34"/>
    </row>
    <row r="548" spans="5:5" x14ac:dyDescent="0.2">
      <c r="E548" s="34"/>
    </row>
    <row r="549" spans="5:5" x14ac:dyDescent="0.2">
      <c r="E549" s="34"/>
    </row>
    <row r="550" spans="5:5" x14ac:dyDescent="0.2">
      <c r="E550" s="34"/>
    </row>
    <row r="551" spans="5:5" x14ac:dyDescent="0.2">
      <c r="E551" s="34"/>
    </row>
    <row r="552" spans="5:5" x14ac:dyDescent="0.2">
      <c r="E552" s="34"/>
    </row>
    <row r="553" spans="5:5" x14ac:dyDescent="0.2">
      <c r="E553" s="34"/>
    </row>
    <row r="554" spans="5:5" x14ac:dyDescent="0.2">
      <c r="E554" s="34"/>
    </row>
    <row r="555" spans="5:5" x14ac:dyDescent="0.2">
      <c r="E555" s="34"/>
    </row>
    <row r="556" spans="5:5" x14ac:dyDescent="0.2">
      <c r="E556" s="34"/>
    </row>
    <row r="557" spans="5:5" x14ac:dyDescent="0.2">
      <c r="E557" s="34"/>
    </row>
    <row r="558" spans="5:5" x14ac:dyDescent="0.2">
      <c r="E558" s="34"/>
    </row>
    <row r="559" spans="5:5" x14ac:dyDescent="0.2">
      <c r="E559" s="34"/>
    </row>
    <row r="560" spans="5:5" x14ac:dyDescent="0.2">
      <c r="E560" s="34"/>
    </row>
    <row r="561" spans="5:5" x14ac:dyDescent="0.2">
      <c r="E561" s="34"/>
    </row>
    <row r="562" spans="5:5" x14ac:dyDescent="0.2">
      <c r="E562" s="34"/>
    </row>
    <row r="563" spans="5:5" x14ac:dyDescent="0.2">
      <c r="E563" s="34"/>
    </row>
    <row r="564" spans="5:5" x14ac:dyDescent="0.2">
      <c r="E564" s="34"/>
    </row>
    <row r="565" spans="5:5" x14ac:dyDescent="0.2">
      <c r="E565" s="34"/>
    </row>
    <row r="566" spans="5:5" x14ac:dyDescent="0.2">
      <c r="E566" s="34"/>
    </row>
    <row r="567" spans="5:5" x14ac:dyDescent="0.2">
      <c r="E567" s="34"/>
    </row>
    <row r="568" spans="5:5" x14ac:dyDescent="0.2">
      <c r="E568" s="34"/>
    </row>
    <row r="569" spans="5:5" x14ac:dyDescent="0.2">
      <c r="E569" s="34"/>
    </row>
    <row r="570" spans="5:5" x14ac:dyDescent="0.2">
      <c r="E570" s="34"/>
    </row>
    <row r="571" spans="5:5" x14ac:dyDescent="0.2">
      <c r="E571" s="34"/>
    </row>
    <row r="572" spans="5:5" x14ac:dyDescent="0.2">
      <c r="E572" s="34"/>
    </row>
    <row r="573" spans="5:5" x14ac:dyDescent="0.2">
      <c r="E573" s="34"/>
    </row>
    <row r="574" spans="5:5" x14ac:dyDescent="0.2">
      <c r="E574" s="34"/>
    </row>
    <row r="575" spans="5:5" x14ac:dyDescent="0.2">
      <c r="E575" s="34"/>
    </row>
    <row r="576" spans="5:5" x14ac:dyDescent="0.2">
      <c r="E576" s="34"/>
    </row>
    <row r="577" spans="5:5" x14ac:dyDescent="0.2">
      <c r="E577" s="34"/>
    </row>
    <row r="578" spans="5:5" x14ac:dyDescent="0.2">
      <c r="E578" s="34"/>
    </row>
    <row r="579" spans="5:5" x14ac:dyDescent="0.2">
      <c r="E579" s="34"/>
    </row>
    <row r="580" spans="5:5" x14ac:dyDescent="0.2">
      <c r="E580" s="34"/>
    </row>
    <row r="581" spans="5:5" x14ac:dyDescent="0.2">
      <c r="E581" s="34"/>
    </row>
    <row r="582" spans="5:5" x14ac:dyDescent="0.2">
      <c r="E582" s="34"/>
    </row>
    <row r="583" spans="5:5" x14ac:dyDescent="0.2">
      <c r="E583" s="34"/>
    </row>
    <row r="584" spans="5:5" x14ac:dyDescent="0.2">
      <c r="E584" s="34"/>
    </row>
    <row r="585" spans="5:5" x14ac:dyDescent="0.2">
      <c r="E585" s="34"/>
    </row>
    <row r="586" spans="5:5" x14ac:dyDescent="0.2">
      <c r="E586" s="34"/>
    </row>
    <row r="587" spans="5:5" x14ac:dyDescent="0.2">
      <c r="E587" s="34"/>
    </row>
    <row r="588" spans="5:5" x14ac:dyDescent="0.2">
      <c r="E588" s="34"/>
    </row>
    <row r="589" spans="5:5" x14ac:dyDescent="0.2">
      <c r="E589" s="34"/>
    </row>
    <row r="590" spans="5:5" x14ac:dyDescent="0.2">
      <c r="E590" s="34"/>
    </row>
    <row r="591" spans="5:5" x14ac:dyDescent="0.2">
      <c r="E591" s="34"/>
    </row>
    <row r="592" spans="5:5" x14ac:dyDescent="0.2">
      <c r="E592" s="34"/>
    </row>
    <row r="593" spans="5:5" x14ac:dyDescent="0.2">
      <c r="E593" s="34"/>
    </row>
    <row r="594" spans="5:5" x14ac:dyDescent="0.2">
      <c r="E594" s="34"/>
    </row>
    <row r="595" spans="5:5" x14ac:dyDescent="0.2">
      <c r="E595" s="34"/>
    </row>
    <row r="596" spans="5:5" x14ac:dyDescent="0.2">
      <c r="E596" s="34"/>
    </row>
    <row r="597" spans="5:5" x14ac:dyDescent="0.2">
      <c r="E597" s="34"/>
    </row>
    <row r="598" spans="5:5" x14ac:dyDescent="0.2">
      <c r="E598" s="34"/>
    </row>
    <row r="599" spans="5:5" x14ac:dyDescent="0.2">
      <c r="E599" s="34"/>
    </row>
    <row r="600" spans="5:5" x14ac:dyDescent="0.2">
      <c r="E600" s="34"/>
    </row>
    <row r="601" spans="5:5" x14ac:dyDescent="0.2">
      <c r="E601" s="34"/>
    </row>
    <row r="602" spans="5:5" x14ac:dyDescent="0.2">
      <c r="E602" s="34"/>
    </row>
    <row r="603" spans="5:5" x14ac:dyDescent="0.2">
      <c r="E603" s="34"/>
    </row>
    <row r="604" spans="5:5" x14ac:dyDescent="0.2">
      <c r="E604" s="34"/>
    </row>
    <row r="605" spans="5:5" x14ac:dyDescent="0.2">
      <c r="E605" s="34"/>
    </row>
    <row r="606" spans="5:5" x14ac:dyDescent="0.2">
      <c r="E606" s="34"/>
    </row>
    <row r="607" spans="5:5" x14ac:dyDescent="0.2">
      <c r="E607" s="34"/>
    </row>
    <row r="608" spans="5:5" x14ac:dyDescent="0.2">
      <c r="E608" s="34"/>
    </row>
    <row r="609" spans="5:5" x14ac:dyDescent="0.2">
      <c r="E609" s="34"/>
    </row>
    <row r="610" spans="5:5" x14ac:dyDescent="0.2">
      <c r="E610" s="34"/>
    </row>
    <row r="611" spans="5:5" x14ac:dyDescent="0.2">
      <c r="E611" s="34"/>
    </row>
    <row r="612" spans="5:5" x14ac:dyDescent="0.2">
      <c r="E612" s="34"/>
    </row>
    <row r="613" spans="5:5" x14ac:dyDescent="0.2">
      <c r="E613" s="34"/>
    </row>
    <row r="614" spans="5:5" x14ac:dyDescent="0.2">
      <c r="E614" s="34"/>
    </row>
    <row r="615" spans="5:5" x14ac:dyDescent="0.2">
      <c r="E615" s="34"/>
    </row>
    <row r="616" spans="5:5" x14ac:dyDescent="0.2">
      <c r="E616" s="34"/>
    </row>
    <row r="617" spans="5:5" x14ac:dyDescent="0.2">
      <c r="E617" s="34"/>
    </row>
    <row r="618" spans="5:5" x14ac:dyDescent="0.2">
      <c r="E618" s="34"/>
    </row>
    <row r="619" spans="5:5" x14ac:dyDescent="0.2">
      <c r="E619" s="34"/>
    </row>
    <row r="620" spans="5:5" x14ac:dyDescent="0.2">
      <c r="E620" s="34"/>
    </row>
    <row r="621" spans="5:5" x14ac:dyDescent="0.2">
      <c r="E621" s="34"/>
    </row>
    <row r="622" spans="5:5" x14ac:dyDescent="0.2">
      <c r="E622" s="34"/>
    </row>
    <row r="623" spans="5:5" x14ac:dyDescent="0.2">
      <c r="E623" s="34"/>
    </row>
    <row r="624" spans="5:5" x14ac:dyDescent="0.2">
      <c r="E624" s="34"/>
    </row>
    <row r="625" spans="5:5" x14ac:dyDescent="0.2">
      <c r="E625" s="34"/>
    </row>
    <row r="626" spans="5:5" x14ac:dyDescent="0.2">
      <c r="E626" s="34"/>
    </row>
    <row r="627" spans="5:5" x14ac:dyDescent="0.2">
      <c r="E627" s="34"/>
    </row>
    <row r="628" spans="5:5" x14ac:dyDescent="0.2">
      <c r="E628" s="34"/>
    </row>
    <row r="629" spans="5:5" x14ac:dyDescent="0.2">
      <c r="E629" s="34"/>
    </row>
    <row r="630" spans="5:5" x14ac:dyDescent="0.2">
      <c r="E630" s="34"/>
    </row>
    <row r="631" spans="5:5" x14ac:dyDescent="0.2">
      <c r="E631" s="34"/>
    </row>
    <row r="632" spans="5:5" x14ac:dyDescent="0.2">
      <c r="E632" s="34"/>
    </row>
    <row r="633" spans="5:5" x14ac:dyDescent="0.2">
      <c r="E633" s="34"/>
    </row>
    <row r="634" spans="5:5" x14ac:dyDescent="0.2">
      <c r="E634" s="34"/>
    </row>
    <row r="635" spans="5:5" x14ac:dyDescent="0.2">
      <c r="E635" s="34"/>
    </row>
    <row r="636" spans="5:5" x14ac:dyDescent="0.2">
      <c r="E636" s="34"/>
    </row>
    <row r="637" spans="5:5" x14ac:dyDescent="0.2">
      <c r="E637" s="34"/>
    </row>
    <row r="638" spans="5:5" x14ac:dyDescent="0.2">
      <c r="E638" s="34"/>
    </row>
    <row r="639" spans="5:5" x14ac:dyDescent="0.2">
      <c r="E639" s="34"/>
    </row>
    <row r="640" spans="5:5" x14ac:dyDescent="0.2">
      <c r="E640" s="34"/>
    </row>
    <row r="641" spans="5:5" x14ac:dyDescent="0.2">
      <c r="E641" s="34"/>
    </row>
    <row r="642" spans="5:5" x14ac:dyDescent="0.2">
      <c r="E642" s="34"/>
    </row>
    <row r="643" spans="5:5" x14ac:dyDescent="0.2">
      <c r="E643" s="34"/>
    </row>
    <row r="644" spans="5:5" x14ac:dyDescent="0.2">
      <c r="E644" s="34"/>
    </row>
    <row r="645" spans="5:5" x14ac:dyDescent="0.2">
      <c r="E645" s="34"/>
    </row>
    <row r="646" spans="5:5" x14ac:dyDescent="0.2">
      <c r="E646" s="34"/>
    </row>
    <row r="647" spans="5:5" x14ac:dyDescent="0.2">
      <c r="E647" s="34"/>
    </row>
    <row r="648" spans="5:5" x14ac:dyDescent="0.2">
      <c r="E648" s="34"/>
    </row>
    <row r="649" spans="5:5" x14ac:dyDescent="0.2">
      <c r="E649" s="34"/>
    </row>
    <row r="650" spans="5:5" x14ac:dyDescent="0.2">
      <c r="E650" s="34"/>
    </row>
    <row r="651" spans="5:5" x14ac:dyDescent="0.2">
      <c r="E651" s="34"/>
    </row>
    <row r="652" spans="5:5" x14ac:dyDescent="0.2">
      <c r="E652" s="34"/>
    </row>
    <row r="653" spans="5:5" x14ac:dyDescent="0.2">
      <c r="E653" s="34"/>
    </row>
    <row r="654" spans="5:5" x14ac:dyDescent="0.2">
      <c r="E654" s="34"/>
    </row>
    <row r="655" spans="5:5" x14ac:dyDescent="0.2">
      <c r="E655" s="34"/>
    </row>
    <row r="656" spans="5:5" x14ac:dyDescent="0.2">
      <c r="E656" s="34"/>
    </row>
    <row r="657" spans="5:5" x14ac:dyDescent="0.2">
      <c r="E657" s="34"/>
    </row>
    <row r="658" spans="5:5" x14ac:dyDescent="0.2">
      <c r="E658" s="34"/>
    </row>
    <row r="659" spans="5:5" x14ac:dyDescent="0.2">
      <c r="E659" s="34"/>
    </row>
    <row r="660" spans="5:5" x14ac:dyDescent="0.2">
      <c r="E660" s="34"/>
    </row>
    <row r="661" spans="5:5" x14ac:dyDescent="0.2">
      <c r="E661" s="34"/>
    </row>
    <row r="662" spans="5:5" x14ac:dyDescent="0.2">
      <c r="E662" s="34"/>
    </row>
    <row r="663" spans="5:5" x14ac:dyDescent="0.2">
      <c r="E663" s="34"/>
    </row>
    <row r="664" spans="5:5" x14ac:dyDescent="0.2">
      <c r="E664" s="34"/>
    </row>
    <row r="665" spans="5:5" x14ac:dyDescent="0.2">
      <c r="E665" s="34"/>
    </row>
    <row r="666" spans="5:5" x14ac:dyDescent="0.2">
      <c r="E666" s="34"/>
    </row>
    <row r="667" spans="5:5" x14ac:dyDescent="0.2">
      <c r="E667" s="34"/>
    </row>
    <row r="668" spans="5:5" x14ac:dyDescent="0.2">
      <c r="E668" s="34"/>
    </row>
    <row r="669" spans="5:5" x14ac:dyDescent="0.2">
      <c r="E669" s="34"/>
    </row>
    <row r="670" spans="5:5" x14ac:dyDescent="0.2">
      <c r="E670" s="34"/>
    </row>
    <row r="671" spans="5:5" x14ac:dyDescent="0.2">
      <c r="E671" s="34"/>
    </row>
    <row r="672" spans="5:5" x14ac:dyDescent="0.2">
      <c r="E672" s="34"/>
    </row>
    <row r="673" spans="5:5" x14ac:dyDescent="0.2">
      <c r="E673" s="34"/>
    </row>
    <row r="674" spans="5:5" x14ac:dyDescent="0.2">
      <c r="E674" s="34"/>
    </row>
    <row r="675" spans="5:5" x14ac:dyDescent="0.2">
      <c r="E675" s="34"/>
    </row>
    <row r="676" spans="5:5" x14ac:dyDescent="0.2">
      <c r="E676" s="34"/>
    </row>
    <row r="677" spans="5:5" x14ac:dyDescent="0.2">
      <c r="E677" s="34"/>
    </row>
    <row r="678" spans="5:5" x14ac:dyDescent="0.2">
      <c r="E678" s="34"/>
    </row>
    <row r="679" spans="5:5" x14ac:dyDescent="0.2">
      <c r="E679" s="34"/>
    </row>
    <row r="680" spans="5:5" x14ac:dyDescent="0.2">
      <c r="E680" s="34"/>
    </row>
    <row r="681" spans="5:5" x14ac:dyDescent="0.2">
      <c r="E681" s="34"/>
    </row>
    <row r="682" spans="5:5" x14ac:dyDescent="0.2">
      <c r="E682" s="34"/>
    </row>
    <row r="683" spans="5:5" x14ac:dyDescent="0.2">
      <c r="E683" s="34"/>
    </row>
    <row r="684" spans="5:5" x14ac:dyDescent="0.2">
      <c r="E684" s="34"/>
    </row>
    <row r="685" spans="5:5" x14ac:dyDescent="0.2">
      <c r="E685" s="34"/>
    </row>
    <row r="686" spans="5:5" x14ac:dyDescent="0.2">
      <c r="E686" s="34"/>
    </row>
    <row r="687" spans="5:5" x14ac:dyDescent="0.2">
      <c r="E687" s="34"/>
    </row>
    <row r="688" spans="5:5" x14ac:dyDescent="0.2">
      <c r="E688" s="34"/>
    </row>
    <row r="689" spans="5:5" x14ac:dyDescent="0.2">
      <c r="E689" s="34"/>
    </row>
    <row r="690" spans="5:5" x14ac:dyDescent="0.2">
      <c r="E690" s="34"/>
    </row>
    <row r="691" spans="5:5" x14ac:dyDescent="0.2">
      <c r="E691" s="34"/>
    </row>
    <row r="692" spans="5:5" x14ac:dyDescent="0.2">
      <c r="E692" s="34"/>
    </row>
    <row r="693" spans="5:5" x14ac:dyDescent="0.2">
      <c r="E693" s="34"/>
    </row>
    <row r="694" spans="5:5" x14ac:dyDescent="0.2">
      <c r="E694" s="34"/>
    </row>
    <row r="695" spans="5:5" x14ac:dyDescent="0.2">
      <c r="E695" s="34"/>
    </row>
    <row r="696" spans="5:5" x14ac:dyDescent="0.2">
      <c r="E696" s="34"/>
    </row>
    <row r="697" spans="5:5" x14ac:dyDescent="0.2">
      <c r="E697" s="34"/>
    </row>
    <row r="698" spans="5:5" x14ac:dyDescent="0.2">
      <c r="E698" s="34"/>
    </row>
    <row r="699" spans="5:5" x14ac:dyDescent="0.2">
      <c r="E699" s="34"/>
    </row>
    <row r="700" spans="5:5" x14ac:dyDescent="0.2">
      <c r="E700" s="34"/>
    </row>
    <row r="701" spans="5:5" x14ac:dyDescent="0.2">
      <c r="E701" s="34"/>
    </row>
    <row r="702" spans="5:5" x14ac:dyDescent="0.2">
      <c r="E702" s="34"/>
    </row>
    <row r="703" spans="5:5" x14ac:dyDescent="0.2">
      <c r="E703" s="34"/>
    </row>
    <row r="704" spans="5:5" x14ac:dyDescent="0.2">
      <c r="E704" s="34"/>
    </row>
    <row r="705" spans="5:5" x14ac:dyDescent="0.2">
      <c r="E705" s="34"/>
    </row>
    <row r="706" spans="5:5" x14ac:dyDescent="0.2">
      <c r="E706" s="34"/>
    </row>
    <row r="707" spans="5:5" x14ac:dyDescent="0.2">
      <c r="E707" s="34"/>
    </row>
    <row r="708" spans="5:5" x14ac:dyDescent="0.2">
      <c r="E708" s="34"/>
    </row>
    <row r="709" spans="5:5" x14ac:dyDescent="0.2">
      <c r="E709" s="34"/>
    </row>
    <row r="710" spans="5:5" x14ac:dyDescent="0.2">
      <c r="E710" s="34"/>
    </row>
    <row r="711" spans="5:5" x14ac:dyDescent="0.2">
      <c r="E711" s="34"/>
    </row>
    <row r="712" spans="5:5" x14ac:dyDescent="0.2">
      <c r="E712" s="34"/>
    </row>
    <row r="713" spans="5:5" x14ac:dyDescent="0.2">
      <c r="E713" s="34"/>
    </row>
    <row r="714" spans="5:5" x14ac:dyDescent="0.2">
      <c r="E714" s="34"/>
    </row>
    <row r="715" spans="5:5" x14ac:dyDescent="0.2">
      <c r="E715" s="34"/>
    </row>
    <row r="716" spans="5:5" x14ac:dyDescent="0.2">
      <c r="E716" s="34"/>
    </row>
    <row r="717" spans="5:5" x14ac:dyDescent="0.2">
      <c r="E717" s="34"/>
    </row>
    <row r="718" spans="5:5" x14ac:dyDescent="0.2">
      <c r="E718" s="34"/>
    </row>
    <row r="719" spans="5:5" x14ac:dyDescent="0.2">
      <c r="E719" s="34"/>
    </row>
    <row r="720" spans="5:5" x14ac:dyDescent="0.2">
      <c r="E720" s="34"/>
    </row>
    <row r="721" spans="5:5" x14ac:dyDescent="0.2">
      <c r="E721" s="34"/>
    </row>
    <row r="722" spans="5:5" x14ac:dyDescent="0.2">
      <c r="E722" s="34"/>
    </row>
    <row r="723" spans="5:5" x14ac:dyDescent="0.2">
      <c r="E723" s="34"/>
    </row>
    <row r="724" spans="5:5" x14ac:dyDescent="0.2">
      <c r="E724" s="34"/>
    </row>
    <row r="725" spans="5:5" x14ac:dyDescent="0.2">
      <c r="E725" s="34"/>
    </row>
    <row r="726" spans="5:5" x14ac:dyDescent="0.2">
      <c r="E726" s="34"/>
    </row>
    <row r="727" spans="5:5" x14ac:dyDescent="0.2">
      <c r="E727" s="34"/>
    </row>
    <row r="728" spans="5:5" x14ac:dyDescent="0.2">
      <c r="E728" s="34"/>
    </row>
    <row r="729" spans="5:5" x14ac:dyDescent="0.2">
      <c r="E729" s="34"/>
    </row>
    <row r="730" spans="5:5" x14ac:dyDescent="0.2">
      <c r="E730" s="34"/>
    </row>
    <row r="731" spans="5:5" x14ac:dyDescent="0.2">
      <c r="E731" s="34"/>
    </row>
    <row r="732" spans="5:5" x14ac:dyDescent="0.2">
      <c r="E732" s="34"/>
    </row>
    <row r="733" spans="5:5" x14ac:dyDescent="0.2">
      <c r="E733" s="34"/>
    </row>
    <row r="734" spans="5:5" x14ac:dyDescent="0.2">
      <c r="E734" s="34"/>
    </row>
    <row r="735" spans="5:5" x14ac:dyDescent="0.2">
      <c r="E735" s="34"/>
    </row>
    <row r="736" spans="5:5" x14ac:dyDescent="0.2">
      <c r="E736" s="34"/>
    </row>
    <row r="737" spans="5:5" x14ac:dyDescent="0.2">
      <c r="E737" s="34"/>
    </row>
    <row r="738" spans="5:5" x14ac:dyDescent="0.2">
      <c r="E738" s="34"/>
    </row>
    <row r="739" spans="5:5" x14ac:dyDescent="0.2">
      <c r="E739" s="34"/>
    </row>
    <row r="740" spans="5:5" x14ac:dyDescent="0.2">
      <c r="E740" s="34"/>
    </row>
    <row r="741" spans="5:5" x14ac:dyDescent="0.2">
      <c r="E741" s="34"/>
    </row>
    <row r="742" spans="5:5" x14ac:dyDescent="0.2">
      <c r="E742" s="34"/>
    </row>
    <row r="743" spans="5:5" x14ac:dyDescent="0.2">
      <c r="E743" s="34"/>
    </row>
    <row r="744" spans="5:5" x14ac:dyDescent="0.2">
      <c r="E744" s="34"/>
    </row>
    <row r="745" spans="5:5" x14ac:dyDescent="0.2">
      <c r="E745" s="34"/>
    </row>
    <row r="746" spans="5:5" x14ac:dyDescent="0.2">
      <c r="E746" s="34"/>
    </row>
    <row r="747" spans="5:5" x14ac:dyDescent="0.2">
      <c r="E747" s="34"/>
    </row>
    <row r="748" spans="5:5" x14ac:dyDescent="0.2">
      <c r="E748" s="34"/>
    </row>
    <row r="749" spans="5:5" x14ac:dyDescent="0.2">
      <c r="E749" s="34"/>
    </row>
    <row r="750" spans="5:5" x14ac:dyDescent="0.2">
      <c r="E750" s="34"/>
    </row>
    <row r="751" spans="5:5" x14ac:dyDescent="0.2">
      <c r="E751" s="34"/>
    </row>
    <row r="752" spans="5:5" x14ac:dyDescent="0.2">
      <c r="E752" s="34"/>
    </row>
    <row r="753" spans="5:5" x14ac:dyDescent="0.2">
      <c r="E753" s="34"/>
    </row>
    <row r="754" spans="5:5" x14ac:dyDescent="0.2">
      <c r="E754" s="34"/>
    </row>
    <row r="755" spans="5:5" x14ac:dyDescent="0.2">
      <c r="E755" s="34"/>
    </row>
    <row r="756" spans="5:5" x14ac:dyDescent="0.2">
      <c r="E756" s="34"/>
    </row>
    <row r="757" spans="5:5" x14ac:dyDescent="0.2">
      <c r="E757" s="34"/>
    </row>
    <row r="758" spans="5:5" x14ac:dyDescent="0.2">
      <c r="E758" s="34"/>
    </row>
    <row r="759" spans="5:5" x14ac:dyDescent="0.2">
      <c r="E759" s="34"/>
    </row>
    <row r="760" spans="5:5" x14ac:dyDescent="0.2">
      <c r="E760" s="34"/>
    </row>
    <row r="761" spans="5:5" x14ac:dyDescent="0.2">
      <c r="E761" s="34"/>
    </row>
    <row r="762" spans="5:5" x14ac:dyDescent="0.2">
      <c r="E762" s="34"/>
    </row>
    <row r="763" spans="5:5" x14ac:dyDescent="0.2">
      <c r="E763" s="34"/>
    </row>
    <row r="764" spans="5:5" x14ac:dyDescent="0.2">
      <c r="E764" s="34"/>
    </row>
    <row r="765" spans="5:5" x14ac:dyDescent="0.2">
      <c r="E765" s="34"/>
    </row>
    <row r="766" spans="5:5" x14ac:dyDescent="0.2">
      <c r="E766" s="34"/>
    </row>
    <row r="767" spans="5:5" x14ac:dyDescent="0.2">
      <c r="E767" s="34"/>
    </row>
    <row r="768" spans="5:5" x14ac:dyDescent="0.2">
      <c r="E768" s="34"/>
    </row>
    <row r="769" spans="5:5" x14ac:dyDescent="0.2">
      <c r="E769" s="34"/>
    </row>
    <row r="770" spans="5:5" x14ac:dyDescent="0.2">
      <c r="E770" s="34"/>
    </row>
    <row r="771" spans="5:5" x14ac:dyDescent="0.2">
      <c r="E771" s="34"/>
    </row>
    <row r="772" spans="5:5" x14ac:dyDescent="0.2">
      <c r="E772" s="34"/>
    </row>
    <row r="773" spans="5:5" x14ac:dyDescent="0.2">
      <c r="E773" s="34"/>
    </row>
    <row r="774" spans="5:5" x14ac:dyDescent="0.2">
      <c r="E774" s="34"/>
    </row>
    <row r="775" spans="5:5" x14ac:dyDescent="0.2">
      <c r="E775" s="34"/>
    </row>
    <row r="776" spans="5:5" x14ac:dyDescent="0.2">
      <c r="E776" s="34"/>
    </row>
    <row r="777" spans="5:5" x14ac:dyDescent="0.2">
      <c r="E777" s="34"/>
    </row>
    <row r="778" spans="5:5" x14ac:dyDescent="0.2">
      <c r="E778" s="34"/>
    </row>
    <row r="779" spans="5:5" x14ac:dyDescent="0.2">
      <c r="E779" s="34"/>
    </row>
    <row r="780" spans="5:5" x14ac:dyDescent="0.2">
      <c r="E780" s="34"/>
    </row>
    <row r="781" spans="5:5" x14ac:dyDescent="0.2">
      <c r="E781" s="34"/>
    </row>
    <row r="782" spans="5:5" x14ac:dyDescent="0.2">
      <c r="E782" s="34"/>
    </row>
    <row r="783" spans="5:5" x14ac:dyDescent="0.2">
      <c r="E783" s="34"/>
    </row>
    <row r="784" spans="5:5" x14ac:dyDescent="0.2">
      <c r="E784" s="34"/>
    </row>
    <row r="785" spans="5:5" x14ac:dyDescent="0.2">
      <c r="E785" s="34"/>
    </row>
    <row r="786" spans="5:5" x14ac:dyDescent="0.2">
      <c r="E786" s="34"/>
    </row>
    <row r="787" spans="5:5" x14ac:dyDescent="0.2">
      <c r="E787" s="34"/>
    </row>
    <row r="788" spans="5:5" x14ac:dyDescent="0.2">
      <c r="E788" s="34"/>
    </row>
    <row r="789" spans="5:5" x14ac:dyDescent="0.2">
      <c r="E789" s="34"/>
    </row>
    <row r="790" spans="5:5" x14ac:dyDescent="0.2">
      <c r="E790" s="34"/>
    </row>
    <row r="791" spans="5:5" x14ac:dyDescent="0.2">
      <c r="E791" s="34"/>
    </row>
    <row r="792" spans="5:5" x14ac:dyDescent="0.2">
      <c r="E792" s="34"/>
    </row>
    <row r="793" spans="5:5" x14ac:dyDescent="0.2">
      <c r="E793" s="34"/>
    </row>
    <row r="794" spans="5:5" x14ac:dyDescent="0.2">
      <c r="E794" s="34"/>
    </row>
    <row r="795" spans="5:5" x14ac:dyDescent="0.2">
      <c r="E795" s="34"/>
    </row>
    <row r="796" spans="5:5" x14ac:dyDescent="0.2">
      <c r="E796" s="34"/>
    </row>
    <row r="797" spans="5:5" x14ac:dyDescent="0.2">
      <c r="E797" s="34"/>
    </row>
    <row r="798" spans="5:5" x14ac:dyDescent="0.2">
      <c r="E798" s="34"/>
    </row>
    <row r="799" spans="5:5" x14ac:dyDescent="0.2">
      <c r="E799" s="34"/>
    </row>
    <row r="800" spans="5:5" x14ac:dyDescent="0.2">
      <c r="E800" s="34"/>
    </row>
    <row r="801" spans="5:5" x14ac:dyDescent="0.2">
      <c r="E801" s="34"/>
    </row>
    <row r="802" spans="5:5" x14ac:dyDescent="0.2">
      <c r="E802" s="34"/>
    </row>
    <row r="803" spans="5:5" x14ac:dyDescent="0.2">
      <c r="E803" s="34"/>
    </row>
    <row r="804" spans="5:5" x14ac:dyDescent="0.2">
      <c r="E804" s="34"/>
    </row>
    <row r="805" spans="5:5" x14ac:dyDescent="0.2">
      <c r="E805" s="34"/>
    </row>
    <row r="806" spans="5:5" x14ac:dyDescent="0.2">
      <c r="E806" s="34"/>
    </row>
    <row r="807" spans="5:5" x14ac:dyDescent="0.2">
      <c r="E807" s="34"/>
    </row>
    <row r="808" spans="5:5" x14ac:dyDescent="0.2">
      <c r="E808" s="34"/>
    </row>
    <row r="809" spans="5:5" x14ac:dyDescent="0.2">
      <c r="E809" s="34"/>
    </row>
    <row r="810" spans="5:5" x14ac:dyDescent="0.2">
      <c r="E810" s="34"/>
    </row>
    <row r="811" spans="5:5" x14ac:dyDescent="0.2">
      <c r="E811" s="34"/>
    </row>
    <row r="812" spans="5:5" x14ac:dyDescent="0.2">
      <c r="E812" s="34"/>
    </row>
    <row r="813" spans="5:5" x14ac:dyDescent="0.2">
      <c r="E813" s="34"/>
    </row>
    <row r="814" spans="5:5" x14ac:dyDescent="0.2">
      <c r="E814" s="34"/>
    </row>
    <row r="815" spans="5:5" x14ac:dyDescent="0.2">
      <c r="E815" s="34"/>
    </row>
    <row r="816" spans="5:5" x14ac:dyDescent="0.2">
      <c r="E816" s="34"/>
    </row>
    <row r="817" spans="5:5" x14ac:dyDescent="0.2">
      <c r="E817" s="34"/>
    </row>
    <row r="818" spans="5:5" x14ac:dyDescent="0.2">
      <c r="E818" s="34"/>
    </row>
    <row r="819" spans="5:5" x14ac:dyDescent="0.2">
      <c r="E819" s="34"/>
    </row>
    <row r="820" spans="5:5" x14ac:dyDescent="0.2">
      <c r="E820" s="34"/>
    </row>
    <row r="821" spans="5:5" x14ac:dyDescent="0.2">
      <c r="E821" s="34"/>
    </row>
    <row r="822" spans="5:5" x14ac:dyDescent="0.2">
      <c r="E822" s="34"/>
    </row>
    <row r="823" spans="5:5" x14ac:dyDescent="0.2">
      <c r="E823" s="34"/>
    </row>
    <row r="824" spans="5:5" x14ac:dyDescent="0.2">
      <c r="E824" s="34"/>
    </row>
    <row r="825" spans="5:5" x14ac:dyDescent="0.2">
      <c r="E825" s="34"/>
    </row>
    <row r="826" spans="5:5" x14ac:dyDescent="0.2">
      <c r="E826" s="34"/>
    </row>
    <row r="827" spans="5:5" x14ac:dyDescent="0.2">
      <c r="E827" s="34"/>
    </row>
    <row r="828" spans="5:5" x14ac:dyDescent="0.2">
      <c r="E828" s="34"/>
    </row>
    <row r="829" spans="5:5" x14ac:dyDescent="0.2">
      <c r="E829" s="34"/>
    </row>
    <row r="830" spans="5:5" x14ac:dyDescent="0.2">
      <c r="E830" s="34"/>
    </row>
    <row r="831" spans="5:5" x14ac:dyDescent="0.2">
      <c r="E831" s="34"/>
    </row>
    <row r="832" spans="5:5" x14ac:dyDescent="0.2">
      <c r="E832" s="34"/>
    </row>
    <row r="833" spans="5:5" x14ac:dyDescent="0.2">
      <c r="E833" s="34"/>
    </row>
    <row r="834" spans="5:5" x14ac:dyDescent="0.2">
      <c r="E834" s="34"/>
    </row>
    <row r="835" spans="5:5" x14ac:dyDescent="0.2">
      <c r="E835" s="34"/>
    </row>
    <row r="836" spans="5:5" x14ac:dyDescent="0.2">
      <c r="E836" s="34"/>
    </row>
    <row r="837" spans="5:5" x14ac:dyDescent="0.2">
      <c r="E837" s="34"/>
    </row>
    <row r="838" spans="5:5" x14ac:dyDescent="0.2">
      <c r="E838" s="34"/>
    </row>
    <row r="839" spans="5:5" x14ac:dyDescent="0.2">
      <c r="E839" s="34"/>
    </row>
    <row r="840" spans="5:5" x14ac:dyDescent="0.2">
      <c r="E840" s="34"/>
    </row>
    <row r="841" spans="5:5" x14ac:dyDescent="0.2">
      <c r="E841" s="34"/>
    </row>
    <row r="842" spans="5:5" x14ac:dyDescent="0.2">
      <c r="E842" s="34"/>
    </row>
    <row r="843" spans="5:5" x14ac:dyDescent="0.2">
      <c r="E843" s="34"/>
    </row>
    <row r="844" spans="5:5" x14ac:dyDescent="0.2">
      <c r="E844" s="34"/>
    </row>
    <row r="845" spans="5:5" x14ac:dyDescent="0.2">
      <c r="E845" s="34"/>
    </row>
    <row r="846" spans="5:5" x14ac:dyDescent="0.2">
      <c r="E846" s="34"/>
    </row>
    <row r="847" spans="5:5" x14ac:dyDescent="0.2">
      <c r="E847" s="34"/>
    </row>
    <row r="848" spans="5:5" x14ac:dyDescent="0.2">
      <c r="E848" s="34"/>
    </row>
    <row r="849" spans="5:5" x14ac:dyDescent="0.2">
      <c r="E849" s="34"/>
    </row>
    <row r="850" spans="5:5" x14ac:dyDescent="0.2">
      <c r="E850" s="34"/>
    </row>
    <row r="851" spans="5:5" x14ac:dyDescent="0.2">
      <c r="E851" s="34"/>
    </row>
    <row r="852" spans="5:5" x14ac:dyDescent="0.2">
      <c r="E852" s="34"/>
    </row>
    <row r="853" spans="5:5" x14ac:dyDescent="0.2">
      <c r="E853" s="34"/>
    </row>
    <row r="854" spans="5:5" x14ac:dyDescent="0.2">
      <c r="E854" s="34"/>
    </row>
    <row r="855" spans="5:5" x14ac:dyDescent="0.2">
      <c r="E855" s="34"/>
    </row>
    <row r="856" spans="5:5" x14ac:dyDescent="0.2">
      <c r="E856" s="34"/>
    </row>
    <row r="857" spans="5:5" x14ac:dyDescent="0.2">
      <c r="E857" s="34"/>
    </row>
    <row r="858" spans="5:5" x14ac:dyDescent="0.2">
      <c r="E858" s="34"/>
    </row>
    <row r="859" spans="5:5" x14ac:dyDescent="0.2">
      <c r="E859" s="34"/>
    </row>
    <row r="860" spans="5:5" x14ac:dyDescent="0.2">
      <c r="E860" s="34"/>
    </row>
    <row r="861" spans="5:5" x14ac:dyDescent="0.2">
      <c r="E861" s="34"/>
    </row>
    <row r="862" spans="5:5" x14ac:dyDescent="0.2">
      <c r="E862" s="34"/>
    </row>
    <row r="863" spans="5:5" x14ac:dyDescent="0.2">
      <c r="E863" s="34"/>
    </row>
    <row r="864" spans="5:5" x14ac:dyDescent="0.2">
      <c r="E864" s="34"/>
    </row>
    <row r="865" spans="5:5" x14ac:dyDescent="0.2">
      <c r="E865" s="34"/>
    </row>
    <row r="866" spans="5:5" x14ac:dyDescent="0.2">
      <c r="E866" s="34"/>
    </row>
    <row r="867" spans="5:5" x14ac:dyDescent="0.2">
      <c r="E867" s="34"/>
    </row>
    <row r="868" spans="5:5" x14ac:dyDescent="0.2">
      <c r="E868" s="34"/>
    </row>
    <row r="869" spans="5:5" x14ac:dyDescent="0.2">
      <c r="E869" s="34"/>
    </row>
    <row r="870" spans="5:5" x14ac:dyDescent="0.2">
      <c r="E870" s="34"/>
    </row>
    <row r="871" spans="5:5" x14ac:dyDescent="0.2">
      <c r="E871" s="34"/>
    </row>
    <row r="872" spans="5:5" x14ac:dyDescent="0.2">
      <c r="E872" s="34"/>
    </row>
    <row r="873" spans="5:5" x14ac:dyDescent="0.2">
      <c r="E873" s="34"/>
    </row>
    <row r="874" spans="5:5" x14ac:dyDescent="0.2">
      <c r="E874" s="34"/>
    </row>
    <row r="875" spans="5:5" x14ac:dyDescent="0.2">
      <c r="E875" s="34"/>
    </row>
    <row r="876" spans="5:5" x14ac:dyDescent="0.2">
      <c r="E876" s="34"/>
    </row>
    <row r="877" spans="5:5" x14ac:dyDescent="0.2">
      <c r="E877" s="34"/>
    </row>
    <row r="878" spans="5:5" x14ac:dyDescent="0.2">
      <c r="E878" s="34"/>
    </row>
    <row r="879" spans="5:5" x14ac:dyDescent="0.2">
      <c r="E879" s="34"/>
    </row>
    <row r="880" spans="5:5" x14ac:dyDescent="0.2">
      <c r="E880" s="34"/>
    </row>
    <row r="881" spans="5:5" x14ac:dyDescent="0.2">
      <c r="E881" s="34"/>
    </row>
    <row r="882" spans="5:5" x14ac:dyDescent="0.2">
      <c r="E882" s="34"/>
    </row>
    <row r="883" spans="5:5" x14ac:dyDescent="0.2">
      <c r="E883" s="34"/>
    </row>
    <row r="884" spans="5:5" x14ac:dyDescent="0.2">
      <c r="E884" s="34"/>
    </row>
    <row r="885" spans="5:5" x14ac:dyDescent="0.2">
      <c r="E885" s="34"/>
    </row>
    <row r="886" spans="5:5" x14ac:dyDescent="0.2">
      <c r="E886" s="34"/>
    </row>
    <row r="887" spans="5:5" x14ac:dyDescent="0.2">
      <c r="E887" s="34"/>
    </row>
    <row r="888" spans="5:5" x14ac:dyDescent="0.2">
      <c r="E888" s="34"/>
    </row>
    <row r="889" spans="5:5" x14ac:dyDescent="0.2">
      <c r="E889" s="34"/>
    </row>
    <row r="890" spans="5:5" x14ac:dyDescent="0.2">
      <c r="E890" s="34"/>
    </row>
    <row r="891" spans="5:5" x14ac:dyDescent="0.2">
      <c r="E891" s="34"/>
    </row>
    <row r="892" spans="5:5" x14ac:dyDescent="0.2">
      <c r="E892" s="34"/>
    </row>
    <row r="893" spans="5:5" x14ac:dyDescent="0.2">
      <c r="E893" s="34"/>
    </row>
    <row r="894" spans="5:5" x14ac:dyDescent="0.2">
      <c r="E894" s="34"/>
    </row>
    <row r="895" spans="5:5" x14ac:dyDescent="0.2">
      <c r="E895" s="34"/>
    </row>
    <row r="896" spans="5:5" x14ac:dyDescent="0.2">
      <c r="E896" s="34"/>
    </row>
    <row r="897" spans="5:5" x14ac:dyDescent="0.2">
      <c r="E897" s="34"/>
    </row>
    <row r="898" spans="5:5" x14ac:dyDescent="0.2">
      <c r="E898" s="34"/>
    </row>
    <row r="899" spans="5:5" x14ac:dyDescent="0.2">
      <c r="E899" s="34"/>
    </row>
    <row r="900" spans="5:5" x14ac:dyDescent="0.2">
      <c r="E900" s="34"/>
    </row>
    <row r="901" spans="5:5" x14ac:dyDescent="0.2">
      <c r="E901" s="34"/>
    </row>
    <row r="902" spans="5:5" x14ac:dyDescent="0.2">
      <c r="E902" s="34"/>
    </row>
    <row r="903" spans="5:5" x14ac:dyDescent="0.2">
      <c r="E903" s="34"/>
    </row>
    <row r="904" spans="5:5" x14ac:dyDescent="0.2">
      <c r="E904" s="34"/>
    </row>
    <row r="905" spans="5:5" x14ac:dyDescent="0.2">
      <c r="E905" s="34"/>
    </row>
    <row r="906" spans="5:5" x14ac:dyDescent="0.2">
      <c r="E906" s="34"/>
    </row>
    <row r="907" spans="5:5" x14ac:dyDescent="0.2">
      <c r="E907" s="34"/>
    </row>
    <row r="908" spans="5:5" x14ac:dyDescent="0.2">
      <c r="E908" s="34"/>
    </row>
    <row r="909" spans="5:5" x14ac:dyDescent="0.2">
      <c r="E909" s="34"/>
    </row>
    <row r="910" spans="5:5" x14ac:dyDescent="0.2">
      <c r="E910" s="34"/>
    </row>
    <row r="911" spans="5:5" x14ac:dyDescent="0.2">
      <c r="E911" s="34"/>
    </row>
    <row r="912" spans="5:5" x14ac:dyDescent="0.2">
      <c r="E912" s="34"/>
    </row>
    <row r="913" spans="5:5" x14ac:dyDescent="0.2">
      <c r="E913" s="34"/>
    </row>
    <row r="914" spans="5:5" x14ac:dyDescent="0.2">
      <c r="E914" s="34"/>
    </row>
    <row r="915" spans="5:5" x14ac:dyDescent="0.2">
      <c r="E915" s="34"/>
    </row>
    <row r="916" spans="5:5" x14ac:dyDescent="0.2">
      <c r="E916" s="34"/>
    </row>
    <row r="917" spans="5:5" x14ac:dyDescent="0.2">
      <c r="E917" s="34"/>
    </row>
    <row r="918" spans="5:5" x14ac:dyDescent="0.2">
      <c r="E918" s="34"/>
    </row>
    <row r="919" spans="5:5" x14ac:dyDescent="0.2">
      <c r="E919" s="34"/>
    </row>
    <row r="920" spans="5:5" x14ac:dyDescent="0.2">
      <c r="E920" s="34"/>
    </row>
    <row r="921" spans="5:5" x14ac:dyDescent="0.2">
      <c r="E921" s="34"/>
    </row>
    <row r="922" spans="5:5" x14ac:dyDescent="0.2">
      <c r="E922" s="34"/>
    </row>
    <row r="923" spans="5:5" x14ac:dyDescent="0.2">
      <c r="E923" s="34"/>
    </row>
    <row r="924" spans="5:5" x14ac:dyDescent="0.2">
      <c r="E924" s="34"/>
    </row>
    <row r="925" spans="5:5" x14ac:dyDescent="0.2">
      <c r="E925" s="34"/>
    </row>
    <row r="926" spans="5:5" x14ac:dyDescent="0.2">
      <c r="E926" s="34"/>
    </row>
    <row r="927" spans="5:5" x14ac:dyDescent="0.2">
      <c r="E927" s="34"/>
    </row>
    <row r="928" spans="5:5" x14ac:dyDescent="0.2">
      <c r="E928" s="34"/>
    </row>
    <row r="929" spans="5:5" x14ac:dyDescent="0.2">
      <c r="E929" s="34"/>
    </row>
    <row r="930" spans="5:5" x14ac:dyDescent="0.2">
      <c r="E930" s="34"/>
    </row>
    <row r="931" spans="5:5" x14ac:dyDescent="0.2">
      <c r="E931" s="34"/>
    </row>
    <row r="932" spans="5:5" x14ac:dyDescent="0.2">
      <c r="E932" s="34"/>
    </row>
    <row r="933" spans="5:5" x14ac:dyDescent="0.2">
      <c r="E933" s="34"/>
    </row>
    <row r="934" spans="5:5" x14ac:dyDescent="0.2">
      <c r="E934" s="34"/>
    </row>
    <row r="935" spans="5:5" x14ac:dyDescent="0.2">
      <c r="E935" s="34"/>
    </row>
    <row r="936" spans="5:5" x14ac:dyDescent="0.2">
      <c r="E936" s="34"/>
    </row>
    <row r="937" spans="5:5" x14ac:dyDescent="0.2">
      <c r="E937" s="34"/>
    </row>
    <row r="938" spans="5:5" x14ac:dyDescent="0.2">
      <c r="E938" s="34"/>
    </row>
    <row r="939" spans="5:5" x14ac:dyDescent="0.2">
      <c r="E939" s="34"/>
    </row>
    <row r="940" spans="5:5" x14ac:dyDescent="0.2">
      <c r="E940" s="34"/>
    </row>
    <row r="941" spans="5:5" x14ac:dyDescent="0.2">
      <c r="E941" s="34"/>
    </row>
    <row r="942" spans="5:5" x14ac:dyDescent="0.2">
      <c r="E942" s="34"/>
    </row>
    <row r="943" spans="5:5" x14ac:dyDescent="0.2">
      <c r="E943" s="34"/>
    </row>
    <row r="944" spans="5:5" x14ac:dyDescent="0.2">
      <c r="E944" s="34"/>
    </row>
    <row r="945" spans="5:5" x14ac:dyDescent="0.2">
      <c r="E945" s="34"/>
    </row>
    <row r="946" spans="5:5" x14ac:dyDescent="0.2">
      <c r="E946" s="34"/>
    </row>
    <row r="947" spans="5:5" x14ac:dyDescent="0.2">
      <c r="E947" s="34"/>
    </row>
    <row r="948" spans="5:5" x14ac:dyDescent="0.2">
      <c r="E948" s="34"/>
    </row>
    <row r="949" spans="5:5" x14ac:dyDescent="0.2">
      <c r="E949" s="34"/>
    </row>
    <row r="950" spans="5:5" x14ac:dyDescent="0.2">
      <c r="E950" s="34"/>
    </row>
    <row r="951" spans="5:5" x14ac:dyDescent="0.2">
      <c r="E951" s="34"/>
    </row>
    <row r="952" spans="5:5" x14ac:dyDescent="0.2">
      <c r="E952" s="34"/>
    </row>
    <row r="953" spans="5:5" x14ac:dyDescent="0.2">
      <c r="E953" s="34"/>
    </row>
    <row r="954" spans="5:5" x14ac:dyDescent="0.2">
      <c r="E954" s="34"/>
    </row>
    <row r="955" spans="5:5" x14ac:dyDescent="0.2">
      <c r="E955" s="34"/>
    </row>
    <row r="956" spans="5:5" x14ac:dyDescent="0.2">
      <c r="E956" s="34"/>
    </row>
    <row r="957" spans="5:5" x14ac:dyDescent="0.2">
      <c r="E957" s="34"/>
    </row>
    <row r="958" spans="5:5" x14ac:dyDescent="0.2">
      <c r="E958" s="34"/>
    </row>
    <row r="959" spans="5:5" x14ac:dyDescent="0.2">
      <c r="E959" s="34"/>
    </row>
    <row r="960" spans="5:5" x14ac:dyDescent="0.2">
      <c r="E960" s="34"/>
    </row>
    <row r="961" spans="5:5" x14ac:dyDescent="0.2">
      <c r="E961" s="34"/>
    </row>
    <row r="962" spans="5:5" x14ac:dyDescent="0.2">
      <c r="E962" s="34"/>
    </row>
    <row r="963" spans="5:5" x14ac:dyDescent="0.2">
      <c r="E963" s="34"/>
    </row>
    <row r="964" spans="5:5" x14ac:dyDescent="0.2">
      <c r="E964" s="34"/>
    </row>
    <row r="965" spans="5:5" x14ac:dyDescent="0.2">
      <c r="E965" s="34"/>
    </row>
    <row r="966" spans="5:5" x14ac:dyDescent="0.2">
      <c r="E966" s="34"/>
    </row>
    <row r="967" spans="5:5" x14ac:dyDescent="0.2">
      <c r="E967" s="34"/>
    </row>
    <row r="968" spans="5:5" x14ac:dyDescent="0.2">
      <c r="E968" s="34"/>
    </row>
    <row r="969" spans="5:5" x14ac:dyDescent="0.2">
      <c r="E969" s="34"/>
    </row>
    <row r="970" spans="5:5" x14ac:dyDescent="0.2">
      <c r="E970" s="34"/>
    </row>
    <row r="971" spans="5:5" x14ac:dyDescent="0.2">
      <c r="E971" s="34"/>
    </row>
    <row r="972" spans="5:5" x14ac:dyDescent="0.2">
      <c r="E972" s="34"/>
    </row>
    <row r="973" spans="5:5" x14ac:dyDescent="0.2">
      <c r="E973" s="34"/>
    </row>
    <row r="974" spans="5:5" x14ac:dyDescent="0.2">
      <c r="E974" s="34"/>
    </row>
    <row r="975" spans="5:5" x14ac:dyDescent="0.2">
      <c r="E975" s="34"/>
    </row>
    <row r="976" spans="5:5" x14ac:dyDescent="0.2">
      <c r="E976" s="34"/>
    </row>
    <row r="977" spans="5:5" x14ac:dyDescent="0.2">
      <c r="E977" s="34"/>
    </row>
    <row r="978" spans="5:5" x14ac:dyDescent="0.2">
      <c r="E978" s="34"/>
    </row>
    <row r="979" spans="5:5" x14ac:dyDescent="0.2">
      <c r="E979" s="34"/>
    </row>
    <row r="980" spans="5:5" x14ac:dyDescent="0.2">
      <c r="E980" s="34"/>
    </row>
    <row r="981" spans="5:5" x14ac:dyDescent="0.2">
      <c r="E981" s="34"/>
    </row>
    <row r="982" spans="5:5" x14ac:dyDescent="0.2">
      <c r="E982" s="34"/>
    </row>
    <row r="983" spans="5:5" x14ac:dyDescent="0.2">
      <c r="E983" s="34"/>
    </row>
    <row r="984" spans="5:5" x14ac:dyDescent="0.2">
      <c r="E984" s="34"/>
    </row>
    <row r="985" spans="5:5" x14ac:dyDescent="0.2">
      <c r="E985" s="34"/>
    </row>
    <row r="986" spans="5:5" x14ac:dyDescent="0.2">
      <c r="E986" s="34"/>
    </row>
    <row r="987" spans="5:5" x14ac:dyDescent="0.2">
      <c r="E987" s="34"/>
    </row>
    <row r="988" spans="5:5" x14ac:dyDescent="0.2">
      <c r="E988" s="34"/>
    </row>
    <row r="989" spans="5:5" x14ac:dyDescent="0.2">
      <c r="E989" s="34"/>
    </row>
    <row r="990" spans="5:5" x14ac:dyDescent="0.2">
      <c r="E990" s="34"/>
    </row>
    <row r="991" spans="5:5" x14ac:dyDescent="0.2">
      <c r="E991" s="34"/>
    </row>
    <row r="992" spans="5:5" x14ac:dyDescent="0.2">
      <c r="E992" s="34"/>
    </row>
    <row r="993" spans="5:5" x14ac:dyDescent="0.2">
      <c r="E993" s="34"/>
    </row>
    <row r="994" spans="5:5" x14ac:dyDescent="0.2">
      <c r="E994" s="34"/>
    </row>
    <row r="995" spans="5:5" x14ac:dyDescent="0.2">
      <c r="E995" s="34"/>
    </row>
    <row r="996" spans="5:5" x14ac:dyDescent="0.2">
      <c r="E996" s="34"/>
    </row>
    <row r="997" spans="5:5" x14ac:dyDescent="0.2">
      <c r="E997" s="34"/>
    </row>
    <row r="998" spans="5:5" x14ac:dyDescent="0.2">
      <c r="E998" s="34"/>
    </row>
    <row r="999" spans="5:5" x14ac:dyDescent="0.2">
      <c r="E999" s="34"/>
    </row>
    <row r="1000" spans="5:5" x14ac:dyDescent="0.2">
      <c r="E1000" s="34"/>
    </row>
    <row r="1001" spans="5:5" x14ac:dyDescent="0.2">
      <c r="E1001" s="34"/>
    </row>
    <row r="1002" spans="5:5" x14ac:dyDescent="0.2">
      <c r="E1002" s="34"/>
    </row>
    <row r="1003" spans="5:5" x14ac:dyDescent="0.2">
      <c r="E1003" s="34"/>
    </row>
    <row r="1004" spans="5:5" x14ac:dyDescent="0.2">
      <c r="E1004" s="34"/>
    </row>
    <row r="1005" spans="5:5" x14ac:dyDescent="0.2">
      <c r="E1005" s="34"/>
    </row>
    <row r="1006" spans="5:5" x14ac:dyDescent="0.2">
      <c r="E1006" s="34"/>
    </row>
    <row r="1007" spans="5:5" x14ac:dyDescent="0.2">
      <c r="E1007" s="34"/>
    </row>
    <row r="1008" spans="5:5" x14ac:dyDescent="0.2">
      <c r="E1008" s="34"/>
    </row>
    <row r="1009" spans="5:5" x14ac:dyDescent="0.2">
      <c r="E1009" s="34"/>
    </row>
    <row r="1010" spans="5:5" x14ac:dyDescent="0.2">
      <c r="E1010" s="34"/>
    </row>
    <row r="1011" spans="5:5" x14ac:dyDescent="0.2">
      <c r="E1011" s="34"/>
    </row>
    <row r="1012" spans="5:5" x14ac:dyDescent="0.2">
      <c r="E1012" s="34"/>
    </row>
    <row r="1013" spans="5:5" x14ac:dyDescent="0.2">
      <c r="E1013" s="34"/>
    </row>
    <row r="1014" spans="5:5" x14ac:dyDescent="0.2">
      <c r="E1014" s="34"/>
    </row>
    <row r="1015" spans="5:5" x14ac:dyDescent="0.2">
      <c r="E1015" s="34"/>
    </row>
    <row r="1016" spans="5:5" x14ac:dyDescent="0.2">
      <c r="E1016" s="34"/>
    </row>
    <row r="1017" spans="5:5" x14ac:dyDescent="0.2">
      <c r="E1017" s="34"/>
    </row>
    <row r="1018" spans="5:5" x14ac:dyDescent="0.2">
      <c r="E1018" s="34"/>
    </row>
    <row r="1019" spans="5:5" x14ac:dyDescent="0.2">
      <c r="E1019" s="34"/>
    </row>
    <row r="1020" spans="5:5" x14ac:dyDescent="0.2">
      <c r="E1020" s="34"/>
    </row>
    <row r="1021" spans="5:5" x14ac:dyDescent="0.2">
      <c r="E1021" s="34"/>
    </row>
    <row r="1022" spans="5:5" x14ac:dyDescent="0.2">
      <c r="E1022" s="34"/>
    </row>
    <row r="1023" spans="5:5" x14ac:dyDescent="0.2">
      <c r="E1023" s="34"/>
    </row>
    <row r="1024" spans="5:5" x14ac:dyDescent="0.2">
      <c r="E1024" s="34"/>
    </row>
    <row r="1025" spans="5:5" x14ac:dyDescent="0.2">
      <c r="E1025" s="34"/>
    </row>
    <row r="1026" spans="5:5" x14ac:dyDescent="0.2">
      <c r="E1026" s="34"/>
    </row>
    <row r="1027" spans="5:5" x14ac:dyDescent="0.2">
      <c r="E1027" s="34"/>
    </row>
    <row r="1028" spans="5:5" x14ac:dyDescent="0.2">
      <c r="E1028" s="34"/>
    </row>
    <row r="1029" spans="5:5" x14ac:dyDescent="0.2">
      <c r="E1029" s="34"/>
    </row>
    <row r="1030" spans="5:5" x14ac:dyDescent="0.2">
      <c r="E1030" s="34"/>
    </row>
    <row r="1031" spans="5:5" x14ac:dyDescent="0.2">
      <c r="E1031" s="34"/>
    </row>
    <row r="1032" spans="5:5" x14ac:dyDescent="0.2">
      <c r="E1032" s="34"/>
    </row>
    <row r="1033" spans="5:5" x14ac:dyDescent="0.2">
      <c r="E1033" s="34"/>
    </row>
    <row r="1034" spans="5:5" x14ac:dyDescent="0.2">
      <c r="E1034" s="34"/>
    </row>
    <row r="1035" spans="5:5" x14ac:dyDescent="0.2">
      <c r="E1035" s="34"/>
    </row>
    <row r="1036" spans="5:5" x14ac:dyDescent="0.2">
      <c r="E1036" s="34"/>
    </row>
    <row r="1037" spans="5:5" x14ac:dyDescent="0.2">
      <c r="E1037" s="34"/>
    </row>
    <row r="1038" spans="5:5" x14ac:dyDescent="0.2">
      <c r="E1038" s="34"/>
    </row>
    <row r="1039" spans="5:5" x14ac:dyDescent="0.2">
      <c r="E1039" s="34"/>
    </row>
    <row r="1040" spans="5:5" x14ac:dyDescent="0.2">
      <c r="E1040" s="34"/>
    </row>
    <row r="1041" spans="5:5" x14ac:dyDescent="0.2">
      <c r="E1041" s="34"/>
    </row>
    <row r="1042" spans="5:5" x14ac:dyDescent="0.2">
      <c r="E1042" s="34"/>
    </row>
    <row r="1043" spans="5:5" x14ac:dyDescent="0.2">
      <c r="E1043" s="34"/>
    </row>
    <row r="1044" spans="5:5" x14ac:dyDescent="0.2">
      <c r="E1044" s="34"/>
    </row>
    <row r="1045" spans="5:5" x14ac:dyDescent="0.2">
      <c r="E1045" s="34"/>
    </row>
    <row r="1046" spans="5:5" x14ac:dyDescent="0.2">
      <c r="E1046" s="34"/>
    </row>
    <row r="1047" spans="5:5" x14ac:dyDescent="0.2">
      <c r="E1047" s="34"/>
    </row>
    <row r="1048" spans="5:5" x14ac:dyDescent="0.2">
      <c r="E1048" s="34"/>
    </row>
    <row r="1049" spans="5:5" x14ac:dyDescent="0.2">
      <c r="E1049" s="34"/>
    </row>
    <row r="1050" spans="5:5" x14ac:dyDescent="0.2">
      <c r="E1050" s="34"/>
    </row>
    <row r="1051" spans="5:5" x14ac:dyDescent="0.2">
      <c r="E1051" s="34"/>
    </row>
    <row r="1052" spans="5:5" x14ac:dyDescent="0.2">
      <c r="E1052" s="34"/>
    </row>
    <row r="1053" spans="5:5" x14ac:dyDescent="0.2">
      <c r="E1053" s="34"/>
    </row>
    <row r="1054" spans="5:5" x14ac:dyDescent="0.2">
      <c r="E1054" s="34"/>
    </row>
    <row r="1055" spans="5:5" x14ac:dyDescent="0.2">
      <c r="E1055" s="34"/>
    </row>
    <row r="1056" spans="5:5" x14ac:dyDescent="0.2">
      <c r="E1056" s="34"/>
    </row>
    <row r="1057" spans="5:5" x14ac:dyDescent="0.2">
      <c r="E1057" s="34"/>
    </row>
    <row r="1058" spans="5:5" x14ac:dyDescent="0.2">
      <c r="E1058" s="34"/>
    </row>
    <row r="1059" spans="5:5" x14ac:dyDescent="0.2">
      <c r="E1059" s="34"/>
    </row>
    <row r="1060" spans="5:5" x14ac:dyDescent="0.2">
      <c r="E1060" s="34"/>
    </row>
    <row r="1061" spans="5:5" x14ac:dyDescent="0.2">
      <c r="E1061" s="34"/>
    </row>
    <row r="1062" spans="5:5" x14ac:dyDescent="0.2">
      <c r="E1062" s="34"/>
    </row>
    <row r="1063" spans="5:5" x14ac:dyDescent="0.2">
      <c r="E1063" s="34"/>
    </row>
    <row r="1064" spans="5:5" x14ac:dyDescent="0.2">
      <c r="E1064" s="34"/>
    </row>
    <row r="1065" spans="5:5" x14ac:dyDescent="0.2">
      <c r="E1065" s="34"/>
    </row>
    <row r="1066" spans="5:5" x14ac:dyDescent="0.2">
      <c r="E1066" s="34"/>
    </row>
    <row r="1067" spans="5:5" x14ac:dyDescent="0.2">
      <c r="E1067" s="34"/>
    </row>
    <row r="1068" spans="5:5" x14ac:dyDescent="0.2">
      <c r="E1068" s="34"/>
    </row>
    <row r="1069" spans="5:5" x14ac:dyDescent="0.2">
      <c r="E1069" s="34"/>
    </row>
    <row r="1070" spans="5:5" x14ac:dyDescent="0.2">
      <c r="E1070" s="34"/>
    </row>
    <row r="1071" spans="5:5" x14ac:dyDescent="0.2">
      <c r="E1071" s="34"/>
    </row>
    <row r="1072" spans="5:5" x14ac:dyDescent="0.2">
      <c r="E1072" s="34"/>
    </row>
    <row r="1073" spans="5:5" x14ac:dyDescent="0.2">
      <c r="E1073" s="34"/>
    </row>
    <row r="1074" spans="5:5" x14ac:dyDescent="0.2">
      <c r="E1074" s="34"/>
    </row>
    <row r="1075" spans="5:5" x14ac:dyDescent="0.2">
      <c r="E1075" s="34"/>
    </row>
    <row r="1076" spans="5:5" x14ac:dyDescent="0.2">
      <c r="E1076" s="34"/>
    </row>
    <row r="1077" spans="5:5" x14ac:dyDescent="0.2">
      <c r="E1077" s="34"/>
    </row>
    <row r="1078" spans="5:5" x14ac:dyDescent="0.2">
      <c r="E1078" s="34"/>
    </row>
    <row r="1079" spans="5:5" x14ac:dyDescent="0.2">
      <c r="E1079" s="34"/>
    </row>
    <row r="1080" spans="5:5" x14ac:dyDescent="0.2">
      <c r="E1080" s="34"/>
    </row>
    <row r="1081" spans="5:5" x14ac:dyDescent="0.2">
      <c r="E1081" s="34"/>
    </row>
    <row r="1082" spans="5:5" x14ac:dyDescent="0.2">
      <c r="E1082" s="34"/>
    </row>
    <row r="1083" spans="5:5" x14ac:dyDescent="0.2">
      <c r="E1083" s="34"/>
    </row>
    <row r="1084" spans="5:5" x14ac:dyDescent="0.2">
      <c r="E1084" s="34"/>
    </row>
    <row r="1085" spans="5:5" x14ac:dyDescent="0.2">
      <c r="E1085" s="34"/>
    </row>
    <row r="1086" spans="5:5" x14ac:dyDescent="0.2">
      <c r="E1086" s="34"/>
    </row>
    <row r="1087" spans="5:5" x14ac:dyDescent="0.2">
      <c r="E1087" s="34"/>
    </row>
    <row r="1088" spans="5:5" x14ac:dyDescent="0.2">
      <c r="E1088" s="34"/>
    </row>
    <row r="1089" spans="5:5" x14ac:dyDescent="0.2">
      <c r="E1089" s="34"/>
    </row>
    <row r="1090" spans="5:5" x14ac:dyDescent="0.2">
      <c r="E1090" s="34"/>
    </row>
    <row r="1091" spans="5:5" x14ac:dyDescent="0.2">
      <c r="E1091" s="34"/>
    </row>
    <row r="1092" spans="5:5" x14ac:dyDescent="0.2">
      <c r="E1092" s="34"/>
    </row>
    <row r="1093" spans="5:5" x14ac:dyDescent="0.2">
      <c r="E1093" s="34"/>
    </row>
    <row r="1094" spans="5:5" x14ac:dyDescent="0.2">
      <c r="E1094" s="34"/>
    </row>
    <row r="1095" spans="5:5" x14ac:dyDescent="0.2">
      <c r="E1095" s="34"/>
    </row>
    <row r="1096" spans="5:5" x14ac:dyDescent="0.2">
      <c r="E1096" s="34"/>
    </row>
    <row r="1097" spans="5:5" x14ac:dyDescent="0.2">
      <c r="E1097" s="34"/>
    </row>
    <row r="1098" spans="5:5" x14ac:dyDescent="0.2">
      <c r="E1098" s="34"/>
    </row>
    <row r="1099" spans="5:5" x14ac:dyDescent="0.2">
      <c r="E1099" s="34"/>
    </row>
    <row r="1100" spans="5:5" x14ac:dyDescent="0.2">
      <c r="E1100" s="34"/>
    </row>
    <row r="1101" spans="5:5" x14ac:dyDescent="0.2">
      <c r="E1101" s="34"/>
    </row>
    <row r="1102" spans="5:5" x14ac:dyDescent="0.2">
      <c r="E1102" s="34"/>
    </row>
    <row r="1103" spans="5:5" x14ac:dyDescent="0.2">
      <c r="E1103" s="34"/>
    </row>
    <row r="1104" spans="5:5" x14ac:dyDescent="0.2">
      <c r="E1104" s="34"/>
    </row>
    <row r="1105" spans="5:5" x14ac:dyDescent="0.2">
      <c r="E1105" s="34"/>
    </row>
    <row r="1106" spans="5:5" x14ac:dyDescent="0.2">
      <c r="E1106" s="34"/>
    </row>
    <row r="1107" spans="5:5" x14ac:dyDescent="0.2">
      <c r="E1107" s="34"/>
    </row>
    <row r="1108" spans="5:5" x14ac:dyDescent="0.2">
      <c r="E1108" s="34"/>
    </row>
    <row r="1109" spans="5:5" x14ac:dyDescent="0.2">
      <c r="E1109" s="34"/>
    </row>
    <row r="1110" spans="5:5" x14ac:dyDescent="0.2">
      <c r="E1110" s="34"/>
    </row>
    <row r="1111" spans="5:5" x14ac:dyDescent="0.2">
      <c r="E1111" s="34"/>
    </row>
    <row r="1112" spans="5:5" x14ac:dyDescent="0.2">
      <c r="E1112" s="34"/>
    </row>
    <row r="1113" spans="5:5" x14ac:dyDescent="0.2">
      <c r="E1113" s="34"/>
    </row>
    <row r="1114" spans="5:5" x14ac:dyDescent="0.2">
      <c r="E1114" s="34"/>
    </row>
    <row r="1115" spans="5:5" x14ac:dyDescent="0.2">
      <c r="E1115" s="34"/>
    </row>
    <row r="1116" spans="5:5" x14ac:dyDescent="0.2">
      <c r="E1116" s="34"/>
    </row>
    <row r="1117" spans="5:5" x14ac:dyDescent="0.2">
      <c r="E1117" s="34"/>
    </row>
    <row r="1118" spans="5:5" x14ac:dyDescent="0.2">
      <c r="E1118" s="34"/>
    </row>
    <row r="1119" spans="5:5" x14ac:dyDescent="0.2">
      <c r="E1119" s="34"/>
    </row>
    <row r="1120" spans="5:5" x14ac:dyDescent="0.2">
      <c r="E1120" s="34"/>
    </row>
    <row r="1121" spans="5:5" x14ac:dyDescent="0.2">
      <c r="E1121" s="34"/>
    </row>
    <row r="1122" spans="5:5" x14ac:dyDescent="0.2">
      <c r="E1122" s="34"/>
    </row>
    <row r="1123" spans="5:5" x14ac:dyDescent="0.2">
      <c r="E1123" s="34"/>
    </row>
    <row r="1124" spans="5:5" x14ac:dyDescent="0.2">
      <c r="E1124" s="34"/>
    </row>
    <row r="1125" spans="5:5" x14ac:dyDescent="0.2">
      <c r="E1125" s="34"/>
    </row>
    <row r="1126" spans="5:5" x14ac:dyDescent="0.2">
      <c r="E1126" s="34"/>
    </row>
    <row r="1127" spans="5:5" x14ac:dyDescent="0.2">
      <c r="E1127" s="34"/>
    </row>
    <row r="1128" spans="5:5" x14ac:dyDescent="0.2">
      <c r="E1128" s="34"/>
    </row>
    <row r="1129" spans="5:5" x14ac:dyDescent="0.2">
      <c r="E1129" s="34"/>
    </row>
    <row r="1130" spans="5:5" x14ac:dyDescent="0.2">
      <c r="E1130" s="34"/>
    </row>
    <row r="1131" spans="5:5" x14ac:dyDescent="0.2">
      <c r="E1131" s="34"/>
    </row>
    <row r="1132" spans="5:5" x14ac:dyDescent="0.2">
      <c r="E1132" s="34"/>
    </row>
    <row r="1133" spans="5:5" x14ac:dyDescent="0.2">
      <c r="E1133" s="34"/>
    </row>
    <row r="1134" spans="5:5" x14ac:dyDescent="0.2">
      <c r="E1134" s="34"/>
    </row>
    <row r="1135" spans="5:5" x14ac:dyDescent="0.2">
      <c r="E1135" s="34"/>
    </row>
    <row r="1136" spans="5:5" x14ac:dyDescent="0.2">
      <c r="E1136" s="34"/>
    </row>
    <row r="1137" spans="5:5" x14ac:dyDescent="0.2">
      <c r="E1137" s="34"/>
    </row>
    <row r="1138" spans="5:5" x14ac:dyDescent="0.2">
      <c r="E1138" s="34"/>
    </row>
    <row r="1139" spans="5:5" x14ac:dyDescent="0.2">
      <c r="E1139" s="34"/>
    </row>
    <row r="1140" spans="5:5" x14ac:dyDescent="0.2">
      <c r="E1140" s="34"/>
    </row>
    <row r="1141" spans="5:5" x14ac:dyDescent="0.2">
      <c r="E1141" s="34"/>
    </row>
    <row r="1142" spans="5:5" x14ac:dyDescent="0.2">
      <c r="E1142" s="34"/>
    </row>
    <row r="1143" spans="5:5" x14ac:dyDescent="0.2">
      <c r="E1143" s="34"/>
    </row>
    <row r="1144" spans="5:5" x14ac:dyDescent="0.2">
      <c r="E1144" s="34"/>
    </row>
    <row r="1145" spans="5:5" x14ac:dyDescent="0.2">
      <c r="E1145" s="34"/>
    </row>
    <row r="1146" spans="5:5" x14ac:dyDescent="0.2">
      <c r="E1146" s="34"/>
    </row>
    <row r="1147" spans="5:5" x14ac:dyDescent="0.2">
      <c r="E1147" s="34"/>
    </row>
    <row r="1148" spans="5:5" x14ac:dyDescent="0.2">
      <c r="E1148" s="34"/>
    </row>
    <row r="1149" spans="5:5" x14ac:dyDescent="0.2">
      <c r="E1149" s="34"/>
    </row>
    <row r="1150" spans="5:5" x14ac:dyDescent="0.2">
      <c r="E1150" s="34"/>
    </row>
    <row r="1151" spans="5:5" x14ac:dyDescent="0.2">
      <c r="E1151" s="34"/>
    </row>
    <row r="1152" spans="5:5" x14ac:dyDescent="0.2">
      <c r="E1152" s="34"/>
    </row>
    <row r="1153" spans="5:5" x14ac:dyDescent="0.2">
      <c r="E1153" s="34"/>
    </row>
    <row r="1154" spans="5:5" x14ac:dyDescent="0.2">
      <c r="E1154" s="34"/>
    </row>
    <row r="1155" spans="5:5" x14ac:dyDescent="0.2">
      <c r="E1155" s="34"/>
    </row>
    <row r="1156" spans="5:5" x14ac:dyDescent="0.2">
      <c r="E1156" s="34"/>
    </row>
    <row r="1157" spans="5:5" x14ac:dyDescent="0.2">
      <c r="E1157" s="34"/>
    </row>
    <row r="1158" spans="5:5" x14ac:dyDescent="0.2">
      <c r="E1158" s="34"/>
    </row>
    <row r="1159" spans="5:5" x14ac:dyDescent="0.2">
      <c r="E1159" s="34"/>
    </row>
    <row r="1160" spans="5:5" x14ac:dyDescent="0.2">
      <c r="E1160" s="34"/>
    </row>
    <row r="1161" spans="5:5" x14ac:dyDescent="0.2">
      <c r="E1161" s="34"/>
    </row>
    <row r="1162" spans="5:5" x14ac:dyDescent="0.2">
      <c r="E1162" s="34"/>
    </row>
    <row r="1163" spans="5:5" x14ac:dyDescent="0.2">
      <c r="E1163" s="34"/>
    </row>
    <row r="1164" spans="5:5" x14ac:dyDescent="0.2">
      <c r="E1164" s="34"/>
    </row>
    <row r="1165" spans="5:5" x14ac:dyDescent="0.2">
      <c r="E1165" s="34"/>
    </row>
    <row r="1166" spans="5:5" x14ac:dyDescent="0.2">
      <c r="E1166" s="34"/>
    </row>
    <row r="1167" spans="5:5" x14ac:dyDescent="0.2">
      <c r="E1167" s="34"/>
    </row>
    <row r="1168" spans="5:5" x14ac:dyDescent="0.2">
      <c r="E1168" s="34"/>
    </row>
    <row r="1169" spans="5:5" x14ac:dyDescent="0.2">
      <c r="E1169" s="34"/>
    </row>
    <row r="1170" spans="5:5" x14ac:dyDescent="0.2">
      <c r="E1170" s="34"/>
    </row>
    <row r="1171" spans="5:5" x14ac:dyDescent="0.2">
      <c r="E1171" s="34"/>
    </row>
    <row r="1172" spans="5:5" x14ac:dyDescent="0.2">
      <c r="E1172" s="34"/>
    </row>
    <row r="1173" spans="5:5" x14ac:dyDescent="0.2">
      <c r="E1173" s="34"/>
    </row>
    <row r="1174" spans="5:5" x14ac:dyDescent="0.2">
      <c r="E1174" s="34"/>
    </row>
    <row r="1175" spans="5:5" x14ac:dyDescent="0.2">
      <c r="E1175" s="34"/>
    </row>
    <row r="1176" spans="5:5" x14ac:dyDescent="0.2">
      <c r="E1176" s="34"/>
    </row>
    <row r="1177" spans="5:5" x14ac:dyDescent="0.2">
      <c r="E1177" s="34"/>
    </row>
    <row r="1178" spans="5:5" x14ac:dyDescent="0.2">
      <c r="E1178" s="34"/>
    </row>
    <row r="1179" spans="5:5" x14ac:dyDescent="0.2">
      <c r="E1179" s="34"/>
    </row>
    <row r="1180" spans="5:5" x14ac:dyDescent="0.2">
      <c r="E1180" s="34"/>
    </row>
    <row r="1181" spans="5:5" x14ac:dyDescent="0.2">
      <c r="E1181" s="34"/>
    </row>
    <row r="1182" spans="5:5" x14ac:dyDescent="0.2">
      <c r="E1182" s="34"/>
    </row>
    <row r="1183" spans="5:5" x14ac:dyDescent="0.2">
      <c r="E1183" s="34"/>
    </row>
    <row r="1184" spans="5:5" x14ac:dyDescent="0.2">
      <c r="E1184" s="34"/>
    </row>
    <row r="1185" spans="5:5" x14ac:dyDescent="0.2">
      <c r="E1185" s="34"/>
    </row>
    <row r="1186" spans="5:5" x14ac:dyDescent="0.2">
      <c r="E1186" s="34"/>
    </row>
    <row r="1187" spans="5:5" x14ac:dyDescent="0.2">
      <c r="E1187" s="34"/>
    </row>
    <row r="1188" spans="5:5" x14ac:dyDescent="0.2">
      <c r="E1188" s="34"/>
    </row>
    <row r="1189" spans="5:5" x14ac:dyDescent="0.2">
      <c r="E1189" s="34"/>
    </row>
    <row r="1190" spans="5:5" x14ac:dyDescent="0.2">
      <c r="E1190" s="34"/>
    </row>
    <row r="1191" spans="5:5" x14ac:dyDescent="0.2">
      <c r="E1191" s="34"/>
    </row>
    <row r="1192" spans="5:5" x14ac:dyDescent="0.2">
      <c r="E1192" s="34"/>
    </row>
    <row r="1193" spans="5:5" x14ac:dyDescent="0.2">
      <c r="E1193" s="34"/>
    </row>
    <row r="1194" spans="5:5" x14ac:dyDescent="0.2">
      <c r="E1194" s="34"/>
    </row>
    <row r="1195" spans="5:5" x14ac:dyDescent="0.2">
      <c r="E1195" s="34"/>
    </row>
    <row r="1196" spans="5:5" x14ac:dyDescent="0.2">
      <c r="E1196" s="34"/>
    </row>
    <row r="1197" spans="5:5" x14ac:dyDescent="0.2">
      <c r="E1197" s="34"/>
    </row>
    <row r="1198" spans="5:5" x14ac:dyDescent="0.2">
      <c r="E1198" s="34"/>
    </row>
    <row r="1199" spans="5:5" x14ac:dyDescent="0.2">
      <c r="E1199" s="34"/>
    </row>
    <row r="1200" spans="5:5" x14ac:dyDescent="0.2">
      <c r="E1200" s="34"/>
    </row>
    <row r="1201" spans="5:5" x14ac:dyDescent="0.2">
      <c r="E1201" s="34"/>
    </row>
    <row r="1202" spans="5:5" x14ac:dyDescent="0.2">
      <c r="E1202" s="34"/>
    </row>
    <row r="1203" spans="5:5" x14ac:dyDescent="0.2">
      <c r="E1203" s="34"/>
    </row>
    <row r="1204" spans="5:5" x14ac:dyDescent="0.2">
      <c r="E1204" s="34"/>
    </row>
    <row r="1205" spans="5:5" x14ac:dyDescent="0.2">
      <c r="E1205" s="34"/>
    </row>
    <row r="1206" spans="5:5" x14ac:dyDescent="0.2">
      <c r="E1206" s="34"/>
    </row>
    <row r="1207" spans="5:5" x14ac:dyDescent="0.2">
      <c r="E1207" s="34"/>
    </row>
    <row r="1208" spans="5:5" x14ac:dyDescent="0.2">
      <c r="E1208" s="34"/>
    </row>
    <row r="1209" spans="5:5" x14ac:dyDescent="0.2">
      <c r="E1209" s="34"/>
    </row>
    <row r="1210" spans="5:5" x14ac:dyDescent="0.2">
      <c r="E1210" s="34"/>
    </row>
    <row r="1211" spans="5:5" x14ac:dyDescent="0.2">
      <c r="E1211" s="34"/>
    </row>
    <row r="1212" spans="5:5" x14ac:dyDescent="0.2">
      <c r="E1212" s="34"/>
    </row>
    <row r="1213" spans="5:5" x14ac:dyDescent="0.2">
      <c r="E1213" s="34"/>
    </row>
    <row r="1214" spans="5:5" x14ac:dyDescent="0.2">
      <c r="E1214" s="34"/>
    </row>
    <row r="1215" spans="5:5" x14ac:dyDescent="0.2">
      <c r="E1215" s="34"/>
    </row>
    <row r="1216" spans="5:5" x14ac:dyDescent="0.2">
      <c r="E1216" s="34"/>
    </row>
    <row r="1217" spans="5:5" x14ac:dyDescent="0.2">
      <c r="E1217" s="34"/>
    </row>
    <row r="1218" spans="5:5" x14ac:dyDescent="0.2">
      <c r="E1218" s="34"/>
    </row>
    <row r="1219" spans="5:5" x14ac:dyDescent="0.2">
      <c r="E1219" s="34"/>
    </row>
    <row r="1220" spans="5:5" x14ac:dyDescent="0.2">
      <c r="E1220" s="34"/>
    </row>
    <row r="1221" spans="5:5" x14ac:dyDescent="0.2">
      <c r="E1221" s="34"/>
    </row>
    <row r="1222" spans="5:5" x14ac:dyDescent="0.2">
      <c r="E1222" s="34"/>
    </row>
    <row r="1223" spans="5:5" x14ac:dyDescent="0.2">
      <c r="E1223" s="34"/>
    </row>
    <row r="1224" spans="5:5" x14ac:dyDescent="0.2">
      <c r="E1224" s="34"/>
    </row>
    <row r="1225" spans="5:5" x14ac:dyDescent="0.2">
      <c r="E1225" s="34"/>
    </row>
    <row r="1226" spans="5:5" x14ac:dyDescent="0.2">
      <c r="E1226" s="34"/>
    </row>
    <row r="1227" spans="5:5" x14ac:dyDescent="0.2">
      <c r="E1227" s="34"/>
    </row>
    <row r="1228" spans="5:5" x14ac:dyDescent="0.2">
      <c r="E1228" s="34"/>
    </row>
    <row r="1229" spans="5:5" x14ac:dyDescent="0.2">
      <c r="E1229" s="34"/>
    </row>
    <row r="1230" spans="5:5" x14ac:dyDescent="0.2">
      <c r="E1230" s="34"/>
    </row>
    <row r="1231" spans="5:5" x14ac:dyDescent="0.2">
      <c r="E1231" s="34"/>
    </row>
    <row r="1232" spans="5:5" x14ac:dyDescent="0.2">
      <c r="E1232" s="34"/>
    </row>
    <row r="1233" spans="5:5" x14ac:dyDescent="0.2">
      <c r="E1233" s="34"/>
    </row>
    <row r="1234" spans="5:5" x14ac:dyDescent="0.2">
      <c r="E1234" s="34"/>
    </row>
    <row r="1235" spans="5:5" x14ac:dyDescent="0.2">
      <c r="E1235" s="34"/>
    </row>
    <row r="1236" spans="5:5" x14ac:dyDescent="0.2">
      <c r="E1236" s="34"/>
    </row>
    <row r="1237" spans="5:5" x14ac:dyDescent="0.2">
      <c r="E1237" s="34"/>
    </row>
    <row r="1238" spans="5:5" x14ac:dyDescent="0.2">
      <c r="E1238" s="34"/>
    </row>
    <row r="1239" spans="5:5" x14ac:dyDescent="0.2">
      <c r="E1239" s="34"/>
    </row>
    <row r="1240" spans="5:5" x14ac:dyDescent="0.2">
      <c r="E1240" s="34"/>
    </row>
    <row r="1241" spans="5:5" x14ac:dyDescent="0.2">
      <c r="E1241" s="34"/>
    </row>
    <row r="1242" spans="5:5" x14ac:dyDescent="0.2">
      <c r="E1242" s="34"/>
    </row>
    <row r="1243" spans="5:5" x14ac:dyDescent="0.2">
      <c r="E1243" s="34"/>
    </row>
    <row r="1244" spans="5:5" x14ac:dyDescent="0.2">
      <c r="E1244" s="34"/>
    </row>
    <row r="1245" spans="5:5" x14ac:dyDescent="0.2">
      <c r="E1245" s="34"/>
    </row>
    <row r="1246" spans="5:5" x14ac:dyDescent="0.2">
      <c r="E1246" s="34"/>
    </row>
    <row r="1247" spans="5:5" x14ac:dyDescent="0.2">
      <c r="E1247" s="34"/>
    </row>
    <row r="1248" spans="5:5" x14ac:dyDescent="0.2">
      <c r="E1248" s="34"/>
    </row>
    <row r="1249" spans="5:5" x14ac:dyDescent="0.2">
      <c r="E1249" s="34"/>
    </row>
    <row r="1250" spans="5:5" x14ac:dyDescent="0.2">
      <c r="E1250" s="34"/>
    </row>
    <row r="1251" spans="5:5" x14ac:dyDescent="0.2">
      <c r="E1251" s="34"/>
    </row>
    <row r="1252" spans="5:5" x14ac:dyDescent="0.2">
      <c r="E1252" s="34"/>
    </row>
    <row r="1253" spans="5:5" x14ac:dyDescent="0.2">
      <c r="E1253" s="34"/>
    </row>
    <row r="1254" spans="5:5" x14ac:dyDescent="0.2">
      <c r="E1254" s="34"/>
    </row>
    <row r="1255" spans="5:5" x14ac:dyDescent="0.2">
      <c r="E1255" s="34"/>
    </row>
    <row r="1256" spans="5:5" x14ac:dyDescent="0.2">
      <c r="E1256" s="34"/>
    </row>
    <row r="1257" spans="5:5" x14ac:dyDescent="0.2">
      <c r="E1257" s="34"/>
    </row>
    <row r="1258" spans="5:5" x14ac:dyDescent="0.2">
      <c r="E1258" s="34"/>
    </row>
    <row r="1259" spans="5:5" x14ac:dyDescent="0.2">
      <c r="E1259" s="34"/>
    </row>
    <row r="1260" spans="5:5" x14ac:dyDescent="0.2">
      <c r="E1260" s="34"/>
    </row>
    <row r="1261" spans="5:5" x14ac:dyDescent="0.2">
      <c r="E1261" s="34"/>
    </row>
    <row r="1262" spans="5:5" x14ac:dyDescent="0.2">
      <c r="E1262" s="34"/>
    </row>
    <row r="1263" spans="5:5" x14ac:dyDescent="0.2">
      <c r="E1263" s="34"/>
    </row>
    <row r="1264" spans="5:5" x14ac:dyDescent="0.2">
      <c r="E1264" s="34"/>
    </row>
    <row r="1265" spans="5:5" x14ac:dyDescent="0.2">
      <c r="E1265" s="34"/>
    </row>
    <row r="1266" spans="5:5" x14ac:dyDescent="0.2">
      <c r="E1266" s="34"/>
    </row>
    <row r="1267" spans="5:5" x14ac:dyDescent="0.2">
      <c r="E1267" s="34"/>
    </row>
    <row r="1268" spans="5:5" x14ac:dyDescent="0.2">
      <c r="E1268" s="34"/>
    </row>
    <row r="1269" spans="5:5" x14ac:dyDescent="0.2">
      <c r="E1269" s="34"/>
    </row>
    <row r="1270" spans="5:5" x14ac:dyDescent="0.2">
      <c r="E1270" s="34"/>
    </row>
    <row r="1271" spans="5:5" x14ac:dyDescent="0.2">
      <c r="E1271" s="34"/>
    </row>
    <row r="1272" spans="5:5" x14ac:dyDescent="0.2">
      <c r="E1272" s="34"/>
    </row>
    <row r="1273" spans="5:5" x14ac:dyDescent="0.2">
      <c r="E1273" s="34"/>
    </row>
    <row r="1274" spans="5:5" x14ac:dyDescent="0.2">
      <c r="E1274" s="34"/>
    </row>
    <row r="1275" spans="5:5" x14ac:dyDescent="0.2">
      <c r="E1275" s="34"/>
    </row>
    <row r="1276" spans="5:5" x14ac:dyDescent="0.2">
      <c r="E1276" s="34"/>
    </row>
    <row r="1277" spans="5:5" x14ac:dyDescent="0.2">
      <c r="E1277" s="34"/>
    </row>
    <row r="1278" spans="5:5" x14ac:dyDescent="0.2">
      <c r="E1278" s="34"/>
    </row>
    <row r="1279" spans="5:5" x14ac:dyDescent="0.2">
      <c r="E1279" s="34"/>
    </row>
    <row r="1280" spans="5:5" x14ac:dyDescent="0.2">
      <c r="E1280" s="34"/>
    </row>
    <row r="1281" spans="5:5" x14ac:dyDescent="0.2">
      <c r="E1281" s="34"/>
    </row>
    <row r="1282" spans="5:5" x14ac:dyDescent="0.2">
      <c r="E1282" s="34"/>
    </row>
    <row r="1283" spans="5:5" x14ac:dyDescent="0.2">
      <c r="E1283" s="34"/>
    </row>
    <row r="1284" spans="5:5" x14ac:dyDescent="0.2">
      <c r="E1284" s="34"/>
    </row>
    <row r="1285" spans="5:5" x14ac:dyDescent="0.2">
      <c r="E1285" s="34"/>
    </row>
    <row r="1286" spans="5:5" x14ac:dyDescent="0.2">
      <c r="E1286" s="34"/>
    </row>
    <row r="1287" spans="5:5" x14ac:dyDescent="0.2">
      <c r="E1287" s="34"/>
    </row>
    <row r="1288" spans="5:5" x14ac:dyDescent="0.2">
      <c r="E1288" s="34"/>
    </row>
    <row r="1289" spans="5:5" x14ac:dyDescent="0.2">
      <c r="E1289" s="34"/>
    </row>
    <row r="1290" spans="5:5" x14ac:dyDescent="0.2">
      <c r="E1290" s="34"/>
    </row>
    <row r="1291" spans="5:5" x14ac:dyDescent="0.2">
      <c r="E1291" s="34"/>
    </row>
    <row r="1292" spans="5:5" x14ac:dyDescent="0.2">
      <c r="E1292" s="34"/>
    </row>
    <row r="1293" spans="5:5" x14ac:dyDescent="0.2">
      <c r="E1293" s="34"/>
    </row>
    <row r="1294" spans="5:5" x14ac:dyDescent="0.2">
      <c r="E1294" s="34"/>
    </row>
    <row r="1295" spans="5:5" x14ac:dyDescent="0.2">
      <c r="E1295" s="34"/>
    </row>
    <row r="1296" spans="5:5" x14ac:dyDescent="0.2">
      <c r="E1296" s="34"/>
    </row>
    <row r="1297" spans="5:5" x14ac:dyDescent="0.2">
      <c r="E1297" s="34"/>
    </row>
    <row r="1298" spans="5:5" x14ac:dyDescent="0.2">
      <c r="E1298" s="34"/>
    </row>
    <row r="1299" spans="5:5" x14ac:dyDescent="0.2">
      <c r="E1299" s="34"/>
    </row>
    <row r="1300" spans="5:5" x14ac:dyDescent="0.2">
      <c r="E1300" s="34"/>
    </row>
    <row r="1301" spans="5:5" x14ac:dyDescent="0.2">
      <c r="E1301" s="34"/>
    </row>
    <row r="1302" spans="5:5" x14ac:dyDescent="0.2">
      <c r="E1302" s="34"/>
    </row>
    <row r="1303" spans="5:5" x14ac:dyDescent="0.2">
      <c r="E1303" s="34"/>
    </row>
    <row r="1304" spans="5:5" x14ac:dyDescent="0.2">
      <c r="E1304" s="34"/>
    </row>
    <row r="1305" spans="5:5" x14ac:dyDescent="0.2">
      <c r="E1305" s="34"/>
    </row>
    <row r="1306" spans="5:5" x14ac:dyDescent="0.2">
      <c r="E1306" s="34"/>
    </row>
    <row r="1307" spans="5:5" x14ac:dyDescent="0.2">
      <c r="E1307" s="34"/>
    </row>
    <row r="1308" spans="5:5" x14ac:dyDescent="0.2">
      <c r="E1308" s="34"/>
    </row>
    <row r="1309" spans="5:5" x14ac:dyDescent="0.2">
      <c r="E1309" s="34"/>
    </row>
    <row r="1310" spans="5:5" x14ac:dyDescent="0.2">
      <c r="E1310" s="34"/>
    </row>
    <row r="1311" spans="5:5" x14ac:dyDescent="0.2">
      <c r="E1311" s="34"/>
    </row>
    <row r="1312" spans="5:5" x14ac:dyDescent="0.2">
      <c r="E1312" s="34"/>
    </row>
    <row r="1313" spans="5:5" x14ac:dyDescent="0.2">
      <c r="E1313" s="34"/>
    </row>
    <row r="1314" spans="5:5" x14ac:dyDescent="0.2">
      <c r="E1314" s="34"/>
    </row>
    <row r="1315" spans="5:5" x14ac:dyDescent="0.2">
      <c r="E1315" s="34"/>
    </row>
    <row r="1316" spans="5:5" x14ac:dyDescent="0.2">
      <c r="E1316" s="34"/>
    </row>
    <row r="1317" spans="5:5" x14ac:dyDescent="0.2">
      <c r="E1317" s="34"/>
    </row>
    <row r="1318" spans="5:5" x14ac:dyDescent="0.2">
      <c r="E1318" s="34"/>
    </row>
    <row r="1319" spans="5:5" x14ac:dyDescent="0.2">
      <c r="E1319" s="34"/>
    </row>
    <row r="1320" spans="5:5" x14ac:dyDescent="0.2">
      <c r="E1320" s="34"/>
    </row>
    <row r="1321" spans="5:5" x14ac:dyDescent="0.2">
      <c r="E1321" s="34"/>
    </row>
    <row r="1322" spans="5:5" x14ac:dyDescent="0.2">
      <c r="E1322" s="34"/>
    </row>
    <row r="1323" spans="5:5" x14ac:dyDescent="0.2">
      <c r="E1323" s="34"/>
    </row>
    <row r="1324" spans="5:5" x14ac:dyDescent="0.2">
      <c r="E1324" s="34"/>
    </row>
    <row r="1325" spans="5:5" x14ac:dyDescent="0.2">
      <c r="E1325" s="34"/>
    </row>
    <row r="1326" spans="5:5" x14ac:dyDescent="0.2">
      <c r="E1326" s="34"/>
    </row>
    <row r="1327" spans="5:5" x14ac:dyDescent="0.2">
      <c r="E1327" s="34"/>
    </row>
    <row r="1328" spans="5:5" x14ac:dyDescent="0.2">
      <c r="E1328" s="34"/>
    </row>
    <row r="1329" spans="5:5" x14ac:dyDescent="0.2">
      <c r="E1329" s="34"/>
    </row>
    <row r="1330" spans="5:5" x14ac:dyDescent="0.2">
      <c r="E1330" s="34"/>
    </row>
    <row r="1331" spans="5:5" x14ac:dyDescent="0.2">
      <c r="E1331" s="34"/>
    </row>
    <row r="1332" spans="5:5" x14ac:dyDescent="0.2">
      <c r="E1332" s="34"/>
    </row>
    <row r="1333" spans="5:5" x14ac:dyDescent="0.2">
      <c r="E1333" s="34"/>
    </row>
    <row r="1334" spans="5:5" x14ac:dyDescent="0.2">
      <c r="E1334" s="34"/>
    </row>
    <row r="1335" spans="5:5" x14ac:dyDescent="0.2">
      <c r="E1335" s="34"/>
    </row>
    <row r="1336" spans="5:5" x14ac:dyDescent="0.2">
      <c r="E1336" s="34"/>
    </row>
    <row r="1337" spans="5:5" x14ac:dyDescent="0.2">
      <c r="E1337" s="34"/>
    </row>
    <row r="1338" spans="5:5" x14ac:dyDescent="0.2">
      <c r="E1338" s="34"/>
    </row>
    <row r="1339" spans="5:5" x14ac:dyDescent="0.2">
      <c r="E1339" s="34"/>
    </row>
    <row r="1340" spans="5:5" x14ac:dyDescent="0.2">
      <c r="E1340" s="34"/>
    </row>
    <row r="1341" spans="5:5" x14ac:dyDescent="0.2">
      <c r="E1341" s="34"/>
    </row>
    <row r="1342" spans="5:5" x14ac:dyDescent="0.2">
      <c r="E1342" s="34"/>
    </row>
    <row r="1343" spans="5:5" x14ac:dyDescent="0.2">
      <c r="E1343" s="34"/>
    </row>
    <row r="1344" spans="5:5" x14ac:dyDescent="0.2">
      <c r="E1344" s="34"/>
    </row>
    <row r="1345" spans="5:5" x14ac:dyDescent="0.2">
      <c r="E1345" s="34"/>
    </row>
    <row r="1346" spans="5:5" x14ac:dyDescent="0.2">
      <c r="E1346" s="34"/>
    </row>
    <row r="1347" spans="5:5" x14ac:dyDescent="0.2">
      <c r="E1347" s="34"/>
    </row>
    <row r="1348" spans="5:5" x14ac:dyDescent="0.2">
      <c r="E1348" s="34"/>
    </row>
    <row r="1349" spans="5:5" x14ac:dyDescent="0.2">
      <c r="E1349" s="34"/>
    </row>
    <row r="1350" spans="5:5" x14ac:dyDescent="0.2">
      <c r="E1350" s="34"/>
    </row>
    <row r="1351" spans="5:5" x14ac:dyDescent="0.2">
      <c r="E1351" s="34"/>
    </row>
    <row r="1352" spans="5:5" x14ac:dyDescent="0.2">
      <c r="E1352" s="34"/>
    </row>
    <row r="1353" spans="5:5" x14ac:dyDescent="0.2">
      <c r="E1353" s="34"/>
    </row>
    <row r="1354" spans="5:5" x14ac:dyDescent="0.2">
      <c r="E1354" s="34"/>
    </row>
    <row r="1355" spans="5:5" x14ac:dyDescent="0.2">
      <c r="E1355" s="34"/>
    </row>
    <row r="1356" spans="5:5" x14ac:dyDescent="0.2">
      <c r="E1356" s="34"/>
    </row>
    <row r="1357" spans="5:5" x14ac:dyDescent="0.2">
      <c r="E1357" s="34"/>
    </row>
    <row r="1358" spans="5:5" x14ac:dyDescent="0.2">
      <c r="E1358" s="34"/>
    </row>
    <row r="1359" spans="5:5" x14ac:dyDescent="0.2">
      <c r="E1359" s="34"/>
    </row>
    <row r="1360" spans="5:5" x14ac:dyDescent="0.2">
      <c r="E1360" s="34"/>
    </row>
    <row r="1361" spans="5:5" x14ac:dyDescent="0.2">
      <c r="E1361" s="34"/>
    </row>
    <row r="1362" spans="5:5" x14ac:dyDescent="0.2">
      <c r="E1362" s="34"/>
    </row>
    <row r="1363" spans="5:5" x14ac:dyDescent="0.2">
      <c r="E1363" s="34"/>
    </row>
    <row r="1364" spans="5:5" x14ac:dyDescent="0.2">
      <c r="E1364" s="34"/>
    </row>
    <row r="1365" spans="5:5" x14ac:dyDescent="0.2">
      <c r="E1365" s="34"/>
    </row>
    <row r="1366" spans="5:5" x14ac:dyDescent="0.2">
      <c r="E1366" s="34"/>
    </row>
    <row r="1367" spans="5:5" x14ac:dyDescent="0.2">
      <c r="E1367" s="34"/>
    </row>
    <row r="1368" spans="5:5" x14ac:dyDescent="0.2">
      <c r="E1368" s="34"/>
    </row>
    <row r="1369" spans="5:5" x14ac:dyDescent="0.2">
      <c r="E1369" s="34"/>
    </row>
    <row r="1370" spans="5:5" x14ac:dyDescent="0.2">
      <c r="E1370" s="34"/>
    </row>
    <row r="1371" spans="5:5" x14ac:dyDescent="0.2">
      <c r="E1371" s="34"/>
    </row>
    <row r="1372" spans="5:5" x14ac:dyDescent="0.2">
      <c r="E1372" s="34"/>
    </row>
    <row r="1373" spans="5:5" x14ac:dyDescent="0.2">
      <c r="E1373" s="34"/>
    </row>
    <row r="1374" spans="5:5" x14ac:dyDescent="0.2">
      <c r="E1374" s="34"/>
    </row>
    <row r="1375" spans="5:5" x14ac:dyDescent="0.2">
      <c r="E1375" s="34"/>
    </row>
    <row r="1376" spans="5:5" x14ac:dyDescent="0.2">
      <c r="E1376" s="34"/>
    </row>
    <row r="1377" spans="5:5" x14ac:dyDescent="0.2">
      <c r="E1377" s="34"/>
    </row>
    <row r="1378" spans="5:5" x14ac:dyDescent="0.2">
      <c r="E1378" s="34"/>
    </row>
    <row r="1379" spans="5:5" x14ac:dyDescent="0.2">
      <c r="E1379" s="34"/>
    </row>
    <row r="1380" spans="5:5" x14ac:dyDescent="0.2">
      <c r="E1380" s="34"/>
    </row>
    <row r="1381" spans="5:5" x14ac:dyDescent="0.2">
      <c r="E1381" s="34"/>
    </row>
    <row r="1382" spans="5:5" x14ac:dyDescent="0.2">
      <c r="E1382" s="34"/>
    </row>
    <row r="1383" spans="5:5" x14ac:dyDescent="0.2">
      <c r="E1383" s="34"/>
    </row>
    <row r="1384" spans="5:5" x14ac:dyDescent="0.2">
      <c r="E1384" s="34"/>
    </row>
    <row r="1385" spans="5:5" x14ac:dyDescent="0.2">
      <c r="E1385" s="34"/>
    </row>
    <row r="1386" spans="5:5" x14ac:dyDescent="0.2">
      <c r="E1386" s="34"/>
    </row>
    <row r="1387" spans="5:5" x14ac:dyDescent="0.2">
      <c r="E1387" s="34"/>
    </row>
    <row r="1388" spans="5:5" x14ac:dyDescent="0.2">
      <c r="E1388" s="34"/>
    </row>
    <row r="1389" spans="5:5" x14ac:dyDescent="0.2">
      <c r="E1389" s="34"/>
    </row>
    <row r="1390" spans="5:5" x14ac:dyDescent="0.2">
      <c r="E1390" s="34"/>
    </row>
    <row r="1391" spans="5:5" x14ac:dyDescent="0.2">
      <c r="E1391" s="34"/>
    </row>
    <row r="1392" spans="5:5" x14ac:dyDescent="0.2">
      <c r="E1392" s="34"/>
    </row>
    <row r="1393" spans="5:5" x14ac:dyDescent="0.2">
      <c r="E1393" s="34"/>
    </row>
    <row r="1394" spans="5:5" x14ac:dyDescent="0.2">
      <c r="E1394" s="34"/>
    </row>
    <row r="1395" spans="5:5" x14ac:dyDescent="0.2">
      <c r="E1395" s="34"/>
    </row>
    <row r="1396" spans="5:5" x14ac:dyDescent="0.2">
      <c r="E1396" s="34"/>
    </row>
    <row r="1397" spans="5:5" x14ac:dyDescent="0.2">
      <c r="E1397" s="34"/>
    </row>
    <row r="1398" spans="5:5" x14ac:dyDescent="0.2">
      <c r="E1398" s="34"/>
    </row>
    <row r="1399" spans="5:5" x14ac:dyDescent="0.2">
      <c r="E1399" s="34"/>
    </row>
    <row r="1400" spans="5:5" x14ac:dyDescent="0.2">
      <c r="E1400" s="34"/>
    </row>
    <row r="1401" spans="5:5" x14ac:dyDescent="0.2">
      <c r="E1401" s="34"/>
    </row>
    <row r="1402" spans="5:5" x14ac:dyDescent="0.2">
      <c r="E1402" s="34"/>
    </row>
    <row r="1403" spans="5:5" x14ac:dyDescent="0.2">
      <c r="E1403" s="34"/>
    </row>
    <row r="1404" spans="5:5" x14ac:dyDescent="0.2">
      <c r="E1404" s="34"/>
    </row>
    <row r="1405" spans="5:5" x14ac:dyDescent="0.2">
      <c r="E1405" s="34"/>
    </row>
    <row r="1406" spans="5:5" x14ac:dyDescent="0.2">
      <c r="E1406" s="34"/>
    </row>
    <row r="1407" spans="5:5" x14ac:dyDescent="0.2">
      <c r="E1407" s="34"/>
    </row>
    <row r="1408" spans="5:5" x14ac:dyDescent="0.2">
      <c r="E1408" s="34"/>
    </row>
    <row r="1409" spans="5:5" x14ac:dyDescent="0.2">
      <c r="E1409" s="34"/>
    </row>
    <row r="1410" spans="5:5" x14ac:dyDescent="0.2">
      <c r="E1410" s="34"/>
    </row>
    <row r="1411" spans="5:5" x14ac:dyDescent="0.2">
      <c r="E1411" s="34"/>
    </row>
    <row r="1412" spans="5:5" x14ac:dyDescent="0.2">
      <c r="E1412" s="34"/>
    </row>
    <row r="1413" spans="5:5" x14ac:dyDescent="0.2">
      <c r="E1413" s="34"/>
    </row>
    <row r="1414" spans="5:5" x14ac:dyDescent="0.2">
      <c r="E1414" s="34"/>
    </row>
    <row r="1415" spans="5:5" x14ac:dyDescent="0.2">
      <c r="E1415" s="34"/>
    </row>
    <row r="1416" spans="5:5" x14ac:dyDescent="0.2">
      <c r="E1416" s="34"/>
    </row>
    <row r="1417" spans="5:5" x14ac:dyDescent="0.2">
      <c r="E1417" s="34"/>
    </row>
    <row r="1418" spans="5:5" x14ac:dyDescent="0.2">
      <c r="E1418" s="34"/>
    </row>
    <row r="1419" spans="5:5" x14ac:dyDescent="0.2">
      <c r="E1419" s="34"/>
    </row>
    <row r="1420" spans="5:5" x14ac:dyDescent="0.2">
      <c r="E1420" s="34"/>
    </row>
    <row r="1421" spans="5:5" x14ac:dyDescent="0.2">
      <c r="E1421" s="34"/>
    </row>
    <row r="1422" spans="5:5" x14ac:dyDescent="0.2">
      <c r="E1422" s="34"/>
    </row>
    <row r="1423" spans="5:5" x14ac:dyDescent="0.2">
      <c r="E1423" s="34"/>
    </row>
    <row r="1424" spans="5:5" x14ac:dyDescent="0.2">
      <c r="E1424" s="34"/>
    </row>
    <row r="1425" spans="5:5" x14ac:dyDescent="0.2">
      <c r="E1425" s="34"/>
    </row>
    <row r="1426" spans="5:5" x14ac:dyDescent="0.2">
      <c r="E1426" s="34"/>
    </row>
    <row r="1427" spans="5:5" x14ac:dyDescent="0.2">
      <c r="E1427" s="34"/>
    </row>
    <row r="1428" spans="5:5" x14ac:dyDescent="0.2">
      <c r="E1428" s="34"/>
    </row>
    <row r="1429" spans="5:5" x14ac:dyDescent="0.2">
      <c r="E1429" s="34"/>
    </row>
    <row r="1430" spans="5:5" x14ac:dyDescent="0.2">
      <c r="E1430" s="34"/>
    </row>
    <row r="1431" spans="5:5" x14ac:dyDescent="0.2">
      <c r="E1431" s="34"/>
    </row>
    <row r="1432" spans="5:5" x14ac:dyDescent="0.2">
      <c r="E1432" s="34"/>
    </row>
    <row r="1433" spans="5:5" x14ac:dyDescent="0.2">
      <c r="E1433" s="34"/>
    </row>
    <row r="1434" spans="5:5" x14ac:dyDescent="0.2">
      <c r="E1434" s="34"/>
    </row>
    <row r="1435" spans="5:5" x14ac:dyDescent="0.2">
      <c r="E1435" s="34"/>
    </row>
    <row r="1436" spans="5:5" x14ac:dyDescent="0.2">
      <c r="E1436" s="34"/>
    </row>
    <row r="1437" spans="5:5" x14ac:dyDescent="0.2">
      <c r="E1437" s="34"/>
    </row>
    <row r="1438" spans="5:5" x14ac:dyDescent="0.2">
      <c r="E1438" s="34"/>
    </row>
    <row r="1439" spans="5:5" x14ac:dyDescent="0.2">
      <c r="E1439" s="34"/>
    </row>
    <row r="1440" spans="5:5" x14ac:dyDescent="0.2">
      <c r="E1440" s="34"/>
    </row>
    <row r="1441" spans="5:5" x14ac:dyDescent="0.2">
      <c r="E1441" s="34"/>
    </row>
    <row r="1442" spans="5:5" x14ac:dyDescent="0.2">
      <c r="E1442" s="34"/>
    </row>
    <row r="1443" spans="5:5" x14ac:dyDescent="0.2">
      <c r="E1443" s="34"/>
    </row>
    <row r="1444" spans="5:5" x14ac:dyDescent="0.2">
      <c r="E1444" s="34"/>
    </row>
    <row r="1445" spans="5:5" x14ac:dyDescent="0.2">
      <c r="E1445" s="34"/>
    </row>
    <row r="1446" spans="5:5" x14ac:dyDescent="0.2">
      <c r="E1446" s="34"/>
    </row>
    <row r="1447" spans="5:5" x14ac:dyDescent="0.2">
      <c r="E1447" s="34"/>
    </row>
    <row r="1448" spans="5:5" x14ac:dyDescent="0.2">
      <c r="E1448" s="34"/>
    </row>
    <row r="1449" spans="5:5" x14ac:dyDescent="0.2">
      <c r="E1449" s="34"/>
    </row>
    <row r="1450" spans="5:5" x14ac:dyDescent="0.2">
      <c r="E1450" s="34"/>
    </row>
    <row r="1451" spans="5:5" x14ac:dyDescent="0.2">
      <c r="E1451" s="34"/>
    </row>
    <row r="1452" spans="5:5" x14ac:dyDescent="0.2">
      <c r="E1452" s="34"/>
    </row>
    <row r="1453" spans="5:5" x14ac:dyDescent="0.2">
      <c r="E1453" s="34"/>
    </row>
    <row r="1454" spans="5:5" x14ac:dyDescent="0.2">
      <c r="E1454" s="34"/>
    </row>
    <row r="1455" spans="5:5" x14ac:dyDescent="0.2">
      <c r="E1455" s="34"/>
    </row>
    <row r="1456" spans="5:5" x14ac:dyDescent="0.2">
      <c r="E1456" s="34"/>
    </row>
    <row r="1457" spans="5:5" x14ac:dyDescent="0.2">
      <c r="E1457" s="34"/>
    </row>
    <row r="1458" spans="5:5" x14ac:dyDescent="0.2">
      <c r="E1458" s="34"/>
    </row>
    <row r="1459" spans="5:5" x14ac:dyDescent="0.2">
      <c r="E1459" s="34"/>
    </row>
    <row r="1460" spans="5:5" x14ac:dyDescent="0.2">
      <c r="E1460" s="34"/>
    </row>
    <row r="1461" spans="5:5" x14ac:dyDescent="0.2">
      <c r="E1461" s="34"/>
    </row>
    <row r="1462" spans="5:5" x14ac:dyDescent="0.2">
      <c r="E1462" s="34"/>
    </row>
    <row r="1463" spans="5:5" x14ac:dyDescent="0.2">
      <c r="E1463" s="34"/>
    </row>
    <row r="1464" spans="5:5" x14ac:dyDescent="0.2">
      <c r="E1464" s="34"/>
    </row>
    <row r="1465" spans="5:5" x14ac:dyDescent="0.2">
      <c r="E1465" s="34"/>
    </row>
    <row r="1466" spans="5:5" x14ac:dyDescent="0.2">
      <c r="E1466" s="34"/>
    </row>
    <row r="1467" spans="5:5" x14ac:dyDescent="0.2">
      <c r="E1467" s="34"/>
    </row>
    <row r="1468" spans="5:5" x14ac:dyDescent="0.2">
      <c r="E1468" s="34"/>
    </row>
    <row r="1469" spans="5:5" x14ac:dyDescent="0.2">
      <c r="E1469" s="34"/>
    </row>
    <row r="1470" spans="5:5" x14ac:dyDescent="0.2">
      <c r="E1470" s="34"/>
    </row>
    <row r="1471" spans="5:5" x14ac:dyDescent="0.2">
      <c r="E1471" s="34"/>
    </row>
    <row r="1472" spans="5:5" x14ac:dyDescent="0.2">
      <c r="E1472" s="34"/>
    </row>
    <row r="1473" spans="5:5" x14ac:dyDescent="0.2">
      <c r="E1473" s="34"/>
    </row>
    <row r="1474" spans="5:5" x14ac:dyDescent="0.2">
      <c r="E1474" s="34"/>
    </row>
    <row r="1475" spans="5:5" x14ac:dyDescent="0.2">
      <c r="E1475" s="34"/>
    </row>
    <row r="1476" spans="5:5" x14ac:dyDescent="0.2">
      <c r="E1476" s="34"/>
    </row>
    <row r="1477" spans="5:5" x14ac:dyDescent="0.2">
      <c r="E1477" s="34"/>
    </row>
    <row r="1478" spans="5:5" x14ac:dyDescent="0.2">
      <c r="E1478" s="34"/>
    </row>
    <row r="1479" spans="5:5" x14ac:dyDescent="0.2">
      <c r="E1479" s="34"/>
    </row>
    <row r="1480" spans="5:5" x14ac:dyDescent="0.2">
      <c r="E1480" s="34"/>
    </row>
    <row r="1481" spans="5:5" x14ac:dyDescent="0.2">
      <c r="E1481" s="34"/>
    </row>
    <row r="1482" spans="5:5" x14ac:dyDescent="0.2">
      <c r="E1482" s="34"/>
    </row>
    <row r="1483" spans="5:5" x14ac:dyDescent="0.2">
      <c r="E1483" s="34"/>
    </row>
    <row r="1484" spans="5:5" x14ac:dyDescent="0.2">
      <c r="E1484" s="34"/>
    </row>
    <row r="1485" spans="5:5" x14ac:dyDescent="0.2">
      <c r="E1485" s="34"/>
    </row>
    <row r="1486" spans="5:5" x14ac:dyDescent="0.2">
      <c r="E1486" s="34"/>
    </row>
    <row r="1487" spans="5:5" x14ac:dyDescent="0.2">
      <c r="E1487" s="34"/>
    </row>
    <row r="1488" spans="5:5" x14ac:dyDescent="0.2">
      <c r="E1488" s="34"/>
    </row>
    <row r="1489" spans="5:5" x14ac:dyDescent="0.2">
      <c r="E1489" s="34"/>
    </row>
    <row r="1490" spans="5:5" x14ac:dyDescent="0.2">
      <c r="E1490" s="34"/>
    </row>
    <row r="1491" spans="5:5" x14ac:dyDescent="0.2">
      <c r="E1491" s="34"/>
    </row>
    <row r="1492" spans="5:5" x14ac:dyDescent="0.2">
      <c r="E1492" s="34"/>
    </row>
    <row r="1493" spans="5:5" x14ac:dyDescent="0.2">
      <c r="E1493" s="34"/>
    </row>
    <row r="1494" spans="5:5" x14ac:dyDescent="0.2">
      <c r="E1494" s="34"/>
    </row>
    <row r="1495" spans="5:5" x14ac:dyDescent="0.2">
      <c r="E1495" s="34"/>
    </row>
    <row r="1496" spans="5:5" x14ac:dyDescent="0.2">
      <c r="E1496" s="34"/>
    </row>
    <row r="1497" spans="5:5" x14ac:dyDescent="0.2">
      <c r="E1497" s="34"/>
    </row>
    <row r="1498" spans="5:5" x14ac:dyDescent="0.2">
      <c r="E1498" s="34"/>
    </row>
    <row r="1499" spans="5:5" x14ac:dyDescent="0.2">
      <c r="E1499" s="34"/>
    </row>
    <row r="1500" spans="5:5" x14ac:dyDescent="0.2">
      <c r="E1500" s="34"/>
    </row>
    <row r="1501" spans="5:5" x14ac:dyDescent="0.2">
      <c r="E1501" s="34"/>
    </row>
    <row r="1502" spans="5:5" x14ac:dyDescent="0.2">
      <c r="E1502" s="34"/>
    </row>
    <row r="1503" spans="5:5" x14ac:dyDescent="0.2">
      <c r="E1503" s="34"/>
    </row>
    <row r="1504" spans="5:5" x14ac:dyDescent="0.2">
      <c r="E1504" s="34"/>
    </row>
    <row r="1505" spans="5:5" x14ac:dyDescent="0.2">
      <c r="E1505" s="34"/>
    </row>
    <row r="1506" spans="5:5" x14ac:dyDescent="0.2">
      <c r="E1506" s="34"/>
    </row>
    <row r="1507" spans="5:5" x14ac:dyDescent="0.2">
      <c r="E1507" s="34"/>
    </row>
    <row r="1508" spans="5:5" x14ac:dyDescent="0.2">
      <c r="E1508" s="34"/>
    </row>
    <row r="1509" spans="5:5" x14ac:dyDescent="0.2">
      <c r="E1509" s="34"/>
    </row>
    <row r="1510" spans="5:5" x14ac:dyDescent="0.2">
      <c r="E1510" s="34"/>
    </row>
    <row r="1511" spans="5:5" x14ac:dyDescent="0.2">
      <c r="E1511" s="34"/>
    </row>
    <row r="1512" spans="5:5" x14ac:dyDescent="0.2">
      <c r="E1512" s="34"/>
    </row>
    <row r="1513" spans="5:5" x14ac:dyDescent="0.2">
      <c r="E1513" s="34"/>
    </row>
    <row r="1514" spans="5:5" x14ac:dyDescent="0.2">
      <c r="E1514" s="34"/>
    </row>
    <row r="1515" spans="5:5" x14ac:dyDescent="0.2">
      <c r="E1515" s="34"/>
    </row>
    <row r="1516" spans="5:5" x14ac:dyDescent="0.2">
      <c r="E1516" s="34"/>
    </row>
    <row r="1517" spans="5:5" x14ac:dyDescent="0.2">
      <c r="E1517" s="34"/>
    </row>
    <row r="1518" spans="5:5" x14ac:dyDescent="0.2">
      <c r="E1518" s="34"/>
    </row>
    <row r="1519" spans="5:5" x14ac:dyDescent="0.2">
      <c r="E1519" s="34"/>
    </row>
    <row r="1520" spans="5:5" x14ac:dyDescent="0.2">
      <c r="E1520" s="34"/>
    </row>
    <row r="1521" spans="5:5" x14ac:dyDescent="0.2">
      <c r="E1521" s="34"/>
    </row>
    <row r="1522" spans="5:5" x14ac:dyDescent="0.2">
      <c r="E1522" s="34"/>
    </row>
    <row r="1523" spans="5:5" x14ac:dyDescent="0.2">
      <c r="E1523" s="34"/>
    </row>
    <row r="1524" spans="5:5" x14ac:dyDescent="0.2">
      <c r="E1524" s="34"/>
    </row>
    <row r="1525" spans="5:5" x14ac:dyDescent="0.2">
      <c r="E1525" s="34"/>
    </row>
    <row r="1526" spans="5:5" x14ac:dyDescent="0.2">
      <c r="E1526" s="34"/>
    </row>
    <row r="1527" spans="5:5" x14ac:dyDescent="0.2">
      <c r="E1527" s="34"/>
    </row>
    <row r="1528" spans="5:5" x14ac:dyDescent="0.2">
      <c r="E1528" s="34"/>
    </row>
    <row r="1529" spans="5:5" x14ac:dyDescent="0.2">
      <c r="E1529" s="34"/>
    </row>
    <row r="1530" spans="5:5" x14ac:dyDescent="0.2">
      <c r="E1530" s="34"/>
    </row>
    <row r="1531" spans="5:5" x14ac:dyDescent="0.2">
      <c r="E1531" s="34"/>
    </row>
    <row r="1532" spans="5:5" x14ac:dyDescent="0.2">
      <c r="E1532" s="34"/>
    </row>
    <row r="1533" spans="5:5" x14ac:dyDescent="0.2">
      <c r="E1533" s="34"/>
    </row>
    <row r="1534" spans="5:5" x14ac:dyDescent="0.2">
      <c r="E1534" s="34"/>
    </row>
    <row r="1535" spans="5:5" x14ac:dyDescent="0.2">
      <c r="E1535" s="34"/>
    </row>
    <row r="1536" spans="5:5" x14ac:dyDescent="0.2">
      <c r="E1536" s="34"/>
    </row>
    <row r="1537" spans="5:5" x14ac:dyDescent="0.2">
      <c r="E1537" s="34"/>
    </row>
    <row r="1538" spans="5:5" x14ac:dyDescent="0.2">
      <c r="E1538" s="34"/>
    </row>
    <row r="1539" spans="5:5" x14ac:dyDescent="0.2">
      <c r="E1539" s="34"/>
    </row>
    <row r="1540" spans="5:5" x14ac:dyDescent="0.2">
      <c r="E1540" s="34"/>
    </row>
    <row r="1541" spans="5:5" x14ac:dyDescent="0.2">
      <c r="E1541" s="34"/>
    </row>
    <row r="1542" spans="5:5" x14ac:dyDescent="0.2">
      <c r="E1542" s="34"/>
    </row>
    <row r="1543" spans="5:5" x14ac:dyDescent="0.2">
      <c r="E1543" s="34"/>
    </row>
    <row r="1544" spans="5:5" x14ac:dyDescent="0.2">
      <c r="E1544" s="34"/>
    </row>
    <row r="1545" spans="5:5" x14ac:dyDescent="0.2">
      <c r="E1545" s="34"/>
    </row>
    <row r="1546" spans="5:5" x14ac:dyDescent="0.2">
      <c r="E1546" s="34"/>
    </row>
    <row r="1547" spans="5:5" x14ac:dyDescent="0.2">
      <c r="E1547" s="34"/>
    </row>
    <row r="1548" spans="5:5" x14ac:dyDescent="0.2">
      <c r="E1548" s="34"/>
    </row>
    <row r="1549" spans="5:5" x14ac:dyDescent="0.2">
      <c r="E1549" s="34"/>
    </row>
    <row r="1550" spans="5:5" x14ac:dyDescent="0.2">
      <c r="E1550" s="34"/>
    </row>
    <row r="1551" spans="5:5" x14ac:dyDescent="0.2">
      <c r="E1551" s="34"/>
    </row>
    <row r="1552" spans="5:5" x14ac:dyDescent="0.2">
      <c r="E1552" s="34"/>
    </row>
    <row r="1553" spans="5:5" x14ac:dyDescent="0.2">
      <c r="E1553" s="34"/>
    </row>
    <row r="1554" spans="5:5" x14ac:dyDescent="0.2">
      <c r="E1554" s="34"/>
    </row>
    <row r="1555" spans="5:5" x14ac:dyDescent="0.2">
      <c r="E1555" s="34"/>
    </row>
    <row r="1556" spans="5:5" x14ac:dyDescent="0.2">
      <c r="E1556" s="34"/>
    </row>
    <row r="1557" spans="5:5" x14ac:dyDescent="0.2">
      <c r="E1557" s="34"/>
    </row>
    <row r="1558" spans="5:5" x14ac:dyDescent="0.2">
      <c r="E1558" s="34"/>
    </row>
    <row r="1559" spans="5:5" x14ac:dyDescent="0.2">
      <c r="E1559" s="34"/>
    </row>
    <row r="1560" spans="5:5" x14ac:dyDescent="0.2">
      <c r="E1560" s="34"/>
    </row>
    <row r="1561" spans="5:5" x14ac:dyDescent="0.2">
      <c r="E1561" s="34"/>
    </row>
    <row r="1562" spans="5:5" x14ac:dyDescent="0.2">
      <c r="E1562" s="34"/>
    </row>
    <row r="1563" spans="5:5" x14ac:dyDescent="0.2">
      <c r="E1563" s="34"/>
    </row>
    <row r="1564" spans="5:5" x14ac:dyDescent="0.2">
      <c r="E1564" s="34"/>
    </row>
    <row r="1565" spans="5:5" x14ac:dyDescent="0.2">
      <c r="E1565" s="34"/>
    </row>
    <row r="1566" spans="5:5" x14ac:dyDescent="0.2">
      <c r="E1566" s="34"/>
    </row>
    <row r="1567" spans="5:5" x14ac:dyDescent="0.2">
      <c r="E1567" s="34"/>
    </row>
    <row r="1568" spans="5:5" x14ac:dyDescent="0.2">
      <c r="E1568" s="34"/>
    </row>
    <row r="1569" spans="5:5" x14ac:dyDescent="0.2">
      <c r="E1569" s="34"/>
    </row>
    <row r="1570" spans="5:5" x14ac:dyDescent="0.2">
      <c r="E1570" s="34"/>
    </row>
    <row r="1571" spans="5:5" x14ac:dyDescent="0.2">
      <c r="E1571" s="34"/>
    </row>
    <row r="1572" spans="5:5" x14ac:dyDescent="0.2">
      <c r="E1572" s="34"/>
    </row>
    <row r="1573" spans="5:5" x14ac:dyDescent="0.2">
      <c r="E1573" s="34"/>
    </row>
    <row r="1574" spans="5:5" x14ac:dyDescent="0.2">
      <c r="E1574" s="34"/>
    </row>
    <row r="1575" spans="5:5" x14ac:dyDescent="0.2">
      <c r="E1575" s="34"/>
    </row>
    <row r="1576" spans="5:5" x14ac:dyDescent="0.2">
      <c r="E1576" s="34"/>
    </row>
    <row r="1577" spans="5:5" x14ac:dyDescent="0.2">
      <c r="E1577" s="34"/>
    </row>
    <row r="1578" spans="5:5" x14ac:dyDescent="0.2">
      <c r="E1578" s="34"/>
    </row>
    <row r="1579" spans="5:5" x14ac:dyDescent="0.2">
      <c r="E1579" s="34"/>
    </row>
    <row r="1580" spans="5:5" x14ac:dyDescent="0.2">
      <c r="E1580" s="34"/>
    </row>
    <row r="1581" spans="5:5" x14ac:dyDescent="0.2">
      <c r="E1581" s="34"/>
    </row>
    <row r="1582" spans="5:5" x14ac:dyDescent="0.2">
      <c r="E1582" s="34"/>
    </row>
    <row r="1583" spans="5:5" x14ac:dyDescent="0.2">
      <c r="E1583" s="34"/>
    </row>
    <row r="1584" spans="5:5" x14ac:dyDescent="0.2">
      <c r="E1584" s="34"/>
    </row>
    <row r="1585" spans="5:5" x14ac:dyDescent="0.2">
      <c r="E1585" s="34"/>
    </row>
    <row r="1586" spans="5:5" x14ac:dyDescent="0.2">
      <c r="E1586" s="34"/>
    </row>
    <row r="1587" spans="5:5" x14ac:dyDescent="0.2">
      <c r="E1587" s="34"/>
    </row>
    <row r="1588" spans="5:5" x14ac:dyDescent="0.2">
      <c r="E1588" s="34"/>
    </row>
    <row r="1589" spans="5:5" x14ac:dyDescent="0.2">
      <c r="E1589" s="34"/>
    </row>
    <row r="1590" spans="5:5" x14ac:dyDescent="0.2">
      <c r="E1590" s="34"/>
    </row>
    <row r="1591" spans="5:5" x14ac:dyDescent="0.2">
      <c r="E1591" s="34"/>
    </row>
    <row r="1592" spans="5:5" x14ac:dyDescent="0.2">
      <c r="E1592" s="34"/>
    </row>
    <row r="1593" spans="5:5" x14ac:dyDescent="0.2">
      <c r="E1593" s="34"/>
    </row>
    <row r="1594" spans="5:5" x14ac:dyDescent="0.2">
      <c r="E1594" s="34"/>
    </row>
    <row r="1595" spans="5:5" x14ac:dyDescent="0.2">
      <c r="E1595" s="34"/>
    </row>
    <row r="1596" spans="5:5" x14ac:dyDescent="0.2">
      <c r="E1596" s="34"/>
    </row>
    <row r="1597" spans="5:5" x14ac:dyDescent="0.2">
      <c r="E1597" s="34"/>
    </row>
    <row r="1598" spans="5:5" x14ac:dyDescent="0.2">
      <c r="E1598" s="34"/>
    </row>
    <row r="1599" spans="5:5" x14ac:dyDescent="0.2">
      <c r="E1599" s="34"/>
    </row>
    <row r="1600" spans="5:5" x14ac:dyDescent="0.2">
      <c r="E1600" s="34"/>
    </row>
    <row r="1601" spans="5:5" x14ac:dyDescent="0.2">
      <c r="E1601" s="34"/>
    </row>
    <row r="1602" spans="5:5" x14ac:dyDescent="0.2">
      <c r="E1602" s="34"/>
    </row>
    <row r="1603" spans="5:5" x14ac:dyDescent="0.2">
      <c r="E1603" s="34"/>
    </row>
    <row r="1604" spans="5:5" x14ac:dyDescent="0.2">
      <c r="E1604" s="34"/>
    </row>
    <row r="1605" spans="5:5" x14ac:dyDescent="0.2">
      <c r="E1605" s="34"/>
    </row>
    <row r="1606" spans="5:5" x14ac:dyDescent="0.2">
      <c r="E1606" s="34"/>
    </row>
    <row r="1607" spans="5:5" x14ac:dyDescent="0.2">
      <c r="E1607" s="34"/>
    </row>
    <row r="1608" spans="5:5" x14ac:dyDescent="0.2">
      <c r="E1608" s="34"/>
    </row>
    <row r="1609" spans="5:5" x14ac:dyDescent="0.2">
      <c r="E1609" s="34"/>
    </row>
    <row r="1610" spans="5:5" x14ac:dyDescent="0.2">
      <c r="E1610" s="34"/>
    </row>
    <row r="1611" spans="5:5" x14ac:dyDescent="0.2">
      <c r="E1611" s="34"/>
    </row>
    <row r="1612" spans="5:5" x14ac:dyDescent="0.2">
      <c r="E1612" s="34"/>
    </row>
    <row r="1613" spans="5:5" x14ac:dyDescent="0.2">
      <c r="E1613" s="34"/>
    </row>
    <row r="1614" spans="5:5" x14ac:dyDescent="0.2">
      <c r="E1614" s="34"/>
    </row>
    <row r="1615" spans="5:5" x14ac:dyDescent="0.2">
      <c r="E1615" s="34"/>
    </row>
    <row r="1616" spans="5:5" x14ac:dyDescent="0.2">
      <c r="E1616" s="34"/>
    </row>
    <row r="1617" spans="5:5" x14ac:dyDescent="0.2">
      <c r="E1617" s="34"/>
    </row>
    <row r="1618" spans="5:5" x14ac:dyDescent="0.2">
      <c r="E1618" s="34"/>
    </row>
    <row r="1619" spans="5:5" x14ac:dyDescent="0.2">
      <c r="E1619" s="34"/>
    </row>
    <row r="1620" spans="5:5" x14ac:dyDescent="0.2">
      <c r="E1620" s="34"/>
    </row>
    <row r="1621" spans="5:5" x14ac:dyDescent="0.2">
      <c r="E1621" s="34"/>
    </row>
    <row r="1622" spans="5:5" x14ac:dyDescent="0.2">
      <c r="E1622" s="34"/>
    </row>
    <row r="1623" spans="5:5" x14ac:dyDescent="0.2">
      <c r="E1623" s="34"/>
    </row>
    <row r="1624" spans="5:5" x14ac:dyDescent="0.2">
      <c r="E1624" s="34"/>
    </row>
    <row r="1625" spans="5:5" x14ac:dyDescent="0.2">
      <c r="E1625" s="34"/>
    </row>
    <row r="1626" spans="5:5" x14ac:dyDescent="0.2">
      <c r="E1626" s="34"/>
    </row>
    <row r="1627" spans="5:5" x14ac:dyDescent="0.2">
      <c r="E1627" s="34"/>
    </row>
    <row r="1628" spans="5:5" x14ac:dyDescent="0.2">
      <c r="E1628" s="34"/>
    </row>
    <row r="1629" spans="5:5" x14ac:dyDescent="0.2">
      <c r="E1629" s="34"/>
    </row>
    <row r="1630" spans="5:5" x14ac:dyDescent="0.2">
      <c r="E1630" s="34"/>
    </row>
    <row r="1631" spans="5:5" x14ac:dyDescent="0.2">
      <c r="E1631" s="34"/>
    </row>
    <row r="1632" spans="5:5" x14ac:dyDescent="0.2">
      <c r="E1632" s="34"/>
    </row>
    <row r="1633" spans="5:5" x14ac:dyDescent="0.2">
      <c r="E1633" s="34"/>
    </row>
    <row r="1634" spans="5:5" x14ac:dyDescent="0.2">
      <c r="E1634" s="34"/>
    </row>
    <row r="1635" spans="5:5" x14ac:dyDescent="0.2">
      <c r="E1635" s="34"/>
    </row>
    <row r="1636" spans="5:5" x14ac:dyDescent="0.2">
      <c r="E1636" s="34"/>
    </row>
    <row r="1637" spans="5:5" x14ac:dyDescent="0.2">
      <c r="E1637" s="34"/>
    </row>
    <row r="1638" spans="5:5" x14ac:dyDescent="0.2">
      <c r="E1638" s="34"/>
    </row>
    <row r="1639" spans="5:5" x14ac:dyDescent="0.2">
      <c r="E1639" s="34"/>
    </row>
    <row r="1640" spans="5:5" x14ac:dyDescent="0.2">
      <c r="E1640" s="34"/>
    </row>
    <row r="1641" spans="5:5" x14ac:dyDescent="0.2">
      <c r="E1641" s="34"/>
    </row>
    <row r="1642" spans="5:5" x14ac:dyDescent="0.2">
      <c r="E1642" s="34"/>
    </row>
    <row r="1643" spans="5:5" x14ac:dyDescent="0.2">
      <c r="E1643" s="34"/>
    </row>
    <row r="1644" spans="5:5" x14ac:dyDescent="0.2">
      <c r="E1644" s="34"/>
    </row>
    <row r="1645" spans="5:5" x14ac:dyDescent="0.2">
      <c r="E1645" s="34"/>
    </row>
    <row r="1646" spans="5:5" x14ac:dyDescent="0.2">
      <c r="E1646" s="34"/>
    </row>
    <row r="1647" spans="5:5" x14ac:dyDescent="0.2">
      <c r="E1647" s="34"/>
    </row>
    <row r="1648" spans="5:5" x14ac:dyDescent="0.2">
      <c r="E1648" s="34"/>
    </row>
    <row r="1649" spans="5:5" x14ac:dyDescent="0.2">
      <c r="E1649" s="34"/>
    </row>
    <row r="1650" spans="5:5" x14ac:dyDescent="0.2">
      <c r="E1650" s="34"/>
    </row>
    <row r="1651" spans="5:5" x14ac:dyDescent="0.2">
      <c r="E1651" s="34"/>
    </row>
    <row r="1652" spans="5:5" x14ac:dyDescent="0.2">
      <c r="E1652" s="34"/>
    </row>
    <row r="1653" spans="5:5" x14ac:dyDescent="0.2">
      <c r="E1653" s="34"/>
    </row>
    <row r="1654" spans="5:5" x14ac:dyDescent="0.2">
      <c r="E1654" s="34"/>
    </row>
    <row r="1655" spans="5:5" x14ac:dyDescent="0.2">
      <c r="E1655" s="34"/>
    </row>
    <row r="1656" spans="5:5" x14ac:dyDescent="0.2">
      <c r="E1656" s="34"/>
    </row>
    <row r="1657" spans="5:5" x14ac:dyDescent="0.2">
      <c r="E1657" s="34"/>
    </row>
    <row r="1658" spans="5:5" x14ac:dyDescent="0.2">
      <c r="E1658" s="34"/>
    </row>
    <row r="1659" spans="5:5" x14ac:dyDescent="0.2">
      <c r="E1659" s="34"/>
    </row>
    <row r="1660" spans="5:5" x14ac:dyDescent="0.2">
      <c r="E1660" s="34"/>
    </row>
    <row r="1661" spans="5:5" x14ac:dyDescent="0.2">
      <c r="E1661" s="34"/>
    </row>
    <row r="1662" spans="5:5" x14ac:dyDescent="0.2">
      <c r="E1662" s="34"/>
    </row>
    <row r="1663" spans="5:5" x14ac:dyDescent="0.2">
      <c r="E1663" s="34"/>
    </row>
    <row r="1664" spans="5:5" x14ac:dyDescent="0.2">
      <c r="E1664" s="34"/>
    </row>
    <row r="1665" spans="5:5" x14ac:dyDescent="0.2">
      <c r="E1665" s="34"/>
    </row>
    <row r="1666" spans="5:5" x14ac:dyDescent="0.2">
      <c r="E1666" s="34"/>
    </row>
    <row r="1667" spans="5:5" x14ac:dyDescent="0.2">
      <c r="E1667" s="34"/>
    </row>
    <row r="1668" spans="5:5" x14ac:dyDescent="0.2">
      <c r="E1668" s="34"/>
    </row>
    <row r="1669" spans="5:5" x14ac:dyDescent="0.2">
      <c r="E1669" s="34"/>
    </row>
    <row r="1670" spans="5:5" x14ac:dyDescent="0.2">
      <c r="E1670" s="34"/>
    </row>
    <row r="1671" spans="5:5" x14ac:dyDescent="0.2">
      <c r="E1671" s="34"/>
    </row>
    <row r="1672" spans="5:5" x14ac:dyDescent="0.2">
      <c r="E1672" s="34"/>
    </row>
    <row r="1673" spans="5:5" x14ac:dyDescent="0.2">
      <c r="E1673" s="34"/>
    </row>
    <row r="1674" spans="5:5" x14ac:dyDescent="0.2">
      <c r="E1674" s="34"/>
    </row>
    <row r="1675" spans="5:5" x14ac:dyDescent="0.2">
      <c r="E1675" s="34"/>
    </row>
    <row r="1676" spans="5:5" x14ac:dyDescent="0.2">
      <c r="E1676" s="34"/>
    </row>
    <row r="1677" spans="5:5" x14ac:dyDescent="0.2">
      <c r="E1677" s="34"/>
    </row>
    <row r="1678" spans="5:5" x14ac:dyDescent="0.2">
      <c r="E1678" s="34"/>
    </row>
    <row r="1679" spans="5:5" x14ac:dyDescent="0.2">
      <c r="E1679" s="34"/>
    </row>
    <row r="1680" spans="5:5" x14ac:dyDescent="0.2">
      <c r="E1680" s="34"/>
    </row>
    <row r="1681" spans="5:5" x14ac:dyDescent="0.2">
      <c r="E1681" s="34"/>
    </row>
    <row r="1682" spans="5:5" x14ac:dyDescent="0.2">
      <c r="E1682" s="34"/>
    </row>
    <row r="1683" spans="5:5" x14ac:dyDescent="0.2">
      <c r="E1683" s="34"/>
    </row>
    <row r="1684" spans="5:5" x14ac:dyDescent="0.2">
      <c r="E1684" s="34"/>
    </row>
    <row r="1685" spans="5:5" x14ac:dyDescent="0.2">
      <c r="E1685" s="34"/>
    </row>
    <row r="1686" spans="5:5" x14ac:dyDescent="0.2">
      <c r="E1686" s="34"/>
    </row>
    <row r="1687" spans="5:5" x14ac:dyDescent="0.2">
      <c r="E1687" s="34"/>
    </row>
    <row r="1688" spans="5:5" x14ac:dyDescent="0.2">
      <c r="E1688" s="34"/>
    </row>
    <row r="1689" spans="5:5" x14ac:dyDescent="0.2">
      <c r="E1689" s="34"/>
    </row>
    <row r="1690" spans="5:5" x14ac:dyDescent="0.2">
      <c r="E1690" s="34"/>
    </row>
    <row r="1691" spans="5:5" x14ac:dyDescent="0.2">
      <c r="E1691" s="34"/>
    </row>
    <row r="1692" spans="5:5" x14ac:dyDescent="0.2">
      <c r="E1692" s="34"/>
    </row>
    <row r="1693" spans="5:5" x14ac:dyDescent="0.2">
      <c r="E1693" s="34"/>
    </row>
    <row r="1694" spans="5:5" x14ac:dyDescent="0.2">
      <c r="E1694" s="34"/>
    </row>
    <row r="1695" spans="5:5" x14ac:dyDescent="0.2">
      <c r="E1695" s="34"/>
    </row>
    <row r="1696" spans="5:5" x14ac:dyDescent="0.2">
      <c r="E1696" s="34"/>
    </row>
    <row r="1697" spans="5:5" x14ac:dyDescent="0.2">
      <c r="E1697" s="34"/>
    </row>
    <row r="1698" spans="5:5" x14ac:dyDescent="0.2">
      <c r="E1698" s="34"/>
    </row>
    <row r="1699" spans="5:5" x14ac:dyDescent="0.2">
      <c r="E1699" s="34"/>
    </row>
    <row r="1700" spans="5:5" x14ac:dyDescent="0.2">
      <c r="E1700" s="34"/>
    </row>
    <row r="1701" spans="5:5" x14ac:dyDescent="0.2">
      <c r="E1701" s="34"/>
    </row>
    <row r="1702" spans="5:5" x14ac:dyDescent="0.2">
      <c r="E1702" s="34"/>
    </row>
    <row r="1703" spans="5:5" x14ac:dyDescent="0.2">
      <c r="E1703" s="34"/>
    </row>
    <row r="1704" spans="5:5" x14ac:dyDescent="0.2">
      <c r="E1704" s="34"/>
    </row>
    <row r="1705" spans="5:5" x14ac:dyDescent="0.2">
      <c r="E1705" s="34"/>
    </row>
    <row r="1706" spans="5:5" x14ac:dyDescent="0.2">
      <c r="E1706" s="34"/>
    </row>
    <row r="1707" spans="5:5" x14ac:dyDescent="0.2">
      <c r="E1707" s="34"/>
    </row>
    <row r="1708" spans="5:5" x14ac:dyDescent="0.2">
      <c r="E1708" s="34"/>
    </row>
    <row r="1709" spans="5:5" x14ac:dyDescent="0.2">
      <c r="E1709" s="34"/>
    </row>
    <row r="1710" spans="5:5" x14ac:dyDescent="0.2">
      <c r="E1710" s="34"/>
    </row>
    <row r="1711" spans="5:5" x14ac:dyDescent="0.2">
      <c r="E1711" s="34"/>
    </row>
    <row r="1712" spans="5:5" x14ac:dyDescent="0.2">
      <c r="E1712" s="34"/>
    </row>
    <row r="1713" spans="5:5" x14ac:dyDescent="0.2">
      <c r="E1713" s="34"/>
    </row>
    <row r="1714" spans="5:5" x14ac:dyDescent="0.2">
      <c r="E1714" s="34"/>
    </row>
    <row r="1715" spans="5:5" x14ac:dyDescent="0.2">
      <c r="E1715" s="34"/>
    </row>
    <row r="1716" spans="5:5" x14ac:dyDescent="0.2">
      <c r="E1716" s="34"/>
    </row>
    <row r="1717" spans="5:5" x14ac:dyDescent="0.2">
      <c r="E1717" s="34"/>
    </row>
    <row r="1718" spans="5:5" x14ac:dyDescent="0.2">
      <c r="E1718" s="34"/>
    </row>
    <row r="1719" spans="5:5" x14ac:dyDescent="0.2">
      <c r="E1719" s="34"/>
    </row>
    <row r="1720" spans="5:5" x14ac:dyDescent="0.2">
      <c r="E1720" s="34"/>
    </row>
    <row r="1721" spans="5:5" x14ac:dyDescent="0.2">
      <c r="E1721" s="34"/>
    </row>
    <row r="1722" spans="5:5" x14ac:dyDescent="0.2">
      <c r="E1722" s="34"/>
    </row>
    <row r="1723" spans="5:5" x14ac:dyDescent="0.2">
      <c r="E1723" s="34"/>
    </row>
    <row r="1724" spans="5:5" x14ac:dyDescent="0.2">
      <c r="E1724" s="34"/>
    </row>
    <row r="1725" spans="5:5" x14ac:dyDescent="0.2">
      <c r="E1725" s="34"/>
    </row>
    <row r="1726" spans="5:5" x14ac:dyDescent="0.2">
      <c r="E1726" s="34"/>
    </row>
    <row r="1727" spans="5:5" x14ac:dyDescent="0.2">
      <c r="E1727" s="34"/>
    </row>
    <row r="1728" spans="5:5" x14ac:dyDescent="0.2">
      <c r="E1728" s="34"/>
    </row>
    <row r="1729" spans="5:5" x14ac:dyDescent="0.2">
      <c r="E1729" s="34"/>
    </row>
    <row r="1730" spans="5:5" x14ac:dyDescent="0.2">
      <c r="E1730" s="34"/>
    </row>
    <row r="1731" spans="5:5" x14ac:dyDescent="0.2">
      <c r="E1731" s="34"/>
    </row>
    <row r="1732" spans="5:5" x14ac:dyDescent="0.2">
      <c r="E1732" s="34"/>
    </row>
    <row r="1733" spans="5:5" x14ac:dyDescent="0.2">
      <c r="E1733" s="34"/>
    </row>
    <row r="1734" spans="5:5" x14ac:dyDescent="0.2">
      <c r="E1734" s="34"/>
    </row>
    <row r="1735" spans="5:5" x14ac:dyDescent="0.2">
      <c r="E1735" s="34"/>
    </row>
    <row r="1736" spans="5:5" x14ac:dyDescent="0.2">
      <c r="E1736" s="34"/>
    </row>
    <row r="1737" spans="5:5" x14ac:dyDescent="0.2">
      <c r="E1737" s="34"/>
    </row>
    <row r="1738" spans="5:5" x14ac:dyDescent="0.2">
      <c r="E1738" s="34"/>
    </row>
    <row r="1739" spans="5:5" x14ac:dyDescent="0.2">
      <c r="E1739" s="34"/>
    </row>
    <row r="1740" spans="5:5" x14ac:dyDescent="0.2">
      <c r="E1740" s="34"/>
    </row>
    <row r="1741" spans="5:5" x14ac:dyDescent="0.2">
      <c r="E1741" s="34"/>
    </row>
    <row r="1742" spans="5:5" x14ac:dyDescent="0.2">
      <c r="E1742" s="34"/>
    </row>
    <row r="1743" spans="5:5" x14ac:dyDescent="0.2">
      <c r="E1743" s="34"/>
    </row>
    <row r="1744" spans="5:5" x14ac:dyDescent="0.2">
      <c r="E1744" s="34"/>
    </row>
    <row r="1745" spans="5:5" x14ac:dyDescent="0.2">
      <c r="E1745" s="34"/>
    </row>
    <row r="1746" spans="5:5" x14ac:dyDescent="0.2">
      <c r="E1746" s="34"/>
    </row>
    <row r="1747" spans="5:5" x14ac:dyDescent="0.2">
      <c r="E1747" s="34"/>
    </row>
    <row r="1748" spans="5:5" x14ac:dyDescent="0.2">
      <c r="E1748" s="34"/>
    </row>
    <row r="1749" spans="5:5" x14ac:dyDescent="0.2">
      <c r="E1749" s="34"/>
    </row>
    <row r="1750" spans="5:5" x14ac:dyDescent="0.2">
      <c r="E1750" s="34"/>
    </row>
    <row r="1751" spans="5:5" x14ac:dyDescent="0.2">
      <c r="E1751" s="34"/>
    </row>
    <row r="1752" spans="5:5" x14ac:dyDescent="0.2">
      <c r="E1752" s="34"/>
    </row>
    <row r="1753" spans="5:5" x14ac:dyDescent="0.2">
      <c r="E1753" s="34"/>
    </row>
    <row r="1754" spans="5:5" x14ac:dyDescent="0.2">
      <c r="E1754" s="34"/>
    </row>
    <row r="1755" spans="5:5" x14ac:dyDescent="0.2">
      <c r="E1755" s="34"/>
    </row>
    <row r="1756" spans="5:5" x14ac:dyDescent="0.2">
      <c r="E1756" s="34"/>
    </row>
    <row r="1757" spans="5:5" x14ac:dyDescent="0.2">
      <c r="E1757" s="34"/>
    </row>
    <row r="1758" spans="5:5" x14ac:dyDescent="0.2">
      <c r="E1758" s="34"/>
    </row>
    <row r="1759" spans="5:5" x14ac:dyDescent="0.2">
      <c r="E1759" s="34"/>
    </row>
    <row r="1760" spans="5:5" x14ac:dyDescent="0.2">
      <c r="E1760" s="34"/>
    </row>
    <row r="1761" spans="5:5" x14ac:dyDescent="0.2">
      <c r="E1761" s="34"/>
    </row>
    <row r="1762" spans="5:5" x14ac:dyDescent="0.2">
      <c r="E1762" s="34"/>
    </row>
    <row r="1763" spans="5:5" x14ac:dyDescent="0.2">
      <c r="E1763" s="34"/>
    </row>
    <row r="1764" spans="5:5" x14ac:dyDescent="0.2">
      <c r="E1764" s="34"/>
    </row>
    <row r="1765" spans="5:5" x14ac:dyDescent="0.2">
      <c r="E1765" s="34"/>
    </row>
    <row r="1766" spans="5:5" x14ac:dyDescent="0.2">
      <c r="E1766" s="34"/>
    </row>
    <row r="1767" spans="5:5" x14ac:dyDescent="0.2">
      <c r="E1767" s="34"/>
    </row>
    <row r="1768" spans="5:5" x14ac:dyDescent="0.2">
      <c r="E1768" s="34"/>
    </row>
    <row r="1769" spans="5:5" x14ac:dyDescent="0.2">
      <c r="E1769" s="34"/>
    </row>
    <row r="1770" spans="5:5" x14ac:dyDescent="0.2">
      <c r="E1770" s="34"/>
    </row>
    <row r="1771" spans="5:5" x14ac:dyDescent="0.2">
      <c r="E1771" s="34"/>
    </row>
    <row r="1772" spans="5:5" x14ac:dyDescent="0.2">
      <c r="E1772" s="34"/>
    </row>
    <row r="1773" spans="5:5" x14ac:dyDescent="0.2">
      <c r="E1773" s="34"/>
    </row>
    <row r="1774" spans="5:5" x14ac:dyDescent="0.2">
      <c r="E1774" s="34"/>
    </row>
    <row r="1775" spans="5:5" x14ac:dyDescent="0.2">
      <c r="E1775" s="34"/>
    </row>
    <row r="1776" spans="5:5" x14ac:dyDescent="0.2">
      <c r="E1776" s="34"/>
    </row>
    <row r="1777" spans="5:5" x14ac:dyDescent="0.2">
      <c r="E1777" s="34"/>
    </row>
    <row r="1778" spans="5:5" x14ac:dyDescent="0.2">
      <c r="E1778" s="34"/>
    </row>
    <row r="1779" spans="5:5" x14ac:dyDescent="0.2">
      <c r="E1779" s="34"/>
    </row>
    <row r="1780" spans="5:5" x14ac:dyDescent="0.2">
      <c r="E1780" s="34"/>
    </row>
    <row r="1781" spans="5:5" x14ac:dyDescent="0.2">
      <c r="E1781" s="34"/>
    </row>
    <row r="1782" spans="5:5" x14ac:dyDescent="0.2">
      <c r="E1782" s="34"/>
    </row>
    <row r="1783" spans="5:5" x14ac:dyDescent="0.2">
      <c r="E1783" s="34"/>
    </row>
    <row r="1784" spans="5:5" x14ac:dyDescent="0.2">
      <c r="E1784" s="34"/>
    </row>
    <row r="1785" spans="5:5" x14ac:dyDescent="0.2">
      <c r="E1785" s="34"/>
    </row>
    <row r="1786" spans="5:5" x14ac:dyDescent="0.2">
      <c r="E1786" s="34"/>
    </row>
    <row r="1787" spans="5:5" x14ac:dyDescent="0.2">
      <c r="E1787" s="34"/>
    </row>
    <row r="1788" spans="5:5" x14ac:dyDescent="0.2">
      <c r="E1788" s="34"/>
    </row>
    <row r="1789" spans="5:5" x14ac:dyDescent="0.2">
      <c r="E1789" s="34"/>
    </row>
    <row r="1790" spans="5:5" x14ac:dyDescent="0.2">
      <c r="E1790" s="34"/>
    </row>
    <row r="1791" spans="5:5" x14ac:dyDescent="0.2">
      <c r="E1791" s="34"/>
    </row>
    <row r="1792" spans="5:5" x14ac:dyDescent="0.2">
      <c r="E1792" s="34"/>
    </row>
    <row r="1793" spans="5:5" x14ac:dyDescent="0.2">
      <c r="E1793" s="34"/>
    </row>
    <row r="1794" spans="5:5" x14ac:dyDescent="0.2">
      <c r="E1794" s="34"/>
    </row>
    <row r="1795" spans="5:5" x14ac:dyDescent="0.2">
      <c r="E1795" s="34"/>
    </row>
    <row r="1796" spans="5:5" x14ac:dyDescent="0.2">
      <c r="E1796" s="34"/>
    </row>
    <row r="1797" spans="5:5" x14ac:dyDescent="0.2">
      <c r="E1797" s="34"/>
    </row>
    <row r="1798" spans="5:5" x14ac:dyDescent="0.2">
      <c r="E1798" s="34"/>
    </row>
    <row r="1799" spans="5:5" x14ac:dyDescent="0.2">
      <c r="E1799" s="34"/>
    </row>
    <row r="1800" spans="5:5" x14ac:dyDescent="0.2">
      <c r="E1800" s="34"/>
    </row>
    <row r="1801" spans="5:5" x14ac:dyDescent="0.2">
      <c r="E1801" s="34"/>
    </row>
    <row r="1802" spans="5:5" x14ac:dyDescent="0.2">
      <c r="E1802" s="34"/>
    </row>
    <row r="1803" spans="5:5" x14ac:dyDescent="0.2">
      <c r="E1803" s="34"/>
    </row>
    <row r="1804" spans="5:5" x14ac:dyDescent="0.2">
      <c r="E1804" s="34"/>
    </row>
    <row r="1805" spans="5:5" x14ac:dyDescent="0.2">
      <c r="E1805" s="34"/>
    </row>
    <row r="1806" spans="5:5" x14ac:dyDescent="0.2">
      <c r="E1806" s="34"/>
    </row>
    <row r="1807" spans="5:5" x14ac:dyDescent="0.2">
      <c r="E1807" s="34"/>
    </row>
    <row r="1808" spans="5:5" x14ac:dyDescent="0.2">
      <c r="E1808" s="34"/>
    </row>
    <row r="1809" spans="5:5" x14ac:dyDescent="0.2">
      <c r="E1809" s="34"/>
    </row>
    <row r="1810" spans="5:5" x14ac:dyDescent="0.2">
      <c r="E1810" s="34"/>
    </row>
    <row r="1811" spans="5:5" x14ac:dyDescent="0.2">
      <c r="E1811" s="34"/>
    </row>
    <row r="1812" spans="5:5" x14ac:dyDescent="0.2">
      <c r="E1812" s="34"/>
    </row>
    <row r="1813" spans="5:5" x14ac:dyDescent="0.2">
      <c r="E1813" s="34"/>
    </row>
    <row r="1814" spans="5:5" x14ac:dyDescent="0.2">
      <c r="E1814" s="34"/>
    </row>
    <row r="1815" spans="5:5" x14ac:dyDescent="0.2">
      <c r="E1815" s="34"/>
    </row>
    <row r="1816" spans="5:5" x14ac:dyDescent="0.2">
      <c r="E1816" s="34"/>
    </row>
    <row r="1817" spans="5:5" x14ac:dyDescent="0.2">
      <c r="E1817" s="34"/>
    </row>
    <row r="1818" spans="5:5" x14ac:dyDescent="0.2">
      <c r="E1818" s="34"/>
    </row>
    <row r="1819" spans="5:5" x14ac:dyDescent="0.2">
      <c r="E1819" s="34"/>
    </row>
    <row r="1820" spans="5:5" x14ac:dyDescent="0.2">
      <c r="E1820" s="34"/>
    </row>
    <row r="1821" spans="5:5" x14ac:dyDescent="0.2">
      <c r="E1821" s="34"/>
    </row>
    <row r="1822" spans="5:5" x14ac:dyDescent="0.2">
      <c r="E1822" s="34"/>
    </row>
    <row r="1823" spans="5:5" x14ac:dyDescent="0.2">
      <c r="E1823" s="34"/>
    </row>
    <row r="1824" spans="5:5" x14ac:dyDescent="0.2">
      <c r="E1824" s="34"/>
    </row>
    <row r="1825" spans="5:5" x14ac:dyDescent="0.2">
      <c r="E1825" s="34"/>
    </row>
    <row r="1826" spans="5:5" x14ac:dyDescent="0.2">
      <c r="E1826" s="34"/>
    </row>
    <row r="1827" spans="5:5" x14ac:dyDescent="0.2">
      <c r="E1827" s="34"/>
    </row>
    <row r="1828" spans="5:5" x14ac:dyDescent="0.2">
      <c r="E1828" s="34"/>
    </row>
    <row r="1829" spans="5:5" x14ac:dyDescent="0.2">
      <c r="E1829" s="34"/>
    </row>
    <row r="1830" spans="5:5" x14ac:dyDescent="0.2">
      <c r="E1830" s="34"/>
    </row>
    <row r="1831" spans="5:5" x14ac:dyDescent="0.2">
      <c r="E1831" s="34"/>
    </row>
    <row r="1832" spans="5:5" x14ac:dyDescent="0.2">
      <c r="E1832" s="34"/>
    </row>
    <row r="1833" spans="5:5" x14ac:dyDescent="0.2">
      <c r="E1833" s="34"/>
    </row>
    <row r="1834" spans="5:5" x14ac:dyDescent="0.2">
      <c r="E1834" s="34"/>
    </row>
    <row r="1835" spans="5:5" x14ac:dyDescent="0.2">
      <c r="E1835" s="34"/>
    </row>
    <row r="1836" spans="5:5" x14ac:dyDescent="0.2">
      <c r="E1836" s="34"/>
    </row>
    <row r="1837" spans="5:5" x14ac:dyDescent="0.2">
      <c r="E1837" s="34"/>
    </row>
    <row r="1838" spans="5:5" x14ac:dyDescent="0.2">
      <c r="E1838" s="34"/>
    </row>
    <row r="1839" spans="5:5" x14ac:dyDescent="0.2">
      <c r="E1839" s="34"/>
    </row>
    <row r="1840" spans="5:5" x14ac:dyDescent="0.2">
      <c r="E1840" s="34"/>
    </row>
    <row r="1841" spans="5:5" x14ac:dyDescent="0.2">
      <c r="E1841" s="34"/>
    </row>
    <row r="1842" spans="5:5" x14ac:dyDescent="0.2">
      <c r="E1842" s="34"/>
    </row>
    <row r="1843" spans="5:5" x14ac:dyDescent="0.2">
      <c r="E1843" s="34"/>
    </row>
    <row r="1844" spans="5:5" x14ac:dyDescent="0.2">
      <c r="E1844" s="34"/>
    </row>
    <row r="1845" spans="5:5" x14ac:dyDescent="0.2">
      <c r="E1845" s="34"/>
    </row>
    <row r="1846" spans="5:5" x14ac:dyDescent="0.2">
      <c r="E1846" s="34"/>
    </row>
    <row r="1847" spans="5:5" x14ac:dyDescent="0.2">
      <c r="E1847" s="34"/>
    </row>
    <row r="1848" spans="5:5" x14ac:dyDescent="0.2">
      <c r="E1848" s="34"/>
    </row>
    <row r="1849" spans="5:5" x14ac:dyDescent="0.2">
      <c r="E1849" s="34"/>
    </row>
    <row r="1850" spans="5:5" x14ac:dyDescent="0.2">
      <c r="E1850" s="34"/>
    </row>
    <row r="1851" spans="5:5" x14ac:dyDescent="0.2">
      <c r="E1851" s="34"/>
    </row>
    <row r="1852" spans="5:5" x14ac:dyDescent="0.2">
      <c r="E1852" s="34"/>
    </row>
    <row r="1853" spans="5:5" x14ac:dyDescent="0.2">
      <c r="E1853" s="34"/>
    </row>
    <row r="1854" spans="5:5" x14ac:dyDescent="0.2">
      <c r="E1854" s="34"/>
    </row>
    <row r="1855" spans="5:5" x14ac:dyDescent="0.2">
      <c r="E1855" s="34"/>
    </row>
    <row r="1856" spans="5:5" x14ac:dyDescent="0.2">
      <c r="E1856" s="34"/>
    </row>
    <row r="1857" spans="5:5" x14ac:dyDescent="0.2">
      <c r="E1857" s="34"/>
    </row>
    <row r="1858" spans="5:5" x14ac:dyDescent="0.2">
      <c r="E1858" s="34"/>
    </row>
    <row r="1859" spans="5:5" x14ac:dyDescent="0.2">
      <c r="E1859" s="34"/>
    </row>
    <row r="1860" spans="5:5" x14ac:dyDescent="0.2">
      <c r="E1860" s="34"/>
    </row>
    <row r="1861" spans="5:5" x14ac:dyDescent="0.2">
      <c r="E1861" s="34"/>
    </row>
    <row r="1862" spans="5:5" x14ac:dyDescent="0.2">
      <c r="E1862" s="34"/>
    </row>
    <row r="1863" spans="5:5" x14ac:dyDescent="0.2">
      <c r="E1863" s="34"/>
    </row>
    <row r="1864" spans="5:5" x14ac:dyDescent="0.2">
      <c r="E1864" s="34"/>
    </row>
    <row r="1865" spans="5:5" x14ac:dyDescent="0.2">
      <c r="E1865" s="34"/>
    </row>
    <row r="1866" spans="5:5" x14ac:dyDescent="0.2">
      <c r="E1866" s="34"/>
    </row>
    <row r="1867" spans="5:5" x14ac:dyDescent="0.2">
      <c r="E1867" s="34"/>
    </row>
    <row r="1868" spans="5:5" x14ac:dyDescent="0.2">
      <c r="E1868" s="34"/>
    </row>
    <row r="1869" spans="5:5" x14ac:dyDescent="0.2">
      <c r="E1869" s="34"/>
    </row>
    <row r="1870" spans="5:5" x14ac:dyDescent="0.2">
      <c r="E1870" s="34"/>
    </row>
    <row r="1871" spans="5:5" x14ac:dyDescent="0.2">
      <c r="E1871" s="34"/>
    </row>
    <row r="1872" spans="5:5" x14ac:dyDescent="0.2">
      <c r="E1872" s="34"/>
    </row>
    <row r="1873" spans="5:5" x14ac:dyDescent="0.2">
      <c r="E1873" s="34"/>
    </row>
    <row r="1874" spans="5:5" x14ac:dyDescent="0.2">
      <c r="E1874" s="34"/>
    </row>
    <row r="1875" spans="5:5" x14ac:dyDescent="0.2">
      <c r="E1875" s="34"/>
    </row>
    <row r="1876" spans="5:5" x14ac:dyDescent="0.2">
      <c r="E1876" s="34"/>
    </row>
    <row r="1877" spans="5:5" x14ac:dyDescent="0.2">
      <c r="E1877" s="34"/>
    </row>
    <row r="1878" spans="5:5" x14ac:dyDescent="0.2">
      <c r="E1878" s="34"/>
    </row>
    <row r="1879" spans="5:5" x14ac:dyDescent="0.2">
      <c r="E1879" s="34"/>
    </row>
    <row r="1880" spans="5:5" x14ac:dyDescent="0.2">
      <c r="E1880" s="34"/>
    </row>
    <row r="1881" spans="5:5" x14ac:dyDescent="0.2">
      <c r="E1881" s="34"/>
    </row>
    <row r="1882" spans="5:5" x14ac:dyDescent="0.2">
      <c r="E1882" s="34"/>
    </row>
    <row r="1883" spans="5:5" x14ac:dyDescent="0.2">
      <c r="E1883" s="34"/>
    </row>
    <row r="1884" spans="5:5" x14ac:dyDescent="0.2">
      <c r="E1884" s="34"/>
    </row>
    <row r="1885" spans="5:5" x14ac:dyDescent="0.2">
      <c r="E1885" s="34"/>
    </row>
    <row r="1886" spans="5:5" x14ac:dyDescent="0.2">
      <c r="E1886" s="34"/>
    </row>
    <row r="1887" spans="5:5" x14ac:dyDescent="0.2">
      <c r="E1887" s="34"/>
    </row>
    <row r="1888" spans="5:5" x14ac:dyDescent="0.2">
      <c r="E1888" s="34"/>
    </row>
    <row r="1889" spans="5:5" x14ac:dyDescent="0.2">
      <c r="E1889" s="34"/>
    </row>
    <row r="1890" spans="5:5" x14ac:dyDescent="0.2">
      <c r="E1890" s="34"/>
    </row>
    <row r="1891" spans="5:5" x14ac:dyDescent="0.2">
      <c r="E1891" s="34"/>
    </row>
    <row r="1892" spans="5:5" x14ac:dyDescent="0.2">
      <c r="E1892" s="34"/>
    </row>
    <row r="1893" spans="5:5" x14ac:dyDescent="0.2">
      <c r="E1893" s="34"/>
    </row>
    <row r="1894" spans="5:5" x14ac:dyDescent="0.2">
      <c r="E1894" s="34"/>
    </row>
    <row r="1895" spans="5:5" x14ac:dyDescent="0.2">
      <c r="E1895" s="34"/>
    </row>
    <row r="1896" spans="5:5" x14ac:dyDescent="0.2">
      <c r="E1896" s="34"/>
    </row>
    <row r="1897" spans="5:5" x14ac:dyDescent="0.2">
      <c r="E1897" s="34"/>
    </row>
    <row r="1898" spans="5:5" x14ac:dyDescent="0.2">
      <c r="E1898" s="34"/>
    </row>
    <row r="1899" spans="5:5" x14ac:dyDescent="0.2">
      <c r="E1899" s="34"/>
    </row>
    <row r="1900" spans="5:5" x14ac:dyDescent="0.2">
      <c r="E1900" s="34"/>
    </row>
    <row r="1901" spans="5:5" x14ac:dyDescent="0.2">
      <c r="E1901" s="34"/>
    </row>
    <row r="1902" spans="5:5" x14ac:dyDescent="0.2">
      <c r="E1902" s="34"/>
    </row>
    <row r="1903" spans="5:5" x14ac:dyDescent="0.2">
      <c r="E1903" s="34"/>
    </row>
    <row r="1904" spans="5:5" x14ac:dyDescent="0.2">
      <c r="E1904" s="34"/>
    </row>
    <row r="1905" spans="5:5" x14ac:dyDescent="0.2">
      <c r="E1905" s="34"/>
    </row>
    <row r="1906" spans="5:5" x14ac:dyDescent="0.2">
      <c r="E1906" s="34"/>
    </row>
    <row r="1907" spans="5:5" x14ac:dyDescent="0.2">
      <c r="E1907" s="34"/>
    </row>
    <row r="1908" spans="5:5" x14ac:dyDescent="0.2">
      <c r="E1908" s="34"/>
    </row>
    <row r="1909" spans="5:5" x14ac:dyDescent="0.2">
      <c r="E1909" s="34"/>
    </row>
    <row r="1910" spans="5:5" x14ac:dyDescent="0.2">
      <c r="E1910" s="34"/>
    </row>
    <row r="1911" spans="5:5" x14ac:dyDescent="0.2">
      <c r="E1911" s="34"/>
    </row>
    <row r="1912" spans="5:5" x14ac:dyDescent="0.2">
      <c r="E1912" s="34"/>
    </row>
    <row r="1913" spans="5:5" x14ac:dyDescent="0.2">
      <c r="E1913" s="34"/>
    </row>
    <row r="1914" spans="5:5" x14ac:dyDescent="0.2">
      <c r="E1914" s="34"/>
    </row>
    <row r="1915" spans="5:5" x14ac:dyDescent="0.2">
      <c r="E1915" s="34"/>
    </row>
    <row r="1916" spans="5:5" x14ac:dyDescent="0.2">
      <c r="E1916" s="34"/>
    </row>
    <row r="1917" spans="5:5" x14ac:dyDescent="0.2">
      <c r="E1917" s="34"/>
    </row>
    <row r="1918" spans="5:5" x14ac:dyDescent="0.2">
      <c r="E1918" s="34"/>
    </row>
    <row r="1919" spans="5:5" x14ac:dyDescent="0.2">
      <c r="E1919" s="34"/>
    </row>
    <row r="1920" spans="5:5" x14ac:dyDescent="0.2">
      <c r="E1920" s="34"/>
    </row>
    <row r="1921" spans="5:5" x14ac:dyDescent="0.2">
      <c r="E1921" s="34"/>
    </row>
    <row r="1922" spans="5:5" x14ac:dyDescent="0.2">
      <c r="E1922" s="34"/>
    </row>
    <row r="1923" spans="5:5" x14ac:dyDescent="0.2">
      <c r="E1923" s="34"/>
    </row>
    <row r="1924" spans="5:5" x14ac:dyDescent="0.2">
      <c r="E1924" s="34"/>
    </row>
    <row r="1925" spans="5:5" x14ac:dyDescent="0.2">
      <c r="E1925" s="34"/>
    </row>
    <row r="1926" spans="5:5" x14ac:dyDescent="0.2">
      <c r="E1926" s="34"/>
    </row>
    <row r="1927" spans="5:5" x14ac:dyDescent="0.2">
      <c r="E1927" s="34"/>
    </row>
    <row r="1928" spans="5:5" x14ac:dyDescent="0.2">
      <c r="E1928" s="34"/>
    </row>
    <row r="1929" spans="5:5" x14ac:dyDescent="0.2">
      <c r="E1929" s="34"/>
    </row>
    <row r="1930" spans="5:5" x14ac:dyDescent="0.2">
      <c r="E1930" s="34"/>
    </row>
    <row r="1931" spans="5:5" x14ac:dyDescent="0.2">
      <c r="E1931" s="34"/>
    </row>
    <row r="1932" spans="5:5" x14ac:dyDescent="0.2">
      <c r="E1932" s="34"/>
    </row>
    <row r="1933" spans="5:5" x14ac:dyDescent="0.2">
      <c r="E1933" s="34"/>
    </row>
    <row r="1934" spans="5:5" x14ac:dyDescent="0.2">
      <c r="E1934" s="34"/>
    </row>
    <row r="1935" spans="5:5" x14ac:dyDescent="0.2">
      <c r="E1935" s="34"/>
    </row>
    <row r="1936" spans="5:5" x14ac:dyDescent="0.2">
      <c r="E1936" s="34"/>
    </row>
    <row r="1937" spans="5:5" x14ac:dyDescent="0.2">
      <c r="E1937" s="34"/>
    </row>
    <row r="1938" spans="5:5" x14ac:dyDescent="0.2">
      <c r="E1938" s="34"/>
    </row>
    <row r="1939" spans="5:5" x14ac:dyDescent="0.2">
      <c r="E1939" s="34"/>
    </row>
    <row r="1940" spans="5:5" x14ac:dyDescent="0.2">
      <c r="E1940" s="34"/>
    </row>
    <row r="1941" spans="5:5" x14ac:dyDescent="0.2">
      <c r="E1941" s="34"/>
    </row>
    <row r="1942" spans="5:5" x14ac:dyDescent="0.2">
      <c r="E1942" s="34"/>
    </row>
    <row r="1943" spans="5:5" x14ac:dyDescent="0.2">
      <c r="E1943" s="34"/>
    </row>
    <row r="1944" spans="5:5" x14ac:dyDescent="0.2">
      <c r="E1944" s="34"/>
    </row>
    <row r="1945" spans="5:5" x14ac:dyDescent="0.2">
      <c r="E1945" s="34"/>
    </row>
    <row r="1946" spans="5:5" x14ac:dyDescent="0.2">
      <c r="E1946" s="34"/>
    </row>
    <row r="1947" spans="5:5" x14ac:dyDescent="0.2">
      <c r="E1947" s="34"/>
    </row>
    <row r="1948" spans="5:5" x14ac:dyDescent="0.2">
      <c r="E1948" s="34"/>
    </row>
    <row r="1949" spans="5:5" x14ac:dyDescent="0.2">
      <c r="E1949" s="34"/>
    </row>
    <row r="1950" spans="5:5" x14ac:dyDescent="0.2">
      <c r="E1950" s="34"/>
    </row>
    <row r="1951" spans="5:5" x14ac:dyDescent="0.2">
      <c r="E1951" s="34"/>
    </row>
    <row r="1952" spans="5:5" x14ac:dyDescent="0.2">
      <c r="E1952" s="34"/>
    </row>
    <row r="1953" spans="5:5" x14ac:dyDescent="0.2">
      <c r="E1953" s="34"/>
    </row>
    <row r="1954" spans="5:5" x14ac:dyDescent="0.2">
      <c r="E1954" s="34"/>
    </row>
    <row r="1955" spans="5:5" x14ac:dyDescent="0.2">
      <c r="E1955" s="34"/>
    </row>
    <row r="1956" spans="5:5" x14ac:dyDescent="0.2">
      <c r="E1956" s="34"/>
    </row>
    <row r="1957" spans="5:5" x14ac:dyDescent="0.2">
      <c r="E1957" s="34"/>
    </row>
    <row r="1958" spans="5:5" x14ac:dyDescent="0.2">
      <c r="E1958" s="34"/>
    </row>
    <row r="1959" spans="5:5" x14ac:dyDescent="0.2">
      <c r="E1959" s="34"/>
    </row>
    <row r="1960" spans="5:5" x14ac:dyDescent="0.2">
      <c r="E1960" s="34"/>
    </row>
    <row r="1961" spans="5:5" x14ac:dyDescent="0.2">
      <c r="E1961" s="34"/>
    </row>
    <row r="1962" spans="5:5" x14ac:dyDescent="0.2">
      <c r="E1962" s="34"/>
    </row>
    <row r="1963" spans="5:5" x14ac:dyDescent="0.2">
      <c r="E1963" s="34"/>
    </row>
    <row r="1964" spans="5:5" x14ac:dyDescent="0.2">
      <c r="E1964" s="34"/>
    </row>
    <row r="1965" spans="5:5" x14ac:dyDescent="0.2">
      <c r="E1965" s="34"/>
    </row>
    <row r="1966" spans="5:5" x14ac:dyDescent="0.2">
      <c r="E1966" s="34"/>
    </row>
    <row r="1967" spans="5:5" x14ac:dyDescent="0.2">
      <c r="E1967" s="34"/>
    </row>
    <row r="1968" spans="5:5" x14ac:dyDescent="0.2">
      <c r="E1968" s="34"/>
    </row>
    <row r="1969" spans="5:5" x14ac:dyDescent="0.2">
      <c r="E1969" s="34"/>
    </row>
    <row r="1970" spans="5:5" x14ac:dyDescent="0.2">
      <c r="E1970" s="34"/>
    </row>
    <row r="1971" spans="5:5" x14ac:dyDescent="0.2">
      <c r="E1971" s="34"/>
    </row>
    <row r="1972" spans="5:5" x14ac:dyDescent="0.2">
      <c r="E1972" s="34"/>
    </row>
    <row r="1973" spans="5:5" x14ac:dyDescent="0.2">
      <c r="E1973" s="34"/>
    </row>
    <row r="1974" spans="5:5" x14ac:dyDescent="0.2">
      <c r="E1974" s="34"/>
    </row>
    <row r="1975" spans="5:5" x14ac:dyDescent="0.2">
      <c r="E1975" s="34"/>
    </row>
    <row r="1976" spans="5:5" x14ac:dyDescent="0.2">
      <c r="E1976" s="34"/>
    </row>
    <row r="1977" spans="5:5" x14ac:dyDescent="0.2">
      <c r="E1977" s="34"/>
    </row>
    <row r="1978" spans="5:5" x14ac:dyDescent="0.2">
      <c r="E1978" s="34"/>
    </row>
    <row r="1979" spans="5:5" x14ac:dyDescent="0.2">
      <c r="E1979" s="34"/>
    </row>
    <row r="1980" spans="5:5" x14ac:dyDescent="0.2">
      <c r="E1980" s="34"/>
    </row>
    <row r="1981" spans="5:5" x14ac:dyDescent="0.2">
      <c r="E1981" s="34"/>
    </row>
    <row r="1982" spans="5:5" x14ac:dyDescent="0.2">
      <c r="E1982" s="34"/>
    </row>
    <row r="1983" spans="5:5" x14ac:dyDescent="0.2">
      <c r="E1983" s="34"/>
    </row>
    <row r="1984" spans="5:5" x14ac:dyDescent="0.2">
      <c r="E1984" s="34"/>
    </row>
    <row r="1985" spans="5:5" x14ac:dyDescent="0.2">
      <c r="E1985" s="34"/>
    </row>
    <row r="1986" spans="5:5" x14ac:dyDescent="0.2">
      <c r="E1986" s="34"/>
    </row>
    <row r="1987" spans="5:5" x14ac:dyDescent="0.2">
      <c r="E1987" s="34"/>
    </row>
    <row r="1988" spans="5:5" x14ac:dyDescent="0.2">
      <c r="E1988" s="34"/>
    </row>
    <row r="1989" spans="5:5" x14ac:dyDescent="0.2">
      <c r="E1989" s="34"/>
    </row>
    <row r="1990" spans="5:5" x14ac:dyDescent="0.2">
      <c r="E1990" s="34"/>
    </row>
    <row r="1991" spans="5:5" x14ac:dyDescent="0.2">
      <c r="E1991" s="34"/>
    </row>
    <row r="1992" spans="5:5" x14ac:dyDescent="0.2">
      <c r="E1992" s="34"/>
    </row>
    <row r="1993" spans="5:5" x14ac:dyDescent="0.2">
      <c r="E1993" s="34"/>
    </row>
    <row r="1994" spans="5:5" x14ac:dyDescent="0.2">
      <c r="E1994" s="34"/>
    </row>
    <row r="1995" spans="5:5" x14ac:dyDescent="0.2">
      <c r="E1995" s="34"/>
    </row>
    <row r="1996" spans="5:5" x14ac:dyDescent="0.2">
      <c r="E1996" s="34"/>
    </row>
    <row r="1997" spans="5:5" x14ac:dyDescent="0.2">
      <c r="E1997" s="34"/>
    </row>
    <row r="1998" spans="5:5" x14ac:dyDescent="0.2">
      <c r="E1998" s="34"/>
    </row>
    <row r="1999" spans="5:5" x14ac:dyDescent="0.2">
      <c r="E1999" s="34"/>
    </row>
    <row r="2000" spans="5:5" x14ac:dyDescent="0.2">
      <c r="E2000" s="34"/>
    </row>
    <row r="2001" spans="5:5" x14ac:dyDescent="0.2">
      <c r="E2001" s="34"/>
    </row>
    <row r="2002" spans="5:5" x14ac:dyDescent="0.2">
      <c r="E2002" s="34"/>
    </row>
    <row r="2003" spans="5:5" x14ac:dyDescent="0.2">
      <c r="E2003" s="34"/>
    </row>
    <row r="2004" spans="5:5" x14ac:dyDescent="0.2">
      <c r="E2004" s="34"/>
    </row>
    <row r="2005" spans="5:5" x14ac:dyDescent="0.2">
      <c r="E2005" s="34"/>
    </row>
    <row r="2006" spans="5:5" x14ac:dyDescent="0.2">
      <c r="E2006" s="34"/>
    </row>
    <row r="2007" spans="5:5" x14ac:dyDescent="0.2">
      <c r="E2007" s="34"/>
    </row>
    <row r="2008" spans="5:5" x14ac:dyDescent="0.2">
      <c r="E2008" s="34"/>
    </row>
    <row r="2009" spans="5:5" x14ac:dyDescent="0.2">
      <c r="E2009" s="34"/>
    </row>
    <row r="2010" spans="5:5" x14ac:dyDescent="0.2">
      <c r="E2010" s="34"/>
    </row>
    <row r="2011" spans="5:5" x14ac:dyDescent="0.2">
      <c r="E2011" s="34"/>
    </row>
    <row r="2012" spans="5:5" x14ac:dyDescent="0.2">
      <c r="E2012" s="34"/>
    </row>
    <row r="2013" spans="5:5" x14ac:dyDescent="0.2">
      <c r="E2013" s="34"/>
    </row>
    <row r="2014" spans="5:5" x14ac:dyDescent="0.2">
      <c r="E2014" s="34"/>
    </row>
    <row r="2015" spans="5:5" x14ac:dyDescent="0.2">
      <c r="E2015" s="34"/>
    </row>
    <row r="2016" spans="5:5" x14ac:dyDescent="0.2">
      <c r="E2016" s="34"/>
    </row>
    <row r="2017" spans="5:5" x14ac:dyDescent="0.2">
      <c r="E2017" s="34"/>
    </row>
    <row r="2018" spans="5:5" x14ac:dyDescent="0.2">
      <c r="E2018" s="34"/>
    </row>
    <row r="2019" spans="5:5" x14ac:dyDescent="0.2">
      <c r="E2019" s="34"/>
    </row>
    <row r="2020" spans="5:5" x14ac:dyDescent="0.2">
      <c r="E2020" s="34"/>
    </row>
    <row r="2021" spans="5:5" x14ac:dyDescent="0.2">
      <c r="E2021" s="34"/>
    </row>
    <row r="2022" spans="5:5" x14ac:dyDescent="0.2">
      <c r="E2022" s="34"/>
    </row>
    <row r="2023" spans="5:5" x14ac:dyDescent="0.2">
      <c r="E2023" s="34"/>
    </row>
    <row r="2024" spans="5:5" x14ac:dyDescent="0.2">
      <c r="E2024" s="34"/>
    </row>
    <row r="2025" spans="5:5" x14ac:dyDescent="0.2">
      <c r="E2025" s="34"/>
    </row>
    <row r="2026" spans="5:5" x14ac:dyDescent="0.2">
      <c r="E2026" s="34"/>
    </row>
    <row r="2027" spans="5:5" x14ac:dyDescent="0.2">
      <c r="E2027" s="34"/>
    </row>
    <row r="2028" spans="5:5" x14ac:dyDescent="0.2">
      <c r="E2028" s="34"/>
    </row>
    <row r="2029" spans="5:5" x14ac:dyDescent="0.2">
      <c r="E2029" s="34"/>
    </row>
    <row r="2030" spans="5:5" x14ac:dyDescent="0.2">
      <c r="E2030" s="34"/>
    </row>
    <row r="2031" spans="5:5" x14ac:dyDescent="0.2">
      <c r="E2031" s="34"/>
    </row>
    <row r="2032" spans="5:5" x14ac:dyDescent="0.2">
      <c r="E2032" s="34"/>
    </row>
    <row r="2033" spans="5:5" x14ac:dyDescent="0.2">
      <c r="E2033" s="34"/>
    </row>
    <row r="2034" spans="5:5" x14ac:dyDescent="0.2">
      <c r="E2034" s="34"/>
    </row>
    <row r="2035" spans="5:5" x14ac:dyDescent="0.2">
      <c r="E2035" s="34"/>
    </row>
    <row r="2036" spans="5:5" x14ac:dyDescent="0.2">
      <c r="E2036" s="34"/>
    </row>
    <row r="2037" spans="5:5" x14ac:dyDescent="0.2">
      <c r="E2037" s="34"/>
    </row>
    <row r="2038" spans="5:5" x14ac:dyDescent="0.2">
      <c r="E2038" s="34"/>
    </row>
    <row r="2039" spans="5:5" x14ac:dyDescent="0.2">
      <c r="E2039" s="34"/>
    </row>
    <row r="2040" spans="5:5" x14ac:dyDescent="0.2">
      <c r="E2040" s="34"/>
    </row>
    <row r="2041" spans="5:5" x14ac:dyDescent="0.2">
      <c r="E2041" s="34"/>
    </row>
    <row r="2042" spans="5:5" x14ac:dyDescent="0.2">
      <c r="E2042" s="34"/>
    </row>
    <row r="2043" spans="5:5" x14ac:dyDescent="0.2">
      <c r="E2043" s="34"/>
    </row>
    <row r="2044" spans="5:5" x14ac:dyDescent="0.2">
      <c r="E2044" s="34"/>
    </row>
    <row r="2045" spans="5:5" x14ac:dyDescent="0.2">
      <c r="E2045" s="34"/>
    </row>
    <row r="2046" spans="5:5" x14ac:dyDescent="0.2">
      <c r="E2046" s="34"/>
    </row>
    <row r="2047" spans="5:5" x14ac:dyDescent="0.2">
      <c r="E2047" s="34"/>
    </row>
    <row r="2048" spans="5:5" x14ac:dyDescent="0.2">
      <c r="E2048" s="34"/>
    </row>
    <row r="2049" spans="5:5" x14ac:dyDescent="0.2">
      <c r="E2049" s="34"/>
    </row>
    <row r="2050" spans="5:5" x14ac:dyDescent="0.2">
      <c r="E2050" s="34"/>
    </row>
    <row r="2051" spans="5:5" x14ac:dyDescent="0.2">
      <c r="E2051" s="34"/>
    </row>
    <row r="2052" spans="5:5" x14ac:dyDescent="0.2">
      <c r="E2052" s="34"/>
    </row>
    <row r="2053" spans="5:5" x14ac:dyDescent="0.2">
      <c r="E2053" s="34"/>
    </row>
    <row r="2054" spans="5:5" x14ac:dyDescent="0.2">
      <c r="E2054" s="34"/>
    </row>
    <row r="2055" spans="5:5" x14ac:dyDescent="0.2">
      <c r="E2055" s="34"/>
    </row>
    <row r="2056" spans="5:5" x14ac:dyDescent="0.2">
      <c r="E2056" s="34"/>
    </row>
    <row r="2057" spans="5:5" x14ac:dyDescent="0.2">
      <c r="E2057" s="34"/>
    </row>
    <row r="2058" spans="5:5" x14ac:dyDescent="0.2">
      <c r="E2058" s="34"/>
    </row>
    <row r="2059" spans="5:5" x14ac:dyDescent="0.2">
      <c r="E2059" s="34"/>
    </row>
    <row r="2060" spans="5:5" x14ac:dyDescent="0.2">
      <c r="E2060" s="34"/>
    </row>
    <row r="2061" spans="5:5" x14ac:dyDescent="0.2">
      <c r="E2061" s="34"/>
    </row>
    <row r="2062" spans="5:5" x14ac:dyDescent="0.2">
      <c r="E2062" s="34"/>
    </row>
    <row r="2063" spans="5:5" x14ac:dyDescent="0.2">
      <c r="E2063" s="34"/>
    </row>
    <row r="2064" spans="5:5" x14ac:dyDescent="0.2">
      <c r="E2064" s="34"/>
    </row>
    <row r="2065" spans="5:5" x14ac:dyDescent="0.2">
      <c r="E2065" s="34"/>
    </row>
    <row r="2066" spans="5:5" x14ac:dyDescent="0.2">
      <c r="E2066" s="34"/>
    </row>
    <row r="2067" spans="5:5" x14ac:dyDescent="0.2">
      <c r="E2067" s="34"/>
    </row>
    <row r="2068" spans="5:5" x14ac:dyDescent="0.2">
      <c r="E2068" s="34"/>
    </row>
    <row r="2069" spans="5:5" x14ac:dyDescent="0.2">
      <c r="E2069" s="34"/>
    </row>
    <row r="2070" spans="5:5" x14ac:dyDescent="0.2">
      <c r="E2070" s="34"/>
    </row>
    <row r="2071" spans="5:5" x14ac:dyDescent="0.2">
      <c r="E2071" s="34"/>
    </row>
    <row r="2072" spans="5:5" x14ac:dyDescent="0.2">
      <c r="E2072" s="34"/>
    </row>
    <row r="2073" spans="5:5" x14ac:dyDescent="0.2">
      <c r="E2073" s="34"/>
    </row>
    <row r="2074" spans="5:5" x14ac:dyDescent="0.2">
      <c r="E2074" s="34"/>
    </row>
    <row r="2075" spans="5:5" x14ac:dyDescent="0.2">
      <c r="E2075" s="34"/>
    </row>
    <row r="2076" spans="5:5" x14ac:dyDescent="0.2">
      <c r="E2076" s="34"/>
    </row>
    <row r="2077" spans="5:5" x14ac:dyDescent="0.2">
      <c r="E2077" s="34"/>
    </row>
    <row r="2078" spans="5:5" x14ac:dyDescent="0.2">
      <c r="E2078" s="34"/>
    </row>
    <row r="2079" spans="5:5" x14ac:dyDescent="0.2">
      <c r="E2079" s="34"/>
    </row>
    <row r="2080" spans="5:5" x14ac:dyDescent="0.2">
      <c r="E2080" s="34"/>
    </row>
    <row r="2081" spans="5:5" x14ac:dyDescent="0.2">
      <c r="E2081" s="34"/>
    </row>
    <row r="2082" spans="5:5" x14ac:dyDescent="0.2">
      <c r="E2082" s="34"/>
    </row>
    <row r="2083" spans="5:5" x14ac:dyDescent="0.2">
      <c r="E2083" s="34"/>
    </row>
    <row r="2084" spans="5:5" x14ac:dyDescent="0.2">
      <c r="E2084" s="34"/>
    </row>
    <row r="2085" spans="5:5" x14ac:dyDescent="0.2">
      <c r="E2085" s="34"/>
    </row>
    <row r="2086" spans="5:5" x14ac:dyDescent="0.2">
      <c r="E2086" s="34"/>
    </row>
    <row r="2087" spans="5:5" x14ac:dyDescent="0.2">
      <c r="E2087" s="34"/>
    </row>
    <row r="2088" spans="5:5" x14ac:dyDescent="0.2">
      <c r="E2088" s="34"/>
    </row>
    <row r="2089" spans="5:5" x14ac:dyDescent="0.2">
      <c r="E2089" s="34"/>
    </row>
    <row r="2090" spans="5:5" x14ac:dyDescent="0.2">
      <c r="E2090" s="34"/>
    </row>
    <row r="2091" spans="5:5" x14ac:dyDescent="0.2">
      <c r="E2091" s="34"/>
    </row>
    <row r="2092" spans="5:5" x14ac:dyDescent="0.2">
      <c r="E2092" s="34"/>
    </row>
    <row r="2093" spans="5:5" x14ac:dyDescent="0.2">
      <c r="E2093" s="34"/>
    </row>
    <row r="2094" spans="5:5" x14ac:dyDescent="0.2">
      <c r="E2094" s="34"/>
    </row>
    <row r="2095" spans="5:5" x14ac:dyDescent="0.2">
      <c r="E2095" s="34"/>
    </row>
    <row r="2096" spans="5:5" x14ac:dyDescent="0.2">
      <c r="E2096" s="34"/>
    </row>
    <row r="2097" spans="5:5" x14ac:dyDescent="0.2">
      <c r="E2097" s="34"/>
    </row>
    <row r="2098" spans="5:5" x14ac:dyDescent="0.2">
      <c r="E2098" s="34"/>
    </row>
    <row r="2099" spans="5:5" x14ac:dyDescent="0.2">
      <c r="E2099" s="34"/>
    </row>
    <row r="2100" spans="5:5" x14ac:dyDescent="0.2">
      <c r="E2100" s="34"/>
    </row>
    <row r="2101" spans="5:5" x14ac:dyDescent="0.2">
      <c r="E2101" s="34"/>
    </row>
    <row r="2102" spans="5:5" x14ac:dyDescent="0.2">
      <c r="E2102" s="34"/>
    </row>
    <row r="2103" spans="5:5" x14ac:dyDescent="0.2">
      <c r="E2103" s="34"/>
    </row>
    <row r="2104" spans="5:5" x14ac:dyDescent="0.2">
      <c r="E2104" s="34"/>
    </row>
    <row r="2105" spans="5:5" x14ac:dyDescent="0.2">
      <c r="E2105" s="34"/>
    </row>
    <row r="2106" spans="5:5" x14ac:dyDescent="0.2">
      <c r="E2106" s="34"/>
    </row>
    <row r="2107" spans="5:5" x14ac:dyDescent="0.2">
      <c r="E2107" s="34"/>
    </row>
    <row r="2108" spans="5:5" x14ac:dyDescent="0.2">
      <c r="E2108" s="34"/>
    </row>
    <row r="2109" spans="5:5" x14ac:dyDescent="0.2">
      <c r="E2109" s="34"/>
    </row>
    <row r="2110" spans="5:5" x14ac:dyDescent="0.2">
      <c r="E2110" s="34"/>
    </row>
    <row r="2111" spans="5:5" x14ac:dyDescent="0.2">
      <c r="E2111" s="34"/>
    </row>
    <row r="2112" spans="5:5" x14ac:dyDescent="0.2">
      <c r="E2112" s="34"/>
    </row>
    <row r="2113" spans="5:5" x14ac:dyDescent="0.2">
      <c r="E2113" s="34"/>
    </row>
    <row r="2114" spans="5:5" x14ac:dyDescent="0.2">
      <c r="E2114" s="34"/>
    </row>
    <row r="2115" spans="5:5" x14ac:dyDescent="0.2">
      <c r="E2115" s="34"/>
    </row>
    <row r="2116" spans="5:5" x14ac:dyDescent="0.2">
      <c r="E2116" s="34"/>
    </row>
    <row r="2117" spans="5:5" x14ac:dyDescent="0.2">
      <c r="E2117" s="34"/>
    </row>
    <row r="2118" spans="5:5" x14ac:dyDescent="0.2">
      <c r="E2118" s="34"/>
    </row>
    <row r="2119" spans="5:5" x14ac:dyDescent="0.2">
      <c r="E2119" s="34"/>
    </row>
    <row r="2120" spans="5:5" x14ac:dyDescent="0.2">
      <c r="E2120" s="34"/>
    </row>
    <row r="2121" spans="5:5" x14ac:dyDescent="0.2">
      <c r="E2121" s="34"/>
    </row>
    <row r="2122" spans="5:5" x14ac:dyDescent="0.2">
      <c r="E2122" s="34"/>
    </row>
    <row r="2123" spans="5:5" x14ac:dyDescent="0.2">
      <c r="E2123" s="34"/>
    </row>
    <row r="2124" spans="5:5" x14ac:dyDescent="0.2">
      <c r="E2124" s="34"/>
    </row>
    <row r="2125" spans="5:5" x14ac:dyDescent="0.2">
      <c r="E2125" s="34"/>
    </row>
    <row r="2126" spans="5:5" x14ac:dyDescent="0.2">
      <c r="E2126" s="34"/>
    </row>
    <row r="2127" spans="5:5" x14ac:dyDescent="0.2">
      <c r="E2127" s="34"/>
    </row>
    <row r="2128" spans="5:5" x14ac:dyDescent="0.2">
      <c r="E2128" s="34"/>
    </row>
    <row r="2129" spans="5:5" x14ac:dyDescent="0.2">
      <c r="E2129" s="34"/>
    </row>
    <row r="2130" spans="5:5" x14ac:dyDescent="0.2">
      <c r="E2130" s="34"/>
    </row>
    <row r="2131" spans="5:5" x14ac:dyDescent="0.2">
      <c r="E2131" s="34"/>
    </row>
    <row r="2132" spans="5:5" x14ac:dyDescent="0.2">
      <c r="E2132" s="34"/>
    </row>
    <row r="2133" spans="5:5" x14ac:dyDescent="0.2">
      <c r="E2133" s="34"/>
    </row>
    <row r="2134" spans="5:5" x14ac:dyDescent="0.2">
      <c r="E2134" s="34"/>
    </row>
    <row r="2135" spans="5:5" x14ac:dyDescent="0.2">
      <c r="E2135" s="34"/>
    </row>
    <row r="2136" spans="5:5" x14ac:dyDescent="0.2">
      <c r="E2136" s="34"/>
    </row>
    <row r="2137" spans="5:5" x14ac:dyDescent="0.2">
      <c r="E2137" s="34"/>
    </row>
    <row r="2138" spans="5:5" x14ac:dyDescent="0.2">
      <c r="E2138" s="34"/>
    </row>
    <row r="2139" spans="5:5" x14ac:dyDescent="0.2">
      <c r="E2139" s="34"/>
    </row>
    <row r="2140" spans="5:5" x14ac:dyDescent="0.2">
      <c r="E2140" s="34"/>
    </row>
    <row r="2141" spans="5:5" x14ac:dyDescent="0.2">
      <c r="E2141" s="34"/>
    </row>
    <row r="2142" spans="5:5" x14ac:dyDescent="0.2">
      <c r="E2142" s="34"/>
    </row>
    <row r="2143" spans="5:5" x14ac:dyDescent="0.2">
      <c r="E2143" s="34"/>
    </row>
    <row r="2144" spans="5:5" x14ac:dyDescent="0.2">
      <c r="E2144" s="34"/>
    </row>
    <row r="2145" spans="5:5" x14ac:dyDescent="0.2">
      <c r="E2145" s="34"/>
    </row>
    <row r="2146" spans="5:5" x14ac:dyDescent="0.2">
      <c r="E2146" s="34"/>
    </row>
    <row r="2147" spans="5:5" x14ac:dyDescent="0.2">
      <c r="E2147" s="34"/>
    </row>
    <row r="2148" spans="5:5" x14ac:dyDescent="0.2">
      <c r="E2148" s="34"/>
    </row>
    <row r="2149" spans="5:5" x14ac:dyDescent="0.2">
      <c r="E2149" s="34"/>
    </row>
    <row r="2150" spans="5:5" x14ac:dyDescent="0.2">
      <c r="E2150" s="34"/>
    </row>
    <row r="2151" spans="5:5" x14ac:dyDescent="0.2">
      <c r="E2151" s="34"/>
    </row>
    <row r="2152" spans="5:5" x14ac:dyDescent="0.2">
      <c r="E2152" s="34"/>
    </row>
    <row r="2153" spans="5:5" x14ac:dyDescent="0.2">
      <c r="E2153" s="34"/>
    </row>
    <row r="2154" spans="5:5" x14ac:dyDescent="0.2">
      <c r="E2154" s="34"/>
    </row>
    <row r="2155" spans="5:5" x14ac:dyDescent="0.2">
      <c r="E2155" s="34"/>
    </row>
    <row r="2156" spans="5:5" x14ac:dyDescent="0.2">
      <c r="E2156" s="34"/>
    </row>
    <row r="2157" spans="5:5" x14ac:dyDescent="0.2">
      <c r="E2157" s="34"/>
    </row>
    <row r="2158" spans="5:5" x14ac:dyDescent="0.2">
      <c r="E2158" s="34"/>
    </row>
    <row r="2159" spans="5:5" x14ac:dyDescent="0.2">
      <c r="E2159" s="34"/>
    </row>
    <row r="2160" spans="5:5" x14ac:dyDescent="0.2">
      <c r="E2160" s="34"/>
    </row>
    <row r="2161" spans="5:5" x14ac:dyDescent="0.2">
      <c r="E2161" s="34"/>
    </row>
    <row r="2162" spans="5:5" x14ac:dyDescent="0.2">
      <c r="E2162" s="34"/>
    </row>
    <row r="2163" spans="5:5" x14ac:dyDescent="0.2">
      <c r="E2163" s="34"/>
    </row>
    <row r="2164" spans="5:5" x14ac:dyDescent="0.2">
      <c r="E2164" s="34"/>
    </row>
    <row r="2165" spans="5:5" x14ac:dyDescent="0.2">
      <c r="E2165" s="34"/>
    </row>
    <row r="2166" spans="5:5" x14ac:dyDescent="0.2">
      <c r="E2166" s="34"/>
    </row>
    <row r="2167" spans="5:5" x14ac:dyDescent="0.2">
      <c r="E2167" s="34"/>
    </row>
    <row r="2168" spans="5:5" x14ac:dyDescent="0.2">
      <c r="E2168" s="34"/>
    </row>
    <row r="2169" spans="5:5" x14ac:dyDescent="0.2">
      <c r="E2169" s="34"/>
    </row>
    <row r="2170" spans="5:5" x14ac:dyDescent="0.2">
      <c r="E2170" s="34"/>
    </row>
    <row r="2171" spans="5:5" x14ac:dyDescent="0.2">
      <c r="E2171" s="34"/>
    </row>
    <row r="2172" spans="5:5" x14ac:dyDescent="0.2">
      <c r="E2172" s="34"/>
    </row>
    <row r="2173" spans="5:5" x14ac:dyDescent="0.2">
      <c r="E2173" s="34"/>
    </row>
    <row r="2174" spans="5:5" x14ac:dyDescent="0.2">
      <c r="E2174" s="34"/>
    </row>
    <row r="2175" spans="5:5" x14ac:dyDescent="0.2">
      <c r="E2175" s="34"/>
    </row>
    <row r="2176" spans="5:5" x14ac:dyDescent="0.2">
      <c r="E2176" s="34"/>
    </row>
    <row r="2177" spans="5:5" x14ac:dyDescent="0.2">
      <c r="E2177" s="34"/>
    </row>
    <row r="2178" spans="5:5" x14ac:dyDescent="0.2">
      <c r="E2178" s="34"/>
    </row>
    <row r="2179" spans="5:5" x14ac:dyDescent="0.2">
      <c r="E2179" s="34"/>
    </row>
    <row r="2180" spans="5:5" x14ac:dyDescent="0.2">
      <c r="E2180" s="34"/>
    </row>
    <row r="2181" spans="5:5" x14ac:dyDescent="0.2">
      <c r="E2181" s="34"/>
    </row>
    <row r="2182" spans="5:5" x14ac:dyDescent="0.2">
      <c r="E2182" s="34"/>
    </row>
    <row r="2183" spans="5:5" x14ac:dyDescent="0.2">
      <c r="E2183" s="34"/>
    </row>
    <row r="2184" spans="5:5" x14ac:dyDescent="0.2">
      <c r="E2184" s="34"/>
    </row>
    <row r="2185" spans="5:5" x14ac:dyDescent="0.2">
      <c r="E2185" s="34"/>
    </row>
    <row r="2186" spans="5:5" x14ac:dyDescent="0.2">
      <c r="E2186" s="34"/>
    </row>
    <row r="2187" spans="5:5" x14ac:dyDescent="0.2">
      <c r="E2187" s="34"/>
    </row>
    <row r="2188" spans="5:5" x14ac:dyDescent="0.2">
      <c r="E2188" s="34"/>
    </row>
    <row r="2189" spans="5:5" x14ac:dyDescent="0.2">
      <c r="E2189" s="34"/>
    </row>
    <row r="2190" spans="5:5" x14ac:dyDescent="0.2">
      <c r="E2190" s="34"/>
    </row>
    <row r="2191" spans="5:5" x14ac:dyDescent="0.2">
      <c r="E2191" s="34"/>
    </row>
    <row r="2192" spans="5:5" x14ac:dyDescent="0.2">
      <c r="E2192" s="34"/>
    </row>
    <row r="2193" spans="5:5" x14ac:dyDescent="0.2">
      <c r="E2193" s="34"/>
    </row>
    <row r="2194" spans="5:5" x14ac:dyDescent="0.2">
      <c r="E2194" s="34"/>
    </row>
    <row r="2195" spans="5:5" x14ac:dyDescent="0.2">
      <c r="E2195" s="34"/>
    </row>
    <row r="2196" spans="5:5" x14ac:dyDescent="0.2">
      <c r="E2196" s="34"/>
    </row>
    <row r="2197" spans="5:5" x14ac:dyDescent="0.2">
      <c r="E2197" s="34"/>
    </row>
    <row r="2198" spans="5:5" x14ac:dyDescent="0.2">
      <c r="E2198" s="34"/>
    </row>
    <row r="2199" spans="5:5" x14ac:dyDescent="0.2">
      <c r="E2199" s="34"/>
    </row>
    <row r="2200" spans="5:5" x14ac:dyDescent="0.2">
      <c r="E2200" s="34"/>
    </row>
    <row r="2201" spans="5:5" x14ac:dyDescent="0.2">
      <c r="E2201" s="34"/>
    </row>
    <row r="2202" spans="5:5" x14ac:dyDescent="0.2">
      <c r="E2202" s="34"/>
    </row>
    <row r="2203" spans="5:5" x14ac:dyDescent="0.2">
      <c r="E2203" s="34"/>
    </row>
    <row r="2204" spans="5:5" x14ac:dyDescent="0.2">
      <c r="E2204" s="34"/>
    </row>
    <row r="2205" spans="5:5" x14ac:dyDescent="0.2">
      <c r="E2205" s="34"/>
    </row>
    <row r="2206" spans="5:5" x14ac:dyDescent="0.2">
      <c r="E2206" s="34"/>
    </row>
    <row r="2207" spans="5:5" x14ac:dyDescent="0.2">
      <c r="E2207" s="34"/>
    </row>
    <row r="2208" spans="5:5" x14ac:dyDescent="0.2">
      <c r="E2208" s="34"/>
    </row>
    <row r="2209" spans="5:5" x14ac:dyDescent="0.2">
      <c r="E2209" s="34"/>
    </row>
    <row r="2210" spans="5:5" x14ac:dyDescent="0.2">
      <c r="E2210" s="34"/>
    </row>
    <row r="2211" spans="5:5" x14ac:dyDescent="0.2">
      <c r="E2211" s="34"/>
    </row>
    <row r="2212" spans="5:5" x14ac:dyDescent="0.2">
      <c r="E2212" s="34"/>
    </row>
    <row r="2213" spans="5:5" x14ac:dyDescent="0.2">
      <c r="E2213" s="34"/>
    </row>
    <row r="2214" spans="5:5" x14ac:dyDescent="0.2">
      <c r="E2214" s="34"/>
    </row>
    <row r="2215" spans="5:5" x14ac:dyDescent="0.2">
      <c r="E2215" s="34"/>
    </row>
    <row r="2216" spans="5:5" x14ac:dyDescent="0.2">
      <c r="E2216" s="34"/>
    </row>
    <row r="2217" spans="5:5" x14ac:dyDescent="0.2">
      <c r="E2217" s="34"/>
    </row>
    <row r="2218" spans="5:5" x14ac:dyDescent="0.2">
      <c r="E2218" s="34"/>
    </row>
    <row r="2219" spans="5:5" x14ac:dyDescent="0.2">
      <c r="E2219" s="34"/>
    </row>
    <row r="2220" spans="5:5" x14ac:dyDescent="0.2">
      <c r="E2220" s="34"/>
    </row>
    <row r="2221" spans="5:5" x14ac:dyDescent="0.2">
      <c r="E2221" s="34"/>
    </row>
    <row r="2222" spans="5:5" x14ac:dyDescent="0.2">
      <c r="E2222" s="34"/>
    </row>
    <row r="2223" spans="5:5" x14ac:dyDescent="0.2">
      <c r="E2223" s="34"/>
    </row>
    <row r="2224" spans="5:5" x14ac:dyDescent="0.2">
      <c r="E2224" s="34"/>
    </row>
    <row r="2225" spans="5:5" x14ac:dyDescent="0.2">
      <c r="E2225" s="34"/>
    </row>
    <row r="2226" spans="5:5" x14ac:dyDescent="0.2">
      <c r="E2226" s="34"/>
    </row>
    <row r="2227" spans="5:5" x14ac:dyDescent="0.2">
      <c r="E2227" s="34"/>
    </row>
    <row r="2228" spans="5:5" x14ac:dyDescent="0.2">
      <c r="E2228" s="34"/>
    </row>
    <row r="2229" spans="5:5" x14ac:dyDescent="0.2">
      <c r="E2229" s="34"/>
    </row>
    <row r="2230" spans="5:5" x14ac:dyDescent="0.2">
      <c r="E2230" s="34"/>
    </row>
    <row r="2231" spans="5:5" x14ac:dyDescent="0.2">
      <c r="E2231" s="34"/>
    </row>
    <row r="2232" spans="5:5" x14ac:dyDescent="0.2">
      <c r="E2232" s="34"/>
    </row>
    <row r="2233" spans="5:5" x14ac:dyDescent="0.2">
      <c r="E2233" s="34"/>
    </row>
    <row r="2234" spans="5:5" x14ac:dyDescent="0.2">
      <c r="E2234" s="34"/>
    </row>
    <row r="2235" spans="5:5" x14ac:dyDescent="0.2">
      <c r="E2235" s="34"/>
    </row>
    <row r="2236" spans="5:5" x14ac:dyDescent="0.2">
      <c r="E2236" s="34"/>
    </row>
    <row r="2237" spans="5:5" x14ac:dyDescent="0.2">
      <c r="E2237" s="34"/>
    </row>
    <row r="2238" spans="5:5" x14ac:dyDescent="0.2">
      <c r="E2238" s="34"/>
    </row>
    <row r="2239" spans="5:5" x14ac:dyDescent="0.2">
      <c r="E2239" s="34"/>
    </row>
    <row r="2240" spans="5:5" x14ac:dyDescent="0.2">
      <c r="E2240" s="34"/>
    </row>
    <row r="2241" spans="5:5" x14ac:dyDescent="0.2">
      <c r="E2241" s="34"/>
    </row>
    <row r="2242" spans="5:5" x14ac:dyDescent="0.2">
      <c r="E2242" s="34"/>
    </row>
    <row r="2243" spans="5:5" x14ac:dyDescent="0.2">
      <c r="E2243" s="34"/>
    </row>
    <row r="2244" spans="5:5" x14ac:dyDescent="0.2">
      <c r="E2244" s="34"/>
    </row>
    <row r="2245" spans="5:5" x14ac:dyDescent="0.2">
      <c r="E2245" s="34"/>
    </row>
    <row r="2246" spans="5:5" x14ac:dyDescent="0.2">
      <c r="E2246" s="34"/>
    </row>
    <row r="2247" spans="5:5" x14ac:dyDescent="0.2">
      <c r="E2247" s="34"/>
    </row>
    <row r="2248" spans="5:5" x14ac:dyDescent="0.2">
      <c r="E2248" s="34"/>
    </row>
    <row r="2249" spans="5:5" x14ac:dyDescent="0.2">
      <c r="E2249" s="34"/>
    </row>
    <row r="2250" spans="5:5" x14ac:dyDescent="0.2">
      <c r="E2250" s="34"/>
    </row>
    <row r="2251" spans="5:5" x14ac:dyDescent="0.2">
      <c r="E2251" s="34"/>
    </row>
    <row r="2252" spans="5:5" x14ac:dyDescent="0.2">
      <c r="E2252" s="34"/>
    </row>
    <row r="2253" spans="5:5" x14ac:dyDescent="0.2">
      <c r="E2253" s="34"/>
    </row>
    <row r="2254" spans="5:5" x14ac:dyDescent="0.2">
      <c r="E2254" s="34"/>
    </row>
    <row r="2255" spans="5:5" x14ac:dyDescent="0.2">
      <c r="E2255" s="34"/>
    </row>
    <row r="2256" spans="5:5" x14ac:dyDescent="0.2">
      <c r="E2256" s="34"/>
    </row>
    <row r="2257" spans="5:5" x14ac:dyDescent="0.2">
      <c r="E2257" s="34"/>
    </row>
    <row r="2258" spans="5:5" x14ac:dyDescent="0.2">
      <c r="E2258" s="34"/>
    </row>
    <row r="2259" spans="5:5" x14ac:dyDescent="0.2">
      <c r="E2259" s="34"/>
    </row>
    <row r="2260" spans="5:5" x14ac:dyDescent="0.2">
      <c r="E2260" s="34"/>
    </row>
    <row r="2261" spans="5:5" x14ac:dyDescent="0.2">
      <c r="E2261" s="34"/>
    </row>
    <row r="2262" spans="5:5" x14ac:dyDescent="0.2">
      <c r="E2262" s="34"/>
    </row>
    <row r="2263" spans="5:5" x14ac:dyDescent="0.2">
      <c r="E2263" s="34"/>
    </row>
    <row r="2264" spans="5:5" x14ac:dyDescent="0.2">
      <c r="E2264" s="34"/>
    </row>
    <row r="2265" spans="5:5" x14ac:dyDescent="0.2">
      <c r="E2265" s="34"/>
    </row>
    <row r="2266" spans="5:5" x14ac:dyDescent="0.2">
      <c r="E2266" s="34"/>
    </row>
    <row r="2267" spans="5:5" x14ac:dyDescent="0.2">
      <c r="E2267" s="34"/>
    </row>
    <row r="2268" spans="5:5" x14ac:dyDescent="0.2">
      <c r="E2268" s="34"/>
    </row>
    <row r="2269" spans="5:5" x14ac:dyDescent="0.2">
      <c r="E2269" s="34"/>
    </row>
    <row r="2270" spans="5:5" x14ac:dyDescent="0.2">
      <c r="E2270" s="34"/>
    </row>
    <row r="2271" spans="5:5" x14ac:dyDescent="0.2">
      <c r="E2271" s="34"/>
    </row>
    <row r="2272" spans="5:5" x14ac:dyDescent="0.2">
      <c r="E2272" s="34"/>
    </row>
    <row r="2273" spans="5:5" x14ac:dyDescent="0.2">
      <c r="E2273" s="34"/>
    </row>
    <row r="2274" spans="5:5" x14ac:dyDescent="0.2">
      <c r="E2274" s="34"/>
    </row>
    <row r="2275" spans="5:5" x14ac:dyDescent="0.2">
      <c r="E2275" s="34"/>
    </row>
    <row r="2276" spans="5:5" x14ac:dyDescent="0.2">
      <c r="E2276" s="34"/>
    </row>
    <row r="2277" spans="5:5" x14ac:dyDescent="0.2">
      <c r="E2277" s="34"/>
    </row>
    <row r="2278" spans="5:5" x14ac:dyDescent="0.2">
      <c r="E2278" s="34"/>
    </row>
    <row r="2279" spans="5:5" x14ac:dyDescent="0.2">
      <c r="E2279" s="34"/>
    </row>
    <row r="2280" spans="5:5" x14ac:dyDescent="0.2">
      <c r="E2280" s="34"/>
    </row>
    <row r="2281" spans="5:5" x14ac:dyDescent="0.2">
      <c r="E2281" s="34"/>
    </row>
    <row r="2282" spans="5:5" x14ac:dyDescent="0.2">
      <c r="E2282" s="34"/>
    </row>
    <row r="2283" spans="5:5" x14ac:dyDescent="0.2">
      <c r="E2283" s="34"/>
    </row>
    <row r="2284" spans="5:5" x14ac:dyDescent="0.2">
      <c r="E2284" s="34"/>
    </row>
    <row r="2285" spans="5:5" x14ac:dyDescent="0.2">
      <c r="E2285" s="34"/>
    </row>
    <row r="2286" spans="5:5" x14ac:dyDescent="0.2">
      <c r="E2286" s="34"/>
    </row>
    <row r="2287" spans="5:5" x14ac:dyDescent="0.2">
      <c r="E2287" s="34"/>
    </row>
    <row r="2288" spans="5:5" x14ac:dyDescent="0.2">
      <c r="E2288" s="34"/>
    </row>
    <row r="2289" spans="5:5" x14ac:dyDescent="0.2">
      <c r="E2289" s="34"/>
    </row>
    <row r="2290" spans="5:5" x14ac:dyDescent="0.2">
      <c r="E2290" s="34"/>
    </row>
    <row r="2291" spans="5:5" x14ac:dyDescent="0.2">
      <c r="E2291" s="34"/>
    </row>
    <row r="2292" spans="5:5" x14ac:dyDescent="0.2">
      <c r="E2292" s="34"/>
    </row>
    <row r="2293" spans="5:5" x14ac:dyDescent="0.2">
      <c r="E2293" s="34"/>
    </row>
    <row r="2294" spans="5:5" x14ac:dyDescent="0.2">
      <c r="E2294" s="34"/>
    </row>
    <row r="2295" spans="5:5" x14ac:dyDescent="0.2">
      <c r="E2295" s="34"/>
    </row>
    <row r="2296" spans="5:5" x14ac:dyDescent="0.2">
      <c r="E2296" s="34"/>
    </row>
    <row r="2297" spans="5:5" x14ac:dyDescent="0.2">
      <c r="E2297" s="34"/>
    </row>
    <row r="2298" spans="5:5" x14ac:dyDescent="0.2">
      <c r="E2298" s="34"/>
    </row>
    <row r="2299" spans="5:5" x14ac:dyDescent="0.2">
      <c r="E2299" s="34"/>
    </row>
    <row r="2300" spans="5:5" x14ac:dyDescent="0.2">
      <c r="E2300" s="34"/>
    </row>
    <row r="2301" spans="5:5" x14ac:dyDescent="0.2">
      <c r="E2301" s="34"/>
    </row>
    <row r="2302" spans="5:5" x14ac:dyDescent="0.2">
      <c r="E2302" s="34"/>
    </row>
    <row r="2303" spans="5:5" x14ac:dyDescent="0.2">
      <c r="E2303" s="34"/>
    </row>
    <row r="2304" spans="5:5" x14ac:dyDescent="0.2">
      <c r="E2304" s="34"/>
    </row>
    <row r="2305" spans="5:5" x14ac:dyDescent="0.2">
      <c r="E2305" s="34"/>
    </row>
    <row r="2306" spans="5:5" x14ac:dyDescent="0.2">
      <c r="E2306" s="34"/>
    </row>
    <row r="2307" spans="5:5" x14ac:dyDescent="0.2">
      <c r="E2307" s="34"/>
    </row>
    <row r="2308" spans="5:5" x14ac:dyDescent="0.2">
      <c r="E2308" s="34"/>
    </row>
    <row r="2309" spans="5:5" x14ac:dyDescent="0.2">
      <c r="E2309" s="34"/>
    </row>
    <row r="2310" spans="5:5" x14ac:dyDescent="0.2">
      <c r="E2310" s="34"/>
    </row>
    <row r="2311" spans="5:5" x14ac:dyDescent="0.2">
      <c r="E2311" s="34"/>
    </row>
    <row r="2312" spans="5:5" x14ac:dyDescent="0.2">
      <c r="E2312" s="34"/>
    </row>
    <row r="2313" spans="5:5" x14ac:dyDescent="0.2">
      <c r="E2313" s="34"/>
    </row>
    <row r="2314" spans="5:5" x14ac:dyDescent="0.2">
      <c r="E2314" s="34"/>
    </row>
    <row r="2315" spans="5:5" x14ac:dyDescent="0.2">
      <c r="E2315" s="34"/>
    </row>
    <row r="2316" spans="5:5" x14ac:dyDescent="0.2">
      <c r="E2316" s="34"/>
    </row>
    <row r="2317" spans="5:5" x14ac:dyDescent="0.2">
      <c r="E2317" s="34"/>
    </row>
    <row r="2318" spans="5:5" x14ac:dyDescent="0.2">
      <c r="E2318" s="34"/>
    </row>
    <row r="2319" spans="5:5" x14ac:dyDescent="0.2">
      <c r="E2319" s="34"/>
    </row>
    <row r="2320" spans="5:5" x14ac:dyDescent="0.2">
      <c r="E2320" s="34"/>
    </row>
    <row r="2321" spans="5:5" x14ac:dyDescent="0.2">
      <c r="E2321" s="34"/>
    </row>
    <row r="2322" spans="5:5" x14ac:dyDescent="0.2">
      <c r="E2322" s="34"/>
    </row>
    <row r="2323" spans="5:5" x14ac:dyDescent="0.2">
      <c r="E2323" s="34"/>
    </row>
    <row r="2324" spans="5:5" x14ac:dyDescent="0.2">
      <c r="E2324" s="34"/>
    </row>
    <row r="2325" spans="5:5" x14ac:dyDescent="0.2">
      <c r="E2325" s="34"/>
    </row>
    <row r="2326" spans="5:5" x14ac:dyDescent="0.2">
      <c r="E2326" s="34"/>
    </row>
    <row r="2327" spans="5:5" x14ac:dyDescent="0.2">
      <c r="E2327" s="34"/>
    </row>
    <row r="2328" spans="5:5" x14ac:dyDescent="0.2">
      <c r="E2328" s="34"/>
    </row>
    <row r="2329" spans="5:5" x14ac:dyDescent="0.2">
      <c r="E2329" s="34"/>
    </row>
    <row r="2330" spans="5:5" x14ac:dyDescent="0.2">
      <c r="E2330" s="34"/>
    </row>
    <row r="2331" spans="5:5" x14ac:dyDescent="0.2">
      <c r="E2331" s="34"/>
    </row>
    <row r="2332" spans="5:5" x14ac:dyDescent="0.2">
      <c r="E2332" s="34"/>
    </row>
    <row r="2333" spans="5:5" x14ac:dyDescent="0.2">
      <c r="E2333" s="34"/>
    </row>
    <row r="2334" spans="5:5" x14ac:dyDescent="0.2">
      <c r="E2334" s="34"/>
    </row>
    <row r="2335" spans="5:5" x14ac:dyDescent="0.2">
      <c r="E2335" s="34"/>
    </row>
    <row r="2336" spans="5:5" x14ac:dyDescent="0.2">
      <c r="E2336" s="34"/>
    </row>
    <row r="2337" spans="5:5" x14ac:dyDescent="0.2">
      <c r="E2337" s="34"/>
    </row>
    <row r="2338" spans="5:5" x14ac:dyDescent="0.2">
      <c r="E2338" s="34"/>
    </row>
    <row r="2339" spans="5:5" x14ac:dyDescent="0.2">
      <c r="E2339" s="34"/>
    </row>
    <row r="2340" spans="5:5" x14ac:dyDescent="0.2">
      <c r="E2340" s="34"/>
    </row>
    <row r="2341" spans="5:5" x14ac:dyDescent="0.2">
      <c r="E2341" s="34"/>
    </row>
    <row r="2342" spans="5:5" x14ac:dyDescent="0.2">
      <c r="E2342" s="34"/>
    </row>
    <row r="2343" spans="5:5" x14ac:dyDescent="0.2">
      <c r="E2343" s="34"/>
    </row>
    <row r="2344" spans="5:5" x14ac:dyDescent="0.2">
      <c r="E2344" s="34"/>
    </row>
    <row r="2345" spans="5:5" x14ac:dyDescent="0.2">
      <c r="E2345" s="34"/>
    </row>
    <row r="2346" spans="5:5" x14ac:dyDescent="0.2">
      <c r="E2346" s="34"/>
    </row>
    <row r="2347" spans="5:5" x14ac:dyDescent="0.2">
      <c r="E2347" s="34"/>
    </row>
    <row r="2348" spans="5:5" x14ac:dyDescent="0.2">
      <c r="E2348" s="34"/>
    </row>
    <row r="2349" spans="5:5" x14ac:dyDescent="0.2">
      <c r="E2349" s="34"/>
    </row>
    <row r="2350" spans="5:5" x14ac:dyDescent="0.2">
      <c r="E2350" s="34"/>
    </row>
    <row r="2351" spans="5:5" x14ac:dyDescent="0.2">
      <c r="E2351" s="34"/>
    </row>
    <row r="2352" spans="5:5" x14ac:dyDescent="0.2">
      <c r="E2352" s="34"/>
    </row>
    <row r="2353" spans="5:5" x14ac:dyDescent="0.2">
      <c r="E2353" s="34"/>
    </row>
    <row r="2354" spans="5:5" x14ac:dyDescent="0.2">
      <c r="E2354" s="34"/>
    </row>
    <row r="2355" spans="5:5" x14ac:dyDescent="0.2">
      <c r="E2355" s="34"/>
    </row>
    <row r="2356" spans="5:5" x14ac:dyDescent="0.2">
      <c r="E2356" s="34"/>
    </row>
    <row r="2357" spans="5:5" x14ac:dyDescent="0.2">
      <c r="E2357" s="34"/>
    </row>
    <row r="2358" spans="5:5" x14ac:dyDescent="0.2">
      <c r="E2358" s="34"/>
    </row>
    <row r="2359" spans="5:5" x14ac:dyDescent="0.2">
      <c r="E2359" s="34"/>
    </row>
    <row r="2360" spans="5:5" x14ac:dyDescent="0.2">
      <c r="E2360" s="34"/>
    </row>
    <row r="2361" spans="5:5" x14ac:dyDescent="0.2">
      <c r="E2361" s="34"/>
    </row>
    <row r="2362" spans="5:5" x14ac:dyDescent="0.2">
      <c r="E2362" s="34"/>
    </row>
    <row r="2363" spans="5:5" x14ac:dyDescent="0.2">
      <c r="E2363" s="34"/>
    </row>
    <row r="2364" spans="5:5" x14ac:dyDescent="0.2">
      <c r="E2364" s="34"/>
    </row>
    <row r="2365" spans="5:5" x14ac:dyDescent="0.2">
      <c r="E2365" s="34"/>
    </row>
    <row r="2366" spans="5:5" x14ac:dyDescent="0.2">
      <c r="E2366" s="34"/>
    </row>
    <row r="2367" spans="5:5" x14ac:dyDescent="0.2">
      <c r="E2367" s="34"/>
    </row>
    <row r="2368" spans="5:5" x14ac:dyDescent="0.2">
      <c r="E2368" s="34"/>
    </row>
    <row r="2369" spans="5:5" x14ac:dyDescent="0.2">
      <c r="E2369" s="34"/>
    </row>
    <row r="2370" spans="5:5" x14ac:dyDescent="0.2">
      <c r="E2370" s="34"/>
    </row>
    <row r="2371" spans="5:5" x14ac:dyDescent="0.2">
      <c r="E2371" s="34"/>
    </row>
    <row r="2372" spans="5:5" x14ac:dyDescent="0.2">
      <c r="E2372" s="34"/>
    </row>
    <row r="2373" spans="5:5" x14ac:dyDescent="0.2">
      <c r="E2373" s="34"/>
    </row>
    <row r="2374" spans="5:5" x14ac:dyDescent="0.2">
      <c r="E2374" s="34"/>
    </row>
    <row r="2375" spans="5:5" x14ac:dyDescent="0.2">
      <c r="E2375" s="34"/>
    </row>
    <row r="2376" spans="5:5" x14ac:dyDescent="0.2">
      <c r="E2376" s="34"/>
    </row>
    <row r="2377" spans="5:5" x14ac:dyDescent="0.2">
      <c r="E2377" s="34"/>
    </row>
    <row r="2378" spans="5:5" x14ac:dyDescent="0.2">
      <c r="E2378" s="34"/>
    </row>
    <row r="2379" spans="5:5" x14ac:dyDescent="0.2">
      <c r="E2379" s="34"/>
    </row>
    <row r="2380" spans="5:5" x14ac:dyDescent="0.2">
      <c r="E2380" s="34"/>
    </row>
    <row r="2381" spans="5:5" x14ac:dyDescent="0.2">
      <c r="E2381" s="34"/>
    </row>
    <row r="2382" spans="5:5" x14ac:dyDescent="0.2">
      <c r="E2382" s="34"/>
    </row>
    <row r="2383" spans="5:5" x14ac:dyDescent="0.2">
      <c r="E2383" s="34"/>
    </row>
    <row r="2384" spans="5:5" x14ac:dyDescent="0.2">
      <c r="E2384" s="34"/>
    </row>
    <row r="2385" spans="5:5" x14ac:dyDescent="0.2">
      <c r="E2385" s="34"/>
    </row>
    <row r="2386" spans="5:5" x14ac:dyDescent="0.2">
      <c r="E2386" s="34"/>
    </row>
    <row r="2387" spans="5:5" x14ac:dyDescent="0.2">
      <c r="E2387" s="34"/>
    </row>
    <row r="2388" spans="5:5" x14ac:dyDescent="0.2">
      <c r="E2388" s="34"/>
    </row>
    <row r="2389" spans="5:5" x14ac:dyDescent="0.2">
      <c r="E2389" s="34"/>
    </row>
    <row r="2390" spans="5:5" x14ac:dyDescent="0.2">
      <c r="E2390" s="34"/>
    </row>
    <row r="2391" spans="5:5" x14ac:dyDescent="0.2">
      <c r="E2391" s="34"/>
    </row>
    <row r="2392" spans="5:5" x14ac:dyDescent="0.2">
      <c r="E2392" s="34"/>
    </row>
    <row r="2393" spans="5:5" x14ac:dyDescent="0.2">
      <c r="E2393" s="34"/>
    </row>
    <row r="2394" spans="5:5" x14ac:dyDescent="0.2">
      <c r="E2394" s="34"/>
    </row>
    <row r="2395" spans="5:5" x14ac:dyDescent="0.2">
      <c r="E2395" s="34"/>
    </row>
    <row r="2396" spans="5:5" x14ac:dyDescent="0.2">
      <c r="E2396" s="34"/>
    </row>
    <row r="2397" spans="5:5" x14ac:dyDescent="0.2">
      <c r="E2397" s="34"/>
    </row>
    <row r="2398" spans="5:5" x14ac:dyDescent="0.2">
      <c r="E2398" s="34"/>
    </row>
    <row r="2399" spans="5:5" x14ac:dyDescent="0.2">
      <c r="E2399" s="34"/>
    </row>
    <row r="2400" spans="5:5" x14ac:dyDescent="0.2">
      <c r="E2400" s="34"/>
    </row>
    <row r="2401" spans="5:5" x14ac:dyDescent="0.2">
      <c r="E2401" s="34"/>
    </row>
    <row r="2402" spans="5:5" x14ac:dyDescent="0.2">
      <c r="E2402" s="34"/>
    </row>
    <row r="2403" spans="5:5" x14ac:dyDescent="0.2">
      <c r="E2403" s="34"/>
    </row>
    <row r="2404" spans="5:5" x14ac:dyDescent="0.2">
      <c r="E2404" s="34"/>
    </row>
    <row r="2405" spans="5:5" x14ac:dyDescent="0.2">
      <c r="E2405" s="34"/>
    </row>
    <row r="2406" spans="5:5" x14ac:dyDescent="0.2">
      <c r="E2406" s="34"/>
    </row>
    <row r="2407" spans="5:5" x14ac:dyDescent="0.2">
      <c r="E2407" s="34"/>
    </row>
    <row r="2408" spans="5:5" x14ac:dyDescent="0.2">
      <c r="E2408" s="34"/>
    </row>
    <row r="2409" spans="5:5" x14ac:dyDescent="0.2">
      <c r="E2409" s="34"/>
    </row>
    <row r="2410" spans="5:5" x14ac:dyDescent="0.2">
      <c r="E2410" s="34"/>
    </row>
    <row r="2411" spans="5:5" x14ac:dyDescent="0.2">
      <c r="E2411" s="34"/>
    </row>
    <row r="2412" spans="5:5" x14ac:dyDescent="0.2">
      <c r="E2412" s="34"/>
    </row>
    <row r="2413" spans="5:5" x14ac:dyDescent="0.2">
      <c r="E2413" s="34"/>
    </row>
    <row r="2414" spans="5:5" x14ac:dyDescent="0.2">
      <c r="E2414" s="34"/>
    </row>
    <row r="2415" spans="5:5" x14ac:dyDescent="0.2">
      <c r="E2415" s="34"/>
    </row>
    <row r="2416" spans="5:5" x14ac:dyDescent="0.2">
      <c r="E2416" s="34"/>
    </row>
    <row r="2417" spans="5:5" x14ac:dyDescent="0.2">
      <c r="E2417" s="34"/>
    </row>
    <row r="2418" spans="5:5" x14ac:dyDescent="0.2">
      <c r="E2418" s="34"/>
    </row>
    <row r="2419" spans="5:5" x14ac:dyDescent="0.2">
      <c r="E2419" s="34"/>
    </row>
    <row r="2420" spans="5:5" x14ac:dyDescent="0.2">
      <c r="E2420" s="34"/>
    </row>
    <row r="2421" spans="5:5" x14ac:dyDescent="0.2">
      <c r="E2421" s="34"/>
    </row>
    <row r="2422" spans="5:5" x14ac:dyDescent="0.2">
      <c r="E2422" s="34"/>
    </row>
    <row r="2423" spans="5:5" x14ac:dyDescent="0.2">
      <c r="E2423" s="34"/>
    </row>
    <row r="2424" spans="5:5" x14ac:dyDescent="0.2">
      <c r="E2424" s="34"/>
    </row>
    <row r="2425" spans="5:5" x14ac:dyDescent="0.2">
      <c r="E2425" s="34"/>
    </row>
    <row r="2426" spans="5:5" x14ac:dyDescent="0.2">
      <c r="E2426" s="34"/>
    </row>
    <row r="2427" spans="5:5" x14ac:dyDescent="0.2">
      <c r="E2427" s="34"/>
    </row>
    <row r="2428" spans="5:5" x14ac:dyDescent="0.2">
      <c r="E2428" s="34"/>
    </row>
    <row r="2429" spans="5:5" x14ac:dyDescent="0.2">
      <c r="E2429" s="34"/>
    </row>
    <row r="2430" spans="5:5" x14ac:dyDescent="0.2">
      <c r="E2430" s="34"/>
    </row>
    <row r="2431" spans="5:5" x14ac:dyDescent="0.2">
      <c r="E2431" s="34"/>
    </row>
    <row r="2432" spans="5:5" x14ac:dyDescent="0.2">
      <c r="E2432" s="34"/>
    </row>
    <row r="2433" spans="5:5" x14ac:dyDescent="0.2">
      <c r="E2433" s="34"/>
    </row>
    <row r="2434" spans="5:5" x14ac:dyDescent="0.2">
      <c r="E2434" s="34"/>
    </row>
    <row r="2435" spans="5:5" x14ac:dyDescent="0.2">
      <c r="E2435" s="34"/>
    </row>
    <row r="2436" spans="5:5" x14ac:dyDescent="0.2">
      <c r="E2436" s="34"/>
    </row>
    <row r="2437" spans="5:5" x14ac:dyDescent="0.2">
      <c r="E2437" s="34"/>
    </row>
    <row r="2438" spans="5:5" x14ac:dyDescent="0.2">
      <c r="E2438" s="34"/>
    </row>
    <row r="2439" spans="5:5" x14ac:dyDescent="0.2">
      <c r="E2439" s="34"/>
    </row>
    <row r="2440" spans="5:5" x14ac:dyDescent="0.2">
      <c r="E2440" s="34"/>
    </row>
    <row r="2441" spans="5:5" x14ac:dyDescent="0.2">
      <c r="E2441" s="34"/>
    </row>
    <row r="2442" spans="5:5" x14ac:dyDescent="0.2">
      <c r="E2442" s="34"/>
    </row>
    <row r="2443" spans="5:5" x14ac:dyDescent="0.2">
      <c r="E2443" s="34"/>
    </row>
    <row r="2444" spans="5:5" x14ac:dyDescent="0.2">
      <c r="E2444" s="34"/>
    </row>
    <row r="2445" spans="5:5" x14ac:dyDescent="0.2">
      <c r="E2445" s="34"/>
    </row>
    <row r="2446" spans="5:5" x14ac:dyDescent="0.2">
      <c r="E2446" s="34"/>
    </row>
    <row r="2447" spans="5:5" x14ac:dyDescent="0.2">
      <c r="E2447" s="34"/>
    </row>
    <row r="2448" spans="5:5" x14ac:dyDescent="0.2">
      <c r="E2448" s="34"/>
    </row>
    <row r="2449" spans="5:5" x14ac:dyDescent="0.2">
      <c r="E2449" s="34"/>
    </row>
    <row r="2450" spans="5:5" x14ac:dyDescent="0.2">
      <c r="E2450" s="34"/>
    </row>
    <row r="2451" spans="5:5" x14ac:dyDescent="0.2">
      <c r="E2451" s="34"/>
    </row>
    <row r="2452" spans="5:5" x14ac:dyDescent="0.2">
      <c r="E2452" s="34"/>
    </row>
    <row r="2453" spans="5:5" x14ac:dyDescent="0.2">
      <c r="E2453" s="34"/>
    </row>
    <row r="2454" spans="5:5" x14ac:dyDescent="0.2">
      <c r="E2454" s="34"/>
    </row>
    <row r="2455" spans="5:5" x14ac:dyDescent="0.2">
      <c r="E2455" s="34"/>
    </row>
    <row r="2456" spans="5:5" x14ac:dyDescent="0.2">
      <c r="E2456" s="34"/>
    </row>
    <row r="2457" spans="5:5" x14ac:dyDescent="0.2">
      <c r="E2457" s="34"/>
    </row>
    <row r="2458" spans="5:5" x14ac:dyDescent="0.2">
      <c r="E2458" s="34"/>
    </row>
    <row r="2459" spans="5:5" x14ac:dyDescent="0.2">
      <c r="E2459" s="34"/>
    </row>
    <row r="2460" spans="5:5" x14ac:dyDescent="0.2">
      <c r="E2460" s="34"/>
    </row>
    <row r="2461" spans="5:5" x14ac:dyDescent="0.2">
      <c r="E2461" s="34"/>
    </row>
    <row r="2462" spans="5:5" x14ac:dyDescent="0.2">
      <c r="E2462" s="34"/>
    </row>
    <row r="2463" spans="5:5" x14ac:dyDescent="0.2">
      <c r="E2463" s="34"/>
    </row>
    <row r="2464" spans="5:5" x14ac:dyDescent="0.2">
      <c r="E2464" s="34"/>
    </row>
    <row r="2465" spans="5:5" x14ac:dyDescent="0.2">
      <c r="E2465" s="34"/>
    </row>
    <row r="2466" spans="5:5" x14ac:dyDescent="0.2">
      <c r="E2466" s="34"/>
    </row>
    <row r="2467" spans="5:5" x14ac:dyDescent="0.2">
      <c r="E2467" s="34"/>
    </row>
    <row r="2468" spans="5:5" x14ac:dyDescent="0.2">
      <c r="E2468" s="34"/>
    </row>
    <row r="2469" spans="5:5" x14ac:dyDescent="0.2">
      <c r="E2469" s="34"/>
    </row>
    <row r="2470" spans="5:5" x14ac:dyDescent="0.2">
      <c r="E2470" s="34"/>
    </row>
    <row r="2471" spans="5:5" x14ac:dyDescent="0.2">
      <c r="E2471" s="34"/>
    </row>
    <row r="2472" spans="5:5" x14ac:dyDescent="0.2">
      <c r="E2472" s="34"/>
    </row>
    <row r="2473" spans="5:5" x14ac:dyDescent="0.2">
      <c r="E2473" s="34"/>
    </row>
    <row r="2474" spans="5:5" x14ac:dyDescent="0.2">
      <c r="E2474" s="34"/>
    </row>
    <row r="2475" spans="5:5" x14ac:dyDescent="0.2">
      <c r="E2475" s="34"/>
    </row>
    <row r="2476" spans="5:5" x14ac:dyDescent="0.2">
      <c r="E2476" s="34"/>
    </row>
    <row r="2477" spans="5:5" x14ac:dyDescent="0.2">
      <c r="E2477" s="34"/>
    </row>
    <row r="2478" spans="5:5" x14ac:dyDescent="0.2">
      <c r="E2478" s="34"/>
    </row>
    <row r="2479" spans="5:5" x14ac:dyDescent="0.2">
      <c r="E2479" s="34"/>
    </row>
    <row r="2480" spans="5:5" x14ac:dyDescent="0.2">
      <c r="E2480" s="34"/>
    </row>
    <row r="2481" spans="5:5" x14ac:dyDescent="0.2">
      <c r="E2481" s="34"/>
    </row>
    <row r="2482" spans="5:5" x14ac:dyDescent="0.2">
      <c r="E2482" s="34"/>
    </row>
    <row r="2483" spans="5:5" x14ac:dyDescent="0.2">
      <c r="E2483" s="34"/>
    </row>
    <row r="2484" spans="5:5" x14ac:dyDescent="0.2">
      <c r="E2484" s="34"/>
    </row>
    <row r="2485" spans="5:5" x14ac:dyDescent="0.2">
      <c r="E2485" s="34"/>
    </row>
    <row r="2486" spans="5:5" x14ac:dyDescent="0.2">
      <c r="E2486" s="34"/>
    </row>
    <row r="2487" spans="5:5" x14ac:dyDescent="0.2">
      <c r="E2487" s="34"/>
    </row>
    <row r="2488" spans="5:5" x14ac:dyDescent="0.2">
      <c r="E2488" s="34"/>
    </row>
    <row r="2489" spans="5:5" x14ac:dyDescent="0.2">
      <c r="E2489" s="34"/>
    </row>
    <row r="2490" spans="5:5" x14ac:dyDescent="0.2">
      <c r="E2490" s="34"/>
    </row>
    <row r="2491" spans="5:5" x14ac:dyDescent="0.2">
      <c r="E2491" s="34"/>
    </row>
    <row r="2492" spans="5:5" x14ac:dyDescent="0.2">
      <c r="E2492" s="34"/>
    </row>
    <row r="2493" spans="5:5" x14ac:dyDescent="0.2">
      <c r="E2493" s="34"/>
    </row>
    <row r="2494" spans="5:5" x14ac:dyDescent="0.2">
      <c r="E2494" s="34"/>
    </row>
    <row r="2495" spans="5:5" x14ac:dyDescent="0.2">
      <c r="E2495" s="34"/>
    </row>
    <row r="2496" spans="5:5" x14ac:dyDescent="0.2">
      <c r="E2496" s="34"/>
    </row>
    <row r="2497" spans="5:5" x14ac:dyDescent="0.2">
      <c r="E2497" s="34"/>
    </row>
    <row r="2498" spans="5:5" x14ac:dyDescent="0.2">
      <c r="E2498" s="34"/>
    </row>
    <row r="2499" spans="5:5" x14ac:dyDescent="0.2">
      <c r="E2499" s="34"/>
    </row>
    <row r="2500" spans="5:5" x14ac:dyDescent="0.2">
      <c r="E2500" s="34"/>
    </row>
    <row r="2501" spans="5:5" x14ac:dyDescent="0.2">
      <c r="E2501" s="34"/>
    </row>
    <row r="2502" spans="5:5" x14ac:dyDescent="0.2">
      <c r="E2502" s="34"/>
    </row>
    <row r="2503" spans="5:5" x14ac:dyDescent="0.2">
      <c r="E2503" s="34"/>
    </row>
    <row r="2504" spans="5:5" x14ac:dyDescent="0.2">
      <c r="E2504" s="34"/>
    </row>
    <row r="2505" spans="5:5" x14ac:dyDescent="0.2">
      <c r="E2505" s="34"/>
    </row>
    <row r="2506" spans="5:5" x14ac:dyDescent="0.2">
      <c r="E2506" s="34"/>
    </row>
    <row r="2507" spans="5:5" x14ac:dyDescent="0.2">
      <c r="E2507" s="34"/>
    </row>
    <row r="2508" spans="5:5" x14ac:dyDescent="0.2">
      <c r="E2508" s="34"/>
    </row>
    <row r="2509" spans="5:5" x14ac:dyDescent="0.2">
      <c r="E2509" s="34"/>
    </row>
    <row r="2510" spans="5:5" x14ac:dyDescent="0.2">
      <c r="E2510" s="34"/>
    </row>
    <row r="2511" spans="5:5" x14ac:dyDescent="0.2">
      <c r="E2511" s="34"/>
    </row>
    <row r="2512" spans="5:5" x14ac:dyDescent="0.2">
      <c r="E2512" s="34"/>
    </row>
    <row r="2513" spans="5:5" x14ac:dyDescent="0.2">
      <c r="E2513" s="34"/>
    </row>
    <row r="2514" spans="5:5" x14ac:dyDescent="0.2">
      <c r="E2514" s="34"/>
    </row>
    <row r="2515" spans="5:5" x14ac:dyDescent="0.2">
      <c r="E2515" s="34"/>
    </row>
    <row r="2516" spans="5:5" x14ac:dyDescent="0.2">
      <c r="E2516" s="34"/>
    </row>
    <row r="2517" spans="5:5" x14ac:dyDescent="0.2">
      <c r="E2517" s="34"/>
    </row>
    <row r="2518" spans="5:5" x14ac:dyDescent="0.2">
      <c r="E2518" s="34"/>
    </row>
    <row r="2519" spans="5:5" x14ac:dyDescent="0.2">
      <c r="E2519" s="34"/>
    </row>
    <row r="2520" spans="5:5" x14ac:dyDescent="0.2">
      <c r="E2520" s="34"/>
    </row>
    <row r="2521" spans="5:5" x14ac:dyDescent="0.2">
      <c r="E2521" s="34"/>
    </row>
    <row r="2522" spans="5:5" x14ac:dyDescent="0.2">
      <c r="E2522" s="34"/>
    </row>
    <row r="2523" spans="5:5" x14ac:dyDescent="0.2">
      <c r="E2523" s="34"/>
    </row>
    <row r="2524" spans="5:5" x14ac:dyDescent="0.2">
      <c r="E2524" s="34"/>
    </row>
    <row r="2525" spans="5:5" x14ac:dyDescent="0.2">
      <c r="E2525" s="34"/>
    </row>
    <row r="2526" spans="5:5" x14ac:dyDescent="0.2">
      <c r="E2526" s="34"/>
    </row>
    <row r="2527" spans="5:5" x14ac:dyDescent="0.2">
      <c r="E2527" s="34"/>
    </row>
    <row r="2528" spans="5:5" x14ac:dyDescent="0.2">
      <c r="E2528" s="34"/>
    </row>
    <row r="2529" spans="5:5" x14ac:dyDescent="0.2">
      <c r="E2529" s="34"/>
    </row>
    <row r="2530" spans="5:5" x14ac:dyDescent="0.2">
      <c r="E2530" s="34"/>
    </row>
    <row r="2531" spans="5:5" x14ac:dyDescent="0.2">
      <c r="E2531" s="34"/>
    </row>
    <row r="2532" spans="5:5" x14ac:dyDescent="0.2">
      <c r="E2532" s="34"/>
    </row>
    <row r="2533" spans="5:5" x14ac:dyDescent="0.2">
      <c r="E2533" s="34"/>
    </row>
    <row r="2534" spans="5:5" x14ac:dyDescent="0.2">
      <c r="E2534" s="34"/>
    </row>
    <row r="2535" spans="5:5" x14ac:dyDescent="0.2">
      <c r="E2535" s="34"/>
    </row>
    <row r="2536" spans="5:5" x14ac:dyDescent="0.2">
      <c r="E2536" s="34"/>
    </row>
    <row r="2537" spans="5:5" x14ac:dyDescent="0.2">
      <c r="E2537" s="34"/>
    </row>
    <row r="2538" spans="5:5" x14ac:dyDescent="0.2">
      <c r="E2538" s="34"/>
    </row>
    <row r="2539" spans="5:5" x14ac:dyDescent="0.2">
      <c r="E2539" s="34"/>
    </row>
    <row r="2540" spans="5:5" x14ac:dyDescent="0.2">
      <c r="E2540" s="34"/>
    </row>
    <row r="2541" spans="5:5" x14ac:dyDescent="0.2">
      <c r="E2541" s="34"/>
    </row>
    <row r="2542" spans="5:5" x14ac:dyDescent="0.2">
      <c r="E2542" s="34"/>
    </row>
    <row r="2543" spans="5:5" x14ac:dyDescent="0.2">
      <c r="E2543" s="34"/>
    </row>
    <row r="2544" spans="5:5" x14ac:dyDescent="0.2">
      <c r="E2544" s="34"/>
    </row>
    <row r="2545" spans="5:5" x14ac:dyDescent="0.2">
      <c r="E2545" s="34"/>
    </row>
    <row r="2546" spans="5:5" x14ac:dyDescent="0.2">
      <c r="E2546" s="34"/>
    </row>
    <row r="2547" spans="5:5" x14ac:dyDescent="0.2">
      <c r="E2547" s="34"/>
    </row>
    <row r="2548" spans="5:5" x14ac:dyDescent="0.2">
      <c r="E2548" s="34"/>
    </row>
    <row r="2549" spans="5:5" x14ac:dyDescent="0.2">
      <c r="E2549" s="34"/>
    </row>
    <row r="2550" spans="5:5" x14ac:dyDescent="0.2">
      <c r="E2550" s="34"/>
    </row>
    <row r="2551" spans="5:5" x14ac:dyDescent="0.2">
      <c r="E2551" s="34"/>
    </row>
    <row r="2552" spans="5:5" x14ac:dyDescent="0.2">
      <c r="E2552" s="34"/>
    </row>
    <row r="2553" spans="5:5" x14ac:dyDescent="0.2">
      <c r="E2553" s="34"/>
    </row>
    <row r="2554" spans="5:5" x14ac:dyDescent="0.2">
      <c r="E2554" s="34"/>
    </row>
    <row r="2555" spans="5:5" x14ac:dyDescent="0.2">
      <c r="E2555" s="34"/>
    </row>
    <row r="2556" spans="5:5" x14ac:dyDescent="0.2">
      <c r="E2556" s="34"/>
    </row>
    <row r="2557" spans="5:5" x14ac:dyDescent="0.2">
      <c r="E2557" s="34"/>
    </row>
    <row r="2558" spans="5:5" x14ac:dyDescent="0.2">
      <c r="E2558" s="34"/>
    </row>
    <row r="2559" spans="5:5" x14ac:dyDescent="0.2">
      <c r="E2559" s="34"/>
    </row>
    <row r="2560" spans="5:5" x14ac:dyDescent="0.2">
      <c r="E2560" s="34"/>
    </row>
    <row r="2561" spans="5:5" x14ac:dyDescent="0.2">
      <c r="E2561" s="34"/>
    </row>
    <row r="2562" spans="5:5" x14ac:dyDescent="0.2">
      <c r="E2562" s="34"/>
    </row>
    <row r="2563" spans="5:5" x14ac:dyDescent="0.2">
      <c r="E2563" s="34"/>
    </row>
    <row r="2564" spans="5:5" x14ac:dyDescent="0.2">
      <c r="E2564" s="34"/>
    </row>
    <row r="2565" spans="5:5" x14ac:dyDescent="0.2">
      <c r="E2565" s="34"/>
    </row>
    <row r="2566" spans="5:5" x14ac:dyDescent="0.2">
      <c r="E2566" s="34"/>
    </row>
    <row r="2567" spans="5:5" x14ac:dyDescent="0.2">
      <c r="E2567" s="34"/>
    </row>
    <row r="2568" spans="5:5" x14ac:dyDescent="0.2">
      <c r="E2568" s="34"/>
    </row>
    <row r="2569" spans="5:5" x14ac:dyDescent="0.2">
      <c r="E2569" s="34"/>
    </row>
    <row r="2570" spans="5:5" x14ac:dyDescent="0.2">
      <c r="E2570" s="34"/>
    </row>
    <row r="2571" spans="5:5" x14ac:dyDescent="0.2">
      <c r="E2571" s="34"/>
    </row>
    <row r="2572" spans="5:5" x14ac:dyDescent="0.2">
      <c r="E2572" s="34"/>
    </row>
    <row r="2573" spans="5:5" x14ac:dyDescent="0.2">
      <c r="E2573" s="34"/>
    </row>
    <row r="2574" spans="5:5" x14ac:dyDescent="0.2">
      <c r="E2574" s="34"/>
    </row>
    <row r="2575" spans="5:5" x14ac:dyDescent="0.2">
      <c r="E2575" s="34"/>
    </row>
    <row r="2576" spans="5:5" x14ac:dyDescent="0.2">
      <c r="E2576" s="34"/>
    </row>
    <row r="2577" spans="5:5" x14ac:dyDescent="0.2">
      <c r="E2577" s="34"/>
    </row>
    <row r="2578" spans="5:5" x14ac:dyDescent="0.2">
      <c r="E2578" s="34"/>
    </row>
    <row r="2579" spans="5:5" x14ac:dyDescent="0.2">
      <c r="E2579" s="34"/>
    </row>
    <row r="2580" spans="5:5" x14ac:dyDescent="0.2">
      <c r="E2580" s="34"/>
    </row>
    <row r="2581" spans="5:5" x14ac:dyDescent="0.2">
      <c r="E2581" s="34"/>
    </row>
    <row r="2582" spans="5:5" x14ac:dyDescent="0.2">
      <c r="E2582" s="34"/>
    </row>
    <row r="2583" spans="5:5" x14ac:dyDescent="0.2">
      <c r="E2583" s="34"/>
    </row>
    <row r="2584" spans="5:5" x14ac:dyDescent="0.2">
      <c r="E2584" s="34"/>
    </row>
    <row r="2585" spans="5:5" x14ac:dyDescent="0.2">
      <c r="E2585" s="34"/>
    </row>
    <row r="2586" spans="5:5" x14ac:dyDescent="0.2">
      <c r="E2586" s="34"/>
    </row>
    <row r="2587" spans="5:5" x14ac:dyDescent="0.2">
      <c r="E2587" s="34"/>
    </row>
    <row r="2588" spans="5:5" x14ac:dyDescent="0.2">
      <c r="E2588" s="34"/>
    </row>
    <row r="2589" spans="5:5" x14ac:dyDescent="0.2">
      <c r="E2589" s="34"/>
    </row>
    <row r="2590" spans="5:5" x14ac:dyDescent="0.2">
      <c r="E2590" s="34"/>
    </row>
    <row r="2591" spans="5:5" x14ac:dyDescent="0.2">
      <c r="E2591" s="34"/>
    </row>
    <row r="2592" spans="5:5" x14ac:dyDescent="0.2">
      <c r="E2592" s="34"/>
    </row>
    <row r="2593" spans="5:5" x14ac:dyDescent="0.2">
      <c r="E2593" s="34"/>
    </row>
    <row r="2594" spans="5:5" x14ac:dyDescent="0.2">
      <c r="E2594" s="34"/>
    </row>
    <row r="2595" spans="5:5" x14ac:dyDescent="0.2">
      <c r="E2595" s="34"/>
    </row>
    <row r="2596" spans="5:5" x14ac:dyDescent="0.2">
      <c r="E2596" s="34"/>
    </row>
    <row r="2597" spans="5:5" x14ac:dyDescent="0.2">
      <c r="E2597" s="34"/>
    </row>
    <row r="2598" spans="5:5" x14ac:dyDescent="0.2">
      <c r="E2598" s="34"/>
    </row>
    <row r="2599" spans="5:5" x14ac:dyDescent="0.2">
      <c r="E2599" s="34"/>
    </row>
    <row r="2600" spans="5:5" x14ac:dyDescent="0.2">
      <c r="E2600" s="34"/>
    </row>
    <row r="2601" spans="5:5" x14ac:dyDescent="0.2">
      <c r="E2601" s="34"/>
    </row>
    <row r="2602" spans="5:5" x14ac:dyDescent="0.2">
      <c r="E2602" s="34"/>
    </row>
    <row r="2603" spans="5:5" x14ac:dyDescent="0.2">
      <c r="E2603" s="34"/>
    </row>
    <row r="2604" spans="5:5" x14ac:dyDescent="0.2">
      <c r="E2604" s="34"/>
    </row>
    <row r="2605" spans="5:5" x14ac:dyDescent="0.2">
      <c r="E2605" s="34"/>
    </row>
    <row r="2606" spans="5:5" x14ac:dyDescent="0.2">
      <c r="E2606" s="34"/>
    </row>
    <row r="2607" spans="5:5" x14ac:dyDescent="0.2">
      <c r="E2607" s="34"/>
    </row>
    <row r="2608" spans="5:5" x14ac:dyDescent="0.2">
      <c r="E2608" s="34"/>
    </row>
    <row r="2609" spans="5:5" x14ac:dyDescent="0.2">
      <c r="E2609" s="34"/>
    </row>
    <row r="2610" spans="5:5" x14ac:dyDescent="0.2">
      <c r="E2610" s="34"/>
    </row>
    <row r="2611" spans="5:5" x14ac:dyDescent="0.2">
      <c r="E2611" s="34"/>
    </row>
    <row r="2612" spans="5:5" x14ac:dyDescent="0.2">
      <c r="E2612" s="34"/>
    </row>
    <row r="2613" spans="5:5" x14ac:dyDescent="0.2">
      <c r="E2613" s="34"/>
    </row>
    <row r="2614" spans="5:5" x14ac:dyDescent="0.2">
      <c r="E2614" s="34"/>
    </row>
    <row r="2615" spans="5:5" x14ac:dyDescent="0.2">
      <c r="E2615" s="34"/>
    </row>
    <row r="2616" spans="5:5" x14ac:dyDescent="0.2">
      <c r="E2616" s="34"/>
    </row>
    <row r="2617" spans="5:5" x14ac:dyDescent="0.2">
      <c r="E2617" s="34"/>
    </row>
    <row r="2618" spans="5:5" x14ac:dyDescent="0.2">
      <c r="E2618" s="34"/>
    </row>
    <row r="2619" spans="5:5" x14ac:dyDescent="0.2">
      <c r="E2619" s="34"/>
    </row>
    <row r="2620" spans="5:5" x14ac:dyDescent="0.2">
      <c r="E2620" s="34"/>
    </row>
    <row r="2621" spans="5:5" x14ac:dyDescent="0.2">
      <c r="E2621" s="34"/>
    </row>
    <row r="2622" spans="5:5" x14ac:dyDescent="0.2">
      <c r="E2622" s="34"/>
    </row>
    <row r="2623" spans="5:5" x14ac:dyDescent="0.2">
      <c r="E2623" s="34"/>
    </row>
    <row r="2624" spans="5:5" x14ac:dyDescent="0.2">
      <c r="E2624" s="34"/>
    </row>
    <row r="2625" spans="5:5" x14ac:dyDescent="0.2">
      <c r="E2625" s="34"/>
    </row>
    <row r="2626" spans="5:5" x14ac:dyDescent="0.2">
      <c r="E2626" s="34"/>
    </row>
    <row r="2627" spans="5:5" x14ac:dyDescent="0.2">
      <c r="E2627" s="34"/>
    </row>
    <row r="2628" spans="5:5" x14ac:dyDescent="0.2">
      <c r="E2628" s="34"/>
    </row>
    <row r="2629" spans="5:5" x14ac:dyDescent="0.2">
      <c r="E2629" s="34"/>
    </row>
    <row r="2630" spans="5:5" x14ac:dyDescent="0.2">
      <c r="E2630" s="34"/>
    </row>
    <row r="2631" spans="5:5" x14ac:dyDescent="0.2">
      <c r="E2631" s="34"/>
    </row>
    <row r="2632" spans="5:5" x14ac:dyDescent="0.2">
      <c r="E2632" s="34"/>
    </row>
    <row r="2633" spans="5:5" x14ac:dyDescent="0.2">
      <c r="E2633" s="34"/>
    </row>
    <row r="2634" spans="5:5" x14ac:dyDescent="0.2">
      <c r="E2634" s="34"/>
    </row>
    <row r="2635" spans="5:5" x14ac:dyDescent="0.2">
      <c r="E2635" s="34"/>
    </row>
    <row r="2636" spans="5:5" x14ac:dyDescent="0.2">
      <c r="E2636" s="34"/>
    </row>
    <row r="2637" spans="5:5" x14ac:dyDescent="0.2">
      <c r="E2637" s="34"/>
    </row>
    <row r="2638" spans="5:5" x14ac:dyDescent="0.2">
      <c r="E2638" s="34"/>
    </row>
    <row r="2639" spans="5:5" x14ac:dyDescent="0.2">
      <c r="E2639" s="34"/>
    </row>
    <row r="2640" spans="5:5" x14ac:dyDescent="0.2">
      <c r="E2640" s="34"/>
    </row>
    <row r="2641" spans="5:5" x14ac:dyDescent="0.2">
      <c r="E2641" s="34"/>
    </row>
    <row r="2642" spans="5:5" x14ac:dyDescent="0.2">
      <c r="E2642" s="34"/>
    </row>
    <row r="2643" spans="5:5" x14ac:dyDescent="0.2">
      <c r="E2643" s="34"/>
    </row>
    <row r="2644" spans="5:5" x14ac:dyDescent="0.2">
      <c r="E2644" s="34"/>
    </row>
    <row r="2645" spans="5:5" x14ac:dyDescent="0.2">
      <c r="E2645" s="34"/>
    </row>
    <row r="2646" spans="5:5" x14ac:dyDescent="0.2">
      <c r="E2646" s="34"/>
    </row>
    <row r="2647" spans="5:5" x14ac:dyDescent="0.2">
      <c r="E2647" s="34"/>
    </row>
    <row r="2648" spans="5:5" x14ac:dyDescent="0.2">
      <c r="E2648" s="34"/>
    </row>
    <row r="2649" spans="5:5" x14ac:dyDescent="0.2">
      <c r="E2649" s="34"/>
    </row>
    <row r="2650" spans="5:5" x14ac:dyDescent="0.2">
      <c r="E2650" s="34"/>
    </row>
    <row r="2651" spans="5:5" x14ac:dyDescent="0.2">
      <c r="E2651" s="34"/>
    </row>
    <row r="2652" spans="5:5" x14ac:dyDescent="0.2">
      <c r="E2652" s="34"/>
    </row>
    <row r="2653" spans="5:5" x14ac:dyDescent="0.2">
      <c r="E2653" s="34"/>
    </row>
    <row r="2654" spans="5:5" x14ac:dyDescent="0.2">
      <c r="E2654" s="34"/>
    </row>
    <row r="2655" spans="5:5" x14ac:dyDescent="0.2">
      <c r="E2655" s="34"/>
    </row>
    <row r="2656" spans="5:5" x14ac:dyDescent="0.2">
      <c r="E2656" s="34"/>
    </row>
    <row r="2657" spans="5:5" x14ac:dyDescent="0.2">
      <c r="E2657" s="34"/>
    </row>
    <row r="2658" spans="5:5" x14ac:dyDescent="0.2">
      <c r="E2658" s="34"/>
    </row>
  </sheetData>
  <mergeCells count="6">
    <mergeCell ref="A2:H2"/>
    <mergeCell ref="G6:H6"/>
    <mergeCell ref="G7:H7"/>
    <mergeCell ref="G9:H9"/>
    <mergeCell ref="G5:H5"/>
    <mergeCell ref="A3:H3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39"/>
  <sheetViews>
    <sheetView zoomScaleNormal="100" workbookViewId="0">
      <selection activeCell="E11" sqref="E11"/>
    </sheetView>
  </sheetViews>
  <sheetFormatPr defaultColWidth="2.140625" defaultRowHeight="12.75" x14ac:dyDescent="0.2"/>
  <cols>
    <col min="1" max="1" width="56.7109375" style="6" customWidth="1"/>
    <col min="2" max="3" width="11.7109375" style="6" customWidth="1"/>
    <col min="4" max="6" width="10.7109375" style="6" customWidth="1"/>
    <col min="7" max="8" width="11.7109375" style="6" customWidth="1"/>
    <col min="9" max="10" width="2.140625" style="6" customWidth="1"/>
    <col min="11" max="11" width="33" style="6" bestFit="1" customWidth="1"/>
    <col min="12" max="12" width="12.5703125" style="6" bestFit="1" customWidth="1"/>
    <col min="13" max="13" width="2.140625" style="6" customWidth="1"/>
    <col min="14" max="14" width="7.5703125" style="6" bestFit="1" customWidth="1"/>
    <col min="15" max="15" width="2.140625" style="6" customWidth="1"/>
    <col min="16" max="16" width="9" style="6" bestFit="1" customWidth="1"/>
    <col min="17" max="17" width="13.28515625" style="6" bestFit="1" customWidth="1"/>
    <col min="18" max="16384" width="2.140625" style="6"/>
  </cols>
  <sheetData>
    <row r="1" spans="1:8" x14ac:dyDescent="0.2">
      <c r="H1" s="45" t="s">
        <v>129</v>
      </c>
    </row>
    <row r="2" spans="1:8" ht="20.25" x14ac:dyDescent="0.3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" thickBot="1" x14ac:dyDescent="0.35">
      <c r="A3" s="312" t="s">
        <v>155</v>
      </c>
      <c r="B3" s="312"/>
      <c r="C3" s="312"/>
      <c r="D3" s="312"/>
      <c r="E3" s="312"/>
      <c r="F3" s="312"/>
      <c r="G3" s="312"/>
      <c r="H3" s="312"/>
    </row>
    <row r="4" spans="1:8" ht="13.5" thickBot="1" x14ac:dyDescent="0.25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">
      <c r="A5" s="67" t="s">
        <v>156</v>
      </c>
      <c r="B5" s="61"/>
      <c r="C5" s="62"/>
      <c r="D5" s="1"/>
      <c r="G5" s="315" t="s">
        <v>183</v>
      </c>
      <c r="H5" s="316"/>
    </row>
    <row r="6" spans="1:8" x14ac:dyDescent="0.2">
      <c r="A6" s="8"/>
      <c r="B6" s="31"/>
      <c r="C6" s="68"/>
      <c r="E6" s="66"/>
      <c r="F6" s="66"/>
      <c r="G6" s="317" t="s">
        <v>91</v>
      </c>
      <c r="H6" s="318"/>
    </row>
    <row r="7" spans="1:8" x14ac:dyDescent="0.2">
      <c r="A7" s="8" t="s">
        <v>157</v>
      </c>
      <c r="B7" s="31"/>
      <c r="C7" s="256">
        <f>G170-C170</f>
        <v>2.8094825977177766</v>
      </c>
      <c r="E7" s="38"/>
      <c r="F7" s="38"/>
      <c r="G7" s="285"/>
      <c r="H7" s="286"/>
    </row>
    <row r="8" spans="1:8" x14ac:dyDescent="0.2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5" thickBot="1" x14ac:dyDescent="0.25">
      <c r="A9" s="51" t="s">
        <v>158</v>
      </c>
      <c r="B9" s="33"/>
      <c r="C9" s="219">
        <f>E170</f>
        <v>74.223795297894839</v>
      </c>
      <c r="E9" s="38"/>
      <c r="F9" s="38"/>
      <c r="G9" s="292"/>
      <c r="H9" s="291"/>
    </row>
    <row r="10" spans="1:8" x14ac:dyDescent="0.2">
      <c r="A10" s="8"/>
      <c r="B10" s="31"/>
      <c r="C10" s="32"/>
      <c r="E10" s="38"/>
      <c r="F10" s="38"/>
      <c r="G10" s="31"/>
      <c r="H10" s="39"/>
    </row>
    <row r="11" spans="1:8" x14ac:dyDescent="0.2">
      <c r="A11" s="8" t="s">
        <v>159</v>
      </c>
      <c r="B11" s="31"/>
      <c r="C11" s="32"/>
      <c r="E11" s="38"/>
      <c r="F11" s="38"/>
      <c r="G11" s="31"/>
      <c r="H11" s="39"/>
    </row>
    <row r="12" spans="1:8" x14ac:dyDescent="0.2">
      <c r="A12" s="40" t="s">
        <v>203</v>
      </c>
      <c r="B12" s="31"/>
      <c r="C12" s="236">
        <f>N51*100</f>
        <v>14.066954298317984</v>
      </c>
      <c r="E12" s="38"/>
      <c r="F12" s="38"/>
      <c r="G12" s="31"/>
      <c r="H12" s="39"/>
    </row>
    <row r="13" spans="1:8" x14ac:dyDescent="0.2">
      <c r="A13" s="40" t="s">
        <v>204</v>
      </c>
      <c r="B13" s="31"/>
      <c r="C13" s="236">
        <f>N52*100</f>
        <v>9.8468680088225895</v>
      </c>
      <c r="E13" s="38"/>
      <c r="F13" s="38"/>
      <c r="G13" s="31"/>
      <c r="H13" s="39"/>
    </row>
    <row r="14" spans="1:8" x14ac:dyDescent="0.2">
      <c r="A14" s="40" t="s">
        <v>205</v>
      </c>
      <c r="B14" s="31"/>
      <c r="C14" s="236">
        <f>N53*100</f>
        <v>7.0334771491589922</v>
      </c>
      <c r="E14" s="38"/>
      <c r="F14" s="38"/>
      <c r="G14" s="31"/>
      <c r="H14" s="39"/>
    </row>
    <row r="15" spans="1:8" x14ac:dyDescent="0.2">
      <c r="A15" s="8"/>
      <c r="B15" s="31"/>
      <c r="C15" s="32"/>
      <c r="E15" s="38"/>
      <c r="F15" s="38"/>
      <c r="G15" s="31"/>
      <c r="H15" s="39"/>
    </row>
    <row r="16" spans="1:8" ht="15.75" x14ac:dyDescent="0.25">
      <c r="A16" s="8" t="s">
        <v>160</v>
      </c>
      <c r="B16" s="59"/>
      <c r="C16" s="60"/>
      <c r="E16" s="38"/>
      <c r="F16" s="38"/>
      <c r="G16" s="31"/>
      <c r="H16" s="39"/>
    </row>
    <row r="17" spans="1:12" ht="15" x14ac:dyDescent="0.2">
      <c r="A17" s="40" t="s">
        <v>55</v>
      </c>
      <c r="B17" s="59"/>
      <c r="C17" s="169">
        <v>2</v>
      </c>
      <c r="E17" s="38"/>
      <c r="F17" s="38"/>
      <c r="G17" s="31"/>
      <c r="H17" s="39"/>
    </row>
    <row r="18" spans="1:12" ht="15.75" thickBot="1" x14ac:dyDescent="0.25">
      <c r="A18" s="75" t="s">
        <v>117</v>
      </c>
      <c r="B18" s="76"/>
      <c r="C18" s="179">
        <v>1.4</v>
      </c>
      <c r="E18" s="7"/>
      <c r="F18" s="7"/>
      <c r="G18" s="7"/>
      <c r="H18" s="7"/>
    </row>
    <row r="19" spans="1:12" ht="13.5" thickBot="1" x14ac:dyDescent="0.25">
      <c r="A19" s="37"/>
      <c r="B19" s="4"/>
      <c r="C19" s="4"/>
      <c r="D19" s="4"/>
      <c r="E19" s="4"/>
      <c r="F19" s="4"/>
      <c r="G19" s="4"/>
      <c r="H19" s="4"/>
    </row>
    <row r="20" spans="1:12" ht="64.5" thickBot="1" x14ac:dyDescent="0.25">
      <c r="A20" s="2" t="s">
        <v>0</v>
      </c>
      <c r="B20" s="9" t="s">
        <v>46</v>
      </c>
      <c r="C20" s="9" t="s">
        <v>200</v>
      </c>
      <c r="D20" s="9" t="s">
        <v>51</v>
      </c>
      <c r="E20" s="9" t="s">
        <v>186</v>
      </c>
      <c r="F20" s="9" t="s">
        <v>6</v>
      </c>
      <c r="G20" s="9" t="s">
        <v>47</v>
      </c>
      <c r="H20" s="3" t="s">
        <v>48</v>
      </c>
    </row>
    <row r="21" spans="1:12" x14ac:dyDescent="0.2">
      <c r="A21" s="103"/>
      <c r="B21" s="11"/>
      <c r="C21" s="11"/>
      <c r="D21" s="11"/>
      <c r="E21" s="11"/>
      <c r="F21" s="11"/>
      <c r="G21" s="11"/>
      <c r="H21" s="10"/>
      <c r="K21" s="25"/>
      <c r="L21" s="123"/>
    </row>
    <row r="22" spans="1:12" x14ac:dyDescent="0.2">
      <c r="A22" s="44" t="s">
        <v>17</v>
      </c>
      <c r="B22" s="81"/>
      <c r="C22" s="26"/>
      <c r="D22" s="194"/>
      <c r="E22" s="226"/>
      <c r="F22" s="149"/>
      <c r="G22" s="26"/>
      <c r="H22" s="25"/>
      <c r="K22" s="25"/>
      <c r="L22" s="123"/>
    </row>
    <row r="23" spans="1:12" x14ac:dyDescent="0.2">
      <c r="A23" s="44"/>
      <c r="B23" s="81"/>
      <c r="C23" s="26"/>
      <c r="D23" s="194"/>
      <c r="E23" s="226"/>
      <c r="F23" s="149"/>
      <c r="G23" s="26"/>
      <c r="H23" s="25"/>
      <c r="K23" s="25"/>
      <c r="L23" s="123"/>
    </row>
    <row r="24" spans="1:12" x14ac:dyDescent="0.2">
      <c r="A24" s="79" t="s">
        <v>13</v>
      </c>
      <c r="B24" s="81"/>
      <c r="C24" s="26"/>
      <c r="D24" s="114"/>
      <c r="E24" s="226"/>
      <c r="F24" s="149"/>
      <c r="G24" s="26"/>
      <c r="H24" s="25"/>
      <c r="K24" s="25"/>
      <c r="L24" s="123"/>
    </row>
    <row r="25" spans="1:12" x14ac:dyDescent="0.2">
      <c r="A25" s="78" t="s">
        <v>79</v>
      </c>
      <c r="B25" s="81"/>
      <c r="C25" s="145">
        <f>D25/B33*100</f>
        <v>0.11736337652848512</v>
      </c>
      <c r="D25" s="194">
        <v>7.5024742751999982E-2</v>
      </c>
      <c r="E25" s="149">
        <f>F25-D25</f>
        <v>0</v>
      </c>
      <c r="F25" s="149">
        <f>D25</f>
        <v>7.5024742751999982E-2</v>
      </c>
      <c r="G25" s="271">
        <f>F25/B33*100</f>
        <v>0.11736337652848512</v>
      </c>
      <c r="H25" s="25"/>
      <c r="K25" s="25"/>
      <c r="L25" s="123"/>
    </row>
    <row r="26" spans="1:12" x14ac:dyDescent="0.2">
      <c r="A26" s="78" t="s">
        <v>80</v>
      </c>
      <c r="B26" s="81"/>
      <c r="C26" s="145">
        <f>D26/B30*100</f>
        <v>4.9988888888888878</v>
      </c>
      <c r="D26" s="114">
        <v>3.1258854686385207</v>
      </c>
      <c r="E26" s="149">
        <f>F26-D26</f>
        <v>0</v>
      </c>
      <c r="F26" s="149">
        <f>D26</f>
        <v>3.1258854686385207</v>
      </c>
      <c r="G26" s="271">
        <f>F26/B30*100</f>
        <v>4.9988888888888878</v>
      </c>
      <c r="H26" s="25"/>
      <c r="K26" s="25"/>
      <c r="L26" s="123"/>
    </row>
    <row r="27" spans="1:12" x14ac:dyDescent="0.2">
      <c r="A27" s="78" t="s">
        <v>81</v>
      </c>
      <c r="B27" s="81"/>
      <c r="C27" s="145">
        <f>D27/B31*100</f>
        <v>2.2240888888888892</v>
      </c>
      <c r="D27" s="114">
        <v>3.0994208727372293E-2</v>
      </c>
      <c r="E27" s="149">
        <f>F27-D27</f>
        <v>0</v>
      </c>
      <c r="F27" s="149">
        <f>D27</f>
        <v>3.0994208727372293E-2</v>
      </c>
      <c r="G27" s="271">
        <f>F27/B31*100</f>
        <v>2.2240888888888892</v>
      </c>
      <c r="H27" s="25"/>
      <c r="K27" s="25"/>
      <c r="L27" s="123"/>
    </row>
    <row r="28" spans="1:12" x14ac:dyDescent="0.2">
      <c r="A28" s="79"/>
      <c r="B28" s="81"/>
      <c r="C28" s="26"/>
      <c r="D28" s="114"/>
      <c r="E28" s="24"/>
      <c r="F28" s="149"/>
      <c r="G28" s="26"/>
      <c r="H28" s="25"/>
      <c r="K28" s="25"/>
      <c r="L28" s="123"/>
    </row>
    <row r="29" spans="1:12" x14ac:dyDescent="0.2">
      <c r="A29" s="63" t="s">
        <v>12</v>
      </c>
      <c r="B29" s="81"/>
      <c r="C29" s="26"/>
      <c r="D29" s="194"/>
      <c r="E29" s="24"/>
      <c r="F29" s="149"/>
      <c r="G29" s="26"/>
      <c r="H29" s="25"/>
      <c r="K29" s="25"/>
      <c r="L29" s="123"/>
    </row>
    <row r="30" spans="1:12" x14ac:dyDescent="0.2">
      <c r="A30" s="45" t="s">
        <v>21</v>
      </c>
      <c r="B30" s="83">
        <f>122.90016762*0.6*0.848</f>
        <v>62.531605285056003</v>
      </c>
      <c r="C30" s="243">
        <f>1.387+6.5</f>
        <v>7.8870000000000005</v>
      </c>
      <c r="D30" s="194">
        <f>C30*B30/100</f>
        <v>4.9318677088323675</v>
      </c>
      <c r="E30" s="149">
        <f>Residential!$N$58*B30</f>
        <v>1.7561857433511221</v>
      </c>
      <c r="F30" s="149">
        <f>D30+E30</f>
        <v>6.6880534521834898</v>
      </c>
      <c r="G30" s="243">
        <f>F30/B30*100</f>
        <v>10.695476985910391</v>
      </c>
      <c r="H30" s="25"/>
      <c r="K30" s="25"/>
      <c r="L30" s="123"/>
    </row>
    <row r="31" spans="1:12" x14ac:dyDescent="0.2">
      <c r="A31" s="45" t="s">
        <v>22</v>
      </c>
      <c r="B31" s="83">
        <f>2.73893238*0.6*0.848</f>
        <v>1.3935687949439999</v>
      </c>
      <c r="C31" s="243">
        <f>1.353+6.5</f>
        <v>7.8529999999999998</v>
      </c>
      <c r="D31" s="194">
        <f>C31*B31/100</f>
        <v>0.1094369574669523</v>
      </c>
      <c r="E31" s="149">
        <f>Residential!$N$58*B31</f>
        <v>3.9138058888830977E-2</v>
      </c>
      <c r="F31" s="149">
        <f>D31+E31</f>
        <v>0.14857501635578327</v>
      </c>
      <c r="G31" s="243">
        <f>F31/B31*100</f>
        <v>10.661476985910387</v>
      </c>
      <c r="H31" s="25"/>
      <c r="K31" s="25"/>
      <c r="L31" s="123"/>
    </row>
    <row r="32" spans="1:12" x14ac:dyDescent="0.2">
      <c r="A32" s="53"/>
      <c r="B32" s="85"/>
      <c r="C32" s="250"/>
      <c r="D32" s="194"/>
      <c r="E32" s="24"/>
      <c r="F32" s="149"/>
      <c r="G32" s="250"/>
      <c r="H32" s="25"/>
      <c r="K32" s="25"/>
      <c r="L32" s="123"/>
    </row>
    <row r="33" spans="1:12" ht="13.5" thickBot="1" x14ac:dyDescent="0.25">
      <c r="A33" s="146" t="s">
        <v>88</v>
      </c>
      <c r="B33" s="166">
        <f>B30+B31</f>
        <v>63.925174080000005</v>
      </c>
      <c r="C33" s="240">
        <f>D33/B33*100</f>
        <v>12.942020425417372</v>
      </c>
      <c r="D33" s="229">
        <f>SUM(D25:D31)</f>
        <v>8.2732090864172125</v>
      </c>
      <c r="E33" s="270">
        <f>SUM(E25:E31)</f>
        <v>1.7953238022399531</v>
      </c>
      <c r="F33" s="229">
        <f>SUM(F25:F31)</f>
        <v>10.068532888657167</v>
      </c>
      <c r="G33" s="240">
        <f>F33/B33*100</f>
        <v>15.750497411327762</v>
      </c>
      <c r="H33" s="148">
        <f>(G33-C33)/C33</f>
        <v>0.21700452430091252</v>
      </c>
      <c r="K33" s="25"/>
      <c r="L33" s="123"/>
    </row>
    <row r="34" spans="1:12" ht="13.5" thickTop="1" x14ac:dyDescent="0.2">
      <c r="A34" s="12"/>
      <c r="B34" s="173"/>
      <c r="C34" s="248"/>
      <c r="D34" s="233"/>
      <c r="E34" s="233"/>
      <c r="F34" s="233"/>
      <c r="G34" s="248"/>
      <c r="H34" s="156"/>
      <c r="K34" s="25"/>
      <c r="L34" s="123"/>
    </row>
    <row r="35" spans="1:12" x14ac:dyDescent="0.2">
      <c r="A35" s="12"/>
      <c r="B35" s="173"/>
      <c r="C35" s="248"/>
      <c r="D35" s="233"/>
      <c r="E35" s="233"/>
      <c r="F35" s="289"/>
      <c r="G35" s="248"/>
      <c r="H35" s="156"/>
      <c r="K35" s="25"/>
      <c r="L35" s="123"/>
    </row>
    <row r="36" spans="1:12" x14ac:dyDescent="0.2">
      <c r="A36" s="64" t="s">
        <v>145</v>
      </c>
      <c r="C36" s="113"/>
      <c r="D36" s="114"/>
      <c r="E36" s="268"/>
      <c r="F36" s="114"/>
      <c r="G36" s="113"/>
      <c r="K36" s="25"/>
      <c r="L36" s="123"/>
    </row>
    <row r="37" spans="1:12" x14ac:dyDescent="0.2">
      <c r="A37" s="77"/>
      <c r="B37" s="83"/>
      <c r="C37" s="105"/>
      <c r="D37" s="114"/>
      <c r="E37" s="268"/>
      <c r="F37" s="114"/>
      <c r="G37" s="105"/>
      <c r="K37" s="25"/>
      <c r="L37" s="123"/>
    </row>
    <row r="38" spans="1:12" x14ac:dyDescent="0.2">
      <c r="A38" s="63" t="s">
        <v>85</v>
      </c>
      <c r="B38" s="83"/>
      <c r="C38" s="234">
        <f>D38/B46*100</f>
        <v>0.16283235324768125</v>
      </c>
      <c r="D38" s="114">
        <v>0.18550189951999999</v>
      </c>
      <c r="E38" s="114">
        <f>F38-D38</f>
        <v>0</v>
      </c>
      <c r="F38" s="114">
        <f>D38</f>
        <v>0.18550189951999999</v>
      </c>
      <c r="G38" s="105">
        <f>F38/B46*100</f>
        <v>0.16283235324768125</v>
      </c>
      <c r="K38" s="25"/>
      <c r="L38" s="123"/>
    </row>
    <row r="39" spans="1:12" x14ac:dyDescent="0.2">
      <c r="A39" s="53"/>
      <c r="B39" s="83"/>
      <c r="C39" s="105"/>
      <c r="D39" s="114"/>
      <c r="E39" s="268"/>
      <c r="F39" s="114"/>
      <c r="G39" s="105"/>
      <c r="K39" s="25"/>
      <c r="L39" s="123"/>
    </row>
    <row r="40" spans="1:12" x14ac:dyDescent="0.2">
      <c r="A40" s="63" t="s">
        <v>12</v>
      </c>
      <c r="B40" s="83"/>
      <c r="C40" s="105"/>
      <c r="D40" s="114"/>
      <c r="E40" s="268"/>
      <c r="F40" s="114"/>
      <c r="G40" s="105"/>
      <c r="K40" s="25"/>
      <c r="L40" s="123"/>
    </row>
    <row r="41" spans="1:12" x14ac:dyDescent="0.2">
      <c r="A41" s="45" t="s">
        <v>10</v>
      </c>
      <c r="B41" s="83">
        <f>15.274148032*0.848</f>
        <v>12.952477531135999</v>
      </c>
      <c r="C41" s="105">
        <f>7.609+6.5</f>
        <v>14.109</v>
      </c>
      <c r="D41" s="114">
        <f>C41*B41/100</f>
        <v>1.8274650548679781</v>
      </c>
      <c r="E41" s="149">
        <f>($N$51-0.065)*B41</f>
        <v>0.98010805528096667</v>
      </c>
      <c r="F41" s="114">
        <f>D41+E41</f>
        <v>2.8075731101489447</v>
      </c>
      <c r="G41" s="105">
        <f>F41/B41*100</f>
        <v>21.675954298317983</v>
      </c>
      <c r="K41" s="25"/>
      <c r="L41" s="123"/>
    </row>
    <row r="42" spans="1:12" x14ac:dyDescent="0.2">
      <c r="A42" s="45" t="s">
        <v>146</v>
      </c>
      <c r="B42" s="83">
        <f>8.072342096*0.848</f>
        <v>6.845346097408</v>
      </c>
      <c r="C42" s="105">
        <f>6.558+6.5</f>
        <v>13.058</v>
      </c>
      <c r="D42" s="114">
        <f>C42*B42/100</f>
        <v>0.89386529339953669</v>
      </c>
      <c r="E42" s="149">
        <f>($N$51-0.065)*B42</f>
        <v>0.51798421075255707</v>
      </c>
      <c r="F42" s="114">
        <f>D42+E42</f>
        <v>1.4118495041520938</v>
      </c>
      <c r="G42" s="105">
        <f>F42/B42*100</f>
        <v>20.624954298317984</v>
      </c>
      <c r="K42" s="25"/>
      <c r="L42" s="123"/>
    </row>
    <row r="43" spans="1:12" x14ac:dyDescent="0.2">
      <c r="A43" s="45" t="s">
        <v>147</v>
      </c>
      <c r="B43" s="83">
        <f>48.100347048*0.848</f>
        <v>40.789094296704</v>
      </c>
      <c r="C43" s="105">
        <f>5.535+6.5</f>
        <v>12.035</v>
      </c>
      <c r="D43" s="114">
        <f>C43*B43/100</f>
        <v>4.9089674986083267</v>
      </c>
      <c r="E43" s="149">
        <f>($N$52-0.065)*B43</f>
        <v>1.3651571481048652</v>
      </c>
      <c r="F43" s="114">
        <f>D43+E43</f>
        <v>6.2741246467131919</v>
      </c>
      <c r="G43" s="105">
        <f>F43/B43*100</f>
        <v>15.381868008822588</v>
      </c>
      <c r="K43" s="25"/>
      <c r="L43" s="123"/>
    </row>
    <row r="44" spans="1:12" x14ac:dyDescent="0.2">
      <c r="A44" s="45" t="s">
        <v>26</v>
      </c>
      <c r="B44" s="83">
        <f>62.895162824*0.848</f>
        <v>53.335098074752004</v>
      </c>
      <c r="C44" s="105">
        <f>5.492+6.5</f>
        <v>11.992000000000001</v>
      </c>
      <c r="D44" s="114">
        <f>C44*B44/100</f>
        <v>6.3959449611242611</v>
      </c>
      <c r="E44" s="149">
        <f>($N$53-0.065)*B44</f>
        <v>0.28453056071033961</v>
      </c>
      <c r="F44" s="114">
        <f>D44+E44</f>
        <v>6.6804755218346008</v>
      </c>
      <c r="G44" s="105">
        <f>F44/B44*100</f>
        <v>12.525477149158995</v>
      </c>
      <c r="K44" s="25"/>
      <c r="L44" s="123"/>
    </row>
    <row r="45" spans="1:12" x14ac:dyDescent="0.2">
      <c r="A45" s="45"/>
      <c r="B45" s="83"/>
      <c r="C45" s="105"/>
      <c r="D45" s="114"/>
      <c r="E45" s="268"/>
      <c r="F45" s="114"/>
      <c r="G45" s="105"/>
      <c r="K45" s="25"/>
      <c r="L45" s="123"/>
    </row>
    <row r="46" spans="1:12" ht="13.5" thickBot="1" x14ac:dyDescent="0.25">
      <c r="A46" s="162" t="s">
        <v>148</v>
      </c>
      <c r="B46" s="158">
        <f>SUM(B41:B44)</f>
        <v>113.92201600000001</v>
      </c>
      <c r="C46" s="242">
        <f>D46/B46*100</f>
        <v>12.474976485247682</v>
      </c>
      <c r="D46" s="269">
        <f>SUM(D38:D44)</f>
        <v>14.211744707520102</v>
      </c>
      <c r="E46" s="269">
        <f>SUM(E38:E44)</f>
        <v>3.1477799748487287</v>
      </c>
      <c r="F46" s="269">
        <f>SUM(F38:F44)</f>
        <v>17.359524682368832</v>
      </c>
      <c r="G46" s="242">
        <f>F46/B46*100</f>
        <v>15.238077144253511</v>
      </c>
      <c r="H46" s="148">
        <f>(G46-C46)/C46</f>
        <v>0.22149145229037839</v>
      </c>
      <c r="K46" s="25"/>
      <c r="L46" s="123"/>
    </row>
    <row r="47" spans="1:12" ht="13.5" thickTop="1" x14ac:dyDescent="0.2">
      <c r="A47" s="28"/>
      <c r="B47" s="196"/>
      <c r="C47" s="257"/>
      <c r="D47" s="272"/>
      <c r="E47" s="272"/>
      <c r="F47" s="272"/>
      <c r="G47" s="257"/>
      <c r="H47" s="156"/>
      <c r="K47" s="25"/>
      <c r="L47" s="123"/>
    </row>
    <row r="48" spans="1:12" x14ac:dyDescent="0.2">
      <c r="A48" s="103"/>
      <c r="B48" s="258"/>
      <c r="C48" s="258"/>
      <c r="D48" s="273"/>
      <c r="E48" s="273"/>
      <c r="F48" s="258"/>
      <c r="G48" s="258"/>
      <c r="H48" s="10"/>
      <c r="K48" s="25"/>
      <c r="L48" s="123"/>
    </row>
    <row r="49" spans="1:17" x14ac:dyDescent="0.2">
      <c r="A49" s="44" t="s">
        <v>49</v>
      </c>
      <c r="B49" s="13"/>
      <c r="C49" s="246"/>
      <c r="D49" s="194"/>
      <c r="E49" s="149"/>
      <c r="F49" s="149"/>
      <c r="G49" s="246"/>
      <c r="H49" s="10"/>
      <c r="K49" s="25"/>
      <c r="L49" s="123" t="s">
        <v>113</v>
      </c>
      <c r="M49" s="101"/>
      <c r="N49" s="123" t="s">
        <v>90</v>
      </c>
      <c r="P49" s="6" t="s">
        <v>97</v>
      </c>
    </row>
    <row r="50" spans="1:17" x14ac:dyDescent="0.2">
      <c r="A50" s="44"/>
      <c r="B50" s="13"/>
      <c r="C50" s="246"/>
      <c r="D50" s="194"/>
      <c r="E50" s="149"/>
      <c r="F50" s="149"/>
      <c r="G50" s="246"/>
      <c r="H50" s="10"/>
      <c r="K50" s="159"/>
      <c r="L50" s="124" t="s">
        <v>98</v>
      </c>
      <c r="M50" s="128"/>
      <c r="N50" s="124" t="s">
        <v>99</v>
      </c>
      <c r="P50" s="124" t="s">
        <v>100</v>
      </c>
    </row>
    <row r="51" spans="1:17" x14ac:dyDescent="0.2">
      <c r="A51" s="77" t="s">
        <v>13</v>
      </c>
      <c r="B51" s="13"/>
      <c r="C51" s="246"/>
      <c r="D51" s="194"/>
      <c r="E51" s="149"/>
      <c r="F51" s="149"/>
      <c r="G51" s="259"/>
      <c r="H51" s="18"/>
      <c r="K51" s="55" t="s">
        <v>114</v>
      </c>
      <c r="L51" s="160">
        <f>SUM(B41:B42)+SUM(B68:B72)+SUM(B108:B112)+SUM(B152:B154)</f>
        <v>444.50306788954936</v>
      </c>
      <c r="N51" s="191">
        <f>N53*2</f>
        <v>0.14066954298317985</v>
      </c>
      <c r="P51" s="113">
        <f>N51*L51</f>
        <v>62.528043414644273</v>
      </c>
      <c r="Q51" s="203"/>
    </row>
    <row r="52" spans="1:17" x14ac:dyDescent="0.2">
      <c r="A52" s="12" t="s">
        <v>79</v>
      </c>
      <c r="B52" s="13"/>
      <c r="C52" s="246"/>
      <c r="D52" s="194"/>
      <c r="E52" s="149"/>
      <c r="F52" s="149"/>
      <c r="G52" s="259"/>
      <c r="H52" s="18"/>
      <c r="K52" s="55" t="s">
        <v>115</v>
      </c>
      <c r="L52" s="111">
        <f>B43+SUM(B94:B98)+SUM(B115:B119)+SUM(B157:B159)</f>
        <v>974.32352604563721</v>
      </c>
      <c r="N52" s="191">
        <f>N53*1.4</f>
        <v>9.8468680088225888E-2</v>
      </c>
      <c r="P52" s="113">
        <f>N52*L52</f>
        <v>95.940351588620075</v>
      </c>
    </row>
    <row r="53" spans="1:17" x14ac:dyDescent="0.2">
      <c r="A53" s="56" t="s">
        <v>21</v>
      </c>
      <c r="B53" s="83"/>
      <c r="C53" s="105">
        <f>D53/(B68+B94+B101+B108+B115+B122)*100</f>
        <v>0.10802616001289028</v>
      </c>
      <c r="D53" s="274">
        <v>1.6210030264887321</v>
      </c>
      <c r="E53" s="149">
        <f>F53-D53</f>
        <v>0</v>
      </c>
      <c r="F53" s="149">
        <f>D53</f>
        <v>1.6210030264887321</v>
      </c>
      <c r="G53" s="105">
        <f>F53/(B68+B94+B101+B108+B115+B122)*100</f>
        <v>0.10802616001289028</v>
      </c>
      <c r="H53" s="180"/>
      <c r="K53" s="55" t="s">
        <v>116</v>
      </c>
      <c r="L53" s="161">
        <f>B44+SUM(B101:B105)+SUM(B122:B126)+SUM(B162:B164)</f>
        <v>1159.1508854552108</v>
      </c>
      <c r="N53" s="191">
        <f>0.095*P60</f>
        <v>7.0334771491589926E-2</v>
      </c>
      <c r="P53" s="161">
        <f>N53*L53</f>
        <v>81.528612652766384</v>
      </c>
    </row>
    <row r="54" spans="1:17" x14ac:dyDescent="0.2">
      <c r="A54" s="56" t="s">
        <v>22</v>
      </c>
      <c r="B54" s="83"/>
      <c r="C54" s="105">
        <f>D54/(B69+B95+B102+B109+B116+B123)*100</f>
        <v>5.6049221393619425E-5</v>
      </c>
      <c r="D54" s="274">
        <v>1.3032708620622227E-4</v>
      </c>
      <c r="E54" s="149">
        <f>F54-D54</f>
        <v>0</v>
      </c>
      <c r="F54" s="149">
        <f>D54</f>
        <v>1.3032708620622227E-4</v>
      </c>
      <c r="G54" s="105">
        <f>F54/(B69+B95+B102+B109+B116+B123)*100</f>
        <v>5.6049221393619425E-5</v>
      </c>
      <c r="H54" s="171"/>
      <c r="K54" s="55"/>
      <c r="L54" s="160">
        <f>SUM(L51:L53)</f>
        <v>2577.9774793903971</v>
      </c>
      <c r="P54" s="113">
        <f>SUM(P51:P53)</f>
        <v>239.99700765603072</v>
      </c>
    </row>
    <row r="55" spans="1:17" x14ac:dyDescent="0.2">
      <c r="A55" s="56" t="s">
        <v>38</v>
      </c>
      <c r="B55" s="83"/>
      <c r="C55" s="105">
        <f>D55/(B70+B96+B103+B110+B117+B124)*100</f>
        <v>0</v>
      </c>
      <c r="D55" s="274">
        <v>0</v>
      </c>
      <c r="E55" s="149">
        <f>F55-D55</f>
        <v>0</v>
      </c>
      <c r="F55" s="149">
        <f>D55</f>
        <v>0</v>
      </c>
      <c r="G55" s="105">
        <f>F55/(B70+B96+B103+B110+B117+B124)*100</f>
        <v>0</v>
      </c>
      <c r="H55" s="171"/>
      <c r="K55" s="55"/>
    </row>
    <row r="56" spans="1:17" x14ac:dyDescent="0.2">
      <c r="A56" s="56" t="s">
        <v>39</v>
      </c>
      <c r="B56" s="83"/>
      <c r="C56" s="105">
        <f>D56/(B71+B97+B104+B111+B118+B125)*100</f>
        <v>6.7130501999987785E-6</v>
      </c>
      <c r="D56" s="274">
        <v>1.9824050906236168E-5</v>
      </c>
      <c r="E56" s="149">
        <f>F56-D56</f>
        <v>0</v>
      </c>
      <c r="F56" s="149">
        <f>D56</f>
        <v>1.9824050906236168E-5</v>
      </c>
      <c r="G56" s="105">
        <f>F56/(B71+B97+B104+B111+B118+B125)*100</f>
        <v>6.7130501999987785E-6</v>
      </c>
      <c r="H56" s="171"/>
      <c r="K56" s="23" t="s">
        <v>101</v>
      </c>
      <c r="L56" s="171">
        <f>L54</f>
        <v>2577.9774793903971</v>
      </c>
      <c r="M56" s="134"/>
      <c r="N56" s="206">
        <f>0.065+Residential!N58</f>
        <v>9.3084769859103883E-2</v>
      </c>
      <c r="O56" s="135"/>
      <c r="P56" s="202">
        <f>L56*N56</f>
        <v>239.97044037100784</v>
      </c>
      <c r="Q56" s="113"/>
    </row>
    <row r="57" spans="1:17" x14ac:dyDescent="0.2">
      <c r="A57" s="56" t="s">
        <v>40</v>
      </c>
      <c r="B57" s="83"/>
      <c r="C57" s="105">
        <f>D57/(B72+B98+B105+B112+B119+B126)*100</f>
        <v>7.4028805170440629E-6</v>
      </c>
      <c r="D57" s="274">
        <v>5.8402063630127537E-6</v>
      </c>
      <c r="E57" s="149">
        <f>F57-D57</f>
        <v>0</v>
      </c>
      <c r="F57" s="149">
        <f>D57</f>
        <v>5.8402063630127537E-6</v>
      </c>
      <c r="G57" s="105">
        <f>F57/(B72+B98+B105+B112+B119+B126)*100</f>
        <v>7.4028805170440629E-6</v>
      </c>
      <c r="H57" s="171"/>
      <c r="K57" s="23"/>
      <c r="L57" s="134"/>
      <c r="M57" s="134"/>
      <c r="N57" s="17"/>
      <c r="O57" s="135"/>
      <c r="Q57" s="113"/>
    </row>
    <row r="58" spans="1:17" x14ac:dyDescent="0.2">
      <c r="B58" s="83"/>
      <c r="C58" s="105"/>
      <c r="D58" s="274"/>
      <c r="E58" s="149"/>
      <c r="F58" s="149"/>
      <c r="G58" s="241"/>
      <c r="H58" s="171"/>
      <c r="K58" s="136" t="s">
        <v>102</v>
      </c>
      <c r="L58" s="137"/>
      <c r="M58" s="137"/>
      <c r="N58" s="137"/>
      <c r="O58" s="137"/>
      <c r="P58" s="138">
        <f>P56</f>
        <v>239.97044037100784</v>
      </c>
    </row>
    <row r="59" spans="1:17" x14ac:dyDescent="0.2">
      <c r="A59" s="12" t="s">
        <v>83</v>
      </c>
      <c r="B59" s="83"/>
      <c r="C59" s="105"/>
      <c r="D59" s="274"/>
      <c r="E59" s="149"/>
      <c r="F59" s="149"/>
      <c r="G59" s="241"/>
      <c r="H59" s="171"/>
      <c r="K59" s="139" t="s">
        <v>103</v>
      </c>
      <c r="L59" s="31"/>
      <c r="M59" s="31"/>
      <c r="N59" s="31"/>
      <c r="O59" s="31"/>
      <c r="P59" s="140">
        <f>P54-P58</f>
        <v>2.6567285022878195E-2</v>
      </c>
    </row>
    <row r="60" spans="1:17" x14ac:dyDescent="0.2">
      <c r="A60" s="56" t="s">
        <v>21</v>
      </c>
      <c r="B60" s="83"/>
      <c r="C60" s="105">
        <f>D60/(B68+B94+B101+B108+B115+B122)*100</f>
        <v>2.8555312400000044</v>
      </c>
      <c r="D60" s="274">
        <v>42.849109713062013</v>
      </c>
      <c r="E60" s="149">
        <f>F60-D60</f>
        <v>0</v>
      </c>
      <c r="F60" s="149">
        <f>D60</f>
        <v>42.849109713062013</v>
      </c>
      <c r="G60" s="105">
        <f>F60/(B68+B94+B101+B108+B115+B122)*100</f>
        <v>2.8555312400000044</v>
      </c>
      <c r="H60" s="171"/>
      <c r="K60" s="139" t="s">
        <v>104</v>
      </c>
      <c r="L60" s="31"/>
      <c r="M60" s="31"/>
      <c r="N60" s="31"/>
      <c r="O60" s="31"/>
      <c r="P60" s="284">
        <v>0.74036601570094662</v>
      </c>
    </row>
    <row r="61" spans="1:17" x14ac:dyDescent="0.2">
      <c r="A61" s="56" t="s">
        <v>22</v>
      </c>
      <c r="B61" s="83"/>
      <c r="C61" s="105">
        <f>D61/(B69+B95+B102+B109+B116+B123)*100</f>
        <v>2.3867589600000025</v>
      </c>
      <c r="D61" s="274">
        <v>5.5497531098407791</v>
      </c>
      <c r="E61" s="149">
        <f>F61-D61</f>
        <v>0</v>
      </c>
      <c r="F61" s="149">
        <f>D61</f>
        <v>5.5497531098407791</v>
      </c>
      <c r="G61" s="105">
        <f>F61/(B69+B95+B102+B109+B116+B123)*100</f>
        <v>2.3867589600000025</v>
      </c>
      <c r="H61" s="171"/>
      <c r="K61" s="141" t="s">
        <v>105</v>
      </c>
      <c r="L61" s="142"/>
      <c r="M61" s="142"/>
      <c r="N61" s="142"/>
      <c r="O61" s="142"/>
      <c r="P61" s="143"/>
    </row>
    <row r="62" spans="1:17" x14ac:dyDescent="0.2">
      <c r="A62" s="56" t="s">
        <v>38</v>
      </c>
      <c r="B62" s="83"/>
      <c r="C62" s="105">
        <f>D62/(B70+B96+B103+B110+B117+B124)*100</f>
        <v>0.92892043999999985</v>
      </c>
      <c r="D62" s="274">
        <v>0.66904910585827326</v>
      </c>
      <c r="E62" s="149">
        <f>F62-D62</f>
        <v>0</v>
      </c>
      <c r="F62" s="149">
        <f>D62</f>
        <v>0.66904910585827326</v>
      </c>
      <c r="G62" s="105">
        <f>F62/(B70+B96+B103+B110+B117+B124)*100</f>
        <v>0.92892043999999985</v>
      </c>
      <c r="H62" s="171"/>
    </row>
    <row r="63" spans="1:17" x14ac:dyDescent="0.2">
      <c r="A63" s="56" t="s">
        <v>39</v>
      </c>
      <c r="B63" s="83"/>
      <c r="C63" s="105">
        <f>D63/(B71+B97+B104+B111+B118+B125)*100</f>
        <v>0.62387170402777836</v>
      </c>
      <c r="D63" s="274">
        <v>1.8423315856641787</v>
      </c>
      <c r="E63" s="149">
        <f>F63-D63</f>
        <v>0</v>
      </c>
      <c r="F63" s="149">
        <f>D63</f>
        <v>1.8423315856641787</v>
      </c>
      <c r="G63" s="105">
        <f>F63/(B71+B97+B104+B111+B118+B125)*100</f>
        <v>0.62387170402777836</v>
      </c>
      <c r="H63" s="171"/>
    </row>
    <row r="64" spans="1:17" x14ac:dyDescent="0.2">
      <c r="A64" s="56" t="s">
        <v>40</v>
      </c>
      <c r="B64" s="83"/>
      <c r="C64" s="105">
        <f>D64/(B72+B98+B105+B112+B119+B126)*100</f>
        <v>0.59140680000000012</v>
      </c>
      <c r="D64" s="274">
        <v>0.46656673014468064</v>
      </c>
      <c r="E64" s="149">
        <f>F64-D64</f>
        <v>0</v>
      </c>
      <c r="F64" s="149">
        <f>D64</f>
        <v>0.46656673014468064</v>
      </c>
      <c r="G64" s="105">
        <f>F64/(B72+B98+B105+B112+B119+B126)*100</f>
        <v>0.59140680000000012</v>
      </c>
      <c r="H64" s="171"/>
    </row>
    <row r="65" spans="1:8" x14ac:dyDescent="0.2">
      <c r="A65" s="57"/>
      <c r="B65" s="83"/>
      <c r="C65" s="105"/>
      <c r="D65" s="194"/>
      <c r="E65" s="149"/>
      <c r="F65" s="149"/>
      <c r="G65" s="241"/>
      <c r="H65" s="171"/>
    </row>
    <row r="66" spans="1:8" x14ac:dyDescent="0.2">
      <c r="A66" s="63" t="s">
        <v>12</v>
      </c>
      <c r="B66" s="83"/>
      <c r="C66" s="105"/>
      <c r="D66" s="194"/>
      <c r="E66" s="149"/>
      <c r="F66" s="149"/>
      <c r="G66" s="241"/>
      <c r="H66" s="171"/>
    </row>
    <row r="67" spans="1:8" x14ac:dyDescent="0.2">
      <c r="A67" s="55" t="s">
        <v>23</v>
      </c>
      <c r="B67" s="83"/>
      <c r="C67" s="105"/>
      <c r="D67" s="194"/>
      <c r="E67" s="149"/>
      <c r="F67" s="149"/>
      <c r="G67" s="105"/>
      <c r="H67" s="82"/>
    </row>
    <row r="68" spans="1:8" x14ac:dyDescent="0.2">
      <c r="A68" s="56" t="s">
        <v>21</v>
      </c>
      <c r="B68" s="83">
        <f>642.584335264508*0.32*0.848</f>
        <v>174.37168521737689</v>
      </c>
      <c r="C68" s="105">
        <f>1.542+6.5</f>
        <v>8.0419999999999998</v>
      </c>
      <c r="D68" s="194">
        <f>C68*B68/100</f>
        <v>14.022970925181449</v>
      </c>
      <c r="E68" s="149">
        <f>($N$51-0.065)*B68</f>
        <v>13.194625729605807</v>
      </c>
      <c r="F68" s="149">
        <f>D68+E68</f>
        <v>27.217596654787258</v>
      </c>
      <c r="G68" s="105">
        <f>F68/B68*100</f>
        <v>15.608954298317984</v>
      </c>
      <c r="H68" s="82"/>
    </row>
    <row r="69" spans="1:8" x14ac:dyDescent="0.2">
      <c r="A69" s="56" t="s">
        <v>22</v>
      </c>
      <c r="B69" s="83">
        <f>90.8256987135955*0.32*0.848</f>
        <v>24.646461602921274</v>
      </c>
      <c r="C69" s="105">
        <f>1.503+6.5</f>
        <v>8.0030000000000001</v>
      </c>
      <c r="D69" s="194">
        <f>C69*B69/100</f>
        <v>1.9724563220817897</v>
      </c>
      <c r="E69" s="149">
        <f>($N$51-0.065)*B69</f>
        <v>1.8649864856455431</v>
      </c>
      <c r="F69" s="149">
        <f>D69+E69</f>
        <v>3.8374428077273328</v>
      </c>
      <c r="G69" s="105">
        <f>F69/B69*100</f>
        <v>15.569954298317986</v>
      </c>
      <c r="H69" s="82"/>
    </row>
    <row r="70" spans="1:8" x14ac:dyDescent="0.2">
      <c r="A70" s="56" t="s">
        <v>38</v>
      </c>
      <c r="B70" s="83">
        <f>30.84286568*0.32*0.848</f>
        <v>8.3695200309247983</v>
      </c>
      <c r="C70" s="105">
        <f>1.069+6.5</f>
        <v>7.569</v>
      </c>
      <c r="D70" s="194">
        <f>C70*B70/100</f>
        <v>0.63348897114069802</v>
      </c>
      <c r="E70" s="149">
        <f>($N$51-0.065)*B70</f>
        <v>0.63331775572864879</v>
      </c>
      <c r="F70" s="149">
        <f>D70+E70</f>
        <v>1.2668067268693468</v>
      </c>
      <c r="G70" s="105">
        <f>F70/B70*100</f>
        <v>15.135954298317985</v>
      </c>
      <c r="H70" s="82"/>
    </row>
    <row r="71" spans="1:8" x14ac:dyDescent="0.2">
      <c r="A71" s="56" t="s">
        <v>39</v>
      </c>
      <c r="B71" s="83">
        <f>114.38365314383*0.32*0.848</f>
        <v>31.039148117109711</v>
      </c>
      <c r="C71" s="105">
        <f>1.025+6.5</f>
        <v>7.5250000000000004</v>
      </c>
      <c r="D71" s="194">
        <f>C71*B71/100</f>
        <v>2.3356958958125058</v>
      </c>
      <c r="E71" s="149">
        <f>($N$51-0.065)*B71</f>
        <v>2.3487181526089191</v>
      </c>
      <c r="F71" s="149">
        <f>D71+E71</f>
        <v>4.6844140484214254</v>
      </c>
      <c r="G71" s="105">
        <f>F71/B71*100</f>
        <v>15.091954298317987</v>
      </c>
      <c r="H71" s="82"/>
    </row>
    <row r="72" spans="1:8" x14ac:dyDescent="0.2">
      <c r="A72" s="56" t="s">
        <v>40</v>
      </c>
      <c r="B72" s="83">
        <f>28.5130954303513*0.32*0.848</f>
        <v>7.7373135759801279</v>
      </c>
      <c r="C72" s="105">
        <f>1.021+6.5</f>
        <v>7.5209999999999999</v>
      </c>
      <c r="D72" s="194">
        <f>C72*B72/100</f>
        <v>0.58192335404946538</v>
      </c>
      <c r="E72" s="149">
        <f>($N$51-0.065)*B72</f>
        <v>0.58547898221196926</v>
      </c>
      <c r="F72" s="149">
        <f>D72+E72</f>
        <v>1.1674023362614347</v>
      </c>
      <c r="G72" s="105">
        <f>F72/B72*100</f>
        <v>15.087954298317985</v>
      </c>
      <c r="H72" s="82"/>
    </row>
    <row r="73" spans="1:8" x14ac:dyDescent="0.2">
      <c r="A73" s="56"/>
      <c r="B73" s="83"/>
      <c r="C73" s="105"/>
      <c r="D73" s="182"/>
      <c r="E73" s="165"/>
      <c r="F73" s="165"/>
      <c r="G73" s="105"/>
      <c r="H73" s="82"/>
    </row>
    <row r="80" spans="1:8" x14ac:dyDescent="0.2">
      <c r="A80" s="56"/>
      <c r="B80" s="82"/>
      <c r="C80" s="173"/>
      <c r="D80" s="182"/>
      <c r="E80" s="184"/>
      <c r="F80" s="165"/>
      <c r="G80" s="83"/>
      <c r="H80" s="173"/>
    </row>
    <row r="81" spans="1:8" x14ac:dyDescent="0.2">
      <c r="D81" s="163"/>
      <c r="E81" s="163"/>
      <c r="F81" s="163"/>
      <c r="H81" s="173"/>
    </row>
    <row r="82" spans="1:8" x14ac:dyDescent="0.2">
      <c r="A82" s="12"/>
      <c r="B82" s="25"/>
      <c r="C82" s="26"/>
      <c r="D82" s="182"/>
      <c r="E82" s="167"/>
      <c r="F82" s="165"/>
      <c r="G82" s="26"/>
      <c r="H82" s="25"/>
    </row>
    <row r="83" spans="1:8" x14ac:dyDescent="0.2">
      <c r="H83" s="45" t="s">
        <v>130</v>
      </c>
    </row>
    <row r="84" spans="1:8" ht="20.25" x14ac:dyDescent="0.3">
      <c r="A84" s="312" t="s">
        <v>9</v>
      </c>
      <c r="B84" s="312"/>
      <c r="C84" s="312"/>
      <c r="D84" s="312"/>
      <c r="E84" s="312"/>
      <c r="F84" s="312"/>
      <c r="G84" s="312"/>
      <c r="H84" s="312"/>
    </row>
    <row r="85" spans="1:8" ht="20.25" x14ac:dyDescent="0.3">
      <c r="A85" s="312" t="s">
        <v>155</v>
      </c>
      <c r="B85" s="312"/>
      <c r="C85" s="312"/>
      <c r="D85" s="312"/>
      <c r="E85" s="312"/>
      <c r="F85" s="312"/>
      <c r="G85" s="312"/>
      <c r="H85" s="312"/>
    </row>
    <row r="86" spans="1:8" ht="13.5" thickBot="1" x14ac:dyDescent="0.25">
      <c r="A86" s="63"/>
      <c r="B86" s="63"/>
      <c r="C86" s="63"/>
      <c r="D86" s="63"/>
      <c r="E86" s="63"/>
      <c r="F86" s="63"/>
      <c r="G86" s="63"/>
      <c r="H86" s="63"/>
    </row>
    <row r="87" spans="1:8" ht="64.5" thickBot="1" x14ac:dyDescent="0.25">
      <c r="A87" s="2" t="s">
        <v>0</v>
      </c>
      <c r="B87" s="3" t="s">
        <v>46</v>
      </c>
      <c r="C87" s="3" t="s">
        <v>201</v>
      </c>
      <c r="D87" s="3" t="s">
        <v>51</v>
      </c>
      <c r="E87" s="3" t="s">
        <v>84</v>
      </c>
      <c r="F87" s="3" t="s">
        <v>6</v>
      </c>
      <c r="G87" s="3" t="s">
        <v>47</v>
      </c>
      <c r="H87" s="3" t="s">
        <v>48</v>
      </c>
    </row>
    <row r="88" spans="1:8" x14ac:dyDescent="0.2">
      <c r="A88" s="72"/>
      <c r="B88" s="74"/>
      <c r="C88" s="74"/>
      <c r="D88" s="74"/>
      <c r="E88" s="74"/>
      <c r="F88" s="74"/>
      <c r="G88" s="74"/>
      <c r="H88" s="74"/>
    </row>
    <row r="89" spans="1:8" x14ac:dyDescent="0.2">
      <c r="A89" s="44" t="s">
        <v>118</v>
      </c>
      <c r="B89" s="74"/>
      <c r="C89" s="74"/>
      <c r="D89" s="74"/>
      <c r="E89" s="74"/>
      <c r="F89" s="74"/>
      <c r="G89" s="74"/>
      <c r="H89" s="74"/>
    </row>
    <row r="90" spans="1:8" x14ac:dyDescent="0.2">
      <c r="A90" s="72"/>
      <c r="B90" s="74"/>
      <c r="C90" s="74"/>
      <c r="D90" s="74"/>
      <c r="E90" s="74"/>
      <c r="F90" s="74"/>
      <c r="G90" s="74"/>
      <c r="H90" s="74"/>
    </row>
    <row r="91" spans="1:8" x14ac:dyDescent="0.2">
      <c r="A91" s="74" t="s">
        <v>12</v>
      </c>
      <c r="B91" s="74"/>
      <c r="C91" s="74"/>
      <c r="D91" s="74"/>
      <c r="E91" s="74"/>
      <c r="F91" s="74"/>
      <c r="G91" s="74"/>
      <c r="H91" s="74"/>
    </row>
    <row r="92" spans="1:8" x14ac:dyDescent="0.2">
      <c r="A92" s="74"/>
      <c r="B92" s="74"/>
      <c r="C92" s="74"/>
      <c r="D92" s="74"/>
      <c r="E92" s="74"/>
      <c r="F92" s="74"/>
      <c r="G92" s="74"/>
      <c r="H92" s="74"/>
    </row>
    <row r="93" spans="1:8" x14ac:dyDescent="0.2">
      <c r="A93" s="28" t="s">
        <v>24</v>
      </c>
      <c r="B93" s="83"/>
      <c r="C93" s="105"/>
      <c r="D93" s="182"/>
      <c r="E93" s="165"/>
      <c r="F93" s="165"/>
      <c r="G93" s="105"/>
      <c r="H93" s="82"/>
    </row>
    <row r="94" spans="1:8" x14ac:dyDescent="0.2">
      <c r="A94" s="56" t="s">
        <v>21</v>
      </c>
      <c r="B94" s="83">
        <f>700.97897383455*0.32*0.848</f>
        <v>190.21765433974349</v>
      </c>
      <c r="C94" s="105">
        <f>1.266+6.5</f>
        <v>7.766</v>
      </c>
      <c r="D94" s="194">
        <f>C94*B94/100</f>
        <v>14.77230303602448</v>
      </c>
      <c r="E94" s="149">
        <f>($N$52-0.065)*B94</f>
        <v>6.3663338202296069</v>
      </c>
      <c r="F94" s="149">
        <f>D94+E94</f>
        <v>21.138636856254088</v>
      </c>
      <c r="G94" s="105">
        <f>F94/B94*100</f>
        <v>11.11286800882259</v>
      </c>
      <c r="H94" s="82"/>
    </row>
    <row r="95" spans="1:8" x14ac:dyDescent="0.2">
      <c r="A95" s="56" t="s">
        <v>22</v>
      </c>
      <c r="B95" s="83">
        <f>109.865540079459*0.32*0.848</f>
        <v>29.813112955961991</v>
      </c>
      <c r="C95" s="243">
        <f>1.237+6.5</f>
        <v>7.7370000000000001</v>
      </c>
      <c r="D95" s="194">
        <f>C95*B95/100</f>
        <v>2.3066405494027795</v>
      </c>
      <c r="E95" s="149">
        <f>($N$52-0.065)*B95</f>
        <v>0.9978055399572342</v>
      </c>
      <c r="F95" s="149">
        <f>D95+E95</f>
        <v>3.3044460893600136</v>
      </c>
      <c r="G95" s="105">
        <f>F95/B95*100</f>
        <v>11.08386800882259</v>
      </c>
      <c r="H95" s="173"/>
    </row>
    <row r="96" spans="1:8" x14ac:dyDescent="0.2">
      <c r="A96" s="56" t="s">
        <v>38</v>
      </c>
      <c r="B96" s="82">
        <f>33.64570088*0.32*0.848</f>
        <v>9.1300973907968004</v>
      </c>
      <c r="C96" s="243">
        <f>0.793+6.5</f>
        <v>7.2930000000000001</v>
      </c>
      <c r="D96" s="194">
        <f>C96*B96/100</f>
        <v>0.66585800271081075</v>
      </c>
      <c r="E96" s="149">
        <f>($N$52-0.065)*B96</f>
        <v>0.30557230874692398</v>
      </c>
      <c r="F96" s="149">
        <f>D96+E96</f>
        <v>0.97143031145773473</v>
      </c>
      <c r="G96" s="105">
        <f>F96/B96*100</f>
        <v>10.639868008822589</v>
      </c>
      <c r="H96" s="173"/>
    </row>
    <row r="97" spans="1:8" x14ac:dyDescent="0.2">
      <c r="A97" s="56" t="s">
        <v>39</v>
      </c>
      <c r="B97" s="82">
        <f>138.659159253819*0.32*0.848</f>
        <v>37.626549455116326</v>
      </c>
      <c r="C97" s="243">
        <f>0.77+6.5</f>
        <v>7.27</v>
      </c>
      <c r="D97" s="194">
        <f>C97*B97/100</f>
        <v>2.7354501453869569</v>
      </c>
      <c r="E97" s="149">
        <f>($N$52-0.065)*B97</f>
        <v>1.2593109465370984</v>
      </c>
      <c r="F97" s="149">
        <f>D97+E97</f>
        <v>3.9947610919240555</v>
      </c>
      <c r="G97" s="105">
        <f>F97/B97*100</f>
        <v>10.616868008822589</v>
      </c>
      <c r="H97" s="173"/>
    </row>
    <row r="98" spans="1:8" x14ac:dyDescent="0.2">
      <c r="A98" s="56" t="s">
        <v>40</v>
      </c>
      <c r="B98" s="82">
        <f>35.2288312315781*0.32*0.848</f>
        <v>9.5596956430010334</v>
      </c>
      <c r="C98" s="243">
        <f>0.767+6.5</f>
        <v>7.2670000000000003</v>
      </c>
      <c r="D98" s="194">
        <f>C98*B98/100</f>
        <v>0.69470308237688516</v>
      </c>
      <c r="E98" s="149">
        <f>($N$52-0.065)*B98</f>
        <v>0.31995039521640845</v>
      </c>
      <c r="F98" s="149">
        <f>D98+E98</f>
        <v>1.0146534775932936</v>
      </c>
      <c r="G98" s="105">
        <f>F98/B98*100</f>
        <v>10.613868008822589</v>
      </c>
      <c r="H98" s="173"/>
    </row>
    <row r="99" spans="1:8" x14ac:dyDescent="0.2">
      <c r="A99" s="74"/>
      <c r="B99" s="74"/>
      <c r="C99" s="74"/>
      <c r="D99" s="228"/>
      <c r="E99" s="228"/>
      <c r="F99" s="228"/>
      <c r="G99" s="74"/>
      <c r="H99" s="74"/>
    </row>
    <row r="100" spans="1:8" x14ac:dyDescent="0.2">
      <c r="A100" s="28" t="s">
        <v>25</v>
      </c>
      <c r="B100" s="83"/>
      <c r="C100" s="173"/>
      <c r="D100" s="194"/>
      <c r="E100" s="24"/>
      <c r="F100" s="149"/>
      <c r="G100" s="83"/>
      <c r="H100" s="74"/>
    </row>
    <row r="101" spans="1:8" x14ac:dyDescent="0.2">
      <c r="A101" s="56" t="s">
        <v>21</v>
      </c>
      <c r="B101" s="82">
        <f>1089.54663131937*0.32*0.848</f>
        <v>295.65937387482421</v>
      </c>
      <c r="C101" s="243">
        <f>0.988+6.5</f>
        <v>7.4879999999999995</v>
      </c>
      <c r="D101" s="194">
        <f>C101*B101/100</f>
        <v>22.138973915746838</v>
      </c>
      <c r="E101" s="149">
        <f>($N$53-0.065)*B101</f>
        <v>1.5772751989687388</v>
      </c>
      <c r="F101" s="149">
        <f>D101+E101</f>
        <v>23.716249114715577</v>
      </c>
      <c r="G101" s="105">
        <f>F101/B101*100</f>
        <v>8.0214771491589918</v>
      </c>
      <c r="H101" s="74"/>
    </row>
    <row r="102" spans="1:8" x14ac:dyDescent="0.2">
      <c r="A102" s="56" t="s">
        <v>22</v>
      </c>
      <c r="B102" s="82">
        <f>176.335322907217*0.32*0.848</f>
        <v>47.850353224102406</v>
      </c>
      <c r="C102" s="243">
        <f>0.976+6.5</f>
        <v>7.476</v>
      </c>
      <c r="D102" s="194">
        <f>C102*B102/100</f>
        <v>3.5772924070338958</v>
      </c>
      <c r="E102" s="149">
        <f>($N$53-0.065)*B102</f>
        <v>0.25527070024244952</v>
      </c>
      <c r="F102" s="149">
        <f>D102+E102</f>
        <v>3.8325631072763455</v>
      </c>
      <c r="G102" s="105">
        <f>F102/B102*100</f>
        <v>8.0094771491589931</v>
      </c>
      <c r="H102" s="74"/>
    </row>
    <row r="103" spans="1:8" x14ac:dyDescent="0.2">
      <c r="A103" s="56" t="s">
        <v>38</v>
      </c>
      <c r="B103" s="84">
        <f>52.29623344*0.32*0.848</f>
        <v>14.191105906278402</v>
      </c>
      <c r="C103" s="243">
        <f>0.711+6.5</f>
        <v>7.2110000000000003</v>
      </c>
      <c r="D103" s="194">
        <f>C103*B103/100</f>
        <v>1.0233206469017357</v>
      </c>
      <c r="E103" s="149">
        <f>($N$53-0.065)*B103</f>
        <v>7.5706307222947411E-2</v>
      </c>
      <c r="F103" s="149">
        <f>D103+E103</f>
        <v>1.0990269541246831</v>
      </c>
      <c r="G103" s="105">
        <f>F103/B103*100</f>
        <v>7.7444771491589934</v>
      </c>
      <c r="H103" s="74"/>
    </row>
    <row r="104" spans="1:8" x14ac:dyDescent="0.2">
      <c r="A104" s="56" t="s">
        <v>39</v>
      </c>
      <c r="B104" s="84">
        <f>225.784985837423*0.32*0.848</f>
        <v>61.269013756843108</v>
      </c>
      <c r="C104" s="243">
        <f>0.697+6.5</f>
        <v>7.1970000000000001</v>
      </c>
      <c r="D104" s="194">
        <f>C104*B104/100</f>
        <v>4.4095309200799981</v>
      </c>
      <c r="E104" s="149">
        <f>($N$53-0.065)*B104</f>
        <v>0.32685618790783744</v>
      </c>
      <c r="F104" s="149">
        <f>D104+E104</f>
        <v>4.7363871079878352</v>
      </c>
      <c r="G104" s="105">
        <f>F104/B104*100</f>
        <v>7.7304771491589914</v>
      </c>
      <c r="H104" s="74"/>
    </row>
    <row r="105" spans="1:8" x14ac:dyDescent="0.2">
      <c r="A105" s="56" t="s">
        <v>40</v>
      </c>
      <c r="B105" s="84">
        <f>64.1768505042946*0.32*0.848</f>
        <v>17.415030152845382</v>
      </c>
      <c r="C105" s="243">
        <f>0.695+6.5</f>
        <v>7.1950000000000003</v>
      </c>
      <c r="D105" s="194">
        <f>C105*B105/100</f>
        <v>1.2530114194972253</v>
      </c>
      <c r="E105" s="149">
        <f>($N$53-0.065)*B105</f>
        <v>9.2905206384578456E-2</v>
      </c>
      <c r="F105" s="149">
        <f>D105+E105</f>
        <v>1.3459166258818038</v>
      </c>
      <c r="G105" s="105">
        <f>F105/B105*100</f>
        <v>7.7284771491589925</v>
      </c>
      <c r="H105" s="74"/>
    </row>
    <row r="106" spans="1:8" x14ac:dyDescent="0.2">
      <c r="A106" s="74"/>
      <c r="B106" s="74"/>
      <c r="C106" s="260"/>
      <c r="D106" s="228"/>
      <c r="E106" s="228"/>
      <c r="F106" s="228"/>
      <c r="G106" s="260"/>
      <c r="H106" s="74"/>
    </row>
    <row r="107" spans="1:8" x14ac:dyDescent="0.2">
      <c r="A107" s="29" t="s">
        <v>28</v>
      </c>
      <c r="B107" s="83"/>
      <c r="C107" s="255"/>
      <c r="D107" s="194"/>
      <c r="E107" s="24"/>
      <c r="F107" s="24"/>
      <c r="G107" s="255"/>
      <c r="H107" s="24"/>
    </row>
    <row r="108" spans="1:8" x14ac:dyDescent="0.2">
      <c r="A108" s="56" t="s">
        <v>21</v>
      </c>
      <c r="B108" s="82">
        <f>315.552240090994*0.32*0.848</f>
        <v>85.628255871092136</v>
      </c>
      <c r="C108" s="243">
        <f>1.344+6.5</f>
        <v>7.8440000000000003</v>
      </c>
      <c r="D108" s="194">
        <f>C108*B108/100</f>
        <v>6.7166803905284675</v>
      </c>
      <c r="E108" s="149">
        <f>($N$51-0.065)*B108</f>
        <v>6.4794509882123288</v>
      </c>
      <c r="F108" s="149">
        <f>D108+E108</f>
        <v>13.196131378740796</v>
      </c>
      <c r="G108" s="243">
        <f>F108/B108*100</f>
        <v>15.410954298317986</v>
      </c>
      <c r="H108" s="25"/>
    </row>
    <row r="109" spans="1:8" x14ac:dyDescent="0.2">
      <c r="A109" s="56" t="s">
        <v>22</v>
      </c>
      <c r="B109" s="82">
        <f>45.1540720349035*0.32*0.848</f>
        <v>12.253008987391414</v>
      </c>
      <c r="C109" s="243">
        <f>1.315+6.5</f>
        <v>7.8149999999999995</v>
      </c>
      <c r="D109" s="194">
        <f>C109*B109/100</f>
        <v>0.95757265236463895</v>
      </c>
      <c r="E109" s="149">
        <f>($N$51-0.065)*B109</f>
        <v>0.92717959024470364</v>
      </c>
      <c r="F109" s="149">
        <f>D109+E109</f>
        <v>1.8847522426093426</v>
      </c>
      <c r="G109" s="243">
        <f>F109/B109*100</f>
        <v>15.381954298317984</v>
      </c>
      <c r="H109" s="25"/>
    </row>
    <row r="110" spans="1:8" x14ac:dyDescent="0.2">
      <c r="A110" s="56" t="s">
        <v>38</v>
      </c>
      <c r="B110" s="82">
        <f>15.14592688*0.32*0.848</f>
        <v>4.1099987181567998</v>
      </c>
      <c r="C110" s="243">
        <f>0.961+6.5</f>
        <v>7.4610000000000003</v>
      </c>
      <c r="D110" s="194">
        <f>C110*B110/100</f>
        <v>0.30664700436167885</v>
      </c>
      <c r="E110" s="149">
        <f>($N$51-0.065)*B110</f>
        <v>0.31100172466438003</v>
      </c>
      <c r="F110" s="149">
        <f>D110+E110</f>
        <v>0.61764872902605883</v>
      </c>
      <c r="G110" s="243">
        <f>F110/B110*100</f>
        <v>15.027954298317983</v>
      </c>
      <c r="H110" s="25"/>
    </row>
    <row r="111" spans="1:8" x14ac:dyDescent="0.2">
      <c r="A111" s="56" t="s">
        <v>39</v>
      </c>
      <c r="B111" s="82">
        <f>57.2979462290751*0.32*0.848</f>
        <v>15.548370688721819</v>
      </c>
      <c r="C111" s="243">
        <f>0.924+6.5</f>
        <v>7.4240000000000004</v>
      </c>
      <c r="D111" s="194">
        <f>C111*B111/100</f>
        <v>1.1543110399307079</v>
      </c>
      <c r="E111" s="149">
        <f>($N$51-0.065)*B111</f>
        <v>1.1765381041486493</v>
      </c>
      <c r="F111" s="149">
        <f>D111+E111</f>
        <v>2.3308491440793571</v>
      </c>
      <c r="G111" s="243">
        <f>F111/B111*100</f>
        <v>14.990954298317986</v>
      </c>
      <c r="H111" s="25"/>
    </row>
    <row r="112" spans="1:8" x14ac:dyDescent="0.2">
      <c r="A112" s="56" t="s">
        <v>40</v>
      </c>
      <c r="B112" s="82">
        <f>14.9455647649119*0.32*0.848</f>
        <v>4.0556284546064933</v>
      </c>
      <c r="C112" s="243">
        <f>0.921+6.5</f>
        <v>7.4210000000000003</v>
      </c>
      <c r="D112" s="194">
        <f>C112*B112/100</f>
        <v>0.30096818761634792</v>
      </c>
      <c r="E112" s="149">
        <f>($N$51-0.065)*B112</f>
        <v>0.30688755166965331</v>
      </c>
      <c r="F112" s="149">
        <f>D112+E112</f>
        <v>0.60785573928600123</v>
      </c>
      <c r="G112" s="243">
        <f>F112/B112*100</f>
        <v>14.987954298317984</v>
      </c>
      <c r="H112" s="25"/>
    </row>
    <row r="113" spans="1:8" x14ac:dyDescent="0.2">
      <c r="A113" s="56"/>
      <c r="B113" s="82"/>
      <c r="C113" s="250"/>
      <c r="D113" s="194"/>
      <c r="E113" s="226"/>
      <c r="F113" s="149"/>
      <c r="G113" s="243"/>
      <c r="H113" s="25"/>
    </row>
    <row r="114" spans="1:8" x14ac:dyDescent="0.2">
      <c r="A114" s="28" t="s">
        <v>29</v>
      </c>
      <c r="B114" s="86"/>
      <c r="C114" s="250"/>
      <c r="D114" s="194"/>
      <c r="E114" s="226"/>
      <c r="F114" s="149"/>
      <c r="G114" s="243"/>
      <c r="H114" s="25"/>
    </row>
    <row r="115" spans="1:8" x14ac:dyDescent="0.2">
      <c r="A115" s="56" t="s">
        <v>21</v>
      </c>
      <c r="B115" s="82">
        <f>1360.99322394496*0.32*0.848</f>
        <v>369.31912124970432</v>
      </c>
      <c r="C115" s="105">
        <f>1.178+6.5</f>
        <v>7.6779999999999999</v>
      </c>
      <c r="D115" s="194">
        <f>C115*B115/100</f>
        <v>28.3563221295523</v>
      </c>
      <c r="E115" s="149">
        <f>($N$52-0.065)*B115</f>
        <v>12.36062351957106</v>
      </c>
      <c r="F115" s="149">
        <f>D115+E115</f>
        <v>40.71694564912336</v>
      </c>
      <c r="G115" s="243">
        <f>F115/B115*100</f>
        <v>11.024868008822589</v>
      </c>
    </row>
    <row r="116" spans="1:8" x14ac:dyDescent="0.2">
      <c r="A116" s="56" t="s">
        <v>22</v>
      </c>
      <c r="B116" s="82">
        <f>205.328665501968*0.32*0.848</f>
        <v>55.717986670614039</v>
      </c>
      <c r="C116" s="243">
        <f>1.155+6.5</f>
        <v>7.6550000000000002</v>
      </c>
      <c r="D116" s="194">
        <f>C116*B116/100</f>
        <v>4.2652118796355047</v>
      </c>
      <c r="E116" s="149">
        <f>($N$52-0.065)*B116</f>
        <v>1.8648074710388154</v>
      </c>
      <c r="F116" s="149">
        <f>D116+E116</f>
        <v>6.1300193506743206</v>
      </c>
      <c r="G116" s="243">
        <f>F116/B116*100</f>
        <v>11.001868008822589</v>
      </c>
      <c r="H116" s="25"/>
    </row>
    <row r="117" spans="1:8" x14ac:dyDescent="0.2">
      <c r="A117" s="56" t="s">
        <v>38</v>
      </c>
      <c r="B117" s="82">
        <f>65.3251704*0.32*0.848</f>
        <v>17.726638239744002</v>
      </c>
      <c r="C117" s="243">
        <f>0.795+6.5</f>
        <v>7.2949999999999999</v>
      </c>
      <c r="D117" s="194">
        <f>C117*B117/100</f>
        <v>1.293158259589325</v>
      </c>
      <c r="E117" s="149">
        <f>($N$52-0.065)*B117</f>
        <v>0.59328718428570359</v>
      </c>
      <c r="F117" s="149">
        <f>D117+E117</f>
        <v>1.8864454438750284</v>
      </c>
      <c r="G117" s="243">
        <f>F117/B117*100</f>
        <v>10.641868008822588</v>
      </c>
      <c r="H117" s="25"/>
    </row>
    <row r="118" spans="1:8" x14ac:dyDescent="0.2">
      <c r="A118" s="56" t="s">
        <v>39</v>
      </c>
      <c r="B118" s="82">
        <f>259.491998810725*0.32*0.848</f>
        <v>70.41574879727834</v>
      </c>
      <c r="C118" s="243">
        <f>0.772+6.5</f>
        <v>7.2720000000000002</v>
      </c>
      <c r="D118" s="194">
        <f>C118*B118/100</f>
        <v>5.1206332525380809</v>
      </c>
      <c r="E118" s="149">
        <f>($N$52-0.065)*B118</f>
        <v>2.3567221696689855</v>
      </c>
      <c r="F118" s="149">
        <f>D118+E118</f>
        <v>7.4773554222070668</v>
      </c>
      <c r="G118" s="243">
        <f>F118/B118*100</f>
        <v>10.61886800882259</v>
      </c>
      <c r="H118" s="25"/>
    </row>
    <row r="119" spans="1:8" x14ac:dyDescent="0.2">
      <c r="A119" s="56" t="s">
        <v>40</v>
      </c>
      <c r="B119" s="86">
        <f>64.715272266367*0.32*0.848</f>
        <v>17.561136282201346</v>
      </c>
      <c r="C119" s="243">
        <f>0.769+6.5</f>
        <v>7.2690000000000001</v>
      </c>
      <c r="D119" s="194">
        <f>C119*B119/100</f>
        <v>1.2765189963532158</v>
      </c>
      <c r="E119" s="149">
        <f>($N$52-0.065)*B119</f>
        <v>0.58774805221473336</v>
      </c>
      <c r="F119" s="149">
        <f>D119+E119</f>
        <v>1.8642670485679491</v>
      </c>
      <c r="G119" s="243">
        <f>F119/B119*100</f>
        <v>10.615868008822588</v>
      </c>
      <c r="H119" s="25"/>
    </row>
    <row r="120" spans="1:8" x14ac:dyDescent="0.2">
      <c r="A120" s="56"/>
      <c r="B120" s="82"/>
      <c r="C120" s="250"/>
      <c r="D120" s="194"/>
      <c r="E120" s="226"/>
      <c r="F120" s="149"/>
      <c r="G120" s="243"/>
      <c r="H120" s="25"/>
    </row>
    <row r="121" spans="1:8" x14ac:dyDescent="0.2">
      <c r="A121" s="28" t="s">
        <v>30</v>
      </c>
      <c r="B121" s="86"/>
      <c r="C121" s="250"/>
      <c r="D121" s="194"/>
      <c r="E121" s="226"/>
      <c r="F121" s="149"/>
      <c r="G121" s="243"/>
      <c r="H121" s="25"/>
    </row>
    <row r="122" spans="1:8" x14ac:dyDescent="0.2">
      <c r="A122" s="56" t="s">
        <v>21</v>
      </c>
      <c r="B122" s="82">
        <f>1420.13991467841*0.32*0.848</f>
        <v>385.3691672471333</v>
      </c>
      <c r="C122" s="243">
        <f>0.993+6.5</f>
        <v>7.4930000000000003</v>
      </c>
      <c r="D122" s="194">
        <f>C122*B122/100</f>
        <v>28.875711701827701</v>
      </c>
      <c r="E122" s="149">
        <f>($N$53-0.065)*B122</f>
        <v>2.0558564471677561</v>
      </c>
      <c r="F122" s="149">
        <f>D122+E122</f>
        <v>30.931568148995456</v>
      </c>
      <c r="G122" s="243">
        <f>F122/B122*100</f>
        <v>8.0264771491589926</v>
      </c>
      <c r="H122" s="25"/>
    </row>
    <row r="123" spans="1:8" x14ac:dyDescent="0.2">
      <c r="A123" s="56" t="s">
        <v>22</v>
      </c>
      <c r="B123" s="82">
        <f>229.369250081656*0.32*0.848</f>
        <v>62.241639702158167</v>
      </c>
      <c r="C123" s="243">
        <f>0.981+6.5</f>
        <v>7.4809999999999999</v>
      </c>
      <c r="D123" s="194">
        <f>C123*B123/100</f>
        <v>4.6562970661184524</v>
      </c>
      <c r="E123" s="149">
        <f>($N$53-0.065)*B123</f>
        <v>0.33204492507288491</v>
      </c>
      <c r="F123" s="149">
        <f>D123+E123</f>
        <v>4.9883419911913371</v>
      </c>
      <c r="G123" s="243">
        <f>F123/B123*100</f>
        <v>8.0144771491589921</v>
      </c>
      <c r="H123" s="25"/>
    </row>
    <row r="124" spans="1:8" x14ac:dyDescent="0.2">
      <c r="A124" s="56" t="s">
        <v>38</v>
      </c>
      <c r="B124" s="82">
        <f>68.16410272*0.32*0.848</f>
        <v>18.497010914099203</v>
      </c>
      <c r="C124" s="243">
        <f>0.714+6.5</f>
        <v>7.2140000000000004</v>
      </c>
      <c r="D124" s="194">
        <f>C124*B124/100</f>
        <v>1.3343743673431165</v>
      </c>
      <c r="E124" s="149">
        <f>($N$53-0.065)*B124</f>
        <v>9.8677326504164095E-2</v>
      </c>
      <c r="F124" s="149">
        <f>D124+E124</f>
        <v>1.4330516938472806</v>
      </c>
      <c r="G124" s="243">
        <f>F124/B124*100</f>
        <v>7.7474771491589918</v>
      </c>
      <c r="H124" s="25"/>
    </row>
    <row r="125" spans="1:8" x14ac:dyDescent="0.2">
      <c r="A125" s="56" t="s">
        <v>39</v>
      </c>
      <c r="B125" s="82">
        <f>292.627252713928*0.32*0.848</f>
        <v>79.407331296451488</v>
      </c>
      <c r="C125" s="243">
        <f>0.7+6.5</f>
        <v>7.2</v>
      </c>
      <c r="D125" s="194">
        <f>C125*B125/100</f>
        <v>5.7173278533445071</v>
      </c>
      <c r="E125" s="149">
        <f>($N$53-0.065)*B125</f>
        <v>0.42361996722354572</v>
      </c>
      <c r="F125" s="149">
        <f>D125+E125</f>
        <v>6.1409478205680532</v>
      </c>
      <c r="G125" s="243">
        <f>F125/B125*100</f>
        <v>7.7334771491589933</v>
      </c>
      <c r="H125" s="25"/>
    </row>
    <row r="126" spans="1:8" x14ac:dyDescent="0.2">
      <c r="A126" s="56" t="s">
        <v>40</v>
      </c>
      <c r="B126" s="82">
        <f>83.1448793620971*0.32*0.848</f>
        <v>22.56219446369867</v>
      </c>
      <c r="C126" s="243">
        <f>0.698+6.5</f>
        <v>7.1980000000000004</v>
      </c>
      <c r="D126" s="194">
        <f>C126*B126/100</f>
        <v>1.6240267574970304</v>
      </c>
      <c r="E126" s="149">
        <f>($N$53-0.065)*B126</f>
        <v>0.12036415181264767</v>
      </c>
      <c r="F126" s="149">
        <f>D126+E126</f>
        <v>1.7443909093096781</v>
      </c>
      <c r="G126" s="243">
        <f>F126/B126*100</f>
        <v>7.7314771491589926</v>
      </c>
      <c r="H126" s="25"/>
    </row>
    <row r="127" spans="1:8" x14ac:dyDescent="0.2">
      <c r="A127" s="56"/>
      <c r="B127" s="85"/>
      <c r="C127" s="250"/>
      <c r="D127" s="194"/>
      <c r="E127" s="226"/>
      <c r="F127" s="149"/>
      <c r="G127" s="250"/>
      <c r="H127" s="25"/>
    </row>
    <row r="128" spans="1:8" ht="13.5" thickBot="1" x14ac:dyDescent="0.25">
      <c r="A128" s="146" t="s">
        <v>50</v>
      </c>
      <c r="B128" s="178">
        <f>SUM(B68:B126)</f>
        <v>2179.3093528268769</v>
      </c>
      <c r="C128" s="242">
        <f>D128/B128*100</f>
        <v>10.006718417995733</v>
      </c>
      <c r="D128" s="229">
        <f>SUM(D53:D126)</f>
        <v>218.07735039443071</v>
      </c>
      <c r="E128" s="229">
        <f>SUM(E53:E126)</f>
        <v>60.198922890714726</v>
      </c>
      <c r="F128" s="229">
        <f>SUM(F53:F126)</f>
        <v>278.27627328514558</v>
      </c>
      <c r="G128" s="240">
        <f>F128/B128*100</f>
        <v>12.769012023198146</v>
      </c>
      <c r="H128" s="148">
        <f>(G128-C128)/C128</f>
        <v>0.27604390268789814</v>
      </c>
    </row>
    <row r="129" spans="1:8" ht="13.5" thickTop="1" x14ac:dyDescent="0.2">
      <c r="A129" s="72"/>
      <c r="B129" s="181"/>
      <c r="C129" s="181"/>
      <c r="D129" s="183"/>
      <c r="E129" s="228"/>
      <c r="F129" s="228"/>
      <c r="G129" s="181"/>
      <c r="H129" s="74"/>
    </row>
    <row r="130" spans="1:8" x14ac:dyDescent="0.2">
      <c r="A130" s="72"/>
      <c r="B130" s="264"/>
      <c r="C130" s="181"/>
      <c r="D130" s="183"/>
      <c r="E130" s="228"/>
      <c r="F130" s="260"/>
      <c r="G130" s="181"/>
      <c r="H130" s="74"/>
    </row>
    <row r="131" spans="1:8" x14ac:dyDescent="0.2">
      <c r="F131" s="114"/>
      <c r="H131" s="45" t="s">
        <v>131</v>
      </c>
    </row>
    <row r="132" spans="1:8" ht="20.25" x14ac:dyDescent="0.3">
      <c r="A132" s="312" t="s">
        <v>9</v>
      </c>
      <c r="B132" s="312"/>
      <c r="C132" s="312"/>
      <c r="D132" s="312"/>
      <c r="E132" s="312"/>
      <c r="F132" s="312"/>
      <c r="G132" s="312"/>
      <c r="H132" s="312"/>
    </row>
    <row r="133" spans="1:8" ht="20.25" x14ac:dyDescent="0.3">
      <c r="A133" s="312" t="s">
        <v>155</v>
      </c>
      <c r="B133" s="312"/>
      <c r="C133" s="312"/>
      <c r="D133" s="312"/>
      <c r="E133" s="312"/>
      <c r="F133" s="312"/>
      <c r="G133" s="312"/>
      <c r="H133" s="312"/>
    </row>
    <row r="134" spans="1:8" ht="13.5" thickBot="1" x14ac:dyDescent="0.25">
      <c r="A134" s="63"/>
      <c r="B134" s="63"/>
      <c r="C134" s="63"/>
      <c r="D134" s="63"/>
      <c r="E134" s="63"/>
      <c r="F134" s="63"/>
      <c r="G134" s="63"/>
      <c r="H134" s="63"/>
    </row>
    <row r="135" spans="1:8" ht="64.5" thickBot="1" x14ac:dyDescent="0.25">
      <c r="A135" s="2" t="s">
        <v>0</v>
      </c>
      <c r="B135" s="3" t="s">
        <v>46</v>
      </c>
      <c r="C135" s="3" t="s">
        <v>199</v>
      </c>
      <c r="D135" s="3" t="s">
        <v>51</v>
      </c>
      <c r="E135" s="3" t="s">
        <v>84</v>
      </c>
      <c r="F135" s="3" t="s">
        <v>6</v>
      </c>
      <c r="G135" s="3" t="s">
        <v>47</v>
      </c>
      <c r="H135" s="3" t="s">
        <v>48</v>
      </c>
    </row>
    <row r="136" spans="1:8" x14ac:dyDescent="0.2">
      <c r="A136" s="72"/>
      <c r="B136" s="181"/>
      <c r="C136" s="181"/>
      <c r="D136" s="183"/>
      <c r="E136" s="228"/>
      <c r="F136" s="228"/>
      <c r="G136" s="181"/>
      <c r="H136" s="74"/>
    </row>
    <row r="137" spans="1:8" x14ac:dyDescent="0.2">
      <c r="A137" s="64" t="s">
        <v>31</v>
      </c>
      <c r="B137" s="83"/>
      <c r="C137" s="83"/>
      <c r="D137" s="182"/>
      <c r="E137" s="149"/>
      <c r="F137" s="149"/>
      <c r="G137" s="177"/>
      <c r="H137" s="12"/>
    </row>
    <row r="138" spans="1:8" x14ac:dyDescent="0.2">
      <c r="A138" s="64"/>
      <c r="B138" s="83"/>
      <c r="C138" s="83"/>
      <c r="D138" s="182"/>
      <c r="E138" s="149"/>
      <c r="F138" s="149"/>
      <c r="G138" s="177"/>
      <c r="H138" s="12"/>
    </row>
    <row r="139" spans="1:8" x14ac:dyDescent="0.2">
      <c r="A139" s="77" t="s">
        <v>13</v>
      </c>
      <c r="B139" s="83"/>
      <c r="C139" s="83"/>
      <c r="D139" s="182"/>
      <c r="E139" s="149"/>
      <c r="F139" s="149"/>
      <c r="G139" s="177"/>
      <c r="H139" s="12"/>
    </row>
    <row r="140" spans="1:8" x14ac:dyDescent="0.2">
      <c r="A140" s="12" t="s">
        <v>79</v>
      </c>
      <c r="B140" s="83"/>
      <c r="C140" s="83"/>
      <c r="D140" s="182"/>
      <c r="E140" s="149"/>
      <c r="F140" s="149"/>
      <c r="G140" s="177"/>
      <c r="H140" s="12"/>
    </row>
    <row r="141" spans="1:8" x14ac:dyDescent="0.2">
      <c r="A141" s="58" t="s">
        <v>33</v>
      </c>
      <c r="B141" s="83"/>
      <c r="C141" s="234">
        <f>D141/(B152+B157+B162)*100</f>
        <v>0.16553950905565484</v>
      </c>
      <c r="D141" s="266">
        <v>0.4496844170617546</v>
      </c>
      <c r="E141" s="221">
        <f>F141-D141</f>
        <v>0</v>
      </c>
      <c r="F141" s="221">
        <f>D141</f>
        <v>0.4496844170617546</v>
      </c>
      <c r="G141" s="235">
        <f>F141/(B152+B157+B162)*100</f>
        <v>0.16553950905565484</v>
      </c>
      <c r="H141" s="12"/>
    </row>
    <row r="142" spans="1:8" x14ac:dyDescent="0.2">
      <c r="A142" s="52" t="s">
        <v>34</v>
      </c>
      <c r="B142" s="83"/>
      <c r="C142" s="234">
        <f>D142/(B153+B158+B163)*100</f>
        <v>6.1909990041723664E-2</v>
      </c>
      <c r="D142" s="266">
        <v>7.7389680736697081E-3</v>
      </c>
      <c r="E142" s="221">
        <f>F142-D142</f>
        <v>0</v>
      </c>
      <c r="F142" s="221">
        <f>D142</f>
        <v>7.7389680736697081E-3</v>
      </c>
      <c r="G142" s="235">
        <f>F142/(B153+B158+B163)*100</f>
        <v>6.1909990041723664E-2</v>
      </c>
      <c r="H142" s="12"/>
    </row>
    <row r="143" spans="1:8" x14ac:dyDescent="0.2">
      <c r="A143" s="52" t="s">
        <v>35</v>
      </c>
      <c r="B143" s="83"/>
      <c r="C143" s="234">
        <f>D143/(B154+B159+B164)*100</f>
        <v>8.423875511735246E-2</v>
      </c>
      <c r="D143" s="266">
        <v>5.0371981544595741E-4</v>
      </c>
      <c r="E143" s="221">
        <f>F143-D143</f>
        <v>0</v>
      </c>
      <c r="F143" s="221">
        <f>D143</f>
        <v>5.0371981544595741E-4</v>
      </c>
      <c r="G143" s="235">
        <f>F143/(B154+B159+B164)*100</f>
        <v>8.423875511735246E-2</v>
      </c>
      <c r="H143" s="12"/>
    </row>
    <row r="144" spans="1:8" x14ac:dyDescent="0.2">
      <c r="A144" s="52"/>
      <c r="B144" s="83"/>
      <c r="C144" s="83"/>
      <c r="D144" s="266"/>
      <c r="E144" s="221"/>
      <c r="F144" s="221"/>
      <c r="G144" s="177"/>
      <c r="H144" s="12"/>
    </row>
    <row r="145" spans="1:8" x14ac:dyDescent="0.2">
      <c r="A145" s="12" t="s">
        <v>83</v>
      </c>
      <c r="B145" s="83"/>
      <c r="D145" s="266"/>
      <c r="E145" s="267"/>
      <c r="F145" s="267"/>
      <c r="G145" s="177"/>
      <c r="H145" s="12"/>
    </row>
    <row r="146" spans="1:8" x14ac:dyDescent="0.2">
      <c r="A146" s="58" t="s">
        <v>33</v>
      </c>
      <c r="B146" s="83"/>
      <c r="C146" s="234">
        <f>D146/(B152+B157+B162)*100</f>
        <v>3.7987559999999996</v>
      </c>
      <c r="D146" s="266">
        <v>10.319236701647624</v>
      </c>
      <c r="E146" s="221">
        <f>F146-D146</f>
        <v>0</v>
      </c>
      <c r="F146" s="267">
        <f>D146</f>
        <v>10.319236701647624</v>
      </c>
      <c r="G146" s="235">
        <f>F146/(B152+B157+B162)*100</f>
        <v>3.7987559999999996</v>
      </c>
      <c r="H146" s="12"/>
    </row>
    <row r="147" spans="1:8" x14ac:dyDescent="0.2">
      <c r="A147" s="52" t="s">
        <v>34</v>
      </c>
      <c r="B147" s="83"/>
      <c r="C147" s="234">
        <f>D147/(B153+B158+B163)*100</f>
        <v>3.1100447999999976</v>
      </c>
      <c r="D147" s="266">
        <v>0.38876661744997382</v>
      </c>
      <c r="E147" s="221">
        <f>F147-D147</f>
        <v>0</v>
      </c>
      <c r="F147" s="267">
        <f>D147</f>
        <v>0.38876661744997382</v>
      </c>
      <c r="G147" s="235">
        <f>F147/(B153+B158+B163)*100</f>
        <v>3.1100447999999976</v>
      </c>
      <c r="H147" s="12"/>
    </row>
    <row r="148" spans="1:8" x14ac:dyDescent="0.2">
      <c r="A148" s="52" t="s">
        <v>35</v>
      </c>
      <c r="B148" s="83"/>
      <c r="C148" s="234">
        <f>D148/(B154+B159+B164)*100</f>
        <v>0.5824412000000001</v>
      </c>
      <c r="D148" s="266">
        <v>3.4828051929709342E-3</v>
      </c>
      <c r="E148" s="221">
        <f>F148-D148</f>
        <v>0</v>
      </c>
      <c r="F148" s="267">
        <f>D148</f>
        <v>3.4828051929709342E-3</v>
      </c>
      <c r="G148" s="235">
        <f>F148/(B154+B159+B164)*100</f>
        <v>0.5824412000000001</v>
      </c>
      <c r="H148" s="12"/>
    </row>
    <row r="149" spans="1:8" x14ac:dyDescent="0.2">
      <c r="A149" s="52"/>
      <c r="B149" s="83"/>
      <c r="C149" s="83"/>
      <c r="D149" s="194"/>
      <c r="E149" s="149"/>
      <c r="F149" s="149"/>
      <c r="G149" s="177"/>
      <c r="H149" s="12"/>
    </row>
    <row r="150" spans="1:8" x14ac:dyDescent="0.2">
      <c r="A150" s="63" t="s">
        <v>12</v>
      </c>
      <c r="B150" s="83"/>
      <c r="C150" s="83"/>
      <c r="D150" s="194"/>
      <c r="E150" s="149"/>
      <c r="F150" s="149"/>
      <c r="G150" s="177"/>
      <c r="H150" s="12"/>
    </row>
    <row r="151" spans="1:8" x14ac:dyDescent="0.2">
      <c r="A151" s="12" t="s">
        <v>32</v>
      </c>
      <c r="B151" s="83"/>
      <c r="C151" s="173"/>
      <c r="D151" s="24"/>
      <c r="E151" s="24"/>
      <c r="F151" s="24"/>
      <c r="G151" s="173"/>
      <c r="H151" s="23"/>
    </row>
    <row r="152" spans="1:8" x14ac:dyDescent="0.2">
      <c r="A152" s="58" t="s">
        <v>33</v>
      </c>
      <c r="B152" s="84">
        <f>112.939299431931*0.57*0.848</f>
        <v>54.590339773418165</v>
      </c>
      <c r="C152" s="243">
        <f>2.18+6.5</f>
        <v>8.68</v>
      </c>
      <c r="D152" s="149">
        <f>B152*C152/100</f>
        <v>4.7384414923326963</v>
      </c>
      <c r="E152" s="149">
        <f>($N$51-0.065)*B152</f>
        <v>4.1308260619510584</v>
      </c>
      <c r="F152" s="149">
        <f>D152+E152</f>
        <v>8.8692675542837556</v>
      </c>
      <c r="G152" s="243">
        <f>F152/B152*100</f>
        <v>16.246954298317988</v>
      </c>
      <c r="H152" s="23"/>
    </row>
    <row r="153" spans="1:8" x14ac:dyDescent="0.2">
      <c r="A153" s="52" t="s">
        <v>34</v>
      </c>
      <c r="B153" s="84">
        <f>4.68908108215586*0.57*0.848</f>
        <v>2.2665142318708562</v>
      </c>
      <c r="C153" s="245">
        <f>2.129+6.5</f>
        <v>8.6289999999999996</v>
      </c>
      <c r="D153" s="149">
        <f>B153*C153/100</f>
        <v>0.19557751306813617</v>
      </c>
      <c r="E153" s="149">
        <f>($N$51-0.065)*B153</f>
        <v>0.17150609609054063</v>
      </c>
      <c r="F153" s="149">
        <f>D153+E153</f>
        <v>0.36708360915867677</v>
      </c>
      <c r="G153" s="243">
        <f>F153/B153*100</f>
        <v>16.195954298317982</v>
      </c>
      <c r="H153" s="31"/>
    </row>
    <row r="154" spans="1:8" x14ac:dyDescent="0.2">
      <c r="A154" s="52" t="s">
        <v>35</v>
      </c>
      <c r="B154" s="84">
        <f>0.184125685689439*0.57*0.848</f>
        <v>8.8998991434847213E-2</v>
      </c>
      <c r="C154" s="245">
        <f>0.996+6.5</f>
        <v>7.4960000000000004</v>
      </c>
      <c r="D154" s="149">
        <f>B154*C154/100</f>
        <v>6.671364397956148E-3</v>
      </c>
      <c r="E154" s="149">
        <f>($N$51-0.065)*B154</f>
        <v>6.7345130078388261E-3</v>
      </c>
      <c r="F154" s="149">
        <f>D154+E154</f>
        <v>1.3405877405794974E-2</v>
      </c>
      <c r="G154" s="243">
        <f>F154/B154*100</f>
        <v>15.062954298317985</v>
      </c>
      <c r="H154" s="31"/>
    </row>
    <row r="155" spans="1:8" x14ac:dyDescent="0.2">
      <c r="A155" s="52"/>
      <c r="B155" s="83"/>
      <c r="C155" s="245"/>
      <c r="D155" s="149"/>
      <c r="E155" s="151"/>
      <c r="F155" s="149"/>
      <c r="G155" s="243"/>
      <c r="H155" s="31"/>
    </row>
    <row r="156" spans="1:8" x14ac:dyDescent="0.2">
      <c r="A156" s="28" t="s">
        <v>36</v>
      </c>
      <c r="B156" s="83"/>
      <c r="C156" s="245"/>
      <c r="D156" s="149"/>
      <c r="E156" s="151"/>
      <c r="F156" s="149"/>
      <c r="G156" s="243"/>
      <c r="H156" s="31"/>
    </row>
    <row r="157" spans="1:8" x14ac:dyDescent="0.2">
      <c r="A157" s="52" t="s">
        <v>33</v>
      </c>
      <c r="B157" s="84">
        <f>249.756808230223*0.57*0.848</f>
        <v>120.72245082616057</v>
      </c>
      <c r="C157" s="245">
        <f>1.54+6.5</f>
        <v>8.0399999999999991</v>
      </c>
      <c r="D157" s="149">
        <f>B157*C157/100</f>
        <v>9.7060850464233095</v>
      </c>
      <c r="E157" s="149">
        <f>($N$52-0.065)*B157</f>
        <v>4.0404210861673491</v>
      </c>
      <c r="F157" s="149">
        <f>D157+E157</f>
        <v>13.746506132590659</v>
      </c>
      <c r="G157" s="243">
        <f>F157/B157*100</f>
        <v>11.386868008822589</v>
      </c>
      <c r="H157" s="31"/>
    </row>
    <row r="158" spans="1:8" x14ac:dyDescent="0.2">
      <c r="A158" s="52" t="s">
        <v>34</v>
      </c>
      <c r="B158" s="84">
        <f>11.4248313873357*0.57*0.848</f>
        <v>5.5223064993825837</v>
      </c>
      <c r="C158" s="245">
        <f>1.513+6.5</f>
        <v>8.0129999999999999</v>
      </c>
      <c r="D158" s="149">
        <f>B158*C158/100</f>
        <v>0.4425024197955264</v>
      </c>
      <c r="E158" s="149">
        <f>($N$52-0.065)*B158</f>
        <v>0.18482430957696627</v>
      </c>
      <c r="F158" s="149">
        <f>D158+E158</f>
        <v>0.62732672937249268</v>
      </c>
      <c r="G158" s="243">
        <f>F158/B158*100</f>
        <v>11.359868008822588</v>
      </c>
      <c r="H158" s="31"/>
    </row>
    <row r="159" spans="1:8" x14ac:dyDescent="0.2">
      <c r="A159" s="52" t="s">
        <v>35</v>
      </c>
      <c r="B159" s="84">
        <f>0.41777019039294*0.57*0.848</f>
        <v>0.20193339922833145</v>
      </c>
      <c r="C159" s="245">
        <f>0.78+6.5</f>
        <v>7.28</v>
      </c>
      <c r="D159" s="149">
        <f>B159*C159/100</f>
        <v>1.470075146382253E-2</v>
      </c>
      <c r="E159" s="149">
        <f>($N$52-0.065)*B159</f>
        <v>6.7584443379010255E-3</v>
      </c>
      <c r="F159" s="149">
        <f>D159+E159</f>
        <v>2.1459195801723556E-2</v>
      </c>
      <c r="G159" s="243">
        <f>F159/B159*100</f>
        <v>10.626868008822589</v>
      </c>
      <c r="H159" s="31"/>
    </row>
    <row r="160" spans="1:8" x14ac:dyDescent="0.2">
      <c r="D160" s="114"/>
      <c r="E160" s="114"/>
      <c r="F160" s="114"/>
    </row>
    <row r="161" spans="1:8" x14ac:dyDescent="0.2">
      <c r="A161" s="54" t="s">
        <v>37</v>
      </c>
      <c r="B161" s="83"/>
      <c r="C161" s="83"/>
      <c r="D161" s="149"/>
      <c r="E161" s="268"/>
      <c r="F161" s="149"/>
      <c r="G161" s="82"/>
    </row>
    <row r="162" spans="1:8" x14ac:dyDescent="0.2">
      <c r="A162" s="45" t="s">
        <v>33</v>
      </c>
      <c r="B162" s="84">
        <f>199.302794765846*0.57*0.848</f>
        <v>96.334998878019306</v>
      </c>
      <c r="C162" s="105">
        <f>1.303+6.5</f>
        <v>7.8029999999999999</v>
      </c>
      <c r="D162" s="149">
        <f>B162*C162/100</f>
        <v>7.5170199624518466</v>
      </c>
      <c r="E162" s="149">
        <f>($N$53-0.065)*B162</f>
        <v>0.51392520565680466</v>
      </c>
      <c r="F162" s="149">
        <f>D162+E162</f>
        <v>8.0309451681086514</v>
      </c>
      <c r="G162" s="243">
        <f>F162/B162*100</f>
        <v>8.3364771491589931</v>
      </c>
    </row>
    <row r="163" spans="1:8" x14ac:dyDescent="0.2">
      <c r="A163" s="45" t="s">
        <v>34</v>
      </c>
      <c r="B163" s="84">
        <f>9.74746260030846*0.57*0.848</f>
        <v>4.7115335224850963</v>
      </c>
      <c r="C163" s="105">
        <f>1.284+6.5</f>
        <v>7.7839999999999998</v>
      </c>
      <c r="D163" s="149">
        <f>B163*C163/100</f>
        <v>0.36674576939023984</v>
      </c>
      <c r="E163" s="149">
        <f>($N$53-0.065)*B163</f>
        <v>2.5134954717423743E-2</v>
      </c>
      <c r="F163" s="149">
        <f>D163+E163</f>
        <v>0.39188072410766356</v>
      </c>
      <c r="G163" s="243">
        <f>F163/B163*100</f>
        <v>8.3174771491589894</v>
      </c>
    </row>
    <row r="164" spans="1:8" x14ac:dyDescent="0.2">
      <c r="A164" s="45" t="s">
        <v>35</v>
      </c>
      <c r="B164" s="84">
        <f>0.635208626117621*0.57*0.848</f>
        <v>0.3070344415202132</v>
      </c>
      <c r="C164" s="105">
        <f>0.707+6.5</f>
        <v>7.2069999999999999</v>
      </c>
      <c r="D164" s="149">
        <f>B164*C164/100</f>
        <v>2.2127972200361765E-2</v>
      </c>
      <c r="E164" s="149">
        <f>($N$53-0.065)*B164</f>
        <v>1.6379585855582669E-3</v>
      </c>
      <c r="F164" s="149">
        <f>D164+E164</f>
        <v>2.3765930785920032E-2</v>
      </c>
      <c r="G164" s="243">
        <f>F164/B164*100</f>
        <v>7.7404771491589921</v>
      </c>
    </row>
    <row r="165" spans="1:8" x14ac:dyDescent="0.2">
      <c r="A165" s="45"/>
      <c r="B165" s="83"/>
      <c r="C165" s="105"/>
      <c r="D165" s="114"/>
      <c r="E165" s="268"/>
      <c r="F165" s="114"/>
      <c r="G165" s="243"/>
    </row>
    <row r="166" spans="1:8" ht="13.5" thickBot="1" x14ac:dyDescent="0.25">
      <c r="A166" s="162" t="s">
        <v>56</v>
      </c>
      <c r="B166" s="158">
        <f>SUM(B152:B164)</f>
        <v>284.74611056351995</v>
      </c>
      <c r="C166" s="261">
        <f>D166/B166*100</f>
        <v>12.003424894241276</v>
      </c>
      <c r="D166" s="269">
        <f>SUM(D141:D164)</f>
        <v>34.17928552076534</v>
      </c>
      <c r="E166" s="269">
        <f>SUM(E141:E164)</f>
        <v>9.0817686300914389</v>
      </c>
      <c r="F166" s="269">
        <f>SUM(F141:F164)</f>
        <v>43.261054150856779</v>
      </c>
      <c r="G166" s="261">
        <f>F166/B166*100</f>
        <v>15.192851647821293</v>
      </c>
      <c r="H166" s="148">
        <f>(G166-C166)/C166</f>
        <v>0.26570972715546931</v>
      </c>
    </row>
    <row r="167" spans="1:8" ht="13.5" thickTop="1" x14ac:dyDescent="0.2">
      <c r="C167" s="113"/>
      <c r="D167" s="163"/>
      <c r="E167" s="163"/>
      <c r="F167" s="163"/>
      <c r="G167" s="113"/>
    </row>
    <row r="168" spans="1:8" x14ac:dyDescent="0.2">
      <c r="C168" s="113"/>
      <c r="D168" s="163"/>
      <c r="E168" s="164"/>
      <c r="F168" s="163"/>
      <c r="G168" s="113"/>
    </row>
    <row r="169" spans="1:8" ht="13.5" thickBot="1" x14ac:dyDescent="0.25">
      <c r="A169" s="33"/>
      <c r="B169" s="33"/>
      <c r="C169" s="262"/>
      <c r="D169" s="230"/>
      <c r="E169" s="231"/>
      <c r="F169" s="230"/>
      <c r="G169" s="262"/>
      <c r="H169" s="33"/>
    </row>
    <row r="170" spans="1:8" ht="13.5" thickBot="1" x14ac:dyDescent="0.25">
      <c r="A170" s="69" t="s">
        <v>161</v>
      </c>
      <c r="B170" s="175">
        <f>B33+B46+B128+B166</f>
        <v>2641.9026534703967</v>
      </c>
      <c r="C170" s="263">
        <f>D170/B170*100</f>
        <v>10.399383540806603</v>
      </c>
      <c r="D170" s="224">
        <f>D33+D46+D128+D166</f>
        <v>274.74158970913334</v>
      </c>
      <c r="E170" s="224">
        <f>E33+E46+E128+E166</f>
        <v>74.223795297894839</v>
      </c>
      <c r="F170" s="224">
        <f>F33+F46+F128+F166</f>
        <v>348.96538500702832</v>
      </c>
      <c r="G170" s="263">
        <f>F170/B170*100</f>
        <v>13.20886613852438</v>
      </c>
      <c r="H170" s="232">
        <f>(G170-C170)/C170</f>
        <v>0.27015857110121222</v>
      </c>
    </row>
    <row r="171" spans="1:8" x14ac:dyDescent="0.2">
      <c r="E171" s="34"/>
    </row>
    <row r="172" spans="1:8" x14ac:dyDescent="0.2">
      <c r="B172" s="108"/>
      <c r="C172" s="108"/>
      <c r="E172" s="34"/>
      <c r="F172" s="113"/>
      <c r="G172" s="108"/>
    </row>
    <row r="173" spans="1:8" x14ac:dyDescent="0.2">
      <c r="B173" s="108"/>
      <c r="E173" s="34"/>
    </row>
    <row r="174" spans="1:8" x14ac:dyDescent="0.2">
      <c r="A174" s="6" t="s">
        <v>127</v>
      </c>
      <c r="E174" s="34"/>
    </row>
    <row r="175" spans="1:8" x14ac:dyDescent="0.2">
      <c r="A175" s="31" t="s">
        <v>141</v>
      </c>
      <c r="E175" s="34"/>
    </row>
    <row r="176" spans="1:8" x14ac:dyDescent="0.2">
      <c r="A176" s="31" t="s">
        <v>143</v>
      </c>
      <c r="E176" s="34"/>
    </row>
    <row r="177" spans="1:5" x14ac:dyDescent="0.2">
      <c r="A177" s="189" t="s">
        <v>168</v>
      </c>
      <c r="E177" s="34"/>
    </row>
    <row r="178" spans="1:5" x14ac:dyDescent="0.2">
      <c r="A178" s="189" t="s">
        <v>167</v>
      </c>
      <c r="E178" s="34"/>
    </row>
    <row r="179" spans="1:5" x14ac:dyDescent="0.2">
      <c r="E179" s="34"/>
    </row>
    <row r="180" spans="1:5" x14ac:dyDescent="0.2">
      <c r="B180" s="108"/>
      <c r="E180" s="34"/>
    </row>
    <row r="181" spans="1:5" x14ac:dyDescent="0.2">
      <c r="E181" s="34"/>
    </row>
    <row r="182" spans="1:5" x14ac:dyDescent="0.2">
      <c r="E182" s="34"/>
    </row>
    <row r="184" spans="1:5" x14ac:dyDescent="0.2">
      <c r="E184" s="34"/>
    </row>
    <row r="185" spans="1:5" x14ac:dyDescent="0.2">
      <c r="E185" s="34"/>
    </row>
    <row r="186" spans="1:5" x14ac:dyDescent="0.2">
      <c r="E186" s="34"/>
    </row>
    <row r="187" spans="1:5" x14ac:dyDescent="0.2">
      <c r="E187" s="34"/>
    </row>
    <row r="188" spans="1:5" x14ac:dyDescent="0.2">
      <c r="E188" s="34"/>
    </row>
    <row r="189" spans="1:5" x14ac:dyDescent="0.2">
      <c r="E189" s="34"/>
    </row>
    <row r="190" spans="1:5" x14ac:dyDescent="0.2">
      <c r="E190" s="34"/>
    </row>
    <row r="191" spans="1:5" x14ac:dyDescent="0.2">
      <c r="E191" s="34"/>
    </row>
    <row r="192" spans="1:5" x14ac:dyDescent="0.2">
      <c r="E192" s="34"/>
    </row>
    <row r="193" spans="5:5" x14ac:dyDescent="0.2">
      <c r="E193" s="34"/>
    </row>
    <row r="194" spans="5:5" x14ac:dyDescent="0.2">
      <c r="E194" s="34"/>
    </row>
    <row r="195" spans="5:5" x14ac:dyDescent="0.2">
      <c r="E195" s="34"/>
    </row>
    <row r="196" spans="5:5" x14ac:dyDescent="0.2">
      <c r="E196" s="34"/>
    </row>
    <row r="197" spans="5:5" x14ac:dyDescent="0.2">
      <c r="E197" s="34"/>
    </row>
    <row r="198" spans="5:5" x14ac:dyDescent="0.2">
      <c r="E198" s="34"/>
    </row>
    <row r="199" spans="5:5" x14ac:dyDescent="0.2">
      <c r="E199" s="34"/>
    </row>
    <row r="200" spans="5:5" x14ac:dyDescent="0.2">
      <c r="E200" s="34"/>
    </row>
    <row r="201" spans="5:5" x14ac:dyDescent="0.2">
      <c r="E201" s="34"/>
    </row>
    <row r="202" spans="5:5" x14ac:dyDescent="0.2">
      <c r="E202" s="34"/>
    </row>
    <row r="203" spans="5:5" x14ac:dyDescent="0.2">
      <c r="E203" s="34"/>
    </row>
    <row r="204" spans="5:5" x14ac:dyDescent="0.2">
      <c r="E204" s="34"/>
    </row>
    <row r="205" spans="5:5" x14ac:dyDescent="0.2">
      <c r="E205" s="34"/>
    </row>
    <row r="206" spans="5:5" x14ac:dyDescent="0.2">
      <c r="E206" s="34"/>
    </row>
    <row r="207" spans="5:5" x14ac:dyDescent="0.2">
      <c r="E207" s="34"/>
    </row>
    <row r="208" spans="5:5" x14ac:dyDescent="0.2">
      <c r="E208" s="34"/>
    </row>
    <row r="209" spans="5:5" x14ac:dyDescent="0.2">
      <c r="E209" s="34"/>
    </row>
    <row r="210" spans="5:5" x14ac:dyDescent="0.2">
      <c r="E210" s="34"/>
    </row>
    <row r="211" spans="5:5" x14ac:dyDescent="0.2">
      <c r="E211" s="34"/>
    </row>
    <row r="212" spans="5:5" x14ac:dyDescent="0.2">
      <c r="E212" s="34"/>
    </row>
    <row r="213" spans="5:5" x14ac:dyDescent="0.2">
      <c r="E213" s="34"/>
    </row>
    <row r="214" spans="5:5" x14ac:dyDescent="0.2">
      <c r="E214" s="34"/>
    </row>
    <row r="215" spans="5:5" x14ac:dyDescent="0.2">
      <c r="E215" s="34"/>
    </row>
    <row r="216" spans="5:5" x14ac:dyDescent="0.2">
      <c r="E216" s="34"/>
    </row>
    <row r="217" spans="5:5" x14ac:dyDescent="0.2">
      <c r="E217" s="34"/>
    </row>
    <row r="218" spans="5:5" x14ac:dyDescent="0.2">
      <c r="E218" s="34"/>
    </row>
    <row r="219" spans="5:5" x14ac:dyDescent="0.2">
      <c r="E219" s="34"/>
    </row>
    <row r="220" spans="5:5" x14ac:dyDescent="0.2">
      <c r="E220" s="34"/>
    </row>
    <row r="221" spans="5:5" x14ac:dyDescent="0.2">
      <c r="E221" s="34"/>
    </row>
    <row r="222" spans="5:5" x14ac:dyDescent="0.2">
      <c r="E222" s="34"/>
    </row>
    <row r="223" spans="5:5" x14ac:dyDescent="0.2">
      <c r="E223" s="34"/>
    </row>
    <row r="224" spans="5:5" x14ac:dyDescent="0.2">
      <c r="E224" s="34"/>
    </row>
    <row r="225" spans="5:5" x14ac:dyDescent="0.2">
      <c r="E225" s="34"/>
    </row>
    <row r="226" spans="5:5" x14ac:dyDescent="0.2">
      <c r="E226" s="34"/>
    </row>
    <row r="227" spans="5:5" x14ac:dyDescent="0.2">
      <c r="E227" s="34"/>
    </row>
    <row r="228" spans="5:5" x14ac:dyDescent="0.2">
      <c r="E228" s="34"/>
    </row>
    <row r="229" spans="5:5" x14ac:dyDescent="0.2">
      <c r="E229" s="34"/>
    </row>
    <row r="230" spans="5:5" x14ac:dyDescent="0.2">
      <c r="E230" s="34"/>
    </row>
    <row r="231" spans="5:5" x14ac:dyDescent="0.2">
      <c r="E231" s="34"/>
    </row>
    <row r="232" spans="5:5" x14ac:dyDescent="0.2">
      <c r="E232" s="34"/>
    </row>
    <row r="233" spans="5:5" x14ac:dyDescent="0.2">
      <c r="E233" s="34"/>
    </row>
    <row r="234" spans="5:5" x14ac:dyDescent="0.2">
      <c r="E234" s="34"/>
    </row>
    <row r="235" spans="5:5" x14ac:dyDescent="0.2">
      <c r="E235" s="34"/>
    </row>
    <row r="236" spans="5:5" x14ac:dyDescent="0.2">
      <c r="E236" s="34"/>
    </row>
    <row r="237" spans="5:5" x14ac:dyDescent="0.2">
      <c r="E237" s="34"/>
    </row>
    <row r="238" spans="5:5" x14ac:dyDescent="0.2">
      <c r="E238" s="34"/>
    </row>
    <row r="239" spans="5:5" x14ac:dyDescent="0.2">
      <c r="E239" s="34"/>
    </row>
    <row r="240" spans="5:5" x14ac:dyDescent="0.2">
      <c r="E240" s="34"/>
    </row>
    <row r="241" spans="5:5" x14ac:dyDescent="0.2">
      <c r="E241" s="34"/>
    </row>
    <row r="242" spans="5:5" x14ac:dyDescent="0.2">
      <c r="E242" s="34"/>
    </row>
    <row r="243" spans="5:5" x14ac:dyDescent="0.2">
      <c r="E243" s="34"/>
    </row>
    <row r="244" spans="5:5" x14ac:dyDescent="0.2">
      <c r="E244" s="34"/>
    </row>
    <row r="245" spans="5:5" x14ac:dyDescent="0.2">
      <c r="E245" s="34"/>
    </row>
    <row r="246" spans="5:5" x14ac:dyDescent="0.2">
      <c r="E246" s="34"/>
    </row>
    <row r="247" spans="5:5" x14ac:dyDescent="0.2">
      <c r="E247" s="34"/>
    </row>
    <row r="248" spans="5:5" x14ac:dyDescent="0.2">
      <c r="E248" s="34"/>
    </row>
    <row r="249" spans="5:5" x14ac:dyDescent="0.2">
      <c r="E249" s="34"/>
    </row>
    <row r="250" spans="5:5" x14ac:dyDescent="0.2">
      <c r="E250" s="34"/>
    </row>
    <row r="251" spans="5:5" x14ac:dyDescent="0.2">
      <c r="E251" s="34"/>
    </row>
    <row r="252" spans="5:5" x14ac:dyDescent="0.2">
      <c r="E252" s="34"/>
    </row>
    <row r="253" spans="5:5" x14ac:dyDescent="0.2">
      <c r="E253" s="34"/>
    </row>
    <row r="254" spans="5:5" x14ac:dyDescent="0.2">
      <c r="E254" s="34"/>
    </row>
    <row r="255" spans="5:5" x14ac:dyDescent="0.2">
      <c r="E255" s="34"/>
    </row>
    <row r="256" spans="5:5" x14ac:dyDescent="0.2">
      <c r="E256" s="34"/>
    </row>
    <row r="257" spans="5:5" x14ac:dyDescent="0.2">
      <c r="E257" s="34"/>
    </row>
    <row r="258" spans="5:5" x14ac:dyDescent="0.2">
      <c r="E258" s="34"/>
    </row>
    <row r="259" spans="5:5" x14ac:dyDescent="0.2">
      <c r="E259" s="34"/>
    </row>
    <row r="260" spans="5:5" x14ac:dyDescent="0.2">
      <c r="E260" s="34"/>
    </row>
    <row r="261" spans="5:5" x14ac:dyDescent="0.2">
      <c r="E261" s="34"/>
    </row>
    <row r="262" spans="5:5" x14ac:dyDescent="0.2">
      <c r="E262" s="34"/>
    </row>
    <row r="263" spans="5:5" x14ac:dyDescent="0.2">
      <c r="E263" s="34"/>
    </row>
    <row r="264" spans="5:5" x14ac:dyDescent="0.2">
      <c r="E264" s="34"/>
    </row>
    <row r="265" spans="5:5" x14ac:dyDescent="0.2">
      <c r="E265" s="34"/>
    </row>
    <row r="266" spans="5:5" x14ac:dyDescent="0.2">
      <c r="E266" s="34"/>
    </row>
    <row r="267" spans="5:5" x14ac:dyDescent="0.2">
      <c r="E267" s="34"/>
    </row>
    <row r="268" spans="5:5" x14ac:dyDescent="0.2">
      <c r="E268" s="34"/>
    </row>
    <row r="269" spans="5:5" x14ac:dyDescent="0.2">
      <c r="E269" s="34"/>
    </row>
    <row r="270" spans="5:5" x14ac:dyDescent="0.2">
      <c r="E270" s="34"/>
    </row>
    <row r="271" spans="5:5" x14ac:dyDescent="0.2">
      <c r="E271" s="34"/>
    </row>
    <row r="272" spans="5:5" x14ac:dyDescent="0.2">
      <c r="E272" s="34"/>
    </row>
    <row r="273" spans="5:5" x14ac:dyDescent="0.2">
      <c r="E273" s="34"/>
    </row>
    <row r="274" spans="5:5" x14ac:dyDescent="0.2">
      <c r="E274" s="34"/>
    </row>
    <row r="275" spans="5:5" x14ac:dyDescent="0.2">
      <c r="E275" s="34"/>
    </row>
    <row r="276" spans="5:5" x14ac:dyDescent="0.2">
      <c r="E276" s="34"/>
    </row>
    <row r="277" spans="5:5" x14ac:dyDescent="0.2">
      <c r="E277" s="34"/>
    </row>
    <row r="278" spans="5:5" x14ac:dyDescent="0.2">
      <c r="E278" s="34"/>
    </row>
    <row r="279" spans="5:5" x14ac:dyDescent="0.2">
      <c r="E279" s="34"/>
    </row>
    <row r="280" spans="5:5" x14ac:dyDescent="0.2">
      <c r="E280" s="34"/>
    </row>
    <row r="281" spans="5:5" x14ac:dyDescent="0.2">
      <c r="E281" s="34"/>
    </row>
    <row r="282" spans="5:5" x14ac:dyDescent="0.2">
      <c r="E282" s="34"/>
    </row>
    <row r="283" spans="5:5" x14ac:dyDescent="0.2">
      <c r="E283" s="34"/>
    </row>
    <row r="284" spans="5:5" x14ac:dyDescent="0.2">
      <c r="E284" s="34"/>
    </row>
    <row r="285" spans="5:5" x14ac:dyDescent="0.2">
      <c r="E285" s="34"/>
    </row>
    <row r="286" spans="5:5" x14ac:dyDescent="0.2">
      <c r="E286" s="34"/>
    </row>
    <row r="287" spans="5:5" x14ac:dyDescent="0.2">
      <c r="E287" s="34"/>
    </row>
    <row r="288" spans="5:5" x14ac:dyDescent="0.2">
      <c r="E288" s="34"/>
    </row>
    <row r="289" spans="5:5" x14ac:dyDescent="0.2">
      <c r="E289" s="34"/>
    </row>
    <row r="290" spans="5:5" x14ac:dyDescent="0.2">
      <c r="E290" s="34"/>
    </row>
    <row r="291" spans="5:5" x14ac:dyDescent="0.2">
      <c r="E291" s="34"/>
    </row>
    <row r="292" spans="5:5" x14ac:dyDescent="0.2">
      <c r="E292" s="34"/>
    </row>
    <row r="293" spans="5:5" x14ac:dyDescent="0.2">
      <c r="E293" s="34"/>
    </row>
    <row r="294" spans="5:5" x14ac:dyDescent="0.2">
      <c r="E294" s="34"/>
    </row>
    <row r="295" spans="5:5" x14ac:dyDescent="0.2">
      <c r="E295" s="34"/>
    </row>
    <row r="296" spans="5:5" x14ac:dyDescent="0.2">
      <c r="E296" s="34"/>
    </row>
    <row r="297" spans="5:5" x14ac:dyDescent="0.2">
      <c r="E297" s="34"/>
    </row>
    <row r="298" spans="5:5" x14ac:dyDescent="0.2">
      <c r="E298" s="34"/>
    </row>
    <row r="299" spans="5:5" x14ac:dyDescent="0.2">
      <c r="E299" s="34"/>
    </row>
    <row r="300" spans="5:5" x14ac:dyDescent="0.2">
      <c r="E300" s="34"/>
    </row>
    <row r="301" spans="5:5" x14ac:dyDescent="0.2">
      <c r="E301" s="34"/>
    </row>
    <row r="302" spans="5:5" x14ac:dyDescent="0.2">
      <c r="E302" s="34"/>
    </row>
    <row r="303" spans="5:5" x14ac:dyDescent="0.2">
      <c r="E303" s="34"/>
    </row>
    <row r="304" spans="5:5" x14ac:dyDescent="0.2">
      <c r="E304" s="34"/>
    </row>
    <row r="305" spans="5:5" x14ac:dyDescent="0.2">
      <c r="E305" s="34"/>
    </row>
    <row r="306" spans="5:5" x14ac:dyDescent="0.2">
      <c r="E306" s="34"/>
    </row>
    <row r="307" spans="5:5" x14ac:dyDescent="0.2">
      <c r="E307" s="34"/>
    </row>
    <row r="308" spans="5:5" x14ac:dyDescent="0.2">
      <c r="E308" s="34"/>
    </row>
    <row r="309" spans="5:5" x14ac:dyDescent="0.2">
      <c r="E309" s="34"/>
    </row>
    <row r="310" spans="5:5" x14ac:dyDescent="0.2">
      <c r="E310" s="34"/>
    </row>
    <row r="311" spans="5:5" x14ac:dyDescent="0.2">
      <c r="E311" s="34"/>
    </row>
    <row r="312" spans="5:5" x14ac:dyDescent="0.2">
      <c r="E312" s="34"/>
    </row>
    <row r="313" spans="5:5" x14ac:dyDescent="0.2">
      <c r="E313" s="34"/>
    </row>
    <row r="314" spans="5:5" x14ac:dyDescent="0.2">
      <c r="E314" s="34"/>
    </row>
    <row r="315" spans="5:5" x14ac:dyDescent="0.2">
      <c r="E315" s="34"/>
    </row>
    <row r="316" spans="5:5" x14ac:dyDescent="0.2">
      <c r="E316" s="34"/>
    </row>
    <row r="317" spans="5:5" x14ac:dyDescent="0.2">
      <c r="E317" s="34"/>
    </row>
    <row r="318" spans="5:5" x14ac:dyDescent="0.2">
      <c r="E318" s="34"/>
    </row>
    <row r="319" spans="5:5" x14ac:dyDescent="0.2">
      <c r="E319" s="34"/>
    </row>
    <row r="320" spans="5:5" x14ac:dyDescent="0.2">
      <c r="E320" s="34"/>
    </row>
    <row r="321" spans="5:5" x14ac:dyDescent="0.2">
      <c r="E321" s="34"/>
    </row>
    <row r="322" spans="5:5" x14ac:dyDescent="0.2">
      <c r="E322" s="34"/>
    </row>
    <row r="323" spans="5:5" x14ac:dyDescent="0.2">
      <c r="E323" s="34"/>
    </row>
    <row r="324" spans="5:5" x14ac:dyDescent="0.2">
      <c r="E324" s="34"/>
    </row>
    <row r="325" spans="5:5" x14ac:dyDescent="0.2">
      <c r="E325" s="34"/>
    </row>
    <row r="326" spans="5:5" x14ac:dyDescent="0.2">
      <c r="E326" s="34"/>
    </row>
    <row r="327" spans="5:5" x14ac:dyDescent="0.2">
      <c r="E327" s="34"/>
    </row>
    <row r="328" spans="5:5" x14ac:dyDescent="0.2">
      <c r="E328" s="34"/>
    </row>
    <row r="329" spans="5:5" x14ac:dyDescent="0.2">
      <c r="E329" s="34"/>
    </row>
    <row r="330" spans="5:5" x14ac:dyDescent="0.2">
      <c r="E330" s="34"/>
    </row>
    <row r="331" spans="5:5" x14ac:dyDescent="0.2">
      <c r="E331" s="34"/>
    </row>
    <row r="332" spans="5:5" x14ac:dyDescent="0.2">
      <c r="E332" s="34"/>
    </row>
    <row r="333" spans="5:5" x14ac:dyDescent="0.2">
      <c r="E333" s="34"/>
    </row>
    <row r="334" spans="5:5" x14ac:dyDescent="0.2">
      <c r="E334" s="34"/>
    </row>
    <row r="335" spans="5:5" x14ac:dyDescent="0.2">
      <c r="E335" s="34"/>
    </row>
    <row r="336" spans="5:5" x14ac:dyDescent="0.2">
      <c r="E336" s="34"/>
    </row>
    <row r="337" spans="5:5" x14ac:dyDescent="0.2">
      <c r="E337" s="34"/>
    </row>
    <row r="338" spans="5:5" x14ac:dyDescent="0.2">
      <c r="E338" s="34"/>
    </row>
    <row r="339" spans="5:5" x14ac:dyDescent="0.2">
      <c r="E339" s="34"/>
    </row>
    <row r="340" spans="5:5" x14ac:dyDescent="0.2">
      <c r="E340" s="34"/>
    </row>
    <row r="341" spans="5:5" x14ac:dyDescent="0.2">
      <c r="E341" s="34"/>
    </row>
    <row r="342" spans="5:5" x14ac:dyDescent="0.2">
      <c r="E342" s="34"/>
    </row>
    <row r="343" spans="5:5" x14ac:dyDescent="0.2">
      <c r="E343" s="34"/>
    </row>
    <row r="344" spans="5:5" x14ac:dyDescent="0.2">
      <c r="E344" s="34"/>
    </row>
    <row r="345" spans="5:5" x14ac:dyDescent="0.2">
      <c r="E345" s="34"/>
    </row>
    <row r="346" spans="5:5" x14ac:dyDescent="0.2">
      <c r="E346" s="34"/>
    </row>
    <row r="347" spans="5:5" x14ac:dyDescent="0.2">
      <c r="E347" s="34"/>
    </row>
    <row r="348" spans="5:5" x14ac:dyDescent="0.2">
      <c r="E348" s="34"/>
    </row>
    <row r="349" spans="5:5" x14ac:dyDescent="0.2">
      <c r="E349" s="34"/>
    </row>
    <row r="350" spans="5:5" x14ac:dyDescent="0.2">
      <c r="E350" s="34"/>
    </row>
    <row r="351" spans="5:5" x14ac:dyDescent="0.2">
      <c r="E351" s="34"/>
    </row>
    <row r="352" spans="5:5" x14ac:dyDescent="0.2">
      <c r="E352" s="34"/>
    </row>
    <row r="353" spans="5:5" x14ac:dyDescent="0.2">
      <c r="E353" s="34"/>
    </row>
    <row r="354" spans="5:5" x14ac:dyDescent="0.2">
      <c r="E354" s="34"/>
    </row>
    <row r="355" spans="5:5" x14ac:dyDescent="0.2">
      <c r="E355" s="34"/>
    </row>
    <row r="356" spans="5:5" x14ac:dyDescent="0.2">
      <c r="E356" s="34"/>
    </row>
    <row r="357" spans="5:5" x14ac:dyDescent="0.2">
      <c r="E357" s="34"/>
    </row>
    <row r="358" spans="5:5" x14ac:dyDescent="0.2">
      <c r="E358" s="34"/>
    </row>
    <row r="359" spans="5:5" x14ac:dyDescent="0.2">
      <c r="E359" s="34"/>
    </row>
    <row r="360" spans="5:5" x14ac:dyDescent="0.2">
      <c r="E360" s="34"/>
    </row>
    <row r="361" spans="5:5" x14ac:dyDescent="0.2">
      <c r="E361" s="34"/>
    </row>
    <row r="362" spans="5:5" x14ac:dyDescent="0.2">
      <c r="E362" s="34"/>
    </row>
    <row r="363" spans="5:5" x14ac:dyDescent="0.2">
      <c r="E363" s="34"/>
    </row>
    <row r="364" spans="5:5" x14ac:dyDescent="0.2">
      <c r="E364" s="34"/>
    </row>
    <row r="365" spans="5:5" x14ac:dyDescent="0.2">
      <c r="E365" s="34"/>
    </row>
    <row r="366" spans="5:5" x14ac:dyDescent="0.2">
      <c r="E366" s="34"/>
    </row>
    <row r="367" spans="5:5" x14ac:dyDescent="0.2">
      <c r="E367" s="34"/>
    </row>
    <row r="368" spans="5:5" x14ac:dyDescent="0.2">
      <c r="E368" s="34"/>
    </row>
    <row r="369" spans="5:5" x14ac:dyDescent="0.2">
      <c r="E369" s="34"/>
    </row>
    <row r="370" spans="5:5" x14ac:dyDescent="0.2">
      <c r="E370" s="34"/>
    </row>
    <row r="371" spans="5:5" x14ac:dyDescent="0.2">
      <c r="E371" s="34"/>
    </row>
    <row r="372" spans="5:5" x14ac:dyDescent="0.2">
      <c r="E372" s="34"/>
    </row>
    <row r="373" spans="5:5" x14ac:dyDescent="0.2">
      <c r="E373" s="34"/>
    </row>
    <row r="374" spans="5:5" x14ac:dyDescent="0.2">
      <c r="E374" s="34"/>
    </row>
    <row r="375" spans="5:5" x14ac:dyDescent="0.2">
      <c r="E375" s="34"/>
    </row>
    <row r="376" spans="5:5" x14ac:dyDescent="0.2">
      <c r="E376" s="34"/>
    </row>
    <row r="377" spans="5:5" x14ac:dyDescent="0.2">
      <c r="E377" s="34"/>
    </row>
    <row r="378" spans="5:5" x14ac:dyDescent="0.2">
      <c r="E378" s="34"/>
    </row>
    <row r="379" spans="5:5" x14ac:dyDescent="0.2">
      <c r="E379" s="34"/>
    </row>
    <row r="380" spans="5:5" x14ac:dyDescent="0.2">
      <c r="E380" s="34"/>
    </row>
    <row r="381" spans="5:5" x14ac:dyDescent="0.2">
      <c r="E381" s="34"/>
    </row>
    <row r="382" spans="5:5" x14ac:dyDescent="0.2">
      <c r="E382" s="34"/>
    </row>
    <row r="383" spans="5:5" x14ac:dyDescent="0.2">
      <c r="E383" s="34"/>
    </row>
    <row r="384" spans="5:5" x14ac:dyDescent="0.2">
      <c r="E384" s="34"/>
    </row>
    <row r="385" spans="5:5" x14ac:dyDescent="0.2">
      <c r="E385" s="34"/>
    </row>
    <row r="386" spans="5:5" x14ac:dyDescent="0.2">
      <c r="E386" s="34"/>
    </row>
    <row r="387" spans="5:5" x14ac:dyDescent="0.2">
      <c r="E387" s="34"/>
    </row>
    <row r="388" spans="5:5" x14ac:dyDescent="0.2">
      <c r="E388" s="34"/>
    </row>
    <row r="389" spans="5:5" x14ac:dyDescent="0.2">
      <c r="E389" s="34"/>
    </row>
    <row r="390" spans="5:5" x14ac:dyDescent="0.2">
      <c r="E390" s="34"/>
    </row>
    <row r="391" spans="5:5" x14ac:dyDescent="0.2">
      <c r="E391" s="34"/>
    </row>
    <row r="392" spans="5:5" x14ac:dyDescent="0.2">
      <c r="E392" s="34"/>
    </row>
    <row r="393" spans="5:5" x14ac:dyDescent="0.2">
      <c r="E393" s="34"/>
    </row>
    <row r="394" spans="5:5" x14ac:dyDescent="0.2">
      <c r="E394" s="34"/>
    </row>
    <row r="395" spans="5:5" x14ac:dyDescent="0.2">
      <c r="E395" s="34"/>
    </row>
    <row r="396" spans="5:5" x14ac:dyDescent="0.2">
      <c r="E396" s="34"/>
    </row>
    <row r="397" spans="5:5" x14ac:dyDescent="0.2">
      <c r="E397" s="34"/>
    </row>
    <row r="398" spans="5:5" x14ac:dyDescent="0.2">
      <c r="E398" s="34"/>
    </row>
    <row r="399" spans="5:5" x14ac:dyDescent="0.2">
      <c r="E399" s="34"/>
    </row>
    <row r="400" spans="5:5" x14ac:dyDescent="0.2">
      <c r="E400" s="34"/>
    </row>
    <row r="401" spans="5:5" x14ac:dyDescent="0.2">
      <c r="E401" s="34"/>
    </row>
    <row r="402" spans="5:5" x14ac:dyDescent="0.2">
      <c r="E402" s="34"/>
    </row>
    <row r="403" spans="5:5" x14ac:dyDescent="0.2">
      <c r="E403" s="34"/>
    </row>
    <row r="404" spans="5:5" x14ac:dyDescent="0.2">
      <c r="E404" s="34"/>
    </row>
    <row r="405" spans="5:5" x14ac:dyDescent="0.2">
      <c r="E405" s="34"/>
    </row>
    <row r="406" spans="5:5" x14ac:dyDescent="0.2">
      <c r="E406" s="34"/>
    </row>
    <row r="407" spans="5:5" x14ac:dyDescent="0.2">
      <c r="E407" s="34"/>
    </row>
    <row r="408" spans="5:5" x14ac:dyDescent="0.2">
      <c r="E408" s="34"/>
    </row>
    <row r="409" spans="5:5" x14ac:dyDescent="0.2">
      <c r="E409" s="34"/>
    </row>
    <row r="410" spans="5:5" x14ac:dyDescent="0.2">
      <c r="E410" s="34"/>
    </row>
    <row r="411" spans="5:5" x14ac:dyDescent="0.2">
      <c r="E411" s="34"/>
    </row>
    <row r="412" spans="5:5" x14ac:dyDescent="0.2">
      <c r="E412" s="34"/>
    </row>
    <row r="413" spans="5:5" x14ac:dyDescent="0.2">
      <c r="E413" s="34"/>
    </row>
    <row r="414" spans="5:5" x14ac:dyDescent="0.2">
      <c r="E414" s="34"/>
    </row>
    <row r="415" spans="5:5" x14ac:dyDescent="0.2">
      <c r="E415" s="34"/>
    </row>
    <row r="416" spans="5:5" x14ac:dyDescent="0.2">
      <c r="E416" s="34"/>
    </row>
    <row r="417" spans="5:5" x14ac:dyDescent="0.2">
      <c r="E417" s="34"/>
    </row>
    <row r="418" spans="5:5" x14ac:dyDescent="0.2">
      <c r="E418" s="34"/>
    </row>
    <row r="419" spans="5:5" x14ac:dyDescent="0.2">
      <c r="E419" s="34"/>
    </row>
    <row r="420" spans="5:5" x14ac:dyDescent="0.2">
      <c r="E420" s="34"/>
    </row>
    <row r="421" spans="5:5" x14ac:dyDescent="0.2">
      <c r="E421" s="34"/>
    </row>
    <row r="422" spans="5:5" x14ac:dyDescent="0.2">
      <c r="E422" s="34"/>
    </row>
    <row r="423" spans="5:5" x14ac:dyDescent="0.2">
      <c r="E423" s="34"/>
    </row>
    <row r="424" spans="5:5" x14ac:dyDescent="0.2">
      <c r="E424" s="34"/>
    </row>
    <row r="425" spans="5:5" x14ac:dyDescent="0.2">
      <c r="E425" s="34"/>
    </row>
    <row r="426" spans="5:5" x14ac:dyDescent="0.2">
      <c r="E426" s="34"/>
    </row>
    <row r="427" spans="5:5" x14ac:dyDescent="0.2">
      <c r="E427" s="34"/>
    </row>
    <row r="428" spans="5:5" x14ac:dyDescent="0.2">
      <c r="E428" s="34"/>
    </row>
    <row r="429" spans="5:5" x14ac:dyDescent="0.2">
      <c r="E429" s="34"/>
    </row>
    <row r="430" spans="5:5" x14ac:dyDescent="0.2">
      <c r="E430" s="34"/>
    </row>
    <row r="431" spans="5:5" x14ac:dyDescent="0.2">
      <c r="E431" s="34"/>
    </row>
    <row r="432" spans="5:5" x14ac:dyDescent="0.2">
      <c r="E432" s="34"/>
    </row>
    <row r="433" spans="5:5" x14ac:dyDescent="0.2">
      <c r="E433" s="34"/>
    </row>
    <row r="434" spans="5:5" x14ac:dyDescent="0.2">
      <c r="E434" s="34"/>
    </row>
    <row r="435" spans="5:5" x14ac:dyDescent="0.2">
      <c r="E435" s="34"/>
    </row>
    <row r="436" spans="5:5" x14ac:dyDescent="0.2">
      <c r="E436" s="34"/>
    </row>
    <row r="437" spans="5:5" x14ac:dyDescent="0.2">
      <c r="E437" s="34"/>
    </row>
    <row r="438" spans="5:5" x14ac:dyDescent="0.2">
      <c r="E438" s="34"/>
    </row>
    <row r="439" spans="5:5" x14ac:dyDescent="0.2">
      <c r="E439" s="34"/>
    </row>
    <row r="440" spans="5:5" x14ac:dyDescent="0.2">
      <c r="E440" s="34"/>
    </row>
    <row r="441" spans="5:5" x14ac:dyDescent="0.2">
      <c r="E441" s="34"/>
    </row>
    <row r="442" spans="5:5" x14ac:dyDescent="0.2">
      <c r="E442" s="34"/>
    </row>
    <row r="443" spans="5:5" x14ac:dyDescent="0.2">
      <c r="E443" s="34"/>
    </row>
    <row r="444" spans="5:5" x14ac:dyDescent="0.2">
      <c r="E444" s="34"/>
    </row>
    <row r="445" spans="5:5" x14ac:dyDescent="0.2">
      <c r="E445" s="34"/>
    </row>
    <row r="446" spans="5:5" x14ac:dyDescent="0.2">
      <c r="E446" s="34"/>
    </row>
    <row r="447" spans="5:5" x14ac:dyDescent="0.2">
      <c r="E447" s="34"/>
    </row>
    <row r="448" spans="5:5" x14ac:dyDescent="0.2">
      <c r="E448" s="34"/>
    </row>
    <row r="449" spans="5:5" x14ac:dyDescent="0.2">
      <c r="E449" s="34"/>
    </row>
    <row r="450" spans="5:5" x14ac:dyDescent="0.2">
      <c r="E450" s="34"/>
    </row>
    <row r="451" spans="5:5" x14ac:dyDescent="0.2">
      <c r="E451" s="34"/>
    </row>
    <row r="452" spans="5:5" x14ac:dyDescent="0.2">
      <c r="E452" s="34"/>
    </row>
    <row r="453" spans="5:5" x14ac:dyDescent="0.2">
      <c r="E453" s="34"/>
    </row>
    <row r="454" spans="5:5" x14ac:dyDescent="0.2">
      <c r="E454" s="34"/>
    </row>
    <row r="455" spans="5:5" x14ac:dyDescent="0.2">
      <c r="E455" s="34"/>
    </row>
    <row r="456" spans="5:5" x14ac:dyDescent="0.2">
      <c r="E456" s="34"/>
    </row>
    <row r="457" spans="5:5" x14ac:dyDescent="0.2">
      <c r="E457" s="34"/>
    </row>
    <row r="458" spans="5:5" x14ac:dyDescent="0.2">
      <c r="E458" s="34"/>
    </row>
    <row r="459" spans="5:5" x14ac:dyDescent="0.2">
      <c r="E459" s="34"/>
    </row>
    <row r="460" spans="5:5" x14ac:dyDescent="0.2">
      <c r="E460" s="34"/>
    </row>
    <row r="461" spans="5:5" x14ac:dyDescent="0.2">
      <c r="E461" s="34"/>
    </row>
    <row r="462" spans="5:5" x14ac:dyDescent="0.2">
      <c r="E462" s="34"/>
    </row>
    <row r="463" spans="5:5" x14ac:dyDescent="0.2">
      <c r="E463" s="34"/>
    </row>
    <row r="464" spans="5:5" x14ac:dyDescent="0.2">
      <c r="E464" s="34"/>
    </row>
    <row r="465" spans="5:5" x14ac:dyDescent="0.2">
      <c r="E465" s="34"/>
    </row>
    <row r="466" spans="5:5" x14ac:dyDescent="0.2">
      <c r="E466" s="34"/>
    </row>
    <row r="467" spans="5:5" x14ac:dyDescent="0.2">
      <c r="E467" s="34"/>
    </row>
    <row r="468" spans="5:5" x14ac:dyDescent="0.2">
      <c r="E468" s="34"/>
    </row>
    <row r="469" spans="5:5" x14ac:dyDescent="0.2">
      <c r="E469" s="34"/>
    </row>
    <row r="470" spans="5:5" x14ac:dyDescent="0.2">
      <c r="E470" s="34"/>
    </row>
    <row r="471" spans="5:5" x14ac:dyDescent="0.2">
      <c r="E471" s="34"/>
    </row>
    <row r="472" spans="5:5" x14ac:dyDescent="0.2">
      <c r="E472" s="34"/>
    </row>
    <row r="473" spans="5:5" x14ac:dyDescent="0.2">
      <c r="E473" s="34"/>
    </row>
    <row r="474" spans="5:5" x14ac:dyDescent="0.2">
      <c r="E474" s="34"/>
    </row>
    <row r="475" spans="5:5" x14ac:dyDescent="0.2">
      <c r="E475" s="34"/>
    </row>
    <row r="476" spans="5:5" x14ac:dyDescent="0.2">
      <c r="E476" s="34"/>
    </row>
    <row r="477" spans="5:5" x14ac:dyDescent="0.2">
      <c r="E477" s="34"/>
    </row>
    <row r="478" spans="5:5" x14ac:dyDescent="0.2">
      <c r="E478" s="34"/>
    </row>
    <row r="479" spans="5:5" x14ac:dyDescent="0.2">
      <c r="E479" s="34"/>
    </row>
    <row r="480" spans="5:5" x14ac:dyDescent="0.2">
      <c r="E480" s="34"/>
    </row>
    <row r="481" spans="5:5" x14ac:dyDescent="0.2">
      <c r="E481" s="34"/>
    </row>
    <row r="482" spans="5:5" x14ac:dyDescent="0.2">
      <c r="E482" s="34"/>
    </row>
    <row r="483" spans="5:5" x14ac:dyDescent="0.2">
      <c r="E483" s="34"/>
    </row>
    <row r="484" spans="5:5" x14ac:dyDescent="0.2">
      <c r="E484" s="34"/>
    </row>
    <row r="485" spans="5:5" x14ac:dyDescent="0.2">
      <c r="E485" s="34"/>
    </row>
    <row r="486" spans="5:5" x14ac:dyDescent="0.2">
      <c r="E486" s="34"/>
    </row>
    <row r="487" spans="5:5" x14ac:dyDescent="0.2">
      <c r="E487" s="34"/>
    </row>
    <row r="488" spans="5:5" x14ac:dyDescent="0.2">
      <c r="E488" s="34"/>
    </row>
    <row r="489" spans="5:5" x14ac:dyDescent="0.2">
      <c r="E489" s="34"/>
    </row>
    <row r="490" spans="5:5" x14ac:dyDescent="0.2">
      <c r="E490" s="34"/>
    </row>
    <row r="491" spans="5:5" x14ac:dyDescent="0.2">
      <c r="E491" s="34"/>
    </row>
    <row r="492" spans="5:5" x14ac:dyDescent="0.2">
      <c r="E492" s="34"/>
    </row>
    <row r="493" spans="5:5" x14ac:dyDescent="0.2">
      <c r="E493" s="34"/>
    </row>
    <row r="494" spans="5:5" x14ac:dyDescent="0.2">
      <c r="E494" s="34"/>
    </row>
    <row r="495" spans="5:5" x14ac:dyDescent="0.2">
      <c r="E495" s="34"/>
    </row>
    <row r="496" spans="5:5" x14ac:dyDescent="0.2">
      <c r="E496" s="34"/>
    </row>
    <row r="497" spans="5:5" x14ac:dyDescent="0.2">
      <c r="E497" s="34"/>
    </row>
    <row r="498" spans="5:5" x14ac:dyDescent="0.2">
      <c r="E498" s="34"/>
    </row>
    <row r="499" spans="5:5" x14ac:dyDescent="0.2">
      <c r="E499" s="34"/>
    </row>
    <row r="500" spans="5:5" x14ac:dyDescent="0.2">
      <c r="E500" s="34"/>
    </row>
    <row r="501" spans="5:5" x14ac:dyDescent="0.2">
      <c r="E501" s="34"/>
    </row>
    <row r="502" spans="5:5" x14ac:dyDescent="0.2">
      <c r="E502" s="34"/>
    </row>
    <row r="503" spans="5:5" x14ac:dyDescent="0.2">
      <c r="E503" s="34"/>
    </row>
    <row r="504" spans="5:5" x14ac:dyDescent="0.2">
      <c r="E504" s="34"/>
    </row>
    <row r="505" spans="5:5" x14ac:dyDescent="0.2">
      <c r="E505" s="34"/>
    </row>
    <row r="506" spans="5:5" x14ac:dyDescent="0.2">
      <c r="E506" s="34"/>
    </row>
    <row r="507" spans="5:5" x14ac:dyDescent="0.2">
      <c r="E507" s="34"/>
    </row>
    <row r="508" spans="5:5" x14ac:dyDescent="0.2">
      <c r="E508" s="34"/>
    </row>
    <row r="509" spans="5:5" x14ac:dyDescent="0.2">
      <c r="E509" s="34"/>
    </row>
    <row r="510" spans="5:5" x14ac:dyDescent="0.2">
      <c r="E510" s="34"/>
    </row>
    <row r="511" spans="5:5" x14ac:dyDescent="0.2">
      <c r="E511" s="34"/>
    </row>
    <row r="512" spans="5:5" x14ac:dyDescent="0.2">
      <c r="E512" s="34"/>
    </row>
    <row r="513" spans="5:5" x14ac:dyDescent="0.2">
      <c r="E513" s="34"/>
    </row>
    <row r="514" spans="5:5" x14ac:dyDescent="0.2">
      <c r="E514" s="34"/>
    </row>
    <row r="515" spans="5:5" x14ac:dyDescent="0.2">
      <c r="E515" s="34"/>
    </row>
    <row r="516" spans="5:5" x14ac:dyDescent="0.2">
      <c r="E516" s="34"/>
    </row>
    <row r="517" spans="5:5" x14ac:dyDescent="0.2">
      <c r="E517" s="34"/>
    </row>
    <row r="518" spans="5:5" x14ac:dyDescent="0.2">
      <c r="E518" s="34"/>
    </row>
    <row r="519" spans="5:5" x14ac:dyDescent="0.2">
      <c r="E519" s="34"/>
    </row>
    <row r="520" spans="5:5" x14ac:dyDescent="0.2">
      <c r="E520" s="34"/>
    </row>
    <row r="521" spans="5:5" x14ac:dyDescent="0.2">
      <c r="E521" s="34"/>
    </row>
    <row r="522" spans="5:5" x14ac:dyDescent="0.2">
      <c r="E522" s="34"/>
    </row>
    <row r="523" spans="5:5" x14ac:dyDescent="0.2">
      <c r="E523" s="34"/>
    </row>
    <row r="524" spans="5:5" x14ac:dyDescent="0.2">
      <c r="E524" s="34"/>
    </row>
    <row r="525" spans="5:5" x14ac:dyDescent="0.2">
      <c r="E525" s="34"/>
    </row>
    <row r="526" spans="5:5" x14ac:dyDescent="0.2">
      <c r="E526" s="34"/>
    </row>
    <row r="527" spans="5:5" x14ac:dyDescent="0.2">
      <c r="E527" s="34"/>
    </row>
    <row r="528" spans="5:5" x14ac:dyDescent="0.2">
      <c r="E528" s="34"/>
    </row>
    <row r="529" spans="5:5" x14ac:dyDescent="0.2">
      <c r="E529" s="34"/>
    </row>
    <row r="530" spans="5:5" x14ac:dyDescent="0.2">
      <c r="E530" s="34"/>
    </row>
    <row r="531" spans="5:5" x14ac:dyDescent="0.2">
      <c r="E531" s="34"/>
    </row>
    <row r="532" spans="5:5" x14ac:dyDescent="0.2">
      <c r="E532" s="34"/>
    </row>
    <row r="533" spans="5:5" x14ac:dyDescent="0.2">
      <c r="E533" s="34"/>
    </row>
    <row r="534" spans="5:5" x14ac:dyDescent="0.2">
      <c r="E534" s="34"/>
    </row>
    <row r="535" spans="5:5" x14ac:dyDescent="0.2">
      <c r="E535" s="34"/>
    </row>
    <row r="536" spans="5:5" x14ac:dyDescent="0.2">
      <c r="E536" s="34"/>
    </row>
    <row r="537" spans="5:5" x14ac:dyDescent="0.2">
      <c r="E537" s="34"/>
    </row>
    <row r="538" spans="5:5" x14ac:dyDescent="0.2">
      <c r="E538" s="34"/>
    </row>
    <row r="539" spans="5:5" x14ac:dyDescent="0.2">
      <c r="E539" s="34"/>
    </row>
    <row r="540" spans="5:5" x14ac:dyDescent="0.2">
      <c r="E540" s="34"/>
    </row>
    <row r="541" spans="5:5" x14ac:dyDescent="0.2">
      <c r="E541" s="34"/>
    </row>
    <row r="542" spans="5:5" x14ac:dyDescent="0.2">
      <c r="E542" s="34"/>
    </row>
    <row r="543" spans="5:5" x14ac:dyDescent="0.2">
      <c r="E543" s="34"/>
    </row>
    <row r="544" spans="5:5" x14ac:dyDescent="0.2">
      <c r="E544" s="34"/>
    </row>
    <row r="545" spans="5:5" x14ac:dyDescent="0.2">
      <c r="E545" s="34"/>
    </row>
    <row r="546" spans="5:5" x14ac:dyDescent="0.2">
      <c r="E546" s="34"/>
    </row>
    <row r="547" spans="5:5" x14ac:dyDescent="0.2">
      <c r="E547" s="34"/>
    </row>
    <row r="548" spans="5:5" x14ac:dyDescent="0.2">
      <c r="E548" s="34"/>
    </row>
    <row r="549" spans="5:5" x14ac:dyDescent="0.2">
      <c r="E549" s="34"/>
    </row>
    <row r="550" spans="5:5" x14ac:dyDescent="0.2">
      <c r="E550" s="34"/>
    </row>
    <row r="551" spans="5:5" x14ac:dyDescent="0.2">
      <c r="E551" s="34"/>
    </row>
    <row r="552" spans="5:5" x14ac:dyDescent="0.2">
      <c r="E552" s="34"/>
    </row>
    <row r="553" spans="5:5" x14ac:dyDescent="0.2">
      <c r="E553" s="34"/>
    </row>
    <row r="554" spans="5:5" x14ac:dyDescent="0.2">
      <c r="E554" s="34"/>
    </row>
    <row r="555" spans="5:5" x14ac:dyDescent="0.2">
      <c r="E555" s="34"/>
    </row>
    <row r="556" spans="5:5" x14ac:dyDescent="0.2">
      <c r="E556" s="34"/>
    </row>
    <row r="557" spans="5:5" x14ac:dyDescent="0.2">
      <c r="E557" s="34"/>
    </row>
    <row r="558" spans="5:5" x14ac:dyDescent="0.2">
      <c r="E558" s="34"/>
    </row>
    <row r="559" spans="5:5" x14ac:dyDescent="0.2">
      <c r="E559" s="34"/>
    </row>
    <row r="560" spans="5:5" x14ac:dyDescent="0.2">
      <c r="E560" s="34"/>
    </row>
    <row r="561" spans="5:5" x14ac:dyDescent="0.2">
      <c r="E561" s="34"/>
    </row>
    <row r="562" spans="5:5" x14ac:dyDescent="0.2">
      <c r="E562" s="34"/>
    </row>
    <row r="563" spans="5:5" x14ac:dyDescent="0.2">
      <c r="E563" s="34"/>
    </row>
    <row r="564" spans="5:5" x14ac:dyDescent="0.2">
      <c r="E564" s="34"/>
    </row>
    <row r="565" spans="5:5" x14ac:dyDescent="0.2">
      <c r="E565" s="34"/>
    </row>
    <row r="566" spans="5:5" x14ac:dyDescent="0.2">
      <c r="E566" s="34"/>
    </row>
    <row r="567" spans="5:5" x14ac:dyDescent="0.2">
      <c r="E567" s="34"/>
    </row>
    <row r="568" spans="5:5" x14ac:dyDescent="0.2">
      <c r="E568" s="34"/>
    </row>
    <row r="569" spans="5:5" x14ac:dyDescent="0.2">
      <c r="E569" s="34"/>
    </row>
    <row r="570" spans="5:5" x14ac:dyDescent="0.2">
      <c r="E570" s="34"/>
    </row>
    <row r="571" spans="5:5" x14ac:dyDescent="0.2">
      <c r="E571" s="34"/>
    </row>
    <row r="572" spans="5:5" x14ac:dyDescent="0.2">
      <c r="E572" s="34"/>
    </row>
    <row r="573" spans="5:5" x14ac:dyDescent="0.2">
      <c r="E573" s="34"/>
    </row>
    <row r="574" spans="5:5" x14ac:dyDescent="0.2">
      <c r="E574" s="34"/>
    </row>
    <row r="575" spans="5:5" x14ac:dyDescent="0.2">
      <c r="E575" s="34"/>
    </row>
    <row r="576" spans="5:5" x14ac:dyDescent="0.2">
      <c r="E576" s="34"/>
    </row>
    <row r="577" spans="5:5" x14ac:dyDescent="0.2">
      <c r="E577" s="34"/>
    </row>
    <row r="578" spans="5:5" x14ac:dyDescent="0.2">
      <c r="E578" s="34"/>
    </row>
    <row r="579" spans="5:5" x14ac:dyDescent="0.2">
      <c r="E579" s="34"/>
    </row>
    <row r="580" spans="5:5" x14ac:dyDescent="0.2">
      <c r="E580" s="34"/>
    </row>
    <row r="581" spans="5:5" x14ac:dyDescent="0.2">
      <c r="E581" s="34"/>
    </row>
    <row r="582" spans="5:5" x14ac:dyDescent="0.2">
      <c r="E582" s="34"/>
    </row>
    <row r="583" spans="5:5" x14ac:dyDescent="0.2">
      <c r="E583" s="34"/>
    </row>
    <row r="584" spans="5:5" x14ac:dyDescent="0.2">
      <c r="E584" s="34"/>
    </row>
    <row r="585" spans="5:5" x14ac:dyDescent="0.2">
      <c r="E585" s="34"/>
    </row>
    <row r="586" spans="5:5" x14ac:dyDescent="0.2">
      <c r="E586" s="34"/>
    </row>
    <row r="587" spans="5:5" x14ac:dyDescent="0.2">
      <c r="E587" s="34"/>
    </row>
    <row r="588" spans="5:5" x14ac:dyDescent="0.2">
      <c r="E588" s="34"/>
    </row>
    <row r="589" spans="5:5" x14ac:dyDescent="0.2">
      <c r="E589" s="34"/>
    </row>
    <row r="590" spans="5:5" x14ac:dyDescent="0.2">
      <c r="E590" s="34"/>
    </row>
    <row r="591" spans="5:5" x14ac:dyDescent="0.2">
      <c r="E591" s="34"/>
    </row>
    <row r="592" spans="5:5" x14ac:dyDescent="0.2">
      <c r="E592" s="34"/>
    </row>
    <row r="593" spans="5:5" x14ac:dyDescent="0.2">
      <c r="E593" s="34"/>
    </row>
    <row r="594" spans="5:5" x14ac:dyDescent="0.2">
      <c r="E594" s="34"/>
    </row>
    <row r="595" spans="5:5" x14ac:dyDescent="0.2">
      <c r="E595" s="34"/>
    </row>
    <row r="596" spans="5:5" x14ac:dyDescent="0.2">
      <c r="E596" s="34"/>
    </row>
    <row r="597" spans="5:5" x14ac:dyDescent="0.2">
      <c r="E597" s="34"/>
    </row>
    <row r="598" spans="5:5" x14ac:dyDescent="0.2">
      <c r="E598" s="34"/>
    </row>
    <row r="599" spans="5:5" x14ac:dyDescent="0.2">
      <c r="E599" s="34"/>
    </row>
    <row r="600" spans="5:5" x14ac:dyDescent="0.2">
      <c r="E600" s="34"/>
    </row>
    <row r="601" spans="5:5" x14ac:dyDescent="0.2">
      <c r="E601" s="34"/>
    </row>
    <row r="602" spans="5:5" x14ac:dyDescent="0.2">
      <c r="E602" s="34"/>
    </row>
    <row r="603" spans="5:5" x14ac:dyDescent="0.2">
      <c r="E603" s="34"/>
    </row>
    <row r="604" spans="5:5" x14ac:dyDescent="0.2">
      <c r="E604" s="34"/>
    </row>
    <row r="605" spans="5:5" x14ac:dyDescent="0.2">
      <c r="E605" s="34"/>
    </row>
    <row r="606" spans="5:5" x14ac:dyDescent="0.2">
      <c r="E606" s="34"/>
    </row>
    <row r="607" spans="5:5" x14ac:dyDescent="0.2">
      <c r="E607" s="34"/>
    </row>
    <row r="608" spans="5:5" x14ac:dyDescent="0.2">
      <c r="E608" s="34"/>
    </row>
    <row r="609" spans="5:5" x14ac:dyDescent="0.2">
      <c r="E609" s="34"/>
    </row>
    <row r="610" spans="5:5" x14ac:dyDescent="0.2">
      <c r="E610" s="34"/>
    </row>
    <row r="611" spans="5:5" x14ac:dyDescent="0.2">
      <c r="E611" s="34"/>
    </row>
    <row r="612" spans="5:5" x14ac:dyDescent="0.2">
      <c r="E612" s="34"/>
    </row>
    <row r="613" spans="5:5" x14ac:dyDescent="0.2">
      <c r="E613" s="34"/>
    </row>
    <row r="614" spans="5:5" x14ac:dyDescent="0.2">
      <c r="E614" s="34"/>
    </row>
    <row r="615" spans="5:5" x14ac:dyDescent="0.2">
      <c r="E615" s="34"/>
    </row>
    <row r="616" spans="5:5" x14ac:dyDescent="0.2">
      <c r="E616" s="34"/>
    </row>
    <row r="617" spans="5:5" x14ac:dyDescent="0.2">
      <c r="E617" s="34"/>
    </row>
    <row r="618" spans="5:5" x14ac:dyDescent="0.2">
      <c r="E618" s="34"/>
    </row>
    <row r="619" spans="5:5" x14ac:dyDescent="0.2">
      <c r="E619" s="34"/>
    </row>
    <row r="620" spans="5:5" x14ac:dyDescent="0.2">
      <c r="E620" s="34"/>
    </row>
    <row r="621" spans="5:5" x14ac:dyDescent="0.2">
      <c r="E621" s="34"/>
    </row>
    <row r="622" spans="5:5" x14ac:dyDescent="0.2">
      <c r="E622" s="34"/>
    </row>
    <row r="623" spans="5:5" x14ac:dyDescent="0.2">
      <c r="E623" s="34"/>
    </row>
    <row r="624" spans="5:5" x14ac:dyDescent="0.2">
      <c r="E624" s="34"/>
    </row>
    <row r="625" spans="5:5" x14ac:dyDescent="0.2">
      <c r="E625" s="34"/>
    </row>
    <row r="626" spans="5:5" x14ac:dyDescent="0.2">
      <c r="E626" s="34"/>
    </row>
    <row r="627" spans="5:5" x14ac:dyDescent="0.2">
      <c r="E627" s="34"/>
    </row>
    <row r="628" spans="5:5" x14ac:dyDescent="0.2">
      <c r="E628" s="34"/>
    </row>
    <row r="629" spans="5:5" x14ac:dyDescent="0.2">
      <c r="E629" s="34"/>
    </row>
    <row r="630" spans="5:5" x14ac:dyDescent="0.2">
      <c r="E630" s="34"/>
    </row>
    <row r="631" spans="5:5" x14ac:dyDescent="0.2">
      <c r="E631" s="34"/>
    </row>
    <row r="632" spans="5:5" x14ac:dyDescent="0.2">
      <c r="E632" s="34"/>
    </row>
    <row r="633" spans="5:5" x14ac:dyDescent="0.2">
      <c r="E633" s="34"/>
    </row>
    <row r="634" spans="5:5" x14ac:dyDescent="0.2">
      <c r="E634" s="34"/>
    </row>
    <row r="635" spans="5:5" x14ac:dyDescent="0.2">
      <c r="E635" s="34"/>
    </row>
    <row r="636" spans="5:5" x14ac:dyDescent="0.2">
      <c r="E636" s="34"/>
    </row>
    <row r="637" spans="5:5" x14ac:dyDescent="0.2">
      <c r="E637" s="34"/>
    </row>
    <row r="638" spans="5:5" x14ac:dyDescent="0.2">
      <c r="E638" s="34"/>
    </row>
    <row r="639" spans="5:5" x14ac:dyDescent="0.2">
      <c r="E639" s="34"/>
    </row>
    <row r="640" spans="5:5" x14ac:dyDescent="0.2">
      <c r="E640" s="34"/>
    </row>
    <row r="641" spans="5:5" x14ac:dyDescent="0.2">
      <c r="E641" s="34"/>
    </row>
    <row r="642" spans="5:5" x14ac:dyDescent="0.2">
      <c r="E642" s="34"/>
    </row>
    <row r="643" spans="5:5" x14ac:dyDescent="0.2">
      <c r="E643" s="34"/>
    </row>
    <row r="644" spans="5:5" x14ac:dyDescent="0.2">
      <c r="E644" s="34"/>
    </row>
    <row r="645" spans="5:5" x14ac:dyDescent="0.2">
      <c r="E645" s="34"/>
    </row>
    <row r="646" spans="5:5" x14ac:dyDescent="0.2">
      <c r="E646" s="34"/>
    </row>
    <row r="647" spans="5:5" x14ac:dyDescent="0.2">
      <c r="E647" s="34"/>
    </row>
    <row r="648" spans="5:5" x14ac:dyDescent="0.2">
      <c r="E648" s="34"/>
    </row>
    <row r="649" spans="5:5" x14ac:dyDescent="0.2">
      <c r="E649" s="34"/>
    </row>
    <row r="650" spans="5:5" x14ac:dyDescent="0.2">
      <c r="E650" s="34"/>
    </row>
    <row r="651" spans="5:5" x14ac:dyDescent="0.2">
      <c r="E651" s="34"/>
    </row>
    <row r="652" spans="5:5" x14ac:dyDescent="0.2">
      <c r="E652" s="34"/>
    </row>
    <row r="653" spans="5:5" x14ac:dyDescent="0.2">
      <c r="E653" s="34"/>
    </row>
    <row r="654" spans="5:5" x14ac:dyDescent="0.2">
      <c r="E654" s="34"/>
    </row>
    <row r="655" spans="5:5" x14ac:dyDescent="0.2">
      <c r="E655" s="34"/>
    </row>
    <row r="656" spans="5:5" x14ac:dyDescent="0.2">
      <c r="E656" s="34"/>
    </row>
    <row r="657" spans="5:5" x14ac:dyDescent="0.2">
      <c r="E657" s="34"/>
    </row>
    <row r="658" spans="5:5" x14ac:dyDescent="0.2">
      <c r="E658" s="34"/>
    </row>
    <row r="659" spans="5:5" x14ac:dyDescent="0.2">
      <c r="E659" s="34"/>
    </row>
    <row r="660" spans="5:5" x14ac:dyDescent="0.2">
      <c r="E660" s="34"/>
    </row>
    <row r="661" spans="5:5" x14ac:dyDescent="0.2">
      <c r="E661" s="34"/>
    </row>
    <row r="662" spans="5:5" x14ac:dyDescent="0.2">
      <c r="E662" s="34"/>
    </row>
    <row r="663" spans="5:5" x14ac:dyDescent="0.2">
      <c r="E663" s="34"/>
    </row>
    <row r="664" spans="5:5" x14ac:dyDescent="0.2">
      <c r="E664" s="34"/>
    </row>
    <row r="665" spans="5:5" x14ac:dyDescent="0.2">
      <c r="E665" s="34"/>
    </row>
    <row r="666" spans="5:5" x14ac:dyDescent="0.2">
      <c r="E666" s="34"/>
    </row>
    <row r="667" spans="5:5" x14ac:dyDescent="0.2">
      <c r="E667" s="34"/>
    </row>
    <row r="668" spans="5:5" x14ac:dyDescent="0.2">
      <c r="E668" s="34"/>
    </row>
    <row r="669" spans="5:5" x14ac:dyDescent="0.2">
      <c r="E669" s="34"/>
    </row>
    <row r="670" spans="5:5" x14ac:dyDescent="0.2">
      <c r="E670" s="34"/>
    </row>
    <row r="671" spans="5:5" x14ac:dyDescent="0.2">
      <c r="E671" s="34"/>
    </row>
    <row r="672" spans="5:5" x14ac:dyDescent="0.2">
      <c r="E672" s="34"/>
    </row>
    <row r="673" spans="5:5" x14ac:dyDescent="0.2">
      <c r="E673" s="34"/>
    </row>
    <row r="674" spans="5:5" x14ac:dyDescent="0.2">
      <c r="E674" s="34"/>
    </row>
    <row r="675" spans="5:5" x14ac:dyDescent="0.2">
      <c r="E675" s="34"/>
    </row>
    <row r="676" spans="5:5" x14ac:dyDescent="0.2">
      <c r="E676" s="34"/>
    </row>
    <row r="677" spans="5:5" x14ac:dyDescent="0.2">
      <c r="E677" s="34"/>
    </row>
    <row r="678" spans="5:5" x14ac:dyDescent="0.2">
      <c r="E678" s="34"/>
    </row>
    <row r="679" spans="5:5" x14ac:dyDescent="0.2">
      <c r="E679" s="34"/>
    </row>
    <row r="680" spans="5:5" x14ac:dyDescent="0.2">
      <c r="E680" s="34"/>
    </row>
    <row r="681" spans="5:5" x14ac:dyDescent="0.2">
      <c r="E681" s="34"/>
    </row>
    <row r="682" spans="5:5" x14ac:dyDescent="0.2">
      <c r="E682" s="34"/>
    </row>
    <row r="683" spans="5:5" x14ac:dyDescent="0.2">
      <c r="E683" s="34"/>
    </row>
    <row r="684" spans="5:5" x14ac:dyDescent="0.2">
      <c r="E684" s="34"/>
    </row>
    <row r="685" spans="5:5" x14ac:dyDescent="0.2">
      <c r="E685" s="34"/>
    </row>
    <row r="686" spans="5:5" x14ac:dyDescent="0.2">
      <c r="E686" s="34"/>
    </row>
    <row r="687" spans="5:5" x14ac:dyDescent="0.2">
      <c r="E687" s="34"/>
    </row>
    <row r="688" spans="5:5" x14ac:dyDescent="0.2">
      <c r="E688" s="34"/>
    </row>
    <row r="689" spans="5:5" x14ac:dyDescent="0.2">
      <c r="E689" s="34"/>
    </row>
    <row r="690" spans="5:5" x14ac:dyDescent="0.2">
      <c r="E690" s="34"/>
    </row>
    <row r="691" spans="5:5" x14ac:dyDescent="0.2">
      <c r="E691" s="34"/>
    </row>
    <row r="692" spans="5:5" x14ac:dyDescent="0.2">
      <c r="E692" s="34"/>
    </row>
    <row r="693" spans="5:5" x14ac:dyDescent="0.2">
      <c r="E693" s="34"/>
    </row>
    <row r="694" spans="5:5" x14ac:dyDescent="0.2">
      <c r="E694" s="34"/>
    </row>
    <row r="695" spans="5:5" x14ac:dyDescent="0.2">
      <c r="E695" s="34"/>
    </row>
    <row r="696" spans="5:5" x14ac:dyDescent="0.2">
      <c r="E696" s="34"/>
    </row>
    <row r="697" spans="5:5" x14ac:dyDescent="0.2">
      <c r="E697" s="34"/>
    </row>
    <row r="698" spans="5:5" x14ac:dyDescent="0.2">
      <c r="E698" s="34"/>
    </row>
    <row r="699" spans="5:5" x14ac:dyDescent="0.2">
      <c r="E699" s="34"/>
    </row>
    <row r="700" spans="5:5" x14ac:dyDescent="0.2">
      <c r="E700" s="34"/>
    </row>
    <row r="701" spans="5:5" x14ac:dyDescent="0.2">
      <c r="E701" s="34"/>
    </row>
    <row r="702" spans="5:5" x14ac:dyDescent="0.2">
      <c r="E702" s="34"/>
    </row>
    <row r="703" spans="5:5" x14ac:dyDescent="0.2">
      <c r="E703" s="34"/>
    </row>
    <row r="704" spans="5:5" x14ac:dyDescent="0.2">
      <c r="E704" s="34"/>
    </row>
    <row r="705" spans="5:5" x14ac:dyDescent="0.2">
      <c r="E705" s="34"/>
    </row>
    <row r="706" spans="5:5" x14ac:dyDescent="0.2">
      <c r="E706" s="34"/>
    </row>
    <row r="707" spans="5:5" x14ac:dyDescent="0.2">
      <c r="E707" s="34"/>
    </row>
    <row r="708" spans="5:5" x14ac:dyDescent="0.2">
      <c r="E708" s="34"/>
    </row>
    <row r="709" spans="5:5" x14ac:dyDescent="0.2">
      <c r="E709" s="34"/>
    </row>
    <row r="710" spans="5:5" x14ac:dyDescent="0.2">
      <c r="E710" s="34"/>
    </row>
    <row r="711" spans="5:5" x14ac:dyDescent="0.2">
      <c r="E711" s="34"/>
    </row>
    <row r="712" spans="5:5" x14ac:dyDescent="0.2">
      <c r="E712" s="34"/>
    </row>
    <row r="713" spans="5:5" x14ac:dyDescent="0.2">
      <c r="E713" s="34"/>
    </row>
    <row r="714" spans="5:5" x14ac:dyDescent="0.2">
      <c r="E714" s="34"/>
    </row>
    <row r="715" spans="5:5" x14ac:dyDescent="0.2">
      <c r="E715" s="34"/>
    </row>
    <row r="716" spans="5:5" x14ac:dyDescent="0.2">
      <c r="E716" s="34"/>
    </row>
    <row r="717" spans="5:5" x14ac:dyDescent="0.2">
      <c r="E717" s="34"/>
    </row>
    <row r="718" spans="5:5" x14ac:dyDescent="0.2">
      <c r="E718" s="34"/>
    </row>
    <row r="719" spans="5:5" x14ac:dyDescent="0.2">
      <c r="E719" s="34"/>
    </row>
    <row r="720" spans="5:5" x14ac:dyDescent="0.2">
      <c r="E720" s="34"/>
    </row>
    <row r="721" spans="5:5" x14ac:dyDescent="0.2">
      <c r="E721" s="34"/>
    </row>
    <row r="722" spans="5:5" x14ac:dyDescent="0.2">
      <c r="E722" s="34"/>
    </row>
    <row r="723" spans="5:5" x14ac:dyDescent="0.2">
      <c r="E723" s="34"/>
    </row>
    <row r="724" spans="5:5" x14ac:dyDescent="0.2">
      <c r="E724" s="34"/>
    </row>
    <row r="725" spans="5:5" x14ac:dyDescent="0.2">
      <c r="E725" s="34"/>
    </row>
    <row r="726" spans="5:5" x14ac:dyDescent="0.2">
      <c r="E726" s="34"/>
    </row>
    <row r="727" spans="5:5" x14ac:dyDescent="0.2">
      <c r="E727" s="34"/>
    </row>
    <row r="728" spans="5:5" x14ac:dyDescent="0.2">
      <c r="E728" s="34"/>
    </row>
    <row r="729" spans="5:5" x14ac:dyDescent="0.2">
      <c r="E729" s="34"/>
    </row>
    <row r="730" spans="5:5" x14ac:dyDescent="0.2">
      <c r="E730" s="34"/>
    </row>
    <row r="731" spans="5:5" x14ac:dyDescent="0.2">
      <c r="E731" s="34"/>
    </row>
    <row r="732" spans="5:5" x14ac:dyDescent="0.2">
      <c r="E732" s="34"/>
    </row>
    <row r="733" spans="5:5" x14ac:dyDescent="0.2">
      <c r="E733" s="34"/>
    </row>
    <row r="734" spans="5:5" x14ac:dyDescent="0.2">
      <c r="E734" s="34"/>
    </row>
    <row r="735" spans="5:5" x14ac:dyDescent="0.2">
      <c r="E735" s="34"/>
    </row>
    <row r="736" spans="5:5" x14ac:dyDescent="0.2">
      <c r="E736" s="34"/>
    </row>
    <row r="737" spans="5:5" x14ac:dyDescent="0.2">
      <c r="E737" s="34"/>
    </row>
    <row r="738" spans="5:5" x14ac:dyDescent="0.2">
      <c r="E738" s="34"/>
    </row>
    <row r="739" spans="5:5" x14ac:dyDescent="0.2">
      <c r="E739" s="34"/>
    </row>
    <row r="740" spans="5:5" x14ac:dyDescent="0.2">
      <c r="E740" s="34"/>
    </row>
    <row r="741" spans="5:5" x14ac:dyDescent="0.2">
      <c r="E741" s="34"/>
    </row>
    <row r="742" spans="5:5" x14ac:dyDescent="0.2">
      <c r="E742" s="34"/>
    </row>
    <row r="743" spans="5:5" x14ac:dyDescent="0.2">
      <c r="E743" s="34"/>
    </row>
    <row r="744" spans="5:5" x14ac:dyDescent="0.2">
      <c r="E744" s="34"/>
    </row>
    <row r="745" spans="5:5" x14ac:dyDescent="0.2">
      <c r="E745" s="34"/>
    </row>
    <row r="746" spans="5:5" x14ac:dyDescent="0.2">
      <c r="E746" s="34"/>
    </row>
    <row r="747" spans="5:5" x14ac:dyDescent="0.2">
      <c r="E747" s="34"/>
    </row>
    <row r="748" spans="5:5" x14ac:dyDescent="0.2">
      <c r="E748" s="34"/>
    </row>
    <row r="749" spans="5:5" x14ac:dyDescent="0.2">
      <c r="E749" s="34"/>
    </row>
    <row r="750" spans="5:5" x14ac:dyDescent="0.2">
      <c r="E750" s="34"/>
    </row>
    <row r="751" spans="5:5" x14ac:dyDescent="0.2">
      <c r="E751" s="34"/>
    </row>
    <row r="752" spans="5:5" x14ac:dyDescent="0.2">
      <c r="E752" s="34"/>
    </row>
    <row r="753" spans="5:5" x14ac:dyDescent="0.2">
      <c r="E753" s="34"/>
    </row>
    <row r="754" spans="5:5" x14ac:dyDescent="0.2">
      <c r="E754" s="34"/>
    </row>
    <row r="755" spans="5:5" x14ac:dyDescent="0.2">
      <c r="E755" s="34"/>
    </row>
    <row r="756" spans="5:5" x14ac:dyDescent="0.2">
      <c r="E756" s="34"/>
    </row>
    <row r="757" spans="5:5" x14ac:dyDescent="0.2">
      <c r="E757" s="34"/>
    </row>
    <row r="758" spans="5:5" x14ac:dyDescent="0.2">
      <c r="E758" s="34"/>
    </row>
    <row r="759" spans="5:5" x14ac:dyDescent="0.2">
      <c r="E759" s="34"/>
    </row>
    <row r="760" spans="5:5" x14ac:dyDescent="0.2">
      <c r="E760" s="34"/>
    </row>
    <row r="761" spans="5:5" x14ac:dyDescent="0.2">
      <c r="E761" s="34"/>
    </row>
    <row r="762" spans="5:5" x14ac:dyDescent="0.2">
      <c r="E762" s="34"/>
    </row>
    <row r="763" spans="5:5" x14ac:dyDescent="0.2">
      <c r="E763" s="34"/>
    </row>
    <row r="764" spans="5:5" x14ac:dyDescent="0.2">
      <c r="E764" s="34"/>
    </row>
    <row r="765" spans="5:5" x14ac:dyDescent="0.2">
      <c r="E765" s="34"/>
    </row>
    <row r="766" spans="5:5" x14ac:dyDescent="0.2">
      <c r="E766" s="34"/>
    </row>
    <row r="767" spans="5:5" x14ac:dyDescent="0.2">
      <c r="E767" s="34"/>
    </row>
    <row r="768" spans="5:5" x14ac:dyDescent="0.2">
      <c r="E768" s="34"/>
    </row>
    <row r="769" spans="5:5" x14ac:dyDescent="0.2">
      <c r="E769" s="34"/>
    </row>
    <row r="770" spans="5:5" x14ac:dyDescent="0.2">
      <c r="E770" s="34"/>
    </row>
    <row r="771" spans="5:5" x14ac:dyDescent="0.2">
      <c r="E771" s="34"/>
    </row>
    <row r="772" spans="5:5" x14ac:dyDescent="0.2">
      <c r="E772" s="34"/>
    </row>
    <row r="773" spans="5:5" x14ac:dyDescent="0.2">
      <c r="E773" s="34"/>
    </row>
    <row r="774" spans="5:5" x14ac:dyDescent="0.2">
      <c r="E774" s="34"/>
    </row>
    <row r="775" spans="5:5" x14ac:dyDescent="0.2">
      <c r="E775" s="34"/>
    </row>
    <row r="776" spans="5:5" x14ac:dyDescent="0.2">
      <c r="E776" s="34"/>
    </row>
    <row r="777" spans="5:5" x14ac:dyDescent="0.2">
      <c r="E777" s="34"/>
    </row>
    <row r="778" spans="5:5" x14ac:dyDescent="0.2">
      <c r="E778" s="34"/>
    </row>
    <row r="779" spans="5:5" x14ac:dyDescent="0.2">
      <c r="E779" s="34"/>
    </row>
    <row r="780" spans="5:5" x14ac:dyDescent="0.2">
      <c r="E780" s="34"/>
    </row>
    <row r="781" spans="5:5" x14ac:dyDescent="0.2">
      <c r="E781" s="34"/>
    </row>
    <row r="782" spans="5:5" x14ac:dyDescent="0.2">
      <c r="E782" s="34"/>
    </row>
    <row r="783" spans="5:5" x14ac:dyDescent="0.2">
      <c r="E783" s="34"/>
    </row>
    <row r="784" spans="5:5" x14ac:dyDescent="0.2">
      <c r="E784" s="34"/>
    </row>
    <row r="785" spans="5:5" x14ac:dyDescent="0.2">
      <c r="E785" s="34"/>
    </row>
    <row r="786" spans="5:5" x14ac:dyDescent="0.2">
      <c r="E786" s="34"/>
    </row>
    <row r="787" spans="5:5" x14ac:dyDescent="0.2">
      <c r="E787" s="34"/>
    </row>
    <row r="788" spans="5:5" x14ac:dyDescent="0.2">
      <c r="E788" s="34"/>
    </row>
    <row r="789" spans="5:5" x14ac:dyDescent="0.2">
      <c r="E789" s="34"/>
    </row>
    <row r="790" spans="5:5" x14ac:dyDescent="0.2">
      <c r="E790" s="34"/>
    </row>
    <row r="791" spans="5:5" x14ac:dyDescent="0.2">
      <c r="E791" s="34"/>
    </row>
    <row r="792" spans="5:5" x14ac:dyDescent="0.2">
      <c r="E792" s="34"/>
    </row>
    <row r="793" spans="5:5" x14ac:dyDescent="0.2">
      <c r="E793" s="34"/>
    </row>
    <row r="794" spans="5:5" x14ac:dyDescent="0.2">
      <c r="E794" s="34"/>
    </row>
    <row r="795" spans="5:5" x14ac:dyDescent="0.2">
      <c r="E795" s="34"/>
    </row>
    <row r="796" spans="5:5" x14ac:dyDescent="0.2">
      <c r="E796" s="34"/>
    </row>
    <row r="797" spans="5:5" x14ac:dyDescent="0.2">
      <c r="E797" s="34"/>
    </row>
    <row r="798" spans="5:5" x14ac:dyDescent="0.2">
      <c r="E798" s="34"/>
    </row>
    <row r="799" spans="5:5" x14ac:dyDescent="0.2">
      <c r="E799" s="34"/>
    </row>
    <row r="800" spans="5:5" x14ac:dyDescent="0.2">
      <c r="E800" s="34"/>
    </row>
    <row r="801" spans="5:5" x14ac:dyDescent="0.2">
      <c r="E801" s="34"/>
    </row>
    <row r="802" spans="5:5" x14ac:dyDescent="0.2">
      <c r="E802" s="34"/>
    </row>
    <row r="803" spans="5:5" x14ac:dyDescent="0.2">
      <c r="E803" s="34"/>
    </row>
    <row r="804" spans="5:5" x14ac:dyDescent="0.2">
      <c r="E804" s="34"/>
    </row>
    <row r="805" spans="5:5" x14ac:dyDescent="0.2">
      <c r="E805" s="34"/>
    </row>
    <row r="806" spans="5:5" x14ac:dyDescent="0.2">
      <c r="E806" s="34"/>
    </row>
    <row r="807" spans="5:5" x14ac:dyDescent="0.2">
      <c r="E807" s="34"/>
    </row>
    <row r="808" spans="5:5" x14ac:dyDescent="0.2">
      <c r="E808" s="34"/>
    </row>
    <row r="809" spans="5:5" x14ac:dyDescent="0.2">
      <c r="E809" s="34"/>
    </row>
    <row r="810" spans="5:5" x14ac:dyDescent="0.2">
      <c r="E810" s="34"/>
    </row>
    <row r="811" spans="5:5" x14ac:dyDescent="0.2">
      <c r="E811" s="34"/>
    </row>
    <row r="812" spans="5:5" x14ac:dyDescent="0.2">
      <c r="E812" s="34"/>
    </row>
    <row r="813" spans="5:5" x14ac:dyDescent="0.2">
      <c r="E813" s="34"/>
    </row>
    <row r="814" spans="5:5" x14ac:dyDescent="0.2">
      <c r="E814" s="34"/>
    </row>
    <row r="815" spans="5:5" x14ac:dyDescent="0.2">
      <c r="E815" s="34"/>
    </row>
    <row r="816" spans="5:5" x14ac:dyDescent="0.2">
      <c r="E816" s="34"/>
    </row>
    <row r="817" spans="5:5" x14ac:dyDescent="0.2">
      <c r="E817" s="34"/>
    </row>
    <row r="818" spans="5:5" x14ac:dyDescent="0.2">
      <c r="E818" s="34"/>
    </row>
    <row r="819" spans="5:5" x14ac:dyDescent="0.2">
      <c r="E819" s="34"/>
    </row>
    <row r="820" spans="5:5" x14ac:dyDescent="0.2">
      <c r="E820" s="34"/>
    </row>
    <row r="821" spans="5:5" x14ac:dyDescent="0.2">
      <c r="E821" s="34"/>
    </row>
    <row r="822" spans="5:5" x14ac:dyDescent="0.2">
      <c r="E822" s="34"/>
    </row>
    <row r="823" spans="5:5" x14ac:dyDescent="0.2">
      <c r="E823" s="34"/>
    </row>
    <row r="824" spans="5:5" x14ac:dyDescent="0.2">
      <c r="E824" s="34"/>
    </row>
    <row r="825" spans="5:5" x14ac:dyDescent="0.2">
      <c r="E825" s="34"/>
    </row>
    <row r="826" spans="5:5" x14ac:dyDescent="0.2">
      <c r="E826" s="34"/>
    </row>
    <row r="827" spans="5:5" x14ac:dyDescent="0.2">
      <c r="E827" s="34"/>
    </row>
    <row r="828" spans="5:5" x14ac:dyDescent="0.2">
      <c r="E828" s="34"/>
    </row>
    <row r="829" spans="5:5" x14ac:dyDescent="0.2">
      <c r="E829" s="34"/>
    </row>
    <row r="830" spans="5:5" x14ac:dyDescent="0.2">
      <c r="E830" s="34"/>
    </row>
    <row r="831" spans="5:5" x14ac:dyDescent="0.2">
      <c r="E831" s="34"/>
    </row>
    <row r="832" spans="5:5" x14ac:dyDescent="0.2">
      <c r="E832" s="34"/>
    </row>
    <row r="833" spans="5:5" x14ac:dyDescent="0.2">
      <c r="E833" s="34"/>
    </row>
    <row r="834" spans="5:5" x14ac:dyDescent="0.2">
      <c r="E834" s="34"/>
    </row>
    <row r="835" spans="5:5" x14ac:dyDescent="0.2">
      <c r="E835" s="34"/>
    </row>
    <row r="836" spans="5:5" x14ac:dyDescent="0.2">
      <c r="E836" s="34"/>
    </row>
    <row r="837" spans="5:5" x14ac:dyDescent="0.2">
      <c r="E837" s="34"/>
    </row>
    <row r="838" spans="5:5" x14ac:dyDescent="0.2">
      <c r="E838" s="34"/>
    </row>
    <row r="839" spans="5:5" x14ac:dyDescent="0.2">
      <c r="E839" s="34"/>
    </row>
    <row r="840" spans="5:5" x14ac:dyDescent="0.2">
      <c r="E840" s="34"/>
    </row>
    <row r="841" spans="5:5" x14ac:dyDescent="0.2">
      <c r="E841" s="34"/>
    </row>
    <row r="842" spans="5:5" x14ac:dyDescent="0.2">
      <c r="E842" s="34"/>
    </row>
    <row r="843" spans="5:5" x14ac:dyDescent="0.2">
      <c r="E843" s="34"/>
    </row>
    <row r="844" spans="5:5" x14ac:dyDescent="0.2">
      <c r="E844" s="34"/>
    </row>
    <row r="845" spans="5:5" x14ac:dyDescent="0.2">
      <c r="E845" s="34"/>
    </row>
    <row r="846" spans="5:5" x14ac:dyDescent="0.2">
      <c r="E846" s="34"/>
    </row>
    <row r="847" spans="5:5" x14ac:dyDescent="0.2">
      <c r="E847" s="34"/>
    </row>
    <row r="848" spans="5:5" x14ac:dyDescent="0.2">
      <c r="E848" s="34"/>
    </row>
    <row r="849" spans="5:5" x14ac:dyDescent="0.2">
      <c r="E849" s="34"/>
    </row>
    <row r="850" spans="5:5" x14ac:dyDescent="0.2">
      <c r="E850" s="34"/>
    </row>
    <row r="851" spans="5:5" x14ac:dyDescent="0.2">
      <c r="E851" s="34"/>
    </row>
    <row r="852" spans="5:5" x14ac:dyDescent="0.2">
      <c r="E852" s="34"/>
    </row>
    <row r="853" spans="5:5" x14ac:dyDescent="0.2">
      <c r="E853" s="34"/>
    </row>
    <row r="854" spans="5:5" x14ac:dyDescent="0.2">
      <c r="E854" s="34"/>
    </row>
    <row r="855" spans="5:5" x14ac:dyDescent="0.2">
      <c r="E855" s="34"/>
    </row>
    <row r="856" spans="5:5" x14ac:dyDescent="0.2">
      <c r="E856" s="34"/>
    </row>
    <row r="857" spans="5:5" x14ac:dyDescent="0.2">
      <c r="E857" s="34"/>
    </row>
    <row r="858" spans="5:5" x14ac:dyDescent="0.2">
      <c r="E858" s="34"/>
    </row>
    <row r="859" spans="5:5" x14ac:dyDescent="0.2">
      <c r="E859" s="34"/>
    </row>
    <row r="860" spans="5:5" x14ac:dyDescent="0.2">
      <c r="E860" s="34"/>
    </row>
    <row r="861" spans="5:5" x14ac:dyDescent="0.2">
      <c r="E861" s="34"/>
    </row>
    <row r="862" spans="5:5" x14ac:dyDescent="0.2">
      <c r="E862" s="34"/>
    </row>
    <row r="863" spans="5:5" x14ac:dyDescent="0.2">
      <c r="E863" s="34"/>
    </row>
    <row r="864" spans="5:5" x14ac:dyDescent="0.2">
      <c r="E864" s="34"/>
    </row>
    <row r="865" spans="5:5" x14ac:dyDescent="0.2">
      <c r="E865" s="34"/>
    </row>
    <row r="866" spans="5:5" x14ac:dyDescent="0.2">
      <c r="E866" s="34"/>
    </row>
    <row r="867" spans="5:5" x14ac:dyDescent="0.2">
      <c r="E867" s="34"/>
    </row>
    <row r="868" spans="5:5" x14ac:dyDescent="0.2">
      <c r="E868" s="34"/>
    </row>
    <row r="869" spans="5:5" x14ac:dyDescent="0.2">
      <c r="E869" s="34"/>
    </row>
    <row r="870" spans="5:5" x14ac:dyDescent="0.2">
      <c r="E870" s="34"/>
    </row>
    <row r="871" spans="5:5" x14ac:dyDescent="0.2">
      <c r="E871" s="34"/>
    </row>
    <row r="872" spans="5:5" x14ac:dyDescent="0.2">
      <c r="E872" s="34"/>
    </row>
    <row r="873" spans="5:5" x14ac:dyDescent="0.2">
      <c r="E873" s="34"/>
    </row>
    <row r="874" spans="5:5" x14ac:dyDescent="0.2">
      <c r="E874" s="34"/>
    </row>
    <row r="875" spans="5:5" x14ac:dyDescent="0.2">
      <c r="E875" s="34"/>
    </row>
    <row r="876" spans="5:5" x14ac:dyDescent="0.2">
      <c r="E876" s="34"/>
    </row>
    <row r="877" spans="5:5" x14ac:dyDescent="0.2">
      <c r="E877" s="34"/>
    </row>
    <row r="878" spans="5:5" x14ac:dyDescent="0.2">
      <c r="E878" s="34"/>
    </row>
    <row r="879" spans="5:5" x14ac:dyDescent="0.2">
      <c r="E879" s="34"/>
    </row>
    <row r="880" spans="5:5" x14ac:dyDescent="0.2">
      <c r="E880" s="34"/>
    </row>
    <row r="881" spans="5:5" x14ac:dyDescent="0.2">
      <c r="E881" s="34"/>
    </row>
    <row r="882" spans="5:5" x14ac:dyDescent="0.2">
      <c r="E882" s="34"/>
    </row>
    <row r="883" spans="5:5" x14ac:dyDescent="0.2">
      <c r="E883" s="34"/>
    </row>
    <row r="884" spans="5:5" x14ac:dyDescent="0.2">
      <c r="E884" s="34"/>
    </row>
    <row r="885" spans="5:5" x14ac:dyDescent="0.2">
      <c r="E885" s="34"/>
    </row>
    <row r="886" spans="5:5" x14ac:dyDescent="0.2">
      <c r="E886" s="34"/>
    </row>
    <row r="887" spans="5:5" x14ac:dyDescent="0.2">
      <c r="E887" s="34"/>
    </row>
    <row r="888" spans="5:5" x14ac:dyDescent="0.2">
      <c r="E888" s="34"/>
    </row>
    <row r="889" spans="5:5" x14ac:dyDescent="0.2">
      <c r="E889" s="34"/>
    </row>
    <row r="890" spans="5:5" x14ac:dyDescent="0.2">
      <c r="E890" s="34"/>
    </row>
    <row r="891" spans="5:5" x14ac:dyDescent="0.2">
      <c r="E891" s="34"/>
    </row>
    <row r="892" spans="5:5" x14ac:dyDescent="0.2">
      <c r="E892" s="34"/>
    </row>
    <row r="893" spans="5:5" x14ac:dyDescent="0.2">
      <c r="E893" s="34"/>
    </row>
    <row r="894" spans="5:5" x14ac:dyDescent="0.2">
      <c r="E894" s="34"/>
    </row>
    <row r="895" spans="5:5" x14ac:dyDescent="0.2">
      <c r="E895" s="34"/>
    </row>
    <row r="896" spans="5:5" x14ac:dyDescent="0.2">
      <c r="E896" s="34"/>
    </row>
    <row r="897" spans="5:5" x14ac:dyDescent="0.2">
      <c r="E897" s="34"/>
    </row>
    <row r="898" spans="5:5" x14ac:dyDescent="0.2">
      <c r="E898" s="34"/>
    </row>
    <row r="899" spans="5:5" x14ac:dyDescent="0.2">
      <c r="E899" s="34"/>
    </row>
    <row r="900" spans="5:5" x14ac:dyDescent="0.2">
      <c r="E900" s="34"/>
    </row>
    <row r="901" spans="5:5" x14ac:dyDescent="0.2">
      <c r="E901" s="34"/>
    </row>
    <row r="902" spans="5:5" x14ac:dyDescent="0.2">
      <c r="E902" s="34"/>
    </row>
    <row r="903" spans="5:5" x14ac:dyDescent="0.2">
      <c r="E903" s="34"/>
    </row>
    <row r="904" spans="5:5" x14ac:dyDescent="0.2">
      <c r="E904" s="34"/>
    </row>
    <row r="905" spans="5:5" x14ac:dyDescent="0.2">
      <c r="E905" s="34"/>
    </row>
    <row r="906" spans="5:5" x14ac:dyDescent="0.2">
      <c r="E906" s="34"/>
    </row>
    <row r="907" spans="5:5" x14ac:dyDescent="0.2">
      <c r="E907" s="34"/>
    </row>
    <row r="908" spans="5:5" x14ac:dyDescent="0.2">
      <c r="E908" s="34"/>
    </row>
    <row r="909" spans="5:5" x14ac:dyDescent="0.2">
      <c r="E909" s="34"/>
    </row>
    <row r="910" spans="5:5" x14ac:dyDescent="0.2">
      <c r="E910" s="34"/>
    </row>
    <row r="911" spans="5:5" x14ac:dyDescent="0.2">
      <c r="E911" s="34"/>
    </row>
    <row r="912" spans="5:5" x14ac:dyDescent="0.2">
      <c r="E912" s="34"/>
    </row>
    <row r="913" spans="5:5" x14ac:dyDescent="0.2">
      <c r="E913" s="34"/>
    </row>
    <row r="914" spans="5:5" x14ac:dyDescent="0.2">
      <c r="E914" s="34"/>
    </row>
    <row r="915" spans="5:5" x14ac:dyDescent="0.2">
      <c r="E915" s="34"/>
    </row>
    <row r="916" spans="5:5" x14ac:dyDescent="0.2">
      <c r="E916" s="34"/>
    </row>
    <row r="917" spans="5:5" x14ac:dyDescent="0.2">
      <c r="E917" s="34"/>
    </row>
    <row r="918" spans="5:5" x14ac:dyDescent="0.2">
      <c r="E918" s="34"/>
    </row>
    <row r="919" spans="5:5" x14ac:dyDescent="0.2">
      <c r="E919" s="34"/>
    </row>
    <row r="920" spans="5:5" x14ac:dyDescent="0.2">
      <c r="E920" s="34"/>
    </row>
    <row r="921" spans="5:5" x14ac:dyDescent="0.2">
      <c r="E921" s="34"/>
    </row>
    <row r="922" spans="5:5" x14ac:dyDescent="0.2">
      <c r="E922" s="34"/>
    </row>
    <row r="923" spans="5:5" x14ac:dyDescent="0.2">
      <c r="E923" s="34"/>
    </row>
    <row r="924" spans="5:5" x14ac:dyDescent="0.2">
      <c r="E924" s="34"/>
    </row>
    <row r="925" spans="5:5" x14ac:dyDescent="0.2">
      <c r="E925" s="34"/>
    </row>
    <row r="926" spans="5:5" x14ac:dyDescent="0.2">
      <c r="E926" s="34"/>
    </row>
    <row r="927" spans="5:5" x14ac:dyDescent="0.2">
      <c r="E927" s="34"/>
    </row>
    <row r="928" spans="5:5" x14ac:dyDescent="0.2">
      <c r="E928" s="34"/>
    </row>
    <row r="929" spans="5:5" x14ac:dyDescent="0.2">
      <c r="E929" s="34"/>
    </row>
    <row r="930" spans="5:5" x14ac:dyDescent="0.2">
      <c r="E930" s="34"/>
    </row>
    <row r="931" spans="5:5" x14ac:dyDescent="0.2">
      <c r="E931" s="34"/>
    </row>
    <row r="932" spans="5:5" x14ac:dyDescent="0.2">
      <c r="E932" s="34"/>
    </row>
    <row r="933" spans="5:5" x14ac:dyDescent="0.2">
      <c r="E933" s="34"/>
    </row>
    <row r="934" spans="5:5" x14ac:dyDescent="0.2">
      <c r="E934" s="34"/>
    </row>
    <row r="935" spans="5:5" x14ac:dyDescent="0.2">
      <c r="E935" s="34"/>
    </row>
    <row r="936" spans="5:5" x14ac:dyDescent="0.2">
      <c r="E936" s="34"/>
    </row>
    <row r="937" spans="5:5" x14ac:dyDescent="0.2">
      <c r="E937" s="34"/>
    </row>
    <row r="938" spans="5:5" x14ac:dyDescent="0.2">
      <c r="E938" s="34"/>
    </row>
    <row r="939" spans="5:5" x14ac:dyDescent="0.2">
      <c r="E939" s="34"/>
    </row>
    <row r="940" spans="5:5" x14ac:dyDescent="0.2">
      <c r="E940" s="34"/>
    </row>
    <row r="941" spans="5:5" x14ac:dyDescent="0.2">
      <c r="E941" s="34"/>
    </row>
    <row r="942" spans="5:5" x14ac:dyDescent="0.2">
      <c r="E942" s="34"/>
    </row>
    <row r="943" spans="5:5" x14ac:dyDescent="0.2">
      <c r="E943" s="34"/>
    </row>
    <row r="944" spans="5:5" x14ac:dyDescent="0.2">
      <c r="E944" s="34"/>
    </row>
    <row r="945" spans="5:5" x14ac:dyDescent="0.2">
      <c r="E945" s="34"/>
    </row>
    <row r="946" spans="5:5" x14ac:dyDescent="0.2">
      <c r="E946" s="34"/>
    </row>
    <row r="947" spans="5:5" x14ac:dyDescent="0.2">
      <c r="E947" s="34"/>
    </row>
    <row r="948" spans="5:5" x14ac:dyDescent="0.2">
      <c r="E948" s="34"/>
    </row>
    <row r="949" spans="5:5" x14ac:dyDescent="0.2">
      <c r="E949" s="34"/>
    </row>
    <row r="950" spans="5:5" x14ac:dyDescent="0.2">
      <c r="E950" s="34"/>
    </row>
    <row r="951" spans="5:5" x14ac:dyDescent="0.2">
      <c r="E951" s="34"/>
    </row>
    <row r="952" spans="5:5" x14ac:dyDescent="0.2">
      <c r="E952" s="34"/>
    </row>
    <row r="953" spans="5:5" x14ac:dyDescent="0.2">
      <c r="E953" s="34"/>
    </row>
    <row r="954" spans="5:5" x14ac:dyDescent="0.2">
      <c r="E954" s="34"/>
    </row>
    <row r="955" spans="5:5" x14ac:dyDescent="0.2">
      <c r="E955" s="34"/>
    </row>
    <row r="956" spans="5:5" x14ac:dyDescent="0.2">
      <c r="E956" s="34"/>
    </row>
    <row r="957" spans="5:5" x14ac:dyDescent="0.2">
      <c r="E957" s="34"/>
    </row>
    <row r="958" spans="5:5" x14ac:dyDescent="0.2">
      <c r="E958" s="34"/>
    </row>
    <row r="959" spans="5:5" x14ac:dyDescent="0.2">
      <c r="E959" s="34"/>
    </row>
    <row r="960" spans="5:5" x14ac:dyDescent="0.2">
      <c r="E960" s="34"/>
    </row>
    <row r="961" spans="5:5" x14ac:dyDescent="0.2">
      <c r="E961" s="34"/>
    </row>
    <row r="962" spans="5:5" x14ac:dyDescent="0.2">
      <c r="E962" s="34"/>
    </row>
    <row r="963" spans="5:5" x14ac:dyDescent="0.2">
      <c r="E963" s="34"/>
    </row>
    <row r="964" spans="5:5" x14ac:dyDescent="0.2">
      <c r="E964" s="34"/>
    </row>
    <row r="965" spans="5:5" x14ac:dyDescent="0.2">
      <c r="E965" s="34"/>
    </row>
    <row r="966" spans="5:5" x14ac:dyDescent="0.2">
      <c r="E966" s="34"/>
    </row>
    <row r="967" spans="5:5" x14ac:dyDescent="0.2">
      <c r="E967" s="34"/>
    </row>
    <row r="968" spans="5:5" x14ac:dyDescent="0.2">
      <c r="E968" s="34"/>
    </row>
    <row r="969" spans="5:5" x14ac:dyDescent="0.2">
      <c r="E969" s="34"/>
    </row>
    <row r="970" spans="5:5" x14ac:dyDescent="0.2">
      <c r="E970" s="34"/>
    </row>
    <row r="971" spans="5:5" x14ac:dyDescent="0.2">
      <c r="E971" s="34"/>
    </row>
    <row r="972" spans="5:5" x14ac:dyDescent="0.2">
      <c r="E972" s="34"/>
    </row>
    <row r="973" spans="5:5" x14ac:dyDescent="0.2">
      <c r="E973" s="34"/>
    </row>
    <row r="974" spans="5:5" x14ac:dyDescent="0.2">
      <c r="E974" s="34"/>
    </row>
    <row r="975" spans="5:5" x14ac:dyDescent="0.2">
      <c r="E975" s="34"/>
    </row>
    <row r="976" spans="5:5" x14ac:dyDescent="0.2">
      <c r="E976" s="34"/>
    </row>
    <row r="977" spans="5:5" x14ac:dyDescent="0.2">
      <c r="E977" s="34"/>
    </row>
    <row r="978" spans="5:5" x14ac:dyDescent="0.2">
      <c r="E978" s="34"/>
    </row>
    <row r="979" spans="5:5" x14ac:dyDescent="0.2">
      <c r="E979" s="34"/>
    </row>
    <row r="980" spans="5:5" x14ac:dyDescent="0.2">
      <c r="E980" s="34"/>
    </row>
    <row r="981" spans="5:5" x14ac:dyDescent="0.2">
      <c r="E981" s="34"/>
    </row>
    <row r="982" spans="5:5" x14ac:dyDescent="0.2">
      <c r="E982" s="34"/>
    </row>
    <row r="983" spans="5:5" x14ac:dyDescent="0.2">
      <c r="E983" s="34"/>
    </row>
    <row r="984" spans="5:5" x14ac:dyDescent="0.2">
      <c r="E984" s="34"/>
    </row>
    <row r="985" spans="5:5" x14ac:dyDescent="0.2">
      <c r="E985" s="34"/>
    </row>
    <row r="986" spans="5:5" x14ac:dyDescent="0.2">
      <c r="E986" s="34"/>
    </row>
    <row r="987" spans="5:5" x14ac:dyDescent="0.2">
      <c r="E987" s="34"/>
    </row>
    <row r="988" spans="5:5" x14ac:dyDescent="0.2">
      <c r="E988" s="34"/>
    </row>
    <row r="989" spans="5:5" x14ac:dyDescent="0.2">
      <c r="E989" s="34"/>
    </row>
    <row r="990" spans="5:5" x14ac:dyDescent="0.2">
      <c r="E990" s="34"/>
    </row>
    <row r="991" spans="5:5" x14ac:dyDescent="0.2">
      <c r="E991" s="34"/>
    </row>
    <row r="992" spans="5:5" x14ac:dyDescent="0.2">
      <c r="E992" s="34"/>
    </row>
    <row r="993" spans="5:5" x14ac:dyDescent="0.2">
      <c r="E993" s="34"/>
    </row>
    <row r="994" spans="5:5" x14ac:dyDescent="0.2">
      <c r="E994" s="34"/>
    </row>
    <row r="995" spans="5:5" x14ac:dyDescent="0.2">
      <c r="E995" s="34"/>
    </row>
    <row r="996" spans="5:5" x14ac:dyDescent="0.2">
      <c r="E996" s="34"/>
    </row>
    <row r="997" spans="5:5" x14ac:dyDescent="0.2">
      <c r="E997" s="34"/>
    </row>
    <row r="998" spans="5:5" x14ac:dyDescent="0.2">
      <c r="E998" s="34"/>
    </row>
    <row r="999" spans="5:5" x14ac:dyDescent="0.2">
      <c r="E999" s="34"/>
    </row>
    <row r="1000" spans="5:5" x14ac:dyDescent="0.2">
      <c r="E1000" s="34"/>
    </row>
    <row r="1001" spans="5:5" x14ac:dyDescent="0.2">
      <c r="E1001" s="34"/>
    </row>
    <row r="1002" spans="5:5" x14ac:dyDescent="0.2">
      <c r="E1002" s="34"/>
    </row>
    <row r="1003" spans="5:5" x14ac:dyDescent="0.2">
      <c r="E1003" s="34"/>
    </row>
    <row r="1004" spans="5:5" x14ac:dyDescent="0.2">
      <c r="E1004" s="34"/>
    </row>
    <row r="1005" spans="5:5" x14ac:dyDescent="0.2">
      <c r="E1005" s="34"/>
    </row>
    <row r="1006" spans="5:5" x14ac:dyDescent="0.2">
      <c r="E1006" s="34"/>
    </row>
    <row r="1007" spans="5:5" x14ac:dyDescent="0.2">
      <c r="E1007" s="34"/>
    </row>
    <row r="1008" spans="5:5" x14ac:dyDescent="0.2">
      <c r="E1008" s="34"/>
    </row>
    <row r="1009" spans="5:5" x14ac:dyDescent="0.2">
      <c r="E1009" s="34"/>
    </row>
    <row r="1010" spans="5:5" x14ac:dyDescent="0.2">
      <c r="E1010" s="34"/>
    </row>
    <row r="1011" spans="5:5" x14ac:dyDescent="0.2">
      <c r="E1011" s="34"/>
    </row>
    <row r="1012" spans="5:5" x14ac:dyDescent="0.2">
      <c r="E1012" s="34"/>
    </row>
    <row r="1013" spans="5:5" x14ac:dyDescent="0.2">
      <c r="E1013" s="34"/>
    </row>
    <row r="1014" spans="5:5" x14ac:dyDescent="0.2">
      <c r="E1014" s="34"/>
    </row>
    <row r="1015" spans="5:5" x14ac:dyDescent="0.2">
      <c r="E1015" s="34"/>
    </row>
    <row r="1016" spans="5:5" x14ac:dyDescent="0.2">
      <c r="E1016" s="34"/>
    </row>
    <row r="1017" spans="5:5" x14ac:dyDescent="0.2">
      <c r="E1017" s="34"/>
    </row>
    <row r="1018" spans="5:5" x14ac:dyDescent="0.2">
      <c r="E1018" s="34"/>
    </row>
    <row r="1019" spans="5:5" x14ac:dyDescent="0.2">
      <c r="E1019" s="34"/>
    </row>
    <row r="1020" spans="5:5" x14ac:dyDescent="0.2">
      <c r="E1020" s="34"/>
    </row>
    <row r="1021" spans="5:5" x14ac:dyDescent="0.2">
      <c r="E1021" s="34"/>
    </row>
    <row r="1022" spans="5:5" x14ac:dyDescent="0.2">
      <c r="E1022" s="34"/>
    </row>
    <row r="1023" spans="5:5" x14ac:dyDescent="0.2">
      <c r="E1023" s="34"/>
    </row>
    <row r="1024" spans="5:5" x14ac:dyDescent="0.2">
      <c r="E1024" s="34"/>
    </row>
    <row r="1025" spans="5:5" x14ac:dyDescent="0.2">
      <c r="E1025" s="34"/>
    </row>
    <row r="1026" spans="5:5" x14ac:dyDescent="0.2">
      <c r="E1026" s="34"/>
    </row>
    <row r="1027" spans="5:5" x14ac:dyDescent="0.2">
      <c r="E1027" s="34"/>
    </row>
    <row r="1028" spans="5:5" x14ac:dyDescent="0.2">
      <c r="E1028" s="34"/>
    </row>
    <row r="1029" spans="5:5" x14ac:dyDescent="0.2">
      <c r="E1029" s="34"/>
    </row>
    <row r="1030" spans="5:5" x14ac:dyDescent="0.2">
      <c r="E1030" s="34"/>
    </row>
    <row r="1031" spans="5:5" x14ac:dyDescent="0.2">
      <c r="E1031" s="34"/>
    </row>
    <row r="1032" spans="5:5" x14ac:dyDescent="0.2">
      <c r="E1032" s="34"/>
    </row>
    <row r="1033" spans="5:5" x14ac:dyDescent="0.2">
      <c r="E1033" s="34"/>
    </row>
    <row r="1034" spans="5:5" x14ac:dyDescent="0.2">
      <c r="E1034" s="34"/>
    </row>
    <row r="1035" spans="5:5" x14ac:dyDescent="0.2">
      <c r="E1035" s="34"/>
    </row>
    <row r="1036" spans="5:5" x14ac:dyDescent="0.2">
      <c r="E1036" s="34"/>
    </row>
    <row r="1037" spans="5:5" x14ac:dyDescent="0.2">
      <c r="E1037" s="34"/>
    </row>
    <row r="1038" spans="5:5" x14ac:dyDescent="0.2">
      <c r="E1038" s="34"/>
    </row>
    <row r="1039" spans="5:5" x14ac:dyDescent="0.2">
      <c r="E1039" s="34"/>
    </row>
    <row r="1040" spans="5:5" x14ac:dyDescent="0.2">
      <c r="E1040" s="34"/>
    </row>
    <row r="1041" spans="5:5" x14ac:dyDescent="0.2">
      <c r="E1041" s="34"/>
    </row>
    <row r="1042" spans="5:5" x14ac:dyDescent="0.2">
      <c r="E1042" s="34"/>
    </row>
    <row r="1043" spans="5:5" x14ac:dyDescent="0.2">
      <c r="E1043" s="34"/>
    </row>
    <row r="1044" spans="5:5" x14ac:dyDescent="0.2">
      <c r="E1044" s="34"/>
    </row>
    <row r="1045" spans="5:5" x14ac:dyDescent="0.2">
      <c r="E1045" s="34"/>
    </row>
    <row r="1046" spans="5:5" x14ac:dyDescent="0.2">
      <c r="E1046" s="34"/>
    </row>
    <row r="1047" spans="5:5" x14ac:dyDescent="0.2">
      <c r="E1047" s="34"/>
    </row>
    <row r="1048" spans="5:5" x14ac:dyDescent="0.2">
      <c r="E1048" s="34"/>
    </row>
    <row r="1049" spans="5:5" x14ac:dyDescent="0.2">
      <c r="E1049" s="34"/>
    </row>
    <row r="1050" spans="5:5" x14ac:dyDescent="0.2">
      <c r="E1050" s="34"/>
    </row>
    <row r="1051" spans="5:5" x14ac:dyDescent="0.2">
      <c r="E1051" s="34"/>
    </row>
    <row r="1052" spans="5:5" x14ac:dyDescent="0.2">
      <c r="E1052" s="34"/>
    </row>
    <row r="1053" spans="5:5" x14ac:dyDescent="0.2">
      <c r="E1053" s="34"/>
    </row>
    <row r="1054" spans="5:5" x14ac:dyDescent="0.2">
      <c r="E1054" s="34"/>
    </row>
    <row r="1055" spans="5:5" x14ac:dyDescent="0.2">
      <c r="E1055" s="34"/>
    </row>
    <row r="1056" spans="5:5" x14ac:dyDescent="0.2">
      <c r="E1056" s="34"/>
    </row>
    <row r="1057" spans="5:5" x14ac:dyDescent="0.2">
      <c r="E1057" s="34"/>
    </row>
    <row r="1058" spans="5:5" x14ac:dyDescent="0.2">
      <c r="E1058" s="34"/>
    </row>
    <row r="1059" spans="5:5" x14ac:dyDescent="0.2">
      <c r="E1059" s="34"/>
    </row>
    <row r="1060" spans="5:5" x14ac:dyDescent="0.2">
      <c r="E1060" s="34"/>
    </row>
    <row r="1061" spans="5:5" x14ac:dyDescent="0.2">
      <c r="E1061" s="34"/>
    </row>
    <row r="1062" spans="5:5" x14ac:dyDescent="0.2">
      <c r="E1062" s="34"/>
    </row>
    <row r="1063" spans="5:5" x14ac:dyDescent="0.2">
      <c r="E1063" s="34"/>
    </row>
    <row r="1064" spans="5:5" x14ac:dyDescent="0.2">
      <c r="E1064" s="34"/>
    </row>
    <row r="1065" spans="5:5" x14ac:dyDescent="0.2">
      <c r="E1065" s="34"/>
    </row>
    <row r="1066" spans="5:5" x14ac:dyDescent="0.2">
      <c r="E1066" s="34"/>
    </row>
    <row r="1067" spans="5:5" x14ac:dyDescent="0.2">
      <c r="E1067" s="34"/>
    </row>
    <row r="1068" spans="5:5" x14ac:dyDescent="0.2">
      <c r="E1068" s="34"/>
    </row>
    <row r="1069" spans="5:5" x14ac:dyDescent="0.2">
      <c r="E1069" s="34"/>
    </row>
    <row r="1070" spans="5:5" x14ac:dyDescent="0.2">
      <c r="E1070" s="34"/>
    </row>
    <row r="1071" spans="5:5" x14ac:dyDescent="0.2">
      <c r="E1071" s="34"/>
    </row>
    <row r="1072" spans="5:5" x14ac:dyDescent="0.2">
      <c r="E1072" s="34"/>
    </row>
    <row r="1073" spans="5:5" x14ac:dyDescent="0.2">
      <c r="E1073" s="34"/>
    </row>
    <row r="1074" spans="5:5" x14ac:dyDescent="0.2">
      <c r="E1074" s="34"/>
    </row>
    <row r="1075" spans="5:5" x14ac:dyDescent="0.2">
      <c r="E1075" s="34"/>
    </row>
    <row r="1076" spans="5:5" x14ac:dyDescent="0.2">
      <c r="E1076" s="34"/>
    </row>
    <row r="1077" spans="5:5" x14ac:dyDescent="0.2">
      <c r="E1077" s="34"/>
    </row>
    <row r="1078" spans="5:5" x14ac:dyDescent="0.2">
      <c r="E1078" s="34"/>
    </row>
    <row r="1079" spans="5:5" x14ac:dyDescent="0.2">
      <c r="E1079" s="34"/>
    </row>
    <row r="1080" spans="5:5" x14ac:dyDescent="0.2">
      <c r="E1080" s="34"/>
    </row>
    <row r="1081" spans="5:5" x14ac:dyDescent="0.2">
      <c r="E1081" s="34"/>
    </row>
    <row r="1082" spans="5:5" x14ac:dyDescent="0.2">
      <c r="E1082" s="34"/>
    </row>
    <row r="1083" spans="5:5" x14ac:dyDescent="0.2">
      <c r="E1083" s="34"/>
    </row>
    <row r="1084" spans="5:5" x14ac:dyDescent="0.2">
      <c r="E1084" s="34"/>
    </row>
    <row r="1085" spans="5:5" x14ac:dyDescent="0.2">
      <c r="E1085" s="34"/>
    </row>
    <row r="1086" spans="5:5" x14ac:dyDescent="0.2">
      <c r="E1086" s="34"/>
    </row>
    <row r="1087" spans="5:5" x14ac:dyDescent="0.2">
      <c r="E1087" s="34"/>
    </row>
    <row r="1088" spans="5:5" x14ac:dyDescent="0.2">
      <c r="E1088" s="34"/>
    </row>
    <row r="1089" spans="5:5" x14ac:dyDescent="0.2">
      <c r="E1089" s="34"/>
    </row>
    <row r="1090" spans="5:5" x14ac:dyDescent="0.2">
      <c r="E1090" s="34"/>
    </row>
    <row r="1091" spans="5:5" x14ac:dyDescent="0.2">
      <c r="E1091" s="34"/>
    </row>
    <row r="1092" spans="5:5" x14ac:dyDescent="0.2">
      <c r="E1092" s="34"/>
    </row>
    <row r="1093" spans="5:5" x14ac:dyDescent="0.2">
      <c r="E1093" s="34"/>
    </row>
    <row r="1094" spans="5:5" x14ac:dyDescent="0.2">
      <c r="E1094" s="34"/>
    </row>
    <row r="1095" spans="5:5" x14ac:dyDescent="0.2">
      <c r="E1095" s="34"/>
    </row>
    <row r="1096" spans="5:5" x14ac:dyDescent="0.2">
      <c r="E1096" s="34"/>
    </row>
    <row r="1097" spans="5:5" x14ac:dyDescent="0.2">
      <c r="E1097" s="34"/>
    </row>
    <row r="1098" spans="5:5" x14ac:dyDescent="0.2">
      <c r="E1098" s="34"/>
    </row>
    <row r="1099" spans="5:5" x14ac:dyDescent="0.2">
      <c r="E1099" s="34"/>
    </row>
    <row r="1100" spans="5:5" x14ac:dyDescent="0.2">
      <c r="E1100" s="34"/>
    </row>
    <row r="1101" spans="5:5" x14ac:dyDescent="0.2">
      <c r="E1101" s="34"/>
    </row>
    <row r="1102" spans="5:5" x14ac:dyDescent="0.2">
      <c r="E1102" s="34"/>
    </row>
    <row r="1103" spans="5:5" x14ac:dyDescent="0.2">
      <c r="E1103" s="34"/>
    </row>
    <row r="1104" spans="5:5" x14ac:dyDescent="0.2">
      <c r="E1104" s="34"/>
    </row>
    <row r="1105" spans="5:5" x14ac:dyDescent="0.2">
      <c r="E1105" s="34"/>
    </row>
    <row r="1106" spans="5:5" x14ac:dyDescent="0.2">
      <c r="E1106" s="34"/>
    </row>
    <row r="1107" spans="5:5" x14ac:dyDescent="0.2">
      <c r="E1107" s="34"/>
    </row>
    <row r="1108" spans="5:5" x14ac:dyDescent="0.2">
      <c r="E1108" s="34"/>
    </row>
    <row r="1109" spans="5:5" x14ac:dyDescent="0.2">
      <c r="E1109" s="34"/>
    </row>
    <row r="1110" spans="5:5" x14ac:dyDescent="0.2">
      <c r="E1110" s="34"/>
    </row>
    <row r="1111" spans="5:5" x14ac:dyDescent="0.2">
      <c r="E1111" s="34"/>
    </row>
    <row r="1112" spans="5:5" x14ac:dyDescent="0.2">
      <c r="E1112" s="34"/>
    </row>
    <row r="1113" spans="5:5" x14ac:dyDescent="0.2">
      <c r="E1113" s="34"/>
    </row>
    <row r="1114" spans="5:5" x14ac:dyDescent="0.2">
      <c r="E1114" s="34"/>
    </row>
    <row r="1115" spans="5:5" x14ac:dyDescent="0.2">
      <c r="E1115" s="34"/>
    </row>
    <row r="1116" spans="5:5" x14ac:dyDescent="0.2">
      <c r="E1116" s="34"/>
    </row>
    <row r="1117" spans="5:5" x14ac:dyDescent="0.2">
      <c r="E1117" s="34"/>
    </row>
    <row r="1118" spans="5:5" x14ac:dyDescent="0.2">
      <c r="E1118" s="34"/>
    </row>
    <row r="1119" spans="5:5" x14ac:dyDescent="0.2">
      <c r="E1119" s="34"/>
    </row>
    <row r="1120" spans="5:5" x14ac:dyDescent="0.2">
      <c r="E1120" s="34"/>
    </row>
    <row r="1121" spans="5:5" x14ac:dyDescent="0.2">
      <c r="E1121" s="34"/>
    </row>
    <row r="1122" spans="5:5" x14ac:dyDescent="0.2">
      <c r="E1122" s="34"/>
    </row>
    <row r="1123" spans="5:5" x14ac:dyDescent="0.2">
      <c r="E1123" s="34"/>
    </row>
    <row r="1124" spans="5:5" x14ac:dyDescent="0.2">
      <c r="E1124" s="34"/>
    </row>
    <row r="1125" spans="5:5" x14ac:dyDescent="0.2">
      <c r="E1125" s="34"/>
    </row>
    <row r="1126" spans="5:5" x14ac:dyDescent="0.2">
      <c r="E1126" s="34"/>
    </row>
    <row r="1127" spans="5:5" x14ac:dyDescent="0.2">
      <c r="E1127" s="34"/>
    </row>
    <row r="1128" spans="5:5" x14ac:dyDescent="0.2">
      <c r="E1128" s="34"/>
    </row>
    <row r="1129" spans="5:5" x14ac:dyDescent="0.2">
      <c r="E1129" s="34"/>
    </row>
    <row r="1130" spans="5:5" x14ac:dyDescent="0.2">
      <c r="E1130" s="34"/>
    </row>
    <row r="1131" spans="5:5" x14ac:dyDescent="0.2">
      <c r="E1131" s="34"/>
    </row>
    <row r="1132" spans="5:5" x14ac:dyDescent="0.2">
      <c r="E1132" s="34"/>
    </row>
    <row r="1133" spans="5:5" x14ac:dyDescent="0.2">
      <c r="E1133" s="34"/>
    </row>
    <row r="1134" spans="5:5" x14ac:dyDescent="0.2">
      <c r="E1134" s="34"/>
    </row>
    <row r="1135" spans="5:5" x14ac:dyDescent="0.2">
      <c r="E1135" s="34"/>
    </row>
    <row r="1136" spans="5:5" x14ac:dyDescent="0.2">
      <c r="E1136" s="34"/>
    </row>
    <row r="1137" spans="5:5" x14ac:dyDescent="0.2">
      <c r="E1137" s="34"/>
    </row>
    <row r="1138" spans="5:5" x14ac:dyDescent="0.2">
      <c r="E1138" s="34"/>
    </row>
    <row r="1139" spans="5:5" x14ac:dyDescent="0.2">
      <c r="E1139" s="34"/>
    </row>
    <row r="1140" spans="5:5" x14ac:dyDescent="0.2">
      <c r="E1140" s="34"/>
    </row>
    <row r="1141" spans="5:5" x14ac:dyDescent="0.2">
      <c r="E1141" s="34"/>
    </row>
    <row r="1142" spans="5:5" x14ac:dyDescent="0.2">
      <c r="E1142" s="34"/>
    </row>
    <row r="1143" spans="5:5" x14ac:dyDescent="0.2">
      <c r="E1143" s="34"/>
    </row>
    <row r="1144" spans="5:5" x14ac:dyDescent="0.2">
      <c r="E1144" s="34"/>
    </row>
    <row r="1145" spans="5:5" x14ac:dyDescent="0.2">
      <c r="E1145" s="34"/>
    </row>
    <row r="1146" spans="5:5" x14ac:dyDescent="0.2">
      <c r="E1146" s="34"/>
    </row>
    <row r="1147" spans="5:5" x14ac:dyDescent="0.2">
      <c r="E1147" s="34"/>
    </row>
    <row r="1148" spans="5:5" x14ac:dyDescent="0.2">
      <c r="E1148" s="34"/>
    </row>
    <row r="1149" spans="5:5" x14ac:dyDescent="0.2">
      <c r="E1149" s="34"/>
    </row>
    <row r="1150" spans="5:5" x14ac:dyDescent="0.2">
      <c r="E1150" s="34"/>
    </row>
    <row r="1151" spans="5:5" x14ac:dyDescent="0.2">
      <c r="E1151" s="34"/>
    </row>
    <row r="1152" spans="5:5" x14ac:dyDescent="0.2">
      <c r="E1152" s="34"/>
    </row>
    <row r="1153" spans="5:5" x14ac:dyDescent="0.2">
      <c r="E1153" s="34"/>
    </row>
    <row r="1154" spans="5:5" x14ac:dyDescent="0.2">
      <c r="E1154" s="34"/>
    </row>
    <row r="1155" spans="5:5" x14ac:dyDescent="0.2">
      <c r="E1155" s="34"/>
    </row>
    <row r="1156" spans="5:5" x14ac:dyDescent="0.2">
      <c r="E1156" s="34"/>
    </row>
    <row r="1157" spans="5:5" x14ac:dyDescent="0.2">
      <c r="E1157" s="34"/>
    </row>
    <row r="1158" spans="5:5" x14ac:dyDescent="0.2">
      <c r="E1158" s="34"/>
    </row>
    <row r="1159" spans="5:5" x14ac:dyDescent="0.2">
      <c r="E1159" s="34"/>
    </row>
    <row r="1160" spans="5:5" x14ac:dyDescent="0.2">
      <c r="E1160" s="34"/>
    </row>
    <row r="1161" spans="5:5" x14ac:dyDescent="0.2">
      <c r="E1161" s="34"/>
    </row>
    <row r="1162" spans="5:5" x14ac:dyDescent="0.2">
      <c r="E1162" s="34"/>
    </row>
    <row r="1163" spans="5:5" x14ac:dyDescent="0.2">
      <c r="E1163" s="34"/>
    </row>
    <row r="1164" spans="5:5" x14ac:dyDescent="0.2">
      <c r="E1164" s="34"/>
    </row>
    <row r="1165" spans="5:5" x14ac:dyDescent="0.2">
      <c r="E1165" s="34"/>
    </row>
    <row r="1166" spans="5:5" x14ac:dyDescent="0.2">
      <c r="E1166" s="34"/>
    </row>
    <row r="1167" spans="5:5" x14ac:dyDescent="0.2">
      <c r="E1167" s="34"/>
    </row>
    <row r="1168" spans="5:5" x14ac:dyDescent="0.2">
      <c r="E1168" s="34"/>
    </row>
    <row r="1169" spans="5:5" x14ac:dyDescent="0.2">
      <c r="E1169" s="34"/>
    </row>
    <row r="1170" spans="5:5" x14ac:dyDescent="0.2">
      <c r="E1170" s="34"/>
    </row>
    <row r="1171" spans="5:5" x14ac:dyDescent="0.2">
      <c r="E1171" s="34"/>
    </row>
    <row r="1172" spans="5:5" x14ac:dyDescent="0.2">
      <c r="E1172" s="34"/>
    </row>
    <row r="1173" spans="5:5" x14ac:dyDescent="0.2">
      <c r="E1173" s="34"/>
    </row>
    <row r="1174" spans="5:5" x14ac:dyDescent="0.2">
      <c r="E1174" s="34"/>
    </row>
    <row r="1175" spans="5:5" x14ac:dyDescent="0.2">
      <c r="E1175" s="34"/>
    </row>
    <row r="1176" spans="5:5" x14ac:dyDescent="0.2">
      <c r="E1176" s="34"/>
    </row>
    <row r="1177" spans="5:5" x14ac:dyDescent="0.2">
      <c r="E1177" s="34"/>
    </row>
    <row r="1178" spans="5:5" x14ac:dyDescent="0.2">
      <c r="E1178" s="34"/>
    </row>
    <row r="1179" spans="5:5" x14ac:dyDescent="0.2">
      <c r="E1179" s="34"/>
    </row>
    <row r="1180" spans="5:5" x14ac:dyDescent="0.2">
      <c r="E1180" s="34"/>
    </row>
    <row r="1181" spans="5:5" x14ac:dyDescent="0.2">
      <c r="E1181" s="34"/>
    </row>
    <row r="1182" spans="5:5" x14ac:dyDescent="0.2">
      <c r="E1182" s="34"/>
    </row>
    <row r="1183" spans="5:5" x14ac:dyDescent="0.2">
      <c r="E1183" s="34"/>
    </row>
    <row r="1184" spans="5:5" x14ac:dyDescent="0.2">
      <c r="E1184" s="34"/>
    </row>
    <row r="1185" spans="5:5" x14ac:dyDescent="0.2">
      <c r="E1185" s="34"/>
    </row>
    <row r="1186" spans="5:5" x14ac:dyDescent="0.2">
      <c r="E1186" s="34"/>
    </row>
    <row r="1187" spans="5:5" x14ac:dyDescent="0.2">
      <c r="E1187" s="34"/>
    </row>
    <row r="1188" spans="5:5" x14ac:dyDescent="0.2">
      <c r="E1188" s="34"/>
    </row>
    <row r="1189" spans="5:5" x14ac:dyDescent="0.2">
      <c r="E1189" s="34"/>
    </row>
    <row r="1190" spans="5:5" x14ac:dyDescent="0.2">
      <c r="E1190" s="34"/>
    </row>
    <row r="1191" spans="5:5" x14ac:dyDescent="0.2">
      <c r="E1191" s="34"/>
    </row>
    <row r="1192" spans="5:5" x14ac:dyDescent="0.2">
      <c r="E1192" s="34"/>
    </row>
    <row r="1193" spans="5:5" x14ac:dyDescent="0.2">
      <c r="E1193" s="34"/>
    </row>
    <row r="1194" spans="5:5" x14ac:dyDescent="0.2">
      <c r="E1194" s="34"/>
    </row>
    <row r="1195" spans="5:5" x14ac:dyDescent="0.2">
      <c r="E1195" s="34"/>
    </row>
    <row r="1196" spans="5:5" x14ac:dyDescent="0.2">
      <c r="E1196" s="34"/>
    </row>
    <row r="1197" spans="5:5" x14ac:dyDescent="0.2">
      <c r="E1197" s="34"/>
    </row>
    <row r="1198" spans="5:5" x14ac:dyDescent="0.2">
      <c r="E1198" s="34"/>
    </row>
    <row r="1199" spans="5:5" x14ac:dyDescent="0.2">
      <c r="E1199" s="34"/>
    </row>
    <row r="1200" spans="5:5" x14ac:dyDescent="0.2">
      <c r="E1200" s="34"/>
    </row>
    <row r="1201" spans="5:5" x14ac:dyDescent="0.2">
      <c r="E1201" s="34"/>
    </row>
    <row r="1202" spans="5:5" x14ac:dyDescent="0.2">
      <c r="E1202" s="34"/>
    </row>
    <row r="1203" spans="5:5" x14ac:dyDescent="0.2">
      <c r="E1203" s="34"/>
    </row>
    <row r="1204" spans="5:5" x14ac:dyDescent="0.2">
      <c r="E1204" s="34"/>
    </row>
    <row r="1205" spans="5:5" x14ac:dyDescent="0.2">
      <c r="E1205" s="34"/>
    </row>
    <row r="1206" spans="5:5" x14ac:dyDescent="0.2">
      <c r="E1206" s="34"/>
    </row>
    <row r="1207" spans="5:5" x14ac:dyDescent="0.2">
      <c r="E1207" s="34"/>
    </row>
    <row r="1208" spans="5:5" x14ac:dyDescent="0.2">
      <c r="E1208" s="34"/>
    </row>
    <row r="1209" spans="5:5" x14ac:dyDescent="0.2">
      <c r="E1209" s="34"/>
    </row>
    <row r="1210" spans="5:5" x14ac:dyDescent="0.2">
      <c r="E1210" s="34"/>
    </row>
    <row r="1211" spans="5:5" x14ac:dyDescent="0.2">
      <c r="E1211" s="34"/>
    </row>
    <row r="1212" spans="5:5" x14ac:dyDescent="0.2">
      <c r="E1212" s="34"/>
    </row>
    <row r="1213" spans="5:5" x14ac:dyDescent="0.2">
      <c r="E1213" s="34"/>
    </row>
    <row r="1214" spans="5:5" x14ac:dyDescent="0.2">
      <c r="E1214" s="34"/>
    </row>
    <row r="1215" spans="5:5" x14ac:dyDescent="0.2">
      <c r="E1215" s="34"/>
    </row>
    <row r="1216" spans="5:5" x14ac:dyDescent="0.2">
      <c r="E1216" s="34"/>
    </row>
    <row r="1217" spans="5:5" x14ac:dyDescent="0.2">
      <c r="E1217" s="34"/>
    </row>
    <row r="1218" spans="5:5" x14ac:dyDescent="0.2">
      <c r="E1218" s="34"/>
    </row>
    <row r="1219" spans="5:5" x14ac:dyDescent="0.2">
      <c r="E1219" s="34"/>
    </row>
    <row r="1220" spans="5:5" x14ac:dyDescent="0.2">
      <c r="E1220" s="34"/>
    </row>
    <row r="1221" spans="5:5" x14ac:dyDescent="0.2">
      <c r="E1221" s="34"/>
    </row>
    <row r="1222" spans="5:5" x14ac:dyDescent="0.2">
      <c r="E1222" s="34"/>
    </row>
    <row r="1223" spans="5:5" x14ac:dyDescent="0.2">
      <c r="E1223" s="34"/>
    </row>
    <row r="1224" spans="5:5" x14ac:dyDescent="0.2">
      <c r="E1224" s="34"/>
    </row>
    <row r="1225" spans="5:5" x14ac:dyDescent="0.2">
      <c r="E1225" s="34"/>
    </row>
    <row r="1226" spans="5:5" x14ac:dyDescent="0.2">
      <c r="E1226" s="34"/>
    </row>
    <row r="1227" spans="5:5" x14ac:dyDescent="0.2">
      <c r="E1227" s="34"/>
    </row>
    <row r="1228" spans="5:5" x14ac:dyDescent="0.2">
      <c r="E1228" s="34"/>
    </row>
    <row r="1229" spans="5:5" x14ac:dyDescent="0.2">
      <c r="E1229" s="34"/>
    </row>
    <row r="1230" spans="5:5" x14ac:dyDescent="0.2">
      <c r="E1230" s="34"/>
    </row>
    <row r="1231" spans="5:5" x14ac:dyDescent="0.2">
      <c r="E1231" s="34"/>
    </row>
    <row r="1232" spans="5:5" x14ac:dyDescent="0.2">
      <c r="E1232" s="34"/>
    </row>
    <row r="1233" spans="5:5" x14ac:dyDescent="0.2">
      <c r="E1233" s="34"/>
    </row>
    <row r="1234" spans="5:5" x14ac:dyDescent="0.2">
      <c r="E1234" s="34"/>
    </row>
    <row r="1235" spans="5:5" x14ac:dyDescent="0.2">
      <c r="E1235" s="34"/>
    </row>
    <row r="1236" spans="5:5" x14ac:dyDescent="0.2">
      <c r="E1236" s="34"/>
    </row>
    <row r="1237" spans="5:5" x14ac:dyDescent="0.2">
      <c r="E1237" s="34"/>
    </row>
    <row r="1238" spans="5:5" x14ac:dyDescent="0.2">
      <c r="E1238" s="34"/>
    </row>
    <row r="1239" spans="5:5" x14ac:dyDescent="0.2">
      <c r="E1239" s="34"/>
    </row>
    <row r="1240" spans="5:5" x14ac:dyDescent="0.2">
      <c r="E1240" s="34"/>
    </row>
    <row r="1241" spans="5:5" x14ac:dyDescent="0.2">
      <c r="E1241" s="34"/>
    </row>
    <row r="1242" spans="5:5" x14ac:dyDescent="0.2">
      <c r="E1242" s="34"/>
    </row>
    <row r="1243" spans="5:5" x14ac:dyDescent="0.2">
      <c r="E1243" s="34"/>
    </row>
    <row r="1244" spans="5:5" x14ac:dyDescent="0.2">
      <c r="E1244" s="34"/>
    </row>
    <row r="1245" spans="5:5" x14ac:dyDescent="0.2">
      <c r="E1245" s="34"/>
    </row>
    <row r="1246" spans="5:5" x14ac:dyDescent="0.2">
      <c r="E1246" s="34"/>
    </row>
    <row r="1247" spans="5:5" x14ac:dyDescent="0.2">
      <c r="E1247" s="34"/>
    </row>
    <row r="1248" spans="5:5" x14ac:dyDescent="0.2">
      <c r="E1248" s="34"/>
    </row>
    <row r="1249" spans="5:5" x14ac:dyDescent="0.2">
      <c r="E1249" s="34"/>
    </row>
    <row r="1250" spans="5:5" x14ac:dyDescent="0.2">
      <c r="E1250" s="34"/>
    </row>
    <row r="1251" spans="5:5" x14ac:dyDescent="0.2">
      <c r="E1251" s="34"/>
    </row>
    <row r="1252" spans="5:5" x14ac:dyDescent="0.2">
      <c r="E1252" s="34"/>
    </row>
    <row r="1253" spans="5:5" x14ac:dyDescent="0.2">
      <c r="E1253" s="34"/>
    </row>
    <row r="1254" spans="5:5" x14ac:dyDescent="0.2">
      <c r="E1254" s="34"/>
    </row>
    <row r="1255" spans="5:5" x14ac:dyDescent="0.2">
      <c r="E1255" s="34"/>
    </row>
    <row r="1256" spans="5:5" x14ac:dyDescent="0.2">
      <c r="E1256" s="34"/>
    </row>
    <row r="1257" spans="5:5" x14ac:dyDescent="0.2">
      <c r="E1257" s="34"/>
    </row>
    <row r="1258" spans="5:5" x14ac:dyDescent="0.2">
      <c r="E1258" s="34"/>
    </row>
    <row r="1259" spans="5:5" x14ac:dyDescent="0.2">
      <c r="E1259" s="34"/>
    </row>
    <row r="1260" spans="5:5" x14ac:dyDescent="0.2">
      <c r="E1260" s="34"/>
    </row>
    <row r="1261" spans="5:5" x14ac:dyDescent="0.2">
      <c r="E1261" s="34"/>
    </row>
    <row r="1262" spans="5:5" x14ac:dyDescent="0.2">
      <c r="E1262" s="34"/>
    </row>
    <row r="1263" spans="5:5" x14ac:dyDescent="0.2">
      <c r="E1263" s="34"/>
    </row>
    <row r="1264" spans="5:5" x14ac:dyDescent="0.2">
      <c r="E1264" s="34"/>
    </row>
    <row r="1265" spans="5:5" x14ac:dyDescent="0.2">
      <c r="E1265" s="34"/>
    </row>
    <row r="1266" spans="5:5" x14ac:dyDescent="0.2">
      <c r="E1266" s="34"/>
    </row>
    <row r="1267" spans="5:5" x14ac:dyDescent="0.2">
      <c r="E1267" s="34"/>
    </row>
    <row r="1268" spans="5:5" x14ac:dyDescent="0.2">
      <c r="E1268" s="34"/>
    </row>
    <row r="1269" spans="5:5" x14ac:dyDescent="0.2">
      <c r="E1269" s="34"/>
    </row>
    <row r="1270" spans="5:5" x14ac:dyDescent="0.2">
      <c r="E1270" s="34"/>
    </row>
    <row r="1271" spans="5:5" x14ac:dyDescent="0.2">
      <c r="E1271" s="34"/>
    </row>
    <row r="1272" spans="5:5" x14ac:dyDescent="0.2">
      <c r="E1272" s="34"/>
    </row>
    <row r="1273" spans="5:5" x14ac:dyDescent="0.2">
      <c r="E1273" s="34"/>
    </row>
    <row r="1274" spans="5:5" x14ac:dyDescent="0.2">
      <c r="E1274" s="34"/>
    </row>
    <row r="1275" spans="5:5" x14ac:dyDescent="0.2">
      <c r="E1275" s="34"/>
    </row>
    <row r="1276" spans="5:5" x14ac:dyDescent="0.2">
      <c r="E1276" s="34"/>
    </row>
    <row r="1277" spans="5:5" x14ac:dyDescent="0.2">
      <c r="E1277" s="34"/>
    </row>
    <row r="1278" spans="5:5" x14ac:dyDescent="0.2">
      <c r="E1278" s="34"/>
    </row>
    <row r="1279" spans="5:5" x14ac:dyDescent="0.2">
      <c r="E1279" s="34"/>
    </row>
    <row r="1280" spans="5:5" x14ac:dyDescent="0.2">
      <c r="E1280" s="34"/>
    </row>
    <row r="1281" spans="5:5" x14ac:dyDescent="0.2">
      <c r="E1281" s="34"/>
    </row>
    <row r="1282" spans="5:5" x14ac:dyDescent="0.2">
      <c r="E1282" s="34"/>
    </row>
    <row r="1283" spans="5:5" x14ac:dyDescent="0.2">
      <c r="E1283" s="34"/>
    </row>
    <row r="1284" spans="5:5" x14ac:dyDescent="0.2">
      <c r="E1284" s="34"/>
    </row>
    <row r="1285" spans="5:5" x14ac:dyDescent="0.2">
      <c r="E1285" s="34"/>
    </row>
    <row r="1286" spans="5:5" x14ac:dyDescent="0.2">
      <c r="E1286" s="34"/>
    </row>
    <row r="1287" spans="5:5" x14ac:dyDescent="0.2">
      <c r="E1287" s="34"/>
    </row>
    <row r="1288" spans="5:5" x14ac:dyDescent="0.2">
      <c r="E1288" s="34"/>
    </row>
    <row r="1289" spans="5:5" x14ac:dyDescent="0.2">
      <c r="E1289" s="34"/>
    </row>
    <row r="1290" spans="5:5" x14ac:dyDescent="0.2">
      <c r="E1290" s="34"/>
    </row>
    <row r="1291" spans="5:5" x14ac:dyDescent="0.2">
      <c r="E1291" s="34"/>
    </row>
    <row r="1292" spans="5:5" x14ac:dyDescent="0.2">
      <c r="E1292" s="34"/>
    </row>
    <row r="1293" spans="5:5" x14ac:dyDescent="0.2">
      <c r="E1293" s="34"/>
    </row>
    <row r="1294" spans="5:5" x14ac:dyDescent="0.2">
      <c r="E1294" s="34"/>
    </row>
    <row r="1295" spans="5:5" x14ac:dyDescent="0.2">
      <c r="E1295" s="34"/>
    </row>
    <row r="1296" spans="5:5" x14ac:dyDescent="0.2">
      <c r="E1296" s="34"/>
    </row>
    <row r="1297" spans="5:5" x14ac:dyDescent="0.2">
      <c r="E1297" s="34"/>
    </row>
    <row r="1298" spans="5:5" x14ac:dyDescent="0.2">
      <c r="E1298" s="34"/>
    </row>
    <row r="1299" spans="5:5" x14ac:dyDescent="0.2">
      <c r="E1299" s="34"/>
    </row>
    <row r="1300" spans="5:5" x14ac:dyDescent="0.2">
      <c r="E1300" s="34"/>
    </row>
    <row r="1301" spans="5:5" x14ac:dyDescent="0.2">
      <c r="E1301" s="34"/>
    </row>
    <row r="1302" spans="5:5" x14ac:dyDescent="0.2">
      <c r="E1302" s="34"/>
    </row>
    <row r="1303" spans="5:5" x14ac:dyDescent="0.2">
      <c r="E1303" s="34"/>
    </row>
    <row r="1304" spans="5:5" x14ac:dyDescent="0.2">
      <c r="E1304" s="34"/>
    </row>
    <row r="1305" spans="5:5" x14ac:dyDescent="0.2">
      <c r="E1305" s="34"/>
    </row>
    <row r="1306" spans="5:5" x14ac:dyDescent="0.2">
      <c r="E1306" s="34"/>
    </row>
    <row r="1307" spans="5:5" x14ac:dyDescent="0.2">
      <c r="E1307" s="34"/>
    </row>
    <row r="1308" spans="5:5" x14ac:dyDescent="0.2">
      <c r="E1308" s="34"/>
    </row>
    <row r="1309" spans="5:5" x14ac:dyDescent="0.2">
      <c r="E1309" s="34"/>
    </row>
    <row r="1310" spans="5:5" x14ac:dyDescent="0.2">
      <c r="E1310" s="34"/>
    </row>
    <row r="1311" spans="5:5" x14ac:dyDescent="0.2">
      <c r="E1311" s="34"/>
    </row>
    <row r="1312" spans="5:5" x14ac:dyDescent="0.2">
      <c r="E1312" s="34"/>
    </row>
    <row r="1313" spans="5:5" x14ac:dyDescent="0.2">
      <c r="E1313" s="34"/>
    </row>
    <row r="1314" spans="5:5" x14ac:dyDescent="0.2">
      <c r="E1314" s="34"/>
    </row>
    <row r="1315" spans="5:5" x14ac:dyDescent="0.2">
      <c r="E1315" s="34"/>
    </row>
    <row r="1316" spans="5:5" x14ac:dyDescent="0.2">
      <c r="E1316" s="34"/>
    </row>
    <row r="1317" spans="5:5" x14ac:dyDescent="0.2">
      <c r="E1317" s="34"/>
    </row>
    <row r="1318" spans="5:5" x14ac:dyDescent="0.2">
      <c r="E1318" s="34"/>
    </row>
    <row r="1319" spans="5:5" x14ac:dyDescent="0.2">
      <c r="E1319" s="34"/>
    </row>
    <row r="1320" spans="5:5" x14ac:dyDescent="0.2">
      <c r="E1320" s="34"/>
    </row>
    <row r="1321" spans="5:5" x14ac:dyDescent="0.2">
      <c r="E1321" s="34"/>
    </row>
    <row r="1322" spans="5:5" x14ac:dyDescent="0.2">
      <c r="E1322" s="34"/>
    </row>
    <row r="1323" spans="5:5" x14ac:dyDescent="0.2">
      <c r="E1323" s="34"/>
    </row>
    <row r="1324" spans="5:5" x14ac:dyDescent="0.2">
      <c r="E1324" s="34"/>
    </row>
    <row r="1325" spans="5:5" x14ac:dyDescent="0.2">
      <c r="E1325" s="34"/>
    </row>
    <row r="1326" spans="5:5" x14ac:dyDescent="0.2">
      <c r="E1326" s="34"/>
    </row>
    <row r="1327" spans="5:5" x14ac:dyDescent="0.2">
      <c r="E1327" s="34"/>
    </row>
    <row r="1328" spans="5:5" x14ac:dyDescent="0.2">
      <c r="E1328" s="34"/>
    </row>
    <row r="1329" spans="5:5" x14ac:dyDescent="0.2">
      <c r="E1329" s="34"/>
    </row>
    <row r="1330" spans="5:5" x14ac:dyDescent="0.2">
      <c r="E1330" s="34"/>
    </row>
    <row r="1331" spans="5:5" x14ac:dyDescent="0.2">
      <c r="E1331" s="34"/>
    </row>
    <row r="1332" spans="5:5" x14ac:dyDescent="0.2">
      <c r="E1332" s="34"/>
    </row>
    <row r="1333" spans="5:5" x14ac:dyDescent="0.2">
      <c r="E1333" s="34"/>
    </row>
    <row r="1334" spans="5:5" x14ac:dyDescent="0.2">
      <c r="E1334" s="34"/>
    </row>
    <row r="1335" spans="5:5" x14ac:dyDescent="0.2">
      <c r="E1335" s="34"/>
    </row>
    <row r="1336" spans="5:5" x14ac:dyDescent="0.2">
      <c r="E1336" s="34"/>
    </row>
    <row r="1337" spans="5:5" x14ac:dyDescent="0.2">
      <c r="E1337" s="34"/>
    </row>
    <row r="1338" spans="5:5" x14ac:dyDescent="0.2">
      <c r="E1338" s="34"/>
    </row>
    <row r="1339" spans="5:5" x14ac:dyDescent="0.2">
      <c r="E1339" s="34"/>
    </row>
    <row r="1340" spans="5:5" x14ac:dyDescent="0.2">
      <c r="E1340" s="34"/>
    </row>
    <row r="1341" spans="5:5" x14ac:dyDescent="0.2">
      <c r="E1341" s="34"/>
    </row>
    <row r="1342" spans="5:5" x14ac:dyDescent="0.2">
      <c r="E1342" s="34"/>
    </row>
    <row r="1343" spans="5:5" x14ac:dyDescent="0.2">
      <c r="E1343" s="34"/>
    </row>
    <row r="1344" spans="5:5" x14ac:dyDescent="0.2">
      <c r="E1344" s="34"/>
    </row>
    <row r="1345" spans="5:5" x14ac:dyDescent="0.2">
      <c r="E1345" s="34"/>
    </row>
    <row r="1346" spans="5:5" x14ac:dyDescent="0.2">
      <c r="E1346" s="34"/>
    </row>
    <row r="1347" spans="5:5" x14ac:dyDescent="0.2">
      <c r="E1347" s="34"/>
    </row>
    <row r="1348" spans="5:5" x14ac:dyDescent="0.2">
      <c r="E1348" s="34"/>
    </row>
    <row r="1349" spans="5:5" x14ac:dyDescent="0.2">
      <c r="E1349" s="34"/>
    </row>
    <row r="1350" spans="5:5" x14ac:dyDescent="0.2">
      <c r="E1350" s="34"/>
    </row>
    <row r="1351" spans="5:5" x14ac:dyDescent="0.2">
      <c r="E1351" s="34"/>
    </row>
    <row r="1352" spans="5:5" x14ac:dyDescent="0.2">
      <c r="E1352" s="34"/>
    </row>
    <row r="1353" spans="5:5" x14ac:dyDescent="0.2">
      <c r="E1353" s="34"/>
    </row>
    <row r="1354" spans="5:5" x14ac:dyDescent="0.2">
      <c r="E1354" s="34"/>
    </row>
    <row r="1355" spans="5:5" x14ac:dyDescent="0.2">
      <c r="E1355" s="34"/>
    </row>
    <row r="1356" spans="5:5" x14ac:dyDescent="0.2">
      <c r="E1356" s="34"/>
    </row>
    <row r="1357" spans="5:5" x14ac:dyDescent="0.2">
      <c r="E1357" s="34"/>
    </row>
    <row r="1358" spans="5:5" x14ac:dyDescent="0.2">
      <c r="E1358" s="34"/>
    </row>
    <row r="1359" spans="5:5" x14ac:dyDescent="0.2">
      <c r="E1359" s="34"/>
    </row>
    <row r="1360" spans="5:5" x14ac:dyDescent="0.2">
      <c r="E1360" s="34"/>
    </row>
    <row r="1361" spans="5:5" x14ac:dyDescent="0.2">
      <c r="E1361" s="34"/>
    </row>
    <row r="1362" spans="5:5" x14ac:dyDescent="0.2">
      <c r="E1362" s="34"/>
    </row>
    <row r="1363" spans="5:5" x14ac:dyDescent="0.2">
      <c r="E1363" s="34"/>
    </row>
    <row r="1364" spans="5:5" x14ac:dyDescent="0.2">
      <c r="E1364" s="34"/>
    </row>
    <row r="1365" spans="5:5" x14ac:dyDescent="0.2">
      <c r="E1365" s="34"/>
    </row>
    <row r="1366" spans="5:5" x14ac:dyDescent="0.2">
      <c r="E1366" s="34"/>
    </row>
    <row r="1367" spans="5:5" x14ac:dyDescent="0.2">
      <c r="E1367" s="34"/>
    </row>
    <row r="1368" spans="5:5" x14ac:dyDescent="0.2">
      <c r="E1368" s="34"/>
    </row>
    <row r="1369" spans="5:5" x14ac:dyDescent="0.2">
      <c r="E1369" s="34"/>
    </row>
    <row r="1370" spans="5:5" x14ac:dyDescent="0.2">
      <c r="E1370" s="34"/>
    </row>
    <row r="1371" spans="5:5" x14ac:dyDescent="0.2">
      <c r="E1371" s="34"/>
    </row>
    <row r="1372" spans="5:5" x14ac:dyDescent="0.2">
      <c r="E1372" s="34"/>
    </row>
    <row r="1373" spans="5:5" x14ac:dyDescent="0.2">
      <c r="E1373" s="34"/>
    </row>
    <row r="1374" spans="5:5" x14ac:dyDescent="0.2">
      <c r="E1374" s="34"/>
    </row>
    <row r="1375" spans="5:5" x14ac:dyDescent="0.2">
      <c r="E1375" s="34"/>
    </row>
    <row r="1376" spans="5:5" x14ac:dyDescent="0.2">
      <c r="E1376" s="34"/>
    </row>
    <row r="1377" spans="5:5" x14ac:dyDescent="0.2">
      <c r="E1377" s="34"/>
    </row>
    <row r="1378" spans="5:5" x14ac:dyDescent="0.2">
      <c r="E1378" s="34"/>
    </row>
    <row r="1379" spans="5:5" x14ac:dyDescent="0.2">
      <c r="E1379" s="34"/>
    </row>
    <row r="1380" spans="5:5" x14ac:dyDescent="0.2">
      <c r="E1380" s="34"/>
    </row>
    <row r="1381" spans="5:5" x14ac:dyDescent="0.2">
      <c r="E1381" s="34"/>
    </row>
    <row r="1382" spans="5:5" x14ac:dyDescent="0.2">
      <c r="E1382" s="34"/>
    </row>
    <row r="1383" spans="5:5" x14ac:dyDescent="0.2">
      <c r="E1383" s="34"/>
    </row>
    <row r="1384" spans="5:5" x14ac:dyDescent="0.2">
      <c r="E1384" s="34"/>
    </row>
    <row r="1385" spans="5:5" x14ac:dyDescent="0.2">
      <c r="E1385" s="34"/>
    </row>
    <row r="1386" spans="5:5" x14ac:dyDescent="0.2">
      <c r="E1386" s="34"/>
    </row>
    <row r="1387" spans="5:5" x14ac:dyDescent="0.2">
      <c r="E1387" s="34"/>
    </row>
    <row r="1388" spans="5:5" x14ac:dyDescent="0.2">
      <c r="E1388" s="34"/>
    </row>
    <row r="1389" spans="5:5" x14ac:dyDescent="0.2">
      <c r="E1389" s="34"/>
    </row>
    <row r="1390" spans="5:5" x14ac:dyDescent="0.2">
      <c r="E1390" s="34"/>
    </row>
    <row r="1391" spans="5:5" x14ac:dyDescent="0.2">
      <c r="E1391" s="34"/>
    </row>
    <row r="1392" spans="5:5" x14ac:dyDescent="0.2">
      <c r="E1392" s="34"/>
    </row>
    <row r="1393" spans="5:5" x14ac:dyDescent="0.2">
      <c r="E1393" s="34"/>
    </row>
    <row r="1394" spans="5:5" x14ac:dyDescent="0.2">
      <c r="E1394" s="34"/>
    </row>
    <row r="1395" spans="5:5" x14ac:dyDescent="0.2">
      <c r="E1395" s="34"/>
    </row>
    <row r="1396" spans="5:5" x14ac:dyDescent="0.2">
      <c r="E1396" s="34"/>
    </row>
    <row r="1397" spans="5:5" x14ac:dyDescent="0.2">
      <c r="E1397" s="34"/>
    </row>
    <row r="1398" spans="5:5" x14ac:dyDescent="0.2">
      <c r="E1398" s="34"/>
    </row>
    <row r="1399" spans="5:5" x14ac:dyDescent="0.2">
      <c r="E1399" s="34"/>
    </row>
    <row r="1400" spans="5:5" x14ac:dyDescent="0.2">
      <c r="E1400" s="34"/>
    </row>
    <row r="1401" spans="5:5" x14ac:dyDescent="0.2">
      <c r="E1401" s="34"/>
    </row>
    <row r="1402" spans="5:5" x14ac:dyDescent="0.2">
      <c r="E1402" s="34"/>
    </row>
    <row r="1403" spans="5:5" x14ac:dyDescent="0.2">
      <c r="E1403" s="34"/>
    </row>
    <row r="1404" spans="5:5" x14ac:dyDescent="0.2">
      <c r="E1404" s="34"/>
    </row>
    <row r="1405" spans="5:5" x14ac:dyDescent="0.2">
      <c r="E1405" s="34"/>
    </row>
    <row r="1406" spans="5:5" x14ac:dyDescent="0.2">
      <c r="E1406" s="34"/>
    </row>
    <row r="1407" spans="5:5" x14ac:dyDescent="0.2">
      <c r="E1407" s="34"/>
    </row>
    <row r="1408" spans="5:5" x14ac:dyDescent="0.2">
      <c r="E1408" s="34"/>
    </row>
    <row r="1409" spans="5:5" x14ac:dyDescent="0.2">
      <c r="E1409" s="34"/>
    </row>
    <row r="1410" spans="5:5" x14ac:dyDescent="0.2">
      <c r="E1410" s="34"/>
    </row>
    <row r="1411" spans="5:5" x14ac:dyDescent="0.2">
      <c r="E1411" s="34"/>
    </row>
    <row r="1412" spans="5:5" x14ac:dyDescent="0.2">
      <c r="E1412" s="34"/>
    </row>
    <row r="1413" spans="5:5" x14ac:dyDescent="0.2">
      <c r="E1413" s="34"/>
    </row>
    <row r="1414" spans="5:5" x14ac:dyDescent="0.2">
      <c r="E1414" s="34"/>
    </row>
    <row r="1415" spans="5:5" x14ac:dyDescent="0.2">
      <c r="E1415" s="34"/>
    </row>
    <row r="1416" spans="5:5" x14ac:dyDescent="0.2">
      <c r="E1416" s="34"/>
    </row>
    <row r="1417" spans="5:5" x14ac:dyDescent="0.2">
      <c r="E1417" s="34"/>
    </row>
    <row r="1418" spans="5:5" x14ac:dyDescent="0.2">
      <c r="E1418" s="34"/>
    </row>
    <row r="1419" spans="5:5" x14ac:dyDescent="0.2">
      <c r="E1419" s="34"/>
    </row>
    <row r="1420" spans="5:5" x14ac:dyDescent="0.2">
      <c r="E1420" s="34"/>
    </row>
    <row r="1421" spans="5:5" x14ac:dyDescent="0.2">
      <c r="E1421" s="34"/>
    </row>
    <row r="1422" spans="5:5" x14ac:dyDescent="0.2">
      <c r="E1422" s="34"/>
    </row>
    <row r="1423" spans="5:5" x14ac:dyDescent="0.2">
      <c r="E1423" s="34"/>
    </row>
    <row r="1424" spans="5:5" x14ac:dyDescent="0.2">
      <c r="E1424" s="34"/>
    </row>
    <row r="1425" spans="5:5" x14ac:dyDescent="0.2">
      <c r="E1425" s="34"/>
    </row>
    <row r="1426" spans="5:5" x14ac:dyDescent="0.2">
      <c r="E1426" s="34"/>
    </row>
    <row r="1427" spans="5:5" x14ac:dyDescent="0.2">
      <c r="E1427" s="34"/>
    </row>
    <row r="1428" spans="5:5" x14ac:dyDescent="0.2">
      <c r="E1428" s="34"/>
    </row>
    <row r="1429" spans="5:5" x14ac:dyDescent="0.2">
      <c r="E1429" s="34"/>
    </row>
    <row r="1430" spans="5:5" x14ac:dyDescent="0.2">
      <c r="E1430" s="34"/>
    </row>
    <row r="1431" spans="5:5" x14ac:dyDescent="0.2">
      <c r="E1431" s="34"/>
    </row>
    <row r="1432" spans="5:5" x14ac:dyDescent="0.2">
      <c r="E1432" s="34"/>
    </row>
    <row r="1433" spans="5:5" x14ac:dyDescent="0.2">
      <c r="E1433" s="34"/>
    </row>
    <row r="1434" spans="5:5" x14ac:dyDescent="0.2">
      <c r="E1434" s="34"/>
    </row>
    <row r="1435" spans="5:5" x14ac:dyDescent="0.2">
      <c r="E1435" s="34"/>
    </row>
    <row r="1436" spans="5:5" x14ac:dyDescent="0.2">
      <c r="E1436" s="34"/>
    </row>
    <row r="1437" spans="5:5" x14ac:dyDescent="0.2">
      <c r="E1437" s="34"/>
    </row>
    <row r="1438" spans="5:5" x14ac:dyDescent="0.2">
      <c r="E1438" s="34"/>
    </row>
    <row r="1439" spans="5:5" x14ac:dyDescent="0.2">
      <c r="E1439" s="34"/>
    </row>
    <row r="1440" spans="5:5" x14ac:dyDescent="0.2">
      <c r="E1440" s="34"/>
    </row>
    <row r="1441" spans="5:5" x14ac:dyDescent="0.2">
      <c r="E1441" s="34"/>
    </row>
    <row r="1442" spans="5:5" x14ac:dyDescent="0.2">
      <c r="E1442" s="34"/>
    </row>
    <row r="1443" spans="5:5" x14ac:dyDescent="0.2">
      <c r="E1443" s="34"/>
    </row>
    <row r="1444" spans="5:5" x14ac:dyDescent="0.2">
      <c r="E1444" s="34"/>
    </row>
    <row r="1445" spans="5:5" x14ac:dyDescent="0.2">
      <c r="E1445" s="34"/>
    </row>
    <row r="1446" spans="5:5" x14ac:dyDescent="0.2">
      <c r="E1446" s="34"/>
    </row>
    <row r="1447" spans="5:5" x14ac:dyDescent="0.2">
      <c r="E1447" s="34"/>
    </row>
    <row r="1448" spans="5:5" x14ac:dyDescent="0.2">
      <c r="E1448" s="34"/>
    </row>
    <row r="1449" spans="5:5" x14ac:dyDescent="0.2">
      <c r="E1449" s="34"/>
    </row>
    <row r="1450" spans="5:5" x14ac:dyDescent="0.2">
      <c r="E1450" s="34"/>
    </row>
    <row r="1451" spans="5:5" x14ac:dyDescent="0.2">
      <c r="E1451" s="34"/>
    </row>
    <row r="1452" spans="5:5" x14ac:dyDescent="0.2">
      <c r="E1452" s="34"/>
    </row>
    <row r="1453" spans="5:5" x14ac:dyDescent="0.2">
      <c r="E1453" s="34"/>
    </row>
    <row r="1454" spans="5:5" x14ac:dyDescent="0.2">
      <c r="E1454" s="34"/>
    </row>
    <row r="1455" spans="5:5" x14ac:dyDescent="0.2">
      <c r="E1455" s="34"/>
    </row>
    <row r="1456" spans="5:5" x14ac:dyDescent="0.2">
      <c r="E1456" s="34"/>
    </row>
    <row r="1457" spans="5:5" x14ac:dyDescent="0.2">
      <c r="E1457" s="34"/>
    </row>
    <row r="1458" spans="5:5" x14ac:dyDescent="0.2">
      <c r="E1458" s="34"/>
    </row>
    <row r="1459" spans="5:5" x14ac:dyDescent="0.2">
      <c r="E1459" s="34"/>
    </row>
    <row r="1460" spans="5:5" x14ac:dyDescent="0.2">
      <c r="E1460" s="34"/>
    </row>
    <row r="1461" spans="5:5" x14ac:dyDescent="0.2">
      <c r="E1461" s="34"/>
    </row>
    <row r="1462" spans="5:5" x14ac:dyDescent="0.2">
      <c r="E1462" s="34"/>
    </row>
    <row r="1463" spans="5:5" x14ac:dyDescent="0.2">
      <c r="E1463" s="34"/>
    </row>
    <row r="1464" spans="5:5" x14ac:dyDescent="0.2">
      <c r="E1464" s="34"/>
    </row>
    <row r="1465" spans="5:5" x14ac:dyDescent="0.2">
      <c r="E1465" s="34"/>
    </row>
    <row r="1466" spans="5:5" x14ac:dyDescent="0.2">
      <c r="E1466" s="34"/>
    </row>
    <row r="1467" spans="5:5" x14ac:dyDescent="0.2">
      <c r="E1467" s="34"/>
    </row>
    <row r="1468" spans="5:5" x14ac:dyDescent="0.2">
      <c r="E1468" s="34"/>
    </row>
    <row r="1469" spans="5:5" x14ac:dyDescent="0.2">
      <c r="E1469" s="34"/>
    </row>
    <row r="1470" spans="5:5" x14ac:dyDescent="0.2">
      <c r="E1470" s="34"/>
    </row>
    <row r="1471" spans="5:5" x14ac:dyDescent="0.2">
      <c r="E1471" s="34"/>
    </row>
    <row r="1472" spans="5:5" x14ac:dyDescent="0.2">
      <c r="E1472" s="34"/>
    </row>
    <row r="1473" spans="5:5" x14ac:dyDescent="0.2">
      <c r="E1473" s="34"/>
    </row>
    <row r="1474" spans="5:5" x14ac:dyDescent="0.2">
      <c r="E1474" s="34"/>
    </row>
    <row r="1475" spans="5:5" x14ac:dyDescent="0.2">
      <c r="E1475" s="34"/>
    </row>
    <row r="1476" spans="5:5" x14ac:dyDescent="0.2">
      <c r="E1476" s="34"/>
    </row>
    <row r="1477" spans="5:5" x14ac:dyDescent="0.2">
      <c r="E1477" s="34"/>
    </row>
    <row r="1478" spans="5:5" x14ac:dyDescent="0.2">
      <c r="E1478" s="34"/>
    </row>
    <row r="1479" spans="5:5" x14ac:dyDescent="0.2">
      <c r="E1479" s="34"/>
    </row>
    <row r="1480" spans="5:5" x14ac:dyDescent="0.2">
      <c r="E1480" s="34"/>
    </row>
    <row r="1481" spans="5:5" x14ac:dyDescent="0.2">
      <c r="E1481" s="34"/>
    </row>
    <row r="1482" spans="5:5" x14ac:dyDescent="0.2">
      <c r="E1482" s="34"/>
    </row>
    <row r="1483" spans="5:5" x14ac:dyDescent="0.2">
      <c r="E1483" s="34"/>
    </row>
    <row r="1484" spans="5:5" x14ac:dyDescent="0.2">
      <c r="E1484" s="34"/>
    </row>
    <row r="1485" spans="5:5" x14ac:dyDescent="0.2">
      <c r="E1485" s="34"/>
    </row>
    <row r="1486" spans="5:5" x14ac:dyDescent="0.2">
      <c r="E1486" s="34"/>
    </row>
    <row r="1487" spans="5:5" x14ac:dyDescent="0.2">
      <c r="E1487" s="34"/>
    </row>
    <row r="1488" spans="5:5" x14ac:dyDescent="0.2">
      <c r="E1488" s="34"/>
    </row>
    <row r="1489" spans="5:5" x14ac:dyDescent="0.2">
      <c r="E1489" s="34"/>
    </row>
    <row r="1490" spans="5:5" x14ac:dyDescent="0.2">
      <c r="E1490" s="34"/>
    </row>
    <row r="1491" spans="5:5" x14ac:dyDescent="0.2">
      <c r="E1491" s="34"/>
    </row>
    <row r="1492" spans="5:5" x14ac:dyDescent="0.2">
      <c r="E1492" s="34"/>
    </row>
    <row r="1493" spans="5:5" x14ac:dyDescent="0.2">
      <c r="E1493" s="34"/>
    </row>
    <row r="1494" spans="5:5" x14ac:dyDescent="0.2">
      <c r="E1494" s="34"/>
    </row>
    <row r="1495" spans="5:5" x14ac:dyDescent="0.2">
      <c r="E1495" s="34"/>
    </row>
    <row r="1496" spans="5:5" x14ac:dyDescent="0.2">
      <c r="E1496" s="34"/>
    </row>
    <row r="1497" spans="5:5" x14ac:dyDescent="0.2">
      <c r="E1497" s="34"/>
    </row>
    <row r="1498" spans="5:5" x14ac:dyDescent="0.2">
      <c r="E1498" s="34"/>
    </row>
    <row r="1499" spans="5:5" x14ac:dyDescent="0.2">
      <c r="E1499" s="34"/>
    </row>
    <row r="1500" spans="5:5" x14ac:dyDescent="0.2">
      <c r="E1500" s="34"/>
    </row>
    <row r="1501" spans="5:5" x14ac:dyDescent="0.2">
      <c r="E1501" s="34"/>
    </row>
    <row r="1502" spans="5:5" x14ac:dyDescent="0.2">
      <c r="E1502" s="34"/>
    </row>
    <row r="1503" spans="5:5" x14ac:dyDescent="0.2">
      <c r="E1503" s="34"/>
    </row>
    <row r="1504" spans="5:5" x14ac:dyDescent="0.2">
      <c r="E1504" s="34"/>
    </row>
    <row r="1505" spans="5:5" x14ac:dyDescent="0.2">
      <c r="E1505" s="34"/>
    </row>
    <row r="1506" spans="5:5" x14ac:dyDescent="0.2">
      <c r="E1506" s="34"/>
    </row>
    <row r="1507" spans="5:5" x14ac:dyDescent="0.2">
      <c r="E1507" s="34"/>
    </row>
    <row r="1508" spans="5:5" x14ac:dyDescent="0.2">
      <c r="E1508" s="34"/>
    </row>
    <row r="1509" spans="5:5" x14ac:dyDescent="0.2">
      <c r="E1509" s="34"/>
    </row>
    <row r="1510" spans="5:5" x14ac:dyDescent="0.2">
      <c r="E1510" s="34"/>
    </row>
    <row r="1511" spans="5:5" x14ac:dyDescent="0.2">
      <c r="E1511" s="34"/>
    </row>
    <row r="1512" spans="5:5" x14ac:dyDescent="0.2">
      <c r="E1512" s="34"/>
    </row>
    <row r="1513" spans="5:5" x14ac:dyDescent="0.2">
      <c r="E1513" s="34"/>
    </row>
    <row r="1514" spans="5:5" x14ac:dyDescent="0.2">
      <c r="E1514" s="34"/>
    </row>
    <row r="1515" spans="5:5" x14ac:dyDescent="0.2">
      <c r="E1515" s="34"/>
    </row>
    <row r="1516" spans="5:5" x14ac:dyDescent="0.2">
      <c r="E1516" s="34"/>
    </row>
    <row r="1517" spans="5:5" x14ac:dyDescent="0.2">
      <c r="E1517" s="34"/>
    </row>
    <row r="1518" spans="5:5" x14ac:dyDescent="0.2">
      <c r="E1518" s="34"/>
    </row>
    <row r="1519" spans="5:5" x14ac:dyDescent="0.2">
      <c r="E1519" s="34"/>
    </row>
    <row r="1520" spans="5:5" x14ac:dyDescent="0.2">
      <c r="E1520" s="34"/>
    </row>
    <row r="1521" spans="5:5" x14ac:dyDescent="0.2">
      <c r="E1521" s="34"/>
    </row>
    <row r="1522" spans="5:5" x14ac:dyDescent="0.2">
      <c r="E1522" s="34"/>
    </row>
    <row r="1523" spans="5:5" x14ac:dyDescent="0.2">
      <c r="E1523" s="34"/>
    </row>
    <row r="1524" spans="5:5" x14ac:dyDescent="0.2">
      <c r="E1524" s="34"/>
    </row>
    <row r="1525" spans="5:5" x14ac:dyDescent="0.2">
      <c r="E1525" s="34"/>
    </row>
    <row r="1526" spans="5:5" x14ac:dyDescent="0.2">
      <c r="E1526" s="34"/>
    </row>
    <row r="1527" spans="5:5" x14ac:dyDescent="0.2">
      <c r="E1527" s="34"/>
    </row>
    <row r="1528" spans="5:5" x14ac:dyDescent="0.2">
      <c r="E1528" s="34"/>
    </row>
    <row r="1529" spans="5:5" x14ac:dyDescent="0.2">
      <c r="E1529" s="34"/>
    </row>
    <row r="1530" spans="5:5" x14ac:dyDescent="0.2">
      <c r="E1530" s="34"/>
    </row>
    <row r="1531" spans="5:5" x14ac:dyDescent="0.2">
      <c r="E1531" s="34"/>
    </row>
    <row r="1532" spans="5:5" x14ac:dyDescent="0.2">
      <c r="E1532" s="34"/>
    </row>
    <row r="1533" spans="5:5" x14ac:dyDescent="0.2">
      <c r="E1533" s="34"/>
    </row>
    <row r="1534" spans="5:5" x14ac:dyDescent="0.2">
      <c r="E1534" s="34"/>
    </row>
    <row r="1535" spans="5:5" x14ac:dyDescent="0.2">
      <c r="E1535" s="34"/>
    </row>
    <row r="1536" spans="5:5" x14ac:dyDescent="0.2">
      <c r="E1536" s="34"/>
    </row>
    <row r="1537" spans="5:5" x14ac:dyDescent="0.2">
      <c r="E1537" s="34"/>
    </row>
    <row r="1538" spans="5:5" x14ac:dyDescent="0.2">
      <c r="E1538" s="34"/>
    </row>
    <row r="1539" spans="5:5" x14ac:dyDescent="0.2">
      <c r="E1539" s="34"/>
    </row>
    <row r="1540" spans="5:5" x14ac:dyDescent="0.2">
      <c r="E1540" s="34"/>
    </row>
    <row r="1541" spans="5:5" x14ac:dyDescent="0.2">
      <c r="E1541" s="34"/>
    </row>
    <row r="1542" spans="5:5" x14ac:dyDescent="0.2">
      <c r="E1542" s="34"/>
    </row>
    <row r="1543" spans="5:5" x14ac:dyDescent="0.2">
      <c r="E1543" s="34"/>
    </row>
    <row r="1544" spans="5:5" x14ac:dyDescent="0.2">
      <c r="E1544" s="34"/>
    </row>
    <row r="1545" spans="5:5" x14ac:dyDescent="0.2">
      <c r="E1545" s="34"/>
    </row>
    <row r="1546" spans="5:5" x14ac:dyDescent="0.2">
      <c r="E1546" s="34"/>
    </row>
    <row r="1547" spans="5:5" x14ac:dyDescent="0.2">
      <c r="E1547" s="34"/>
    </row>
    <row r="1548" spans="5:5" x14ac:dyDescent="0.2">
      <c r="E1548" s="34"/>
    </row>
    <row r="1549" spans="5:5" x14ac:dyDescent="0.2">
      <c r="E1549" s="34"/>
    </row>
    <row r="1550" spans="5:5" x14ac:dyDescent="0.2">
      <c r="E1550" s="34"/>
    </row>
    <row r="1551" spans="5:5" x14ac:dyDescent="0.2">
      <c r="E1551" s="34"/>
    </row>
    <row r="1552" spans="5:5" x14ac:dyDescent="0.2">
      <c r="E1552" s="34"/>
    </row>
    <row r="1553" spans="5:5" x14ac:dyDescent="0.2">
      <c r="E1553" s="34"/>
    </row>
    <row r="1554" spans="5:5" x14ac:dyDescent="0.2">
      <c r="E1554" s="34"/>
    </row>
    <row r="1555" spans="5:5" x14ac:dyDescent="0.2">
      <c r="E1555" s="34"/>
    </row>
    <row r="1556" spans="5:5" x14ac:dyDescent="0.2">
      <c r="E1556" s="34"/>
    </row>
    <row r="1557" spans="5:5" x14ac:dyDescent="0.2">
      <c r="E1557" s="34"/>
    </row>
    <row r="1558" spans="5:5" x14ac:dyDescent="0.2">
      <c r="E1558" s="34"/>
    </row>
    <row r="1559" spans="5:5" x14ac:dyDescent="0.2">
      <c r="E1559" s="34"/>
    </row>
    <row r="1560" spans="5:5" x14ac:dyDescent="0.2">
      <c r="E1560" s="34"/>
    </row>
    <row r="1561" spans="5:5" x14ac:dyDescent="0.2">
      <c r="E1561" s="34"/>
    </row>
    <row r="1562" spans="5:5" x14ac:dyDescent="0.2">
      <c r="E1562" s="34"/>
    </row>
    <row r="1563" spans="5:5" x14ac:dyDescent="0.2">
      <c r="E1563" s="34"/>
    </row>
    <row r="1564" spans="5:5" x14ac:dyDescent="0.2">
      <c r="E1564" s="34"/>
    </row>
    <row r="1565" spans="5:5" x14ac:dyDescent="0.2">
      <c r="E1565" s="34"/>
    </row>
    <row r="1566" spans="5:5" x14ac:dyDescent="0.2">
      <c r="E1566" s="34"/>
    </row>
    <row r="1567" spans="5:5" x14ac:dyDescent="0.2">
      <c r="E1567" s="34"/>
    </row>
    <row r="1568" spans="5:5" x14ac:dyDescent="0.2">
      <c r="E1568" s="34"/>
    </row>
    <row r="1569" spans="5:5" x14ac:dyDescent="0.2">
      <c r="E1569" s="34"/>
    </row>
    <row r="1570" spans="5:5" x14ac:dyDescent="0.2">
      <c r="E1570" s="34"/>
    </row>
    <row r="1571" spans="5:5" x14ac:dyDescent="0.2">
      <c r="E1571" s="34"/>
    </row>
    <row r="1572" spans="5:5" x14ac:dyDescent="0.2">
      <c r="E1572" s="34"/>
    </row>
    <row r="1573" spans="5:5" x14ac:dyDescent="0.2">
      <c r="E1573" s="34"/>
    </row>
    <row r="1574" spans="5:5" x14ac:dyDescent="0.2">
      <c r="E1574" s="34"/>
    </row>
    <row r="1575" spans="5:5" x14ac:dyDescent="0.2">
      <c r="E1575" s="34"/>
    </row>
    <row r="1576" spans="5:5" x14ac:dyDescent="0.2">
      <c r="E1576" s="34"/>
    </row>
    <row r="1577" spans="5:5" x14ac:dyDescent="0.2">
      <c r="E1577" s="34"/>
    </row>
    <row r="1578" spans="5:5" x14ac:dyDescent="0.2">
      <c r="E1578" s="34"/>
    </row>
    <row r="1579" spans="5:5" x14ac:dyDescent="0.2">
      <c r="E1579" s="34"/>
    </row>
    <row r="1580" spans="5:5" x14ac:dyDescent="0.2">
      <c r="E1580" s="34"/>
    </row>
    <row r="1581" spans="5:5" x14ac:dyDescent="0.2">
      <c r="E1581" s="34"/>
    </row>
    <row r="1582" spans="5:5" x14ac:dyDescent="0.2">
      <c r="E1582" s="34"/>
    </row>
    <row r="1583" spans="5:5" x14ac:dyDescent="0.2">
      <c r="E1583" s="34"/>
    </row>
    <row r="1584" spans="5:5" x14ac:dyDescent="0.2">
      <c r="E1584" s="34"/>
    </row>
    <row r="1585" spans="5:5" x14ac:dyDescent="0.2">
      <c r="E1585" s="34"/>
    </row>
    <row r="1586" spans="5:5" x14ac:dyDescent="0.2">
      <c r="E1586" s="34"/>
    </row>
    <row r="1587" spans="5:5" x14ac:dyDescent="0.2">
      <c r="E1587" s="34"/>
    </row>
    <row r="1588" spans="5:5" x14ac:dyDescent="0.2">
      <c r="E1588" s="34"/>
    </row>
    <row r="1589" spans="5:5" x14ac:dyDescent="0.2">
      <c r="E1589" s="34"/>
    </row>
    <row r="1590" spans="5:5" x14ac:dyDescent="0.2">
      <c r="E1590" s="34"/>
    </row>
    <row r="1591" spans="5:5" x14ac:dyDescent="0.2">
      <c r="E1591" s="34"/>
    </row>
    <row r="1592" spans="5:5" x14ac:dyDescent="0.2">
      <c r="E1592" s="34"/>
    </row>
    <row r="1593" spans="5:5" x14ac:dyDescent="0.2">
      <c r="E1593" s="34"/>
    </row>
    <row r="1594" spans="5:5" x14ac:dyDescent="0.2">
      <c r="E1594" s="34"/>
    </row>
    <row r="1595" spans="5:5" x14ac:dyDescent="0.2">
      <c r="E1595" s="34"/>
    </row>
    <row r="1596" spans="5:5" x14ac:dyDescent="0.2">
      <c r="E1596" s="34"/>
    </row>
    <row r="1597" spans="5:5" x14ac:dyDescent="0.2">
      <c r="E1597" s="34"/>
    </row>
    <row r="1598" spans="5:5" x14ac:dyDescent="0.2">
      <c r="E1598" s="34"/>
    </row>
    <row r="1599" spans="5:5" x14ac:dyDescent="0.2">
      <c r="E1599" s="34"/>
    </row>
    <row r="1600" spans="5:5" x14ac:dyDescent="0.2">
      <c r="E1600" s="34"/>
    </row>
    <row r="1601" spans="5:5" x14ac:dyDescent="0.2">
      <c r="E1601" s="34"/>
    </row>
    <row r="1602" spans="5:5" x14ac:dyDescent="0.2">
      <c r="E1602" s="34"/>
    </row>
    <row r="1603" spans="5:5" x14ac:dyDescent="0.2">
      <c r="E1603" s="34"/>
    </row>
    <row r="1604" spans="5:5" x14ac:dyDescent="0.2">
      <c r="E1604" s="34"/>
    </row>
    <row r="1605" spans="5:5" x14ac:dyDescent="0.2">
      <c r="E1605" s="34"/>
    </row>
    <row r="1606" spans="5:5" x14ac:dyDescent="0.2">
      <c r="E1606" s="34"/>
    </row>
    <row r="1607" spans="5:5" x14ac:dyDescent="0.2">
      <c r="E1607" s="34"/>
    </row>
    <row r="1608" spans="5:5" x14ac:dyDescent="0.2">
      <c r="E1608" s="34"/>
    </row>
    <row r="1609" spans="5:5" x14ac:dyDescent="0.2">
      <c r="E1609" s="34"/>
    </row>
    <row r="1610" spans="5:5" x14ac:dyDescent="0.2">
      <c r="E1610" s="34"/>
    </row>
    <row r="1611" spans="5:5" x14ac:dyDescent="0.2">
      <c r="E1611" s="34"/>
    </row>
    <row r="1612" spans="5:5" x14ac:dyDescent="0.2">
      <c r="E1612" s="34"/>
    </row>
    <row r="1613" spans="5:5" x14ac:dyDescent="0.2">
      <c r="E1613" s="34"/>
    </row>
    <row r="1614" spans="5:5" x14ac:dyDescent="0.2">
      <c r="E1614" s="34"/>
    </row>
    <row r="1615" spans="5:5" x14ac:dyDescent="0.2">
      <c r="E1615" s="34"/>
    </row>
    <row r="1616" spans="5:5" x14ac:dyDescent="0.2">
      <c r="E1616" s="34"/>
    </row>
    <row r="1617" spans="5:5" x14ac:dyDescent="0.2">
      <c r="E1617" s="34"/>
    </row>
    <row r="1618" spans="5:5" x14ac:dyDescent="0.2">
      <c r="E1618" s="34"/>
    </row>
    <row r="1619" spans="5:5" x14ac:dyDescent="0.2">
      <c r="E1619" s="34"/>
    </row>
    <row r="1620" spans="5:5" x14ac:dyDescent="0.2">
      <c r="E1620" s="34"/>
    </row>
    <row r="1621" spans="5:5" x14ac:dyDescent="0.2">
      <c r="E1621" s="34"/>
    </row>
    <row r="1622" spans="5:5" x14ac:dyDescent="0.2">
      <c r="E1622" s="34"/>
    </row>
    <row r="1623" spans="5:5" x14ac:dyDescent="0.2">
      <c r="E1623" s="34"/>
    </row>
    <row r="1624" spans="5:5" x14ac:dyDescent="0.2">
      <c r="E1624" s="34"/>
    </row>
    <row r="1625" spans="5:5" x14ac:dyDescent="0.2">
      <c r="E1625" s="34"/>
    </row>
    <row r="1626" spans="5:5" x14ac:dyDescent="0.2">
      <c r="E1626" s="34"/>
    </row>
    <row r="1627" spans="5:5" x14ac:dyDescent="0.2">
      <c r="E1627" s="34"/>
    </row>
    <row r="1628" spans="5:5" x14ac:dyDescent="0.2">
      <c r="E1628" s="34"/>
    </row>
    <row r="1629" spans="5:5" x14ac:dyDescent="0.2">
      <c r="E1629" s="34"/>
    </row>
    <row r="1630" spans="5:5" x14ac:dyDescent="0.2">
      <c r="E1630" s="34"/>
    </row>
    <row r="1631" spans="5:5" x14ac:dyDescent="0.2">
      <c r="E1631" s="34"/>
    </row>
    <row r="1632" spans="5:5" x14ac:dyDescent="0.2">
      <c r="E1632" s="34"/>
    </row>
    <row r="1633" spans="5:5" x14ac:dyDescent="0.2">
      <c r="E1633" s="34"/>
    </row>
    <row r="1634" spans="5:5" x14ac:dyDescent="0.2">
      <c r="E1634" s="34"/>
    </row>
    <row r="1635" spans="5:5" x14ac:dyDescent="0.2">
      <c r="E1635" s="34"/>
    </row>
    <row r="1636" spans="5:5" x14ac:dyDescent="0.2">
      <c r="E1636" s="34"/>
    </row>
    <row r="1637" spans="5:5" x14ac:dyDescent="0.2">
      <c r="E1637" s="34"/>
    </row>
    <row r="1638" spans="5:5" x14ac:dyDescent="0.2">
      <c r="E1638" s="34"/>
    </row>
    <row r="1639" spans="5:5" x14ac:dyDescent="0.2">
      <c r="E1639" s="34"/>
    </row>
    <row r="1640" spans="5:5" x14ac:dyDescent="0.2">
      <c r="E1640" s="34"/>
    </row>
    <row r="1641" spans="5:5" x14ac:dyDescent="0.2">
      <c r="E1641" s="34"/>
    </row>
    <row r="1642" spans="5:5" x14ac:dyDescent="0.2">
      <c r="E1642" s="34"/>
    </row>
    <row r="1643" spans="5:5" x14ac:dyDescent="0.2">
      <c r="E1643" s="34"/>
    </row>
    <row r="1644" spans="5:5" x14ac:dyDescent="0.2">
      <c r="E1644" s="34"/>
    </row>
    <row r="1645" spans="5:5" x14ac:dyDescent="0.2">
      <c r="E1645" s="34"/>
    </row>
    <row r="1646" spans="5:5" x14ac:dyDescent="0.2">
      <c r="E1646" s="34"/>
    </row>
    <row r="1647" spans="5:5" x14ac:dyDescent="0.2">
      <c r="E1647" s="34"/>
    </row>
    <row r="1648" spans="5:5" x14ac:dyDescent="0.2">
      <c r="E1648" s="34"/>
    </row>
    <row r="1649" spans="5:5" x14ac:dyDescent="0.2">
      <c r="E1649" s="34"/>
    </row>
    <row r="1650" spans="5:5" x14ac:dyDescent="0.2">
      <c r="E1650" s="34"/>
    </row>
    <row r="1651" spans="5:5" x14ac:dyDescent="0.2">
      <c r="E1651" s="34"/>
    </row>
    <row r="1652" spans="5:5" x14ac:dyDescent="0.2">
      <c r="E1652" s="34"/>
    </row>
    <row r="1653" spans="5:5" x14ac:dyDescent="0.2">
      <c r="E1653" s="34"/>
    </row>
    <row r="1654" spans="5:5" x14ac:dyDescent="0.2">
      <c r="E1654" s="34"/>
    </row>
    <row r="1655" spans="5:5" x14ac:dyDescent="0.2">
      <c r="E1655" s="34"/>
    </row>
    <row r="1656" spans="5:5" x14ac:dyDescent="0.2">
      <c r="E1656" s="34"/>
    </row>
    <row r="1657" spans="5:5" x14ac:dyDescent="0.2">
      <c r="E1657" s="34"/>
    </row>
    <row r="1658" spans="5:5" x14ac:dyDescent="0.2">
      <c r="E1658" s="34"/>
    </row>
    <row r="1659" spans="5:5" x14ac:dyDescent="0.2">
      <c r="E1659" s="34"/>
    </row>
    <row r="1660" spans="5:5" x14ac:dyDescent="0.2">
      <c r="E1660" s="34"/>
    </row>
    <row r="1661" spans="5:5" x14ac:dyDescent="0.2">
      <c r="E1661" s="34"/>
    </row>
    <row r="1662" spans="5:5" x14ac:dyDescent="0.2">
      <c r="E1662" s="34"/>
    </row>
    <row r="1663" spans="5:5" x14ac:dyDescent="0.2">
      <c r="E1663" s="34"/>
    </row>
    <row r="1664" spans="5:5" x14ac:dyDescent="0.2">
      <c r="E1664" s="34"/>
    </row>
    <row r="1665" spans="5:5" x14ac:dyDescent="0.2">
      <c r="E1665" s="34"/>
    </row>
    <row r="1666" spans="5:5" x14ac:dyDescent="0.2">
      <c r="E1666" s="34"/>
    </row>
    <row r="1667" spans="5:5" x14ac:dyDescent="0.2">
      <c r="E1667" s="34"/>
    </row>
    <row r="1668" spans="5:5" x14ac:dyDescent="0.2">
      <c r="E1668" s="34"/>
    </row>
    <row r="1669" spans="5:5" x14ac:dyDescent="0.2">
      <c r="E1669" s="34"/>
    </row>
    <row r="1670" spans="5:5" x14ac:dyDescent="0.2">
      <c r="E1670" s="34"/>
    </row>
    <row r="1671" spans="5:5" x14ac:dyDescent="0.2">
      <c r="E1671" s="34"/>
    </row>
    <row r="1672" spans="5:5" x14ac:dyDescent="0.2">
      <c r="E1672" s="34"/>
    </row>
    <row r="1673" spans="5:5" x14ac:dyDescent="0.2">
      <c r="E1673" s="34"/>
    </row>
    <row r="1674" spans="5:5" x14ac:dyDescent="0.2">
      <c r="E1674" s="34"/>
    </row>
    <row r="1675" spans="5:5" x14ac:dyDescent="0.2">
      <c r="E1675" s="34"/>
    </row>
    <row r="1676" spans="5:5" x14ac:dyDescent="0.2">
      <c r="E1676" s="34"/>
    </row>
    <row r="1677" spans="5:5" x14ac:dyDescent="0.2">
      <c r="E1677" s="34"/>
    </row>
    <row r="1678" spans="5:5" x14ac:dyDescent="0.2">
      <c r="E1678" s="34"/>
    </row>
    <row r="1679" spans="5:5" x14ac:dyDescent="0.2">
      <c r="E1679" s="34"/>
    </row>
    <row r="1680" spans="5:5" x14ac:dyDescent="0.2">
      <c r="E1680" s="34"/>
    </row>
    <row r="1681" spans="5:5" x14ac:dyDescent="0.2">
      <c r="E1681" s="34"/>
    </row>
    <row r="1682" spans="5:5" x14ac:dyDescent="0.2">
      <c r="E1682" s="34"/>
    </row>
    <row r="1683" spans="5:5" x14ac:dyDescent="0.2">
      <c r="E1683" s="34"/>
    </row>
    <row r="1684" spans="5:5" x14ac:dyDescent="0.2">
      <c r="E1684" s="34"/>
    </row>
    <row r="1685" spans="5:5" x14ac:dyDescent="0.2">
      <c r="E1685" s="34"/>
    </row>
    <row r="1686" spans="5:5" x14ac:dyDescent="0.2">
      <c r="E1686" s="34"/>
    </row>
    <row r="1687" spans="5:5" x14ac:dyDescent="0.2">
      <c r="E1687" s="34"/>
    </row>
    <row r="1688" spans="5:5" x14ac:dyDescent="0.2">
      <c r="E1688" s="34"/>
    </row>
    <row r="1689" spans="5:5" x14ac:dyDescent="0.2">
      <c r="E1689" s="34"/>
    </row>
    <row r="1690" spans="5:5" x14ac:dyDescent="0.2">
      <c r="E1690" s="34"/>
    </row>
    <row r="1691" spans="5:5" x14ac:dyDescent="0.2">
      <c r="E1691" s="34"/>
    </row>
    <row r="1692" spans="5:5" x14ac:dyDescent="0.2">
      <c r="E1692" s="34"/>
    </row>
    <row r="1693" spans="5:5" x14ac:dyDescent="0.2">
      <c r="E1693" s="34"/>
    </row>
    <row r="1694" spans="5:5" x14ac:dyDescent="0.2">
      <c r="E1694" s="34"/>
    </row>
    <row r="1695" spans="5:5" x14ac:dyDescent="0.2">
      <c r="E1695" s="34"/>
    </row>
    <row r="1696" spans="5:5" x14ac:dyDescent="0.2">
      <c r="E1696" s="34"/>
    </row>
    <row r="1697" spans="5:5" x14ac:dyDescent="0.2">
      <c r="E1697" s="34"/>
    </row>
    <row r="1698" spans="5:5" x14ac:dyDescent="0.2">
      <c r="E1698" s="34"/>
    </row>
    <row r="1699" spans="5:5" x14ac:dyDescent="0.2">
      <c r="E1699" s="34"/>
    </row>
    <row r="1700" spans="5:5" x14ac:dyDescent="0.2">
      <c r="E1700" s="34"/>
    </row>
    <row r="1701" spans="5:5" x14ac:dyDescent="0.2">
      <c r="E1701" s="34"/>
    </row>
    <row r="1702" spans="5:5" x14ac:dyDescent="0.2">
      <c r="E1702" s="34"/>
    </row>
    <row r="1703" spans="5:5" x14ac:dyDescent="0.2">
      <c r="E1703" s="34"/>
    </row>
    <row r="1704" spans="5:5" x14ac:dyDescent="0.2">
      <c r="E1704" s="34"/>
    </row>
    <row r="1705" spans="5:5" x14ac:dyDescent="0.2">
      <c r="E1705" s="34"/>
    </row>
    <row r="1706" spans="5:5" x14ac:dyDescent="0.2">
      <c r="E1706" s="34"/>
    </row>
    <row r="1707" spans="5:5" x14ac:dyDescent="0.2">
      <c r="E1707" s="34"/>
    </row>
    <row r="1708" spans="5:5" x14ac:dyDescent="0.2">
      <c r="E1708" s="34"/>
    </row>
    <row r="1709" spans="5:5" x14ac:dyDescent="0.2">
      <c r="E1709" s="34"/>
    </row>
    <row r="1710" spans="5:5" x14ac:dyDescent="0.2">
      <c r="E1710" s="34"/>
    </row>
    <row r="1711" spans="5:5" x14ac:dyDescent="0.2">
      <c r="E1711" s="34"/>
    </row>
    <row r="1712" spans="5:5" x14ac:dyDescent="0.2">
      <c r="E1712" s="34"/>
    </row>
    <row r="1713" spans="5:5" x14ac:dyDescent="0.2">
      <c r="E1713" s="34"/>
    </row>
    <row r="1714" spans="5:5" x14ac:dyDescent="0.2">
      <c r="E1714" s="34"/>
    </row>
    <row r="1715" spans="5:5" x14ac:dyDescent="0.2">
      <c r="E1715" s="34"/>
    </row>
    <row r="1716" spans="5:5" x14ac:dyDescent="0.2">
      <c r="E1716" s="34"/>
    </row>
    <row r="1717" spans="5:5" x14ac:dyDescent="0.2">
      <c r="E1717" s="34"/>
    </row>
    <row r="1718" spans="5:5" x14ac:dyDescent="0.2">
      <c r="E1718" s="34"/>
    </row>
    <row r="1719" spans="5:5" x14ac:dyDescent="0.2">
      <c r="E1719" s="34"/>
    </row>
    <row r="1720" spans="5:5" x14ac:dyDescent="0.2">
      <c r="E1720" s="34"/>
    </row>
    <row r="1721" spans="5:5" x14ac:dyDescent="0.2">
      <c r="E1721" s="34"/>
    </row>
    <row r="1722" spans="5:5" x14ac:dyDescent="0.2">
      <c r="E1722" s="34"/>
    </row>
    <row r="1723" spans="5:5" x14ac:dyDescent="0.2">
      <c r="E1723" s="34"/>
    </row>
    <row r="1724" spans="5:5" x14ac:dyDescent="0.2">
      <c r="E1724" s="34"/>
    </row>
    <row r="1725" spans="5:5" x14ac:dyDescent="0.2">
      <c r="E1725" s="34"/>
    </row>
    <row r="1726" spans="5:5" x14ac:dyDescent="0.2">
      <c r="E1726" s="34"/>
    </row>
    <row r="1727" spans="5:5" x14ac:dyDescent="0.2">
      <c r="E1727" s="34"/>
    </row>
    <row r="1728" spans="5:5" x14ac:dyDescent="0.2">
      <c r="E1728" s="34"/>
    </row>
    <row r="1729" spans="5:5" x14ac:dyDescent="0.2">
      <c r="E1729" s="34"/>
    </row>
    <row r="1730" spans="5:5" x14ac:dyDescent="0.2">
      <c r="E1730" s="34"/>
    </row>
    <row r="1731" spans="5:5" x14ac:dyDescent="0.2">
      <c r="E1731" s="34"/>
    </row>
    <row r="1732" spans="5:5" x14ac:dyDescent="0.2">
      <c r="E1732" s="34"/>
    </row>
    <row r="1733" spans="5:5" x14ac:dyDescent="0.2">
      <c r="E1733" s="34"/>
    </row>
    <row r="1734" spans="5:5" x14ac:dyDescent="0.2">
      <c r="E1734" s="34"/>
    </row>
    <row r="1735" spans="5:5" x14ac:dyDescent="0.2">
      <c r="E1735" s="34"/>
    </row>
    <row r="1736" spans="5:5" x14ac:dyDescent="0.2">
      <c r="E1736" s="34"/>
    </row>
    <row r="1737" spans="5:5" x14ac:dyDescent="0.2">
      <c r="E1737" s="34"/>
    </row>
    <row r="1738" spans="5:5" x14ac:dyDescent="0.2">
      <c r="E1738" s="34"/>
    </row>
    <row r="1739" spans="5:5" x14ac:dyDescent="0.2">
      <c r="E1739" s="34"/>
    </row>
    <row r="1740" spans="5:5" x14ac:dyDescent="0.2">
      <c r="E1740" s="34"/>
    </row>
    <row r="1741" spans="5:5" x14ac:dyDescent="0.2">
      <c r="E1741" s="34"/>
    </row>
    <row r="1742" spans="5:5" x14ac:dyDescent="0.2">
      <c r="E1742" s="34"/>
    </row>
    <row r="1743" spans="5:5" x14ac:dyDescent="0.2">
      <c r="E1743" s="34"/>
    </row>
    <row r="1744" spans="5:5" x14ac:dyDescent="0.2">
      <c r="E1744" s="34"/>
    </row>
    <row r="1745" spans="5:5" x14ac:dyDescent="0.2">
      <c r="E1745" s="34"/>
    </row>
    <row r="1746" spans="5:5" x14ac:dyDescent="0.2">
      <c r="E1746" s="34"/>
    </row>
    <row r="1747" spans="5:5" x14ac:dyDescent="0.2">
      <c r="E1747" s="34"/>
    </row>
    <row r="1748" spans="5:5" x14ac:dyDescent="0.2">
      <c r="E1748" s="34"/>
    </row>
    <row r="1749" spans="5:5" x14ac:dyDescent="0.2">
      <c r="E1749" s="34"/>
    </row>
    <row r="1750" spans="5:5" x14ac:dyDescent="0.2">
      <c r="E1750" s="34"/>
    </row>
    <row r="1751" spans="5:5" x14ac:dyDescent="0.2">
      <c r="E1751" s="34"/>
    </row>
    <row r="1752" spans="5:5" x14ac:dyDescent="0.2">
      <c r="E1752" s="34"/>
    </row>
    <row r="1753" spans="5:5" x14ac:dyDescent="0.2">
      <c r="E1753" s="34"/>
    </row>
    <row r="1754" spans="5:5" x14ac:dyDescent="0.2">
      <c r="E1754" s="34"/>
    </row>
    <row r="1755" spans="5:5" x14ac:dyDescent="0.2">
      <c r="E1755" s="34"/>
    </row>
    <row r="1756" spans="5:5" x14ac:dyDescent="0.2">
      <c r="E1756" s="34"/>
    </row>
    <row r="1757" spans="5:5" x14ac:dyDescent="0.2">
      <c r="E1757" s="34"/>
    </row>
    <row r="1758" spans="5:5" x14ac:dyDescent="0.2">
      <c r="E1758" s="34"/>
    </row>
    <row r="1759" spans="5:5" x14ac:dyDescent="0.2">
      <c r="E1759" s="34"/>
    </row>
    <row r="1760" spans="5:5" x14ac:dyDescent="0.2">
      <c r="E1760" s="34"/>
    </row>
    <row r="1761" spans="5:5" x14ac:dyDescent="0.2">
      <c r="E1761" s="34"/>
    </row>
    <row r="1762" spans="5:5" x14ac:dyDescent="0.2">
      <c r="E1762" s="34"/>
    </row>
    <row r="1763" spans="5:5" x14ac:dyDescent="0.2">
      <c r="E1763" s="34"/>
    </row>
    <row r="1764" spans="5:5" x14ac:dyDescent="0.2">
      <c r="E1764" s="34"/>
    </row>
    <row r="1765" spans="5:5" x14ac:dyDescent="0.2">
      <c r="E1765" s="34"/>
    </row>
    <row r="1766" spans="5:5" x14ac:dyDescent="0.2">
      <c r="E1766" s="34"/>
    </row>
    <row r="1767" spans="5:5" x14ac:dyDescent="0.2">
      <c r="E1767" s="34"/>
    </row>
    <row r="1768" spans="5:5" x14ac:dyDescent="0.2">
      <c r="E1768" s="34"/>
    </row>
    <row r="1769" spans="5:5" x14ac:dyDescent="0.2">
      <c r="E1769" s="34"/>
    </row>
    <row r="1770" spans="5:5" x14ac:dyDescent="0.2">
      <c r="E1770" s="34"/>
    </row>
    <row r="1771" spans="5:5" x14ac:dyDescent="0.2">
      <c r="E1771" s="34"/>
    </row>
    <row r="1772" spans="5:5" x14ac:dyDescent="0.2">
      <c r="E1772" s="34"/>
    </row>
    <row r="1773" spans="5:5" x14ac:dyDescent="0.2">
      <c r="E1773" s="34"/>
    </row>
    <row r="1774" spans="5:5" x14ac:dyDescent="0.2">
      <c r="E1774" s="34"/>
    </row>
    <row r="1775" spans="5:5" x14ac:dyDescent="0.2">
      <c r="E1775" s="34"/>
    </row>
    <row r="1776" spans="5:5" x14ac:dyDescent="0.2">
      <c r="E1776" s="34"/>
    </row>
    <row r="1777" spans="5:5" x14ac:dyDescent="0.2">
      <c r="E1777" s="34"/>
    </row>
    <row r="1778" spans="5:5" x14ac:dyDescent="0.2">
      <c r="E1778" s="34"/>
    </row>
    <row r="1779" spans="5:5" x14ac:dyDescent="0.2">
      <c r="E1779" s="34"/>
    </row>
    <row r="1780" spans="5:5" x14ac:dyDescent="0.2">
      <c r="E1780" s="34"/>
    </row>
    <row r="1781" spans="5:5" x14ac:dyDescent="0.2">
      <c r="E1781" s="34"/>
    </row>
    <row r="1782" spans="5:5" x14ac:dyDescent="0.2">
      <c r="E1782" s="34"/>
    </row>
    <row r="1783" spans="5:5" x14ac:dyDescent="0.2">
      <c r="E1783" s="34"/>
    </row>
    <row r="1784" spans="5:5" x14ac:dyDescent="0.2">
      <c r="E1784" s="34"/>
    </row>
    <row r="1785" spans="5:5" x14ac:dyDescent="0.2">
      <c r="E1785" s="34"/>
    </row>
    <row r="1786" spans="5:5" x14ac:dyDescent="0.2">
      <c r="E1786" s="34"/>
    </row>
    <row r="1787" spans="5:5" x14ac:dyDescent="0.2">
      <c r="E1787" s="34"/>
    </row>
    <row r="1788" spans="5:5" x14ac:dyDescent="0.2">
      <c r="E1788" s="34"/>
    </row>
    <row r="1789" spans="5:5" x14ac:dyDescent="0.2">
      <c r="E1789" s="34"/>
    </row>
    <row r="1790" spans="5:5" x14ac:dyDescent="0.2">
      <c r="E1790" s="34"/>
    </row>
    <row r="1791" spans="5:5" x14ac:dyDescent="0.2">
      <c r="E1791" s="34"/>
    </row>
    <row r="1792" spans="5:5" x14ac:dyDescent="0.2">
      <c r="E1792" s="34"/>
    </row>
    <row r="1793" spans="5:5" x14ac:dyDescent="0.2">
      <c r="E1793" s="34"/>
    </row>
    <row r="1794" spans="5:5" x14ac:dyDescent="0.2">
      <c r="E1794" s="34"/>
    </row>
    <row r="1795" spans="5:5" x14ac:dyDescent="0.2">
      <c r="E1795" s="34"/>
    </row>
    <row r="1796" spans="5:5" x14ac:dyDescent="0.2">
      <c r="E1796" s="34"/>
    </row>
    <row r="1797" spans="5:5" x14ac:dyDescent="0.2">
      <c r="E1797" s="34"/>
    </row>
    <row r="1798" spans="5:5" x14ac:dyDescent="0.2">
      <c r="E1798" s="34"/>
    </row>
    <row r="1799" spans="5:5" x14ac:dyDescent="0.2">
      <c r="E1799" s="34"/>
    </row>
    <row r="1800" spans="5:5" x14ac:dyDescent="0.2">
      <c r="E1800" s="34"/>
    </row>
    <row r="1801" spans="5:5" x14ac:dyDescent="0.2">
      <c r="E1801" s="34"/>
    </row>
    <row r="1802" spans="5:5" x14ac:dyDescent="0.2">
      <c r="E1802" s="34"/>
    </row>
    <row r="1803" spans="5:5" x14ac:dyDescent="0.2">
      <c r="E1803" s="34"/>
    </row>
    <row r="1804" spans="5:5" x14ac:dyDescent="0.2">
      <c r="E1804" s="34"/>
    </row>
    <row r="1805" spans="5:5" x14ac:dyDescent="0.2">
      <c r="E1805" s="34"/>
    </row>
    <row r="1806" spans="5:5" x14ac:dyDescent="0.2">
      <c r="E1806" s="34"/>
    </row>
    <row r="1807" spans="5:5" x14ac:dyDescent="0.2">
      <c r="E1807" s="34"/>
    </row>
    <row r="1808" spans="5:5" x14ac:dyDescent="0.2">
      <c r="E1808" s="34"/>
    </row>
    <row r="1809" spans="5:5" x14ac:dyDescent="0.2">
      <c r="E1809" s="34"/>
    </row>
    <row r="1810" spans="5:5" x14ac:dyDescent="0.2">
      <c r="E1810" s="34"/>
    </row>
    <row r="1811" spans="5:5" x14ac:dyDescent="0.2">
      <c r="E1811" s="34"/>
    </row>
    <row r="1812" spans="5:5" x14ac:dyDescent="0.2">
      <c r="E1812" s="34"/>
    </row>
    <row r="1813" spans="5:5" x14ac:dyDescent="0.2">
      <c r="E1813" s="34"/>
    </row>
    <row r="1814" spans="5:5" x14ac:dyDescent="0.2">
      <c r="E1814" s="34"/>
    </row>
    <row r="1815" spans="5:5" x14ac:dyDescent="0.2">
      <c r="E1815" s="34"/>
    </row>
    <row r="1816" spans="5:5" x14ac:dyDescent="0.2">
      <c r="E1816" s="34"/>
    </row>
    <row r="1817" spans="5:5" x14ac:dyDescent="0.2">
      <c r="E1817" s="34"/>
    </row>
    <row r="1818" spans="5:5" x14ac:dyDescent="0.2">
      <c r="E1818" s="34"/>
    </row>
    <row r="1819" spans="5:5" x14ac:dyDescent="0.2">
      <c r="E1819" s="34"/>
    </row>
    <row r="1820" spans="5:5" x14ac:dyDescent="0.2">
      <c r="E1820" s="34"/>
    </row>
    <row r="1821" spans="5:5" x14ac:dyDescent="0.2">
      <c r="E1821" s="34"/>
    </row>
    <row r="1822" spans="5:5" x14ac:dyDescent="0.2">
      <c r="E1822" s="34"/>
    </row>
    <row r="1823" spans="5:5" x14ac:dyDescent="0.2">
      <c r="E1823" s="34"/>
    </row>
    <row r="1824" spans="5:5" x14ac:dyDescent="0.2">
      <c r="E1824" s="34"/>
    </row>
    <row r="1825" spans="5:5" x14ac:dyDescent="0.2">
      <c r="E1825" s="34"/>
    </row>
    <row r="1826" spans="5:5" x14ac:dyDescent="0.2">
      <c r="E1826" s="34"/>
    </row>
    <row r="1827" spans="5:5" x14ac:dyDescent="0.2">
      <c r="E1827" s="34"/>
    </row>
    <row r="1828" spans="5:5" x14ac:dyDescent="0.2">
      <c r="E1828" s="34"/>
    </row>
    <row r="1829" spans="5:5" x14ac:dyDescent="0.2">
      <c r="E1829" s="34"/>
    </row>
    <row r="1830" spans="5:5" x14ac:dyDescent="0.2">
      <c r="E1830" s="34"/>
    </row>
    <row r="1831" spans="5:5" x14ac:dyDescent="0.2">
      <c r="E1831" s="34"/>
    </row>
    <row r="1832" spans="5:5" x14ac:dyDescent="0.2">
      <c r="E1832" s="34"/>
    </row>
    <row r="1833" spans="5:5" x14ac:dyDescent="0.2">
      <c r="E1833" s="34"/>
    </row>
    <row r="1834" spans="5:5" x14ac:dyDescent="0.2">
      <c r="E1834" s="34"/>
    </row>
    <row r="1835" spans="5:5" x14ac:dyDescent="0.2">
      <c r="E1835" s="34"/>
    </row>
    <row r="1836" spans="5:5" x14ac:dyDescent="0.2">
      <c r="E1836" s="34"/>
    </row>
    <row r="1837" spans="5:5" x14ac:dyDescent="0.2">
      <c r="E1837" s="34"/>
    </row>
    <row r="1838" spans="5:5" x14ac:dyDescent="0.2">
      <c r="E1838" s="34"/>
    </row>
    <row r="1839" spans="5:5" x14ac:dyDescent="0.2">
      <c r="E1839" s="34"/>
    </row>
    <row r="1840" spans="5:5" x14ac:dyDescent="0.2">
      <c r="E1840" s="34"/>
    </row>
    <row r="1841" spans="5:5" x14ac:dyDescent="0.2">
      <c r="E1841" s="34"/>
    </row>
    <row r="1842" spans="5:5" x14ac:dyDescent="0.2">
      <c r="E1842" s="34"/>
    </row>
    <row r="1843" spans="5:5" x14ac:dyDescent="0.2">
      <c r="E1843" s="34"/>
    </row>
    <row r="1844" spans="5:5" x14ac:dyDescent="0.2">
      <c r="E1844" s="34"/>
    </row>
    <row r="1845" spans="5:5" x14ac:dyDescent="0.2">
      <c r="E1845" s="34"/>
    </row>
    <row r="1846" spans="5:5" x14ac:dyDescent="0.2">
      <c r="E1846" s="34"/>
    </row>
    <row r="1847" spans="5:5" x14ac:dyDescent="0.2">
      <c r="E1847" s="34"/>
    </row>
    <row r="1848" spans="5:5" x14ac:dyDescent="0.2">
      <c r="E1848" s="34"/>
    </row>
    <row r="1849" spans="5:5" x14ac:dyDescent="0.2">
      <c r="E1849" s="34"/>
    </row>
    <row r="1850" spans="5:5" x14ac:dyDescent="0.2">
      <c r="E1850" s="34"/>
    </row>
    <row r="1851" spans="5:5" x14ac:dyDescent="0.2">
      <c r="E1851" s="34"/>
    </row>
    <row r="1852" spans="5:5" x14ac:dyDescent="0.2">
      <c r="E1852" s="34"/>
    </row>
    <row r="1853" spans="5:5" x14ac:dyDescent="0.2">
      <c r="E1853" s="34"/>
    </row>
    <row r="1854" spans="5:5" x14ac:dyDescent="0.2">
      <c r="E1854" s="34"/>
    </row>
    <row r="1855" spans="5:5" x14ac:dyDescent="0.2">
      <c r="E1855" s="34"/>
    </row>
    <row r="1856" spans="5:5" x14ac:dyDescent="0.2">
      <c r="E1856" s="34"/>
    </row>
    <row r="1857" spans="5:5" x14ac:dyDescent="0.2">
      <c r="E1857" s="34"/>
    </row>
    <row r="1858" spans="5:5" x14ac:dyDescent="0.2">
      <c r="E1858" s="34"/>
    </row>
    <row r="1859" spans="5:5" x14ac:dyDescent="0.2">
      <c r="E1859" s="34"/>
    </row>
    <row r="1860" spans="5:5" x14ac:dyDescent="0.2">
      <c r="E1860" s="34"/>
    </row>
    <row r="1861" spans="5:5" x14ac:dyDescent="0.2">
      <c r="E1861" s="34"/>
    </row>
    <row r="1862" spans="5:5" x14ac:dyDescent="0.2">
      <c r="E1862" s="34"/>
    </row>
    <row r="1863" spans="5:5" x14ac:dyDescent="0.2">
      <c r="E1863" s="34"/>
    </row>
    <row r="1864" spans="5:5" x14ac:dyDescent="0.2">
      <c r="E1864" s="34"/>
    </row>
    <row r="1865" spans="5:5" x14ac:dyDescent="0.2">
      <c r="E1865" s="34"/>
    </row>
    <row r="1866" spans="5:5" x14ac:dyDescent="0.2">
      <c r="E1866" s="34"/>
    </row>
    <row r="1867" spans="5:5" x14ac:dyDescent="0.2">
      <c r="E1867" s="34"/>
    </row>
    <row r="1868" spans="5:5" x14ac:dyDescent="0.2">
      <c r="E1868" s="34"/>
    </row>
    <row r="1869" spans="5:5" x14ac:dyDescent="0.2">
      <c r="E1869" s="34"/>
    </row>
    <row r="1870" spans="5:5" x14ac:dyDescent="0.2">
      <c r="E1870" s="34"/>
    </row>
    <row r="1871" spans="5:5" x14ac:dyDescent="0.2">
      <c r="E1871" s="34"/>
    </row>
    <row r="1872" spans="5:5" x14ac:dyDescent="0.2">
      <c r="E1872" s="34"/>
    </row>
    <row r="1873" spans="5:5" x14ac:dyDescent="0.2">
      <c r="E1873" s="34"/>
    </row>
    <row r="1874" spans="5:5" x14ac:dyDescent="0.2">
      <c r="E1874" s="34"/>
    </row>
    <row r="1875" spans="5:5" x14ac:dyDescent="0.2">
      <c r="E1875" s="34"/>
    </row>
    <row r="1876" spans="5:5" x14ac:dyDescent="0.2">
      <c r="E1876" s="34"/>
    </row>
    <row r="1877" spans="5:5" x14ac:dyDescent="0.2">
      <c r="E1877" s="34"/>
    </row>
    <row r="1878" spans="5:5" x14ac:dyDescent="0.2">
      <c r="E1878" s="34"/>
    </row>
    <row r="1879" spans="5:5" x14ac:dyDescent="0.2">
      <c r="E1879" s="34"/>
    </row>
    <row r="1880" spans="5:5" x14ac:dyDescent="0.2">
      <c r="E1880" s="34"/>
    </row>
    <row r="1881" spans="5:5" x14ac:dyDescent="0.2">
      <c r="E1881" s="34"/>
    </row>
    <row r="1882" spans="5:5" x14ac:dyDescent="0.2">
      <c r="E1882" s="34"/>
    </row>
    <row r="1883" spans="5:5" x14ac:dyDescent="0.2">
      <c r="E1883" s="34"/>
    </row>
    <row r="1884" spans="5:5" x14ac:dyDescent="0.2">
      <c r="E1884" s="34"/>
    </row>
    <row r="1885" spans="5:5" x14ac:dyDescent="0.2">
      <c r="E1885" s="34"/>
    </row>
    <row r="1886" spans="5:5" x14ac:dyDescent="0.2">
      <c r="E1886" s="34"/>
    </row>
    <row r="1887" spans="5:5" x14ac:dyDescent="0.2">
      <c r="E1887" s="34"/>
    </row>
    <row r="1888" spans="5:5" x14ac:dyDescent="0.2">
      <c r="E1888" s="34"/>
    </row>
    <row r="1889" spans="5:5" x14ac:dyDescent="0.2">
      <c r="E1889" s="34"/>
    </row>
    <row r="1890" spans="5:5" x14ac:dyDescent="0.2">
      <c r="E1890" s="34"/>
    </row>
    <row r="1891" spans="5:5" x14ac:dyDescent="0.2">
      <c r="E1891" s="34"/>
    </row>
    <row r="1892" spans="5:5" x14ac:dyDescent="0.2">
      <c r="E1892" s="34"/>
    </row>
    <row r="1893" spans="5:5" x14ac:dyDescent="0.2">
      <c r="E1893" s="34"/>
    </row>
    <row r="1894" spans="5:5" x14ac:dyDescent="0.2">
      <c r="E1894" s="34"/>
    </row>
    <row r="1895" spans="5:5" x14ac:dyDescent="0.2">
      <c r="E1895" s="34"/>
    </row>
    <row r="1896" spans="5:5" x14ac:dyDescent="0.2">
      <c r="E1896" s="34"/>
    </row>
    <row r="1897" spans="5:5" x14ac:dyDescent="0.2">
      <c r="E1897" s="34"/>
    </row>
    <row r="1898" spans="5:5" x14ac:dyDescent="0.2">
      <c r="E1898" s="34"/>
    </row>
    <row r="1899" spans="5:5" x14ac:dyDescent="0.2">
      <c r="E1899" s="34"/>
    </row>
    <row r="1900" spans="5:5" x14ac:dyDescent="0.2">
      <c r="E1900" s="34"/>
    </row>
    <row r="1901" spans="5:5" x14ac:dyDescent="0.2">
      <c r="E1901" s="34"/>
    </row>
    <row r="1902" spans="5:5" x14ac:dyDescent="0.2">
      <c r="E1902" s="34"/>
    </row>
    <row r="1903" spans="5:5" x14ac:dyDescent="0.2">
      <c r="E1903" s="34"/>
    </row>
    <row r="1904" spans="5:5" x14ac:dyDescent="0.2">
      <c r="E1904" s="34"/>
    </row>
    <row r="1905" spans="5:5" x14ac:dyDescent="0.2">
      <c r="E1905" s="34"/>
    </row>
    <row r="1906" spans="5:5" x14ac:dyDescent="0.2">
      <c r="E1906" s="34"/>
    </row>
    <row r="1907" spans="5:5" x14ac:dyDescent="0.2">
      <c r="E1907" s="34"/>
    </row>
    <row r="1908" spans="5:5" x14ac:dyDescent="0.2">
      <c r="E1908" s="34"/>
    </row>
    <row r="1909" spans="5:5" x14ac:dyDescent="0.2">
      <c r="E1909" s="34"/>
    </row>
    <row r="1910" spans="5:5" x14ac:dyDescent="0.2">
      <c r="E1910" s="34"/>
    </row>
    <row r="1911" spans="5:5" x14ac:dyDescent="0.2">
      <c r="E1911" s="34"/>
    </row>
    <row r="1912" spans="5:5" x14ac:dyDescent="0.2">
      <c r="E1912" s="34"/>
    </row>
    <row r="1913" spans="5:5" x14ac:dyDescent="0.2">
      <c r="E1913" s="34"/>
    </row>
    <row r="1914" spans="5:5" x14ac:dyDescent="0.2">
      <c r="E1914" s="34"/>
    </row>
    <row r="1915" spans="5:5" x14ac:dyDescent="0.2">
      <c r="E1915" s="34"/>
    </row>
    <row r="1916" spans="5:5" x14ac:dyDescent="0.2">
      <c r="E1916" s="34"/>
    </row>
    <row r="1917" spans="5:5" x14ac:dyDescent="0.2">
      <c r="E1917" s="34"/>
    </row>
    <row r="1918" spans="5:5" x14ac:dyDescent="0.2">
      <c r="E1918" s="34"/>
    </row>
    <row r="1919" spans="5:5" x14ac:dyDescent="0.2">
      <c r="E1919" s="34"/>
    </row>
    <row r="1920" spans="5:5" x14ac:dyDescent="0.2">
      <c r="E1920" s="34"/>
    </row>
    <row r="1921" spans="5:5" x14ac:dyDescent="0.2">
      <c r="E1921" s="34"/>
    </row>
    <row r="1922" spans="5:5" x14ac:dyDescent="0.2">
      <c r="E1922" s="34"/>
    </row>
    <row r="1923" spans="5:5" x14ac:dyDescent="0.2">
      <c r="E1923" s="34"/>
    </row>
    <row r="1924" spans="5:5" x14ac:dyDescent="0.2">
      <c r="E1924" s="34"/>
    </row>
    <row r="1925" spans="5:5" x14ac:dyDescent="0.2">
      <c r="E1925" s="34"/>
    </row>
    <row r="1926" spans="5:5" x14ac:dyDescent="0.2">
      <c r="E1926" s="34"/>
    </row>
    <row r="1927" spans="5:5" x14ac:dyDescent="0.2">
      <c r="E1927" s="34"/>
    </row>
    <row r="1928" spans="5:5" x14ac:dyDescent="0.2">
      <c r="E1928" s="34"/>
    </row>
    <row r="1929" spans="5:5" x14ac:dyDescent="0.2">
      <c r="E1929" s="34"/>
    </row>
    <row r="1930" spans="5:5" x14ac:dyDescent="0.2">
      <c r="E1930" s="34"/>
    </row>
    <row r="1931" spans="5:5" x14ac:dyDescent="0.2">
      <c r="E1931" s="34"/>
    </row>
    <row r="1932" spans="5:5" x14ac:dyDescent="0.2">
      <c r="E1932" s="34"/>
    </row>
    <row r="1933" spans="5:5" x14ac:dyDescent="0.2">
      <c r="E1933" s="34"/>
    </row>
    <row r="1934" spans="5:5" x14ac:dyDescent="0.2">
      <c r="E1934" s="34"/>
    </row>
    <row r="1935" spans="5:5" x14ac:dyDescent="0.2">
      <c r="E1935" s="34"/>
    </row>
    <row r="1936" spans="5:5" x14ac:dyDescent="0.2">
      <c r="E1936" s="34"/>
    </row>
    <row r="1937" spans="5:5" x14ac:dyDescent="0.2">
      <c r="E1937" s="34"/>
    </row>
    <row r="1938" spans="5:5" x14ac:dyDescent="0.2">
      <c r="E1938" s="34"/>
    </row>
    <row r="1939" spans="5:5" x14ac:dyDescent="0.2">
      <c r="E1939" s="34"/>
    </row>
    <row r="1940" spans="5:5" x14ac:dyDescent="0.2">
      <c r="E1940" s="34"/>
    </row>
    <row r="1941" spans="5:5" x14ac:dyDescent="0.2">
      <c r="E1941" s="34"/>
    </row>
    <row r="1942" spans="5:5" x14ac:dyDescent="0.2">
      <c r="E1942" s="34"/>
    </row>
    <row r="1943" spans="5:5" x14ac:dyDescent="0.2">
      <c r="E1943" s="34"/>
    </row>
    <row r="1944" spans="5:5" x14ac:dyDescent="0.2">
      <c r="E1944" s="34"/>
    </row>
    <row r="1945" spans="5:5" x14ac:dyDescent="0.2">
      <c r="E1945" s="34"/>
    </row>
    <row r="1946" spans="5:5" x14ac:dyDescent="0.2">
      <c r="E1946" s="34"/>
    </row>
    <row r="1947" spans="5:5" x14ac:dyDescent="0.2">
      <c r="E1947" s="34"/>
    </row>
    <row r="1948" spans="5:5" x14ac:dyDescent="0.2">
      <c r="E1948" s="34"/>
    </row>
    <row r="1949" spans="5:5" x14ac:dyDescent="0.2">
      <c r="E1949" s="34"/>
    </row>
    <row r="1950" spans="5:5" x14ac:dyDescent="0.2">
      <c r="E1950" s="34"/>
    </row>
    <row r="1951" spans="5:5" x14ac:dyDescent="0.2">
      <c r="E1951" s="34"/>
    </row>
    <row r="1952" spans="5:5" x14ac:dyDescent="0.2">
      <c r="E1952" s="34"/>
    </row>
    <row r="1953" spans="5:5" x14ac:dyDescent="0.2">
      <c r="E1953" s="34"/>
    </row>
    <row r="1954" spans="5:5" x14ac:dyDescent="0.2">
      <c r="E1954" s="34"/>
    </row>
    <row r="1955" spans="5:5" x14ac:dyDescent="0.2">
      <c r="E1955" s="34"/>
    </row>
    <row r="1956" spans="5:5" x14ac:dyDescent="0.2">
      <c r="E1956" s="34"/>
    </row>
    <row r="1957" spans="5:5" x14ac:dyDescent="0.2">
      <c r="E1957" s="34"/>
    </row>
    <row r="1958" spans="5:5" x14ac:dyDescent="0.2">
      <c r="E1958" s="34"/>
    </row>
    <row r="1959" spans="5:5" x14ac:dyDescent="0.2">
      <c r="E1959" s="34"/>
    </row>
    <row r="1960" spans="5:5" x14ac:dyDescent="0.2">
      <c r="E1960" s="34"/>
    </row>
    <row r="1961" spans="5:5" x14ac:dyDescent="0.2">
      <c r="E1961" s="34"/>
    </row>
    <row r="1962" spans="5:5" x14ac:dyDescent="0.2">
      <c r="E1962" s="34"/>
    </row>
    <row r="1963" spans="5:5" x14ac:dyDescent="0.2">
      <c r="E1963" s="34"/>
    </row>
    <row r="1964" spans="5:5" x14ac:dyDescent="0.2">
      <c r="E1964" s="34"/>
    </row>
    <row r="1965" spans="5:5" x14ac:dyDescent="0.2">
      <c r="E1965" s="34"/>
    </row>
    <row r="1966" spans="5:5" x14ac:dyDescent="0.2">
      <c r="E1966" s="34"/>
    </row>
    <row r="1967" spans="5:5" x14ac:dyDescent="0.2">
      <c r="E1967" s="34"/>
    </row>
    <row r="1968" spans="5:5" x14ac:dyDescent="0.2">
      <c r="E1968" s="34"/>
    </row>
    <row r="1969" spans="5:5" x14ac:dyDescent="0.2">
      <c r="E1969" s="34"/>
    </row>
    <row r="1970" spans="5:5" x14ac:dyDescent="0.2">
      <c r="E1970" s="34"/>
    </row>
    <row r="1971" spans="5:5" x14ac:dyDescent="0.2">
      <c r="E1971" s="34"/>
    </row>
    <row r="1972" spans="5:5" x14ac:dyDescent="0.2">
      <c r="E1972" s="34"/>
    </row>
    <row r="1973" spans="5:5" x14ac:dyDescent="0.2">
      <c r="E1973" s="34"/>
    </row>
    <row r="1974" spans="5:5" x14ac:dyDescent="0.2">
      <c r="E1974" s="34"/>
    </row>
    <row r="1975" spans="5:5" x14ac:dyDescent="0.2">
      <c r="E1975" s="34"/>
    </row>
    <row r="1976" spans="5:5" x14ac:dyDescent="0.2">
      <c r="E1976" s="34"/>
    </row>
    <row r="1977" spans="5:5" x14ac:dyDescent="0.2">
      <c r="E1977" s="34"/>
    </row>
    <row r="1978" spans="5:5" x14ac:dyDescent="0.2">
      <c r="E1978" s="34"/>
    </row>
    <row r="1979" spans="5:5" x14ac:dyDescent="0.2">
      <c r="E1979" s="34"/>
    </row>
    <row r="1980" spans="5:5" x14ac:dyDescent="0.2">
      <c r="E1980" s="34"/>
    </row>
    <row r="1981" spans="5:5" x14ac:dyDescent="0.2">
      <c r="E1981" s="34"/>
    </row>
    <row r="1982" spans="5:5" x14ac:dyDescent="0.2">
      <c r="E1982" s="34"/>
    </row>
    <row r="1983" spans="5:5" x14ac:dyDescent="0.2">
      <c r="E1983" s="34"/>
    </row>
    <row r="1984" spans="5:5" x14ac:dyDescent="0.2">
      <c r="E1984" s="34"/>
    </row>
    <row r="1985" spans="5:5" x14ac:dyDescent="0.2">
      <c r="E1985" s="34"/>
    </row>
    <row r="1986" spans="5:5" x14ac:dyDescent="0.2">
      <c r="E1986" s="34"/>
    </row>
    <row r="1987" spans="5:5" x14ac:dyDescent="0.2">
      <c r="E1987" s="34"/>
    </row>
    <row r="1988" spans="5:5" x14ac:dyDescent="0.2">
      <c r="E1988" s="34"/>
    </row>
    <row r="1989" spans="5:5" x14ac:dyDescent="0.2">
      <c r="E1989" s="34"/>
    </row>
    <row r="1990" spans="5:5" x14ac:dyDescent="0.2">
      <c r="E1990" s="34"/>
    </row>
    <row r="1991" spans="5:5" x14ac:dyDescent="0.2">
      <c r="E1991" s="34"/>
    </row>
    <row r="1992" spans="5:5" x14ac:dyDescent="0.2">
      <c r="E1992" s="34"/>
    </row>
    <row r="1993" spans="5:5" x14ac:dyDescent="0.2">
      <c r="E1993" s="34"/>
    </row>
    <row r="1994" spans="5:5" x14ac:dyDescent="0.2">
      <c r="E1994" s="34"/>
    </row>
    <row r="1995" spans="5:5" x14ac:dyDescent="0.2">
      <c r="E1995" s="34"/>
    </row>
    <row r="1996" spans="5:5" x14ac:dyDescent="0.2">
      <c r="E1996" s="34"/>
    </row>
    <row r="1997" spans="5:5" x14ac:dyDescent="0.2">
      <c r="E1997" s="34"/>
    </row>
    <row r="1998" spans="5:5" x14ac:dyDescent="0.2">
      <c r="E1998" s="34"/>
    </row>
    <row r="1999" spans="5:5" x14ac:dyDescent="0.2">
      <c r="E1999" s="34"/>
    </row>
    <row r="2000" spans="5:5" x14ac:dyDescent="0.2">
      <c r="E2000" s="34"/>
    </row>
    <row r="2001" spans="5:5" x14ac:dyDescent="0.2">
      <c r="E2001" s="34"/>
    </row>
    <row r="2002" spans="5:5" x14ac:dyDescent="0.2">
      <c r="E2002" s="34"/>
    </row>
    <row r="2003" spans="5:5" x14ac:dyDescent="0.2">
      <c r="E2003" s="34"/>
    </row>
    <row r="2004" spans="5:5" x14ac:dyDescent="0.2">
      <c r="E2004" s="34"/>
    </row>
    <row r="2005" spans="5:5" x14ac:dyDescent="0.2">
      <c r="E2005" s="34"/>
    </row>
    <row r="2006" spans="5:5" x14ac:dyDescent="0.2">
      <c r="E2006" s="34"/>
    </row>
    <row r="2007" spans="5:5" x14ac:dyDescent="0.2">
      <c r="E2007" s="34"/>
    </row>
    <row r="2008" spans="5:5" x14ac:dyDescent="0.2">
      <c r="E2008" s="34"/>
    </row>
    <row r="2009" spans="5:5" x14ac:dyDescent="0.2">
      <c r="E2009" s="34"/>
    </row>
    <row r="2010" spans="5:5" x14ac:dyDescent="0.2">
      <c r="E2010" s="34"/>
    </row>
    <row r="2011" spans="5:5" x14ac:dyDescent="0.2">
      <c r="E2011" s="34"/>
    </row>
    <row r="2012" spans="5:5" x14ac:dyDescent="0.2">
      <c r="E2012" s="34"/>
    </row>
    <row r="2013" spans="5:5" x14ac:dyDescent="0.2">
      <c r="E2013" s="34"/>
    </row>
    <row r="2014" spans="5:5" x14ac:dyDescent="0.2">
      <c r="E2014" s="34"/>
    </row>
    <row r="2015" spans="5:5" x14ac:dyDescent="0.2">
      <c r="E2015" s="34"/>
    </row>
    <row r="2016" spans="5:5" x14ac:dyDescent="0.2">
      <c r="E2016" s="34"/>
    </row>
    <row r="2017" spans="5:5" x14ac:dyDescent="0.2">
      <c r="E2017" s="34"/>
    </row>
    <row r="2018" spans="5:5" x14ac:dyDescent="0.2">
      <c r="E2018" s="34"/>
    </row>
    <row r="2019" spans="5:5" x14ac:dyDescent="0.2">
      <c r="E2019" s="34"/>
    </row>
    <row r="2020" spans="5:5" x14ac:dyDescent="0.2">
      <c r="E2020" s="34"/>
    </row>
    <row r="2021" spans="5:5" x14ac:dyDescent="0.2">
      <c r="E2021" s="34"/>
    </row>
    <row r="2022" spans="5:5" x14ac:dyDescent="0.2">
      <c r="E2022" s="34"/>
    </row>
    <row r="2023" spans="5:5" x14ac:dyDescent="0.2">
      <c r="E2023" s="34"/>
    </row>
    <row r="2024" spans="5:5" x14ac:dyDescent="0.2">
      <c r="E2024" s="34"/>
    </row>
    <row r="2025" spans="5:5" x14ac:dyDescent="0.2">
      <c r="E2025" s="34"/>
    </row>
    <row r="2026" spans="5:5" x14ac:dyDescent="0.2">
      <c r="E2026" s="34"/>
    </row>
    <row r="2027" spans="5:5" x14ac:dyDescent="0.2">
      <c r="E2027" s="34"/>
    </row>
    <row r="2028" spans="5:5" x14ac:dyDescent="0.2">
      <c r="E2028" s="34"/>
    </row>
    <row r="2029" spans="5:5" x14ac:dyDescent="0.2">
      <c r="E2029" s="34"/>
    </row>
    <row r="2030" spans="5:5" x14ac:dyDescent="0.2">
      <c r="E2030" s="34"/>
    </row>
    <row r="2031" spans="5:5" x14ac:dyDescent="0.2">
      <c r="E2031" s="34"/>
    </row>
    <row r="2032" spans="5:5" x14ac:dyDescent="0.2">
      <c r="E2032" s="34"/>
    </row>
    <row r="2033" spans="5:5" x14ac:dyDescent="0.2">
      <c r="E2033" s="34"/>
    </row>
    <row r="2034" spans="5:5" x14ac:dyDescent="0.2">
      <c r="E2034" s="34"/>
    </row>
    <row r="2035" spans="5:5" x14ac:dyDescent="0.2">
      <c r="E2035" s="34"/>
    </row>
    <row r="2036" spans="5:5" x14ac:dyDescent="0.2">
      <c r="E2036" s="34"/>
    </row>
    <row r="2037" spans="5:5" x14ac:dyDescent="0.2">
      <c r="E2037" s="34"/>
    </row>
    <row r="2038" spans="5:5" x14ac:dyDescent="0.2">
      <c r="E2038" s="34"/>
    </row>
    <row r="2039" spans="5:5" x14ac:dyDescent="0.2">
      <c r="E2039" s="34"/>
    </row>
    <row r="2040" spans="5:5" x14ac:dyDescent="0.2">
      <c r="E2040" s="34"/>
    </row>
    <row r="2041" spans="5:5" x14ac:dyDescent="0.2">
      <c r="E2041" s="34"/>
    </row>
    <row r="2042" spans="5:5" x14ac:dyDescent="0.2">
      <c r="E2042" s="34"/>
    </row>
    <row r="2043" spans="5:5" x14ac:dyDescent="0.2">
      <c r="E2043" s="34"/>
    </row>
    <row r="2044" spans="5:5" x14ac:dyDescent="0.2">
      <c r="E2044" s="34"/>
    </row>
    <row r="2045" spans="5:5" x14ac:dyDescent="0.2">
      <c r="E2045" s="34"/>
    </row>
    <row r="2046" spans="5:5" x14ac:dyDescent="0.2">
      <c r="E2046" s="34"/>
    </row>
    <row r="2047" spans="5:5" x14ac:dyDescent="0.2">
      <c r="E2047" s="34"/>
    </row>
    <row r="2048" spans="5:5" x14ac:dyDescent="0.2">
      <c r="E2048" s="34"/>
    </row>
    <row r="2049" spans="5:5" x14ac:dyDescent="0.2">
      <c r="E2049" s="34"/>
    </row>
    <row r="2050" spans="5:5" x14ac:dyDescent="0.2">
      <c r="E2050" s="34"/>
    </row>
    <row r="2051" spans="5:5" x14ac:dyDescent="0.2">
      <c r="E2051" s="34"/>
    </row>
    <row r="2052" spans="5:5" x14ac:dyDescent="0.2">
      <c r="E2052" s="34"/>
    </row>
    <row r="2053" spans="5:5" x14ac:dyDescent="0.2">
      <c r="E2053" s="34"/>
    </row>
    <row r="2054" spans="5:5" x14ac:dyDescent="0.2">
      <c r="E2054" s="34"/>
    </row>
    <row r="2055" spans="5:5" x14ac:dyDescent="0.2">
      <c r="E2055" s="34"/>
    </row>
    <row r="2056" spans="5:5" x14ac:dyDescent="0.2">
      <c r="E2056" s="34"/>
    </row>
    <row r="2057" spans="5:5" x14ac:dyDescent="0.2">
      <c r="E2057" s="34"/>
    </row>
    <row r="2058" spans="5:5" x14ac:dyDescent="0.2">
      <c r="E2058" s="34"/>
    </row>
    <row r="2059" spans="5:5" x14ac:dyDescent="0.2">
      <c r="E2059" s="34"/>
    </row>
    <row r="2060" spans="5:5" x14ac:dyDescent="0.2">
      <c r="E2060" s="34"/>
    </row>
    <row r="2061" spans="5:5" x14ac:dyDescent="0.2">
      <c r="E2061" s="34"/>
    </row>
    <row r="2062" spans="5:5" x14ac:dyDescent="0.2">
      <c r="E2062" s="34"/>
    </row>
    <row r="2063" spans="5:5" x14ac:dyDescent="0.2">
      <c r="E2063" s="34"/>
    </row>
    <row r="2064" spans="5:5" x14ac:dyDescent="0.2">
      <c r="E2064" s="34"/>
    </row>
    <row r="2065" spans="5:5" x14ac:dyDescent="0.2">
      <c r="E2065" s="34"/>
    </row>
    <row r="2066" spans="5:5" x14ac:dyDescent="0.2">
      <c r="E2066" s="34"/>
    </row>
    <row r="2067" spans="5:5" x14ac:dyDescent="0.2">
      <c r="E2067" s="34"/>
    </row>
    <row r="2068" spans="5:5" x14ac:dyDescent="0.2">
      <c r="E2068" s="34"/>
    </row>
    <row r="2069" spans="5:5" x14ac:dyDescent="0.2">
      <c r="E2069" s="34"/>
    </row>
    <row r="2070" spans="5:5" x14ac:dyDescent="0.2">
      <c r="E2070" s="34"/>
    </row>
    <row r="2071" spans="5:5" x14ac:dyDescent="0.2">
      <c r="E2071" s="34"/>
    </row>
    <row r="2072" spans="5:5" x14ac:dyDescent="0.2">
      <c r="E2072" s="34"/>
    </row>
    <row r="2073" spans="5:5" x14ac:dyDescent="0.2">
      <c r="E2073" s="34"/>
    </row>
    <row r="2074" spans="5:5" x14ac:dyDescent="0.2">
      <c r="E2074" s="34"/>
    </row>
    <row r="2075" spans="5:5" x14ac:dyDescent="0.2">
      <c r="E2075" s="34"/>
    </row>
    <row r="2076" spans="5:5" x14ac:dyDescent="0.2">
      <c r="E2076" s="34"/>
    </row>
    <row r="2077" spans="5:5" x14ac:dyDescent="0.2">
      <c r="E2077" s="34"/>
    </row>
    <row r="2078" spans="5:5" x14ac:dyDescent="0.2">
      <c r="E2078" s="34"/>
    </row>
    <row r="2079" spans="5:5" x14ac:dyDescent="0.2">
      <c r="E2079" s="34"/>
    </row>
    <row r="2080" spans="5:5" x14ac:dyDescent="0.2">
      <c r="E2080" s="34"/>
    </row>
    <row r="2081" spans="5:5" x14ac:dyDescent="0.2">
      <c r="E2081" s="34"/>
    </row>
    <row r="2082" spans="5:5" x14ac:dyDescent="0.2">
      <c r="E2082" s="34"/>
    </row>
    <row r="2083" spans="5:5" x14ac:dyDescent="0.2">
      <c r="E2083" s="34"/>
    </row>
    <row r="2084" spans="5:5" x14ac:dyDescent="0.2">
      <c r="E2084" s="34"/>
    </row>
    <row r="2085" spans="5:5" x14ac:dyDescent="0.2">
      <c r="E2085" s="34"/>
    </row>
    <row r="2086" spans="5:5" x14ac:dyDescent="0.2">
      <c r="E2086" s="34"/>
    </row>
    <row r="2087" spans="5:5" x14ac:dyDescent="0.2">
      <c r="E2087" s="34"/>
    </row>
    <row r="2088" spans="5:5" x14ac:dyDescent="0.2">
      <c r="E2088" s="34"/>
    </row>
    <row r="2089" spans="5:5" x14ac:dyDescent="0.2">
      <c r="E2089" s="34"/>
    </row>
    <row r="2090" spans="5:5" x14ac:dyDescent="0.2">
      <c r="E2090" s="34"/>
    </row>
    <row r="2091" spans="5:5" x14ac:dyDescent="0.2">
      <c r="E2091" s="34"/>
    </row>
    <row r="2092" spans="5:5" x14ac:dyDescent="0.2">
      <c r="E2092" s="34"/>
    </row>
    <row r="2093" spans="5:5" x14ac:dyDescent="0.2">
      <c r="E2093" s="34"/>
    </row>
    <row r="2094" spans="5:5" x14ac:dyDescent="0.2">
      <c r="E2094" s="34"/>
    </row>
    <row r="2095" spans="5:5" x14ac:dyDescent="0.2">
      <c r="E2095" s="34"/>
    </row>
    <row r="2096" spans="5:5" x14ac:dyDescent="0.2">
      <c r="E2096" s="34"/>
    </row>
    <row r="2097" spans="5:5" x14ac:dyDescent="0.2">
      <c r="E2097" s="34"/>
    </row>
    <row r="2098" spans="5:5" x14ac:dyDescent="0.2">
      <c r="E2098" s="34"/>
    </row>
    <row r="2099" spans="5:5" x14ac:dyDescent="0.2">
      <c r="E2099" s="34"/>
    </row>
    <row r="2100" spans="5:5" x14ac:dyDescent="0.2">
      <c r="E2100" s="34"/>
    </row>
    <row r="2101" spans="5:5" x14ac:dyDescent="0.2">
      <c r="E2101" s="34"/>
    </row>
    <row r="2102" spans="5:5" x14ac:dyDescent="0.2">
      <c r="E2102" s="34"/>
    </row>
    <row r="2103" spans="5:5" x14ac:dyDescent="0.2">
      <c r="E2103" s="34"/>
    </row>
    <row r="2104" spans="5:5" x14ac:dyDescent="0.2">
      <c r="E2104" s="34"/>
    </row>
    <row r="2105" spans="5:5" x14ac:dyDescent="0.2">
      <c r="E2105" s="34"/>
    </row>
    <row r="2106" spans="5:5" x14ac:dyDescent="0.2">
      <c r="E2106" s="34"/>
    </row>
    <row r="2107" spans="5:5" x14ac:dyDescent="0.2">
      <c r="E2107" s="34"/>
    </row>
    <row r="2108" spans="5:5" x14ac:dyDescent="0.2">
      <c r="E2108" s="34"/>
    </row>
    <row r="2109" spans="5:5" x14ac:dyDescent="0.2">
      <c r="E2109" s="34"/>
    </row>
    <row r="2110" spans="5:5" x14ac:dyDescent="0.2">
      <c r="E2110" s="34"/>
    </row>
    <row r="2111" spans="5:5" x14ac:dyDescent="0.2">
      <c r="E2111" s="34"/>
    </row>
    <row r="2112" spans="5:5" x14ac:dyDescent="0.2">
      <c r="E2112" s="34"/>
    </row>
    <row r="2113" spans="5:5" x14ac:dyDescent="0.2">
      <c r="E2113" s="34"/>
    </row>
    <row r="2114" spans="5:5" x14ac:dyDescent="0.2">
      <c r="E2114" s="34"/>
    </row>
    <row r="2115" spans="5:5" x14ac:dyDescent="0.2">
      <c r="E2115" s="34"/>
    </row>
    <row r="2116" spans="5:5" x14ac:dyDescent="0.2">
      <c r="E2116" s="34"/>
    </row>
    <row r="2117" spans="5:5" x14ac:dyDescent="0.2">
      <c r="E2117" s="34"/>
    </row>
    <row r="2118" spans="5:5" x14ac:dyDescent="0.2">
      <c r="E2118" s="34"/>
    </row>
    <row r="2119" spans="5:5" x14ac:dyDescent="0.2">
      <c r="E2119" s="34"/>
    </row>
    <row r="2120" spans="5:5" x14ac:dyDescent="0.2">
      <c r="E2120" s="34"/>
    </row>
    <row r="2121" spans="5:5" x14ac:dyDescent="0.2">
      <c r="E2121" s="34"/>
    </row>
    <row r="2122" spans="5:5" x14ac:dyDescent="0.2">
      <c r="E2122" s="34"/>
    </row>
    <row r="2123" spans="5:5" x14ac:dyDescent="0.2">
      <c r="E2123" s="34"/>
    </row>
    <row r="2124" spans="5:5" x14ac:dyDescent="0.2">
      <c r="E2124" s="34"/>
    </row>
    <row r="2125" spans="5:5" x14ac:dyDescent="0.2">
      <c r="E2125" s="34"/>
    </row>
    <row r="2126" spans="5:5" x14ac:dyDescent="0.2">
      <c r="E2126" s="34"/>
    </row>
    <row r="2127" spans="5:5" x14ac:dyDescent="0.2">
      <c r="E2127" s="34"/>
    </row>
    <row r="2128" spans="5:5" x14ac:dyDescent="0.2">
      <c r="E2128" s="34"/>
    </row>
    <row r="2129" spans="5:5" x14ac:dyDescent="0.2">
      <c r="E2129" s="34"/>
    </row>
    <row r="2130" spans="5:5" x14ac:dyDescent="0.2">
      <c r="E2130" s="34"/>
    </row>
    <row r="2131" spans="5:5" x14ac:dyDescent="0.2">
      <c r="E2131" s="34"/>
    </row>
    <row r="2132" spans="5:5" x14ac:dyDescent="0.2">
      <c r="E2132" s="34"/>
    </row>
    <row r="2133" spans="5:5" x14ac:dyDescent="0.2">
      <c r="E2133" s="34"/>
    </row>
    <row r="2134" spans="5:5" x14ac:dyDescent="0.2">
      <c r="E2134" s="34"/>
    </row>
    <row r="2135" spans="5:5" x14ac:dyDescent="0.2">
      <c r="E2135" s="34"/>
    </row>
    <row r="2136" spans="5:5" x14ac:dyDescent="0.2">
      <c r="E2136" s="34"/>
    </row>
    <row r="2137" spans="5:5" x14ac:dyDescent="0.2">
      <c r="E2137" s="34"/>
    </row>
    <row r="2138" spans="5:5" x14ac:dyDescent="0.2">
      <c r="E2138" s="34"/>
    </row>
    <row r="2139" spans="5:5" x14ac:dyDescent="0.2">
      <c r="E2139" s="34"/>
    </row>
    <row r="2140" spans="5:5" x14ac:dyDescent="0.2">
      <c r="E2140" s="34"/>
    </row>
    <row r="2141" spans="5:5" x14ac:dyDescent="0.2">
      <c r="E2141" s="34"/>
    </row>
    <row r="2142" spans="5:5" x14ac:dyDescent="0.2">
      <c r="E2142" s="34"/>
    </row>
    <row r="2143" spans="5:5" x14ac:dyDescent="0.2">
      <c r="E2143" s="34"/>
    </row>
    <row r="2144" spans="5:5" x14ac:dyDescent="0.2">
      <c r="E2144" s="34"/>
    </row>
    <row r="2145" spans="5:5" x14ac:dyDescent="0.2">
      <c r="E2145" s="34"/>
    </row>
    <row r="2146" spans="5:5" x14ac:dyDescent="0.2">
      <c r="E2146" s="34"/>
    </row>
    <row r="2147" spans="5:5" x14ac:dyDescent="0.2">
      <c r="E2147" s="34"/>
    </row>
    <row r="2148" spans="5:5" x14ac:dyDescent="0.2">
      <c r="E2148" s="34"/>
    </row>
    <row r="2149" spans="5:5" x14ac:dyDescent="0.2">
      <c r="E2149" s="34"/>
    </row>
    <row r="2150" spans="5:5" x14ac:dyDescent="0.2">
      <c r="E2150" s="34"/>
    </row>
    <row r="2151" spans="5:5" x14ac:dyDescent="0.2">
      <c r="E2151" s="34"/>
    </row>
    <row r="2152" spans="5:5" x14ac:dyDescent="0.2">
      <c r="E2152" s="34"/>
    </row>
    <row r="2153" spans="5:5" x14ac:dyDescent="0.2">
      <c r="E2153" s="34"/>
    </row>
    <row r="2154" spans="5:5" x14ac:dyDescent="0.2">
      <c r="E2154" s="34"/>
    </row>
    <row r="2155" spans="5:5" x14ac:dyDescent="0.2">
      <c r="E2155" s="34"/>
    </row>
    <row r="2156" spans="5:5" x14ac:dyDescent="0.2">
      <c r="E2156" s="34"/>
    </row>
    <row r="2157" spans="5:5" x14ac:dyDescent="0.2">
      <c r="E2157" s="34"/>
    </row>
    <row r="2158" spans="5:5" x14ac:dyDescent="0.2">
      <c r="E2158" s="34"/>
    </row>
    <row r="2159" spans="5:5" x14ac:dyDescent="0.2">
      <c r="E2159" s="34"/>
    </row>
    <row r="2160" spans="5:5" x14ac:dyDescent="0.2">
      <c r="E2160" s="34"/>
    </row>
    <row r="2161" spans="5:5" x14ac:dyDescent="0.2">
      <c r="E2161" s="34"/>
    </row>
    <row r="2162" spans="5:5" x14ac:dyDescent="0.2">
      <c r="E2162" s="34"/>
    </row>
    <row r="2163" spans="5:5" x14ac:dyDescent="0.2">
      <c r="E2163" s="34"/>
    </row>
    <row r="2164" spans="5:5" x14ac:dyDescent="0.2">
      <c r="E2164" s="34"/>
    </row>
    <row r="2165" spans="5:5" x14ac:dyDescent="0.2">
      <c r="E2165" s="34"/>
    </row>
    <row r="2166" spans="5:5" x14ac:dyDescent="0.2">
      <c r="E2166" s="34"/>
    </row>
    <row r="2167" spans="5:5" x14ac:dyDescent="0.2">
      <c r="E2167" s="34"/>
    </row>
    <row r="2168" spans="5:5" x14ac:dyDescent="0.2">
      <c r="E2168" s="34"/>
    </row>
    <row r="2169" spans="5:5" x14ac:dyDescent="0.2">
      <c r="E2169" s="34"/>
    </row>
    <row r="2170" spans="5:5" x14ac:dyDescent="0.2">
      <c r="E2170" s="34"/>
    </row>
    <row r="2171" spans="5:5" x14ac:dyDescent="0.2">
      <c r="E2171" s="34"/>
    </row>
    <row r="2172" spans="5:5" x14ac:dyDescent="0.2">
      <c r="E2172" s="34"/>
    </row>
    <row r="2173" spans="5:5" x14ac:dyDescent="0.2">
      <c r="E2173" s="34"/>
    </row>
    <row r="2174" spans="5:5" x14ac:dyDescent="0.2">
      <c r="E2174" s="34"/>
    </row>
    <row r="2175" spans="5:5" x14ac:dyDescent="0.2">
      <c r="E2175" s="34"/>
    </row>
    <row r="2176" spans="5:5" x14ac:dyDescent="0.2">
      <c r="E2176" s="34"/>
    </row>
    <row r="2177" spans="5:5" x14ac:dyDescent="0.2">
      <c r="E2177" s="34"/>
    </row>
    <row r="2178" spans="5:5" x14ac:dyDescent="0.2">
      <c r="E2178" s="34"/>
    </row>
    <row r="2179" spans="5:5" x14ac:dyDescent="0.2">
      <c r="E2179" s="34"/>
    </row>
    <row r="2180" spans="5:5" x14ac:dyDescent="0.2">
      <c r="E2180" s="34"/>
    </row>
    <row r="2181" spans="5:5" x14ac:dyDescent="0.2">
      <c r="E2181" s="34"/>
    </row>
    <row r="2182" spans="5:5" x14ac:dyDescent="0.2">
      <c r="E2182" s="34"/>
    </row>
    <row r="2183" spans="5:5" x14ac:dyDescent="0.2">
      <c r="E2183" s="34"/>
    </row>
    <row r="2184" spans="5:5" x14ac:dyDescent="0.2">
      <c r="E2184" s="34"/>
    </row>
    <row r="2185" spans="5:5" x14ac:dyDescent="0.2">
      <c r="E2185" s="34"/>
    </row>
    <row r="2186" spans="5:5" x14ac:dyDescent="0.2">
      <c r="E2186" s="34"/>
    </row>
    <row r="2187" spans="5:5" x14ac:dyDescent="0.2">
      <c r="E2187" s="34"/>
    </row>
    <row r="2188" spans="5:5" x14ac:dyDescent="0.2">
      <c r="E2188" s="34"/>
    </row>
    <row r="2189" spans="5:5" x14ac:dyDescent="0.2">
      <c r="E2189" s="34"/>
    </row>
    <row r="2190" spans="5:5" x14ac:dyDescent="0.2">
      <c r="E2190" s="34"/>
    </row>
    <row r="2191" spans="5:5" x14ac:dyDescent="0.2">
      <c r="E2191" s="34"/>
    </row>
    <row r="2192" spans="5:5" x14ac:dyDescent="0.2">
      <c r="E2192" s="34"/>
    </row>
    <row r="2193" spans="5:5" x14ac:dyDescent="0.2">
      <c r="E2193" s="34"/>
    </row>
    <row r="2194" spans="5:5" x14ac:dyDescent="0.2">
      <c r="E2194" s="34"/>
    </row>
    <row r="2195" spans="5:5" x14ac:dyDescent="0.2">
      <c r="E2195" s="34"/>
    </row>
    <row r="2196" spans="5:5" x14ac:dyDescent="0.2">
      <c r="E2196" s="34"/>
    </row>
    <row r="2197" spans="5:5" x14ac:dyDescent="0.2">
      <c r="E2197" s="34"/>
    </row>
    <row r="2198" spans="5:5" x14ac:dyDescent="0.2">
      <c r="E2198" s="34"/>
    </row>
    <row r="2199" spans="5:5" x14ac:dyDescent="0.2">
      <c r="E2199" s="34"/>
    </row>
    <row r="2200" spans="5:5" x14ac:dyDescent="0.2">
      <c r="E2200" s="34"/>
    </row>
    <row r="2201" spans="5:5" x14ac:dyDescent="0.2">
      <c r="E2201" s="34"/>
    </row>
    <row r="2202" spans="5:5" x14ac:dyDescent="0.2">
      <c r="E2202" s="34"/>
    </row>
    <row r="2203" spans="5:5" x14ac:dyDescent="0.2">
      <c r="E2203" s="34"/>
    </row>
    <row r="2204" spans="5:5" x14ac:dyDescent="0.2">
      <c r="E2204" s="34"/>
    </row>
    <row r="2205" spans="5:5" x14ac:dyDescent="0.2">
      <c r="E2205" s="34"/>
    </row>
    <row r="2206" spans="5:5" x14ac:dyDescent="0.2">
      <c r="E2206" s="34"/>
    </row>
    <row r="2207" spans="5:5" x14ac:dyDescent="0.2">
      <c r="E2207" s="34"/>
    </row>
    <row r="2208" spans="5:5" x14ac:dyDescent="0.2">
      <c r="E2208" s="34"/>
    </row>
    <row r="2209" spans="5:5" x14ac:dyDescent="0.2">
      <c r="E2209" s="34"/>
    </row>
    <row r="2210" spans="5:5" x14ac:dyDescent="0.2">
      <c r="E2210" s="34"/>
    </row>
    <row r="2211" spans="5:5" x14ac:dyDescent="0.2">
      <c r="E2211" s="34"/>
    </row>
    <row r="2212" spans="5:5" x14ac:dyDescent="0.2">
      <c r="E2212" s="34"/>
    </row>
    <row r="2213" spans="5:5" x14ac:dyDescent="0.2">
      <c r="E2213" s="34"/>
    </row>
    <row r="2214" spans="5:5" x14ac:dyDescent="0.2">
      <c r="E2214" s="34"/>
    </row>
    <row r="2215" spans="5:5" x14ac:dyDescent="0.2">
      <c r="E2215" s="34"/>
    </row>
    <row r="2216" spans="5:5" x14ac:dyDescent="0.2">
      <c r="E2216" s="34"/>
    </row>
    <row r="2217" spans="5:5" x14ac:dyDescent="0.2">
      <c r="E2217" s="34"/>
    </row>
    <row r="2218" spans="5:5" x14ac:dyDescent="0.2">
      <c r="E2218" s="34"/>
    </row>
    <row r="2219" spans="5:5" x14ac:dyDescent="0.2">
      <c r="E2219" s="34"/>
    </row>
    <row r="2220" spans="5:5" x14ac:dyDescent="0.2">
      <c r="E2220" s="34"/>
    </row>
    <row r="2221" spans="5:5" x14ac:dyDescent="0.2">
      <c r="E2221" s="34"/>
    </row>
    <row r="2222" spans="5:5" x14ac:dyDescent="0.2">
      <c r="E2222" s="34"/>
    </row>
    <row r="2223" spans="5:5" x14ac:dyDescent="0.2">
      <c r="E2223" s="34"/>
    </row>
    <row r="2224" spans="5:5" x14ac:dyDescent="0.2">
      <c r="E2224" s="34"/>
    </row>
    <row r="2225" spans="5:5" x14ac:dyDescent="0.2">
      <c r="E2225" s="34"/>
    </row>
    <row r="2226" spans="5:5" x14ac:dyDescent="0.2">
      <c r="E2226" s="34"/>
    </row>
    <row r="2227" spans="5:5" x14ac:dyDescent="0.2">
      <c r="E2227" s="34"/>
    </row>
    <row r="2228" spans="5:5" x14ac:dyDescent="0.2">
      <c r="E2228" s="34"/>
    </row>
    <row r="2229" spans="5:5" x14ac:dyDescent="0.2">
      <c r="E2229" s="34"/>
    </row>
    <row r="2230" spans="5:5" x14ac:dyDescent="0.2">
      <c r="E2230" s="34"/>
    </row>
    <row r="2231" spans="5:5" x14ac:dyDescent="0.2">
      <c r="E2231" s="34"/>
    </row>
    <row r="2232" spans="5:5" x14ac:dyDescent="0.2">
      <c r="E2232" s="34"/>
    </row>
    <row r="2233" spans="5:5" x14ac:dyDescent="0.2">
      <c r="E2233" s="34"/>
    </row>
    <row r="2234" spans="5:5" x14ac:dyDescent="0.2">
      <c r="E2234" s="34"/>
    </row>
    <row r="2235" spans="5:5" x14ac:dyDescent="0.2">
      <c r="E2235" s="34"/>
    </row>
    <row r="2236" spans="5:5" x14ac:dyDescent="0.2">
      <c r="E2236" s="34"/>
    </row>
    <row r="2237" spans="5:5" x14ac:dyDescent="0.2">
      <c r="E2237" s="34"/>
    </row>
    <row r="2238" spans="5:5" x14ac:dyDescent="0.2">
      <c r="E2238" s="34"/>
    </row>
    <row r="2239" spans="5:5" x14ac:dyDescent="0.2">
      <c r="E2239" s="34"/>
    </row>
    <row r="2240" spans="5:5" x14ac:dyDescent="0.2">
      <c r="E2240" s="34"/>
    </row>
    <row r="2241" spans="5:5" x14ac:dyDescent="0.2">
      <c r="E2241" s="34"/>
    </row>
    <row r="2242" spans="5:5" x14ac:dyDescent="0.2">
      <c r="E2242" s="34"/>
    </row>
    <row r="2243" spans="5:5" x14ac:dyDescent="0.2">
      <c r="E2243" s="34"/>
    </row>
    <row r="2244" spans="5:5" x14ac:dyDescent="0.2">
      <c r="E2244" s="34"/>
    </row>
    <row r="2245" spans="5:5" x14ac:dyDescent="0.2">
      <c r="E2245" s="34"/>
    </row>
    <row r="2246" spans="5:5" x14ac:dyDescent="0.2">
      <c r="E2246" s="34"/>
    </row>
    <row r="2247" spans="5:5" x14ac:dyDescent="0.2">
      <c r="E2247" s="34"/>
    </row>
    <row r="2248" spans="5:5" x14ac:dyDescent="0.2">
      <c r="E2248" s="34"/>
    </row>
    <row r="2249" spans="5:5" x14ac:dyDescent="0.2">
      <c r="E2249" s="34"/>
    </row>
    <row r="2250" spans="5:5" x14ac:dyDescent="0.2">
      <c r="E2250" s="34"/>
    </row>
    <row r="2251" spans="5:5" x14ac:dyDescent="0.2">
      <c r="E2251" s="34"/>
    </row>
    <row r="2252" spans="5:5" x14ac:dyDescent="0.2">
      <c r="E2252" s="34"/>
    </row>
    <row r="2253" spans="5:5" x14ac:dyDescent="0.2">
      <c r="E2253" s="34"/>
    </row>
    <row r="2254" spans="5:5" x14ac:dyDescent="0.2">
      <c r="E2254" s="34"/>
    </row>
    <row r="2255" spans="5:5" x14ac:dyDescent="0.2">
      <c r="E2255" s="34"/>
    </row>
    <row r="2256" spans="5:5" x14ac:dyDescent="0.2">
      <c r="E2256" s="34"/>
    </row>
    <row r="2257" spans="5:5" x14ac:dyDescent="0.2">
      <c r="E2257" s="34"/>
    </row>
    <row r="2258" spans="5:5" x14ac:dyDescent="0.2">
      <c r="E2258" s="34"/>
    </row>
    <row r="2259" spans="5:5" x14ac:dyDescent="0.2">
      <c r="E2259" s="34"/>
    </row>
    <row r="2260" spans="5:5" x14ac:dyDescent="0.2">
      <c r="E2260" s="34"/>
    </row>
    <row r="2261" spans="5:5" x14ac:dyDescent="0.2">
      <c r="E2261" s="34"/>
    </row>
    <row r="2262" spans="5:5" x14ac:dyDescent="0.2">
      <c r="E2262" s="34"/>
    </row>
    <row r="2263" spans="5:5" x14ac:dyDescent="0.2">
      <c r="E2263" s="34"/>
    </row>
    <row r="2264" spans="5:5" x14ac:dyDescent="0.2">
      <c r="E2264" s="34"/>
    </row>
    <row r="2265" spans="5:5" x14ac:dyDescent="0.2">
      <c r="E2265" s="34"/>
    </row>
    <row r="2266" spans="5:5" x14ac:dyDescent="0.2">
      <c r="E2266" s="34"/>
    </row>
    <row r="2267" spans="5:5" x14ac:dyDescent="0.2">
      <c r="E2267" s="34"/>
    </row>
    <row r="2268" spans="5:5" x14ac:dyDescent="0.2">
      <c r="E2268" s="34"/>
    </row>
    <row r="2269" spans="5:5" x14ac:dyDescent="0.2">
      <c r="E2269" s="34"/>
    </row>
    <row r="2270" spans="5:5" x14ac:dyDescent="0.2">
      <c r="E2270" s="34"/>
    </row>
    <row r="2271" spans="5:5" x14ac:dyDescent="0.2">
      <c r="E2271" s="34"/>
    </row>
    <row r="2272" spans="5:5" x14ac:dyDescent="0.2">
      <c r="E2272" s="34"/>
    </row>
    <row r="2273" spans="5:5" x14ac:dyDescent="0.2">
      <c r="E2273" s="34"/>
    </row>
    <row r="2274" spans="5:5" x14ac:dyDescent="0.2">
      <c r="E2274" s="34"/>
    </row>
    <row r="2275" spans="5:5" x14ac:dyDescent="0.2">
      <c r="E2275" s="34"/>
    </row>
    <row r="2276" spans="5:5" x14ac:dyDescent="0.2">
      <c r="E2276" s="34"/>
    </row>
    <row r="2277" spans="5:5" x14ac:dyDescent="0.2">
      <c r="E2277" s="34"/>
    </row>
    <row r="2278" spans="5:5" x14ac:dyDescent="0.2">
      <c r="E2278" s="34"/>
    </row>
    <row r="2279" spans="5:5" x14ac:dyDescent="0.2">
      <c r="E2279" s="34"/>
    </row>
    <row r="2280" spans="5:5" x14ac:dyDescent="0.2">
      <c r="E2280" s="34"/>
    </row>
    <row r="2281" spans="5:5" x14ac:dyDescent="0.2">
      <c r="E2281" s="34"/>
    </row>
    <row r="2282" spans="5:5" x14ac:dyDescent="0.2">
      <c r="E2282" s="34"/>
    </row>
    <row r="2283" spans="5:5" x14ac:dyDescent="0.2">
      <c r="E2283" s="34"/>
    </row>
    <row r="2284" spans="5:5" x14ac:dyDescent="0.2">
      <c r="E2284" s="34"/>
    </row>
    <row r="2285" spans="5:5" x14ac:dyDescent="0.2">
      <c r="E2285" s="34"/>
    </row>
    <row r="2286" spans="5:5" x14ac:dyDescent="0.2">
      <c r="E2286" s="34"/>
    </row>
    <row r="2287" spans="5:5" x14ac:dyDescent="0.2">
      <c r="E2287" s="34"/>
    </row>
    <row r="2288" spans="5:5" x14ac:dyDescent="0.2">
      <c r="E2288" s="34"/>
    </row>
    <row r="2289" spans="5:5" x14ac:dyDescent="0.2">
      <c r="E2289" s="34"/>
    </row>
    <row r="2290" spans="5:5" x14ac:dyDescent="0.2">
      <c r="E2290" s="34"/>
    </row>
    <row r="2291" spans="5:5" x14ac:dyDescent="0.2">
      <c r="E2291" s="34"/>
    </row>
    <row r="2292" spans="5:5" x14ac:dyDescent="0.2">
      <c r="E2292" s="34"/>
    </row>
    <row r="2293" spans="5:5" x14ac:dyDescent="0.2">
      <c r="E2293" s="34"/>
    </row>
    <row r="2294" spans="5:5" x14ac:dyDescent="0.2">
      <c r="E2294" s="34"/>
    </row>
    <row r="2295" spans="5:5" x14ac:dyDescent="0.2">
      <c r="E2295" s="34"/>
    </row>
    <row r="2296" spans="5:5" x14ac:dyDescent="0.2">
      <c r="E2296" s="34"/>
    </row>
    <row r="2297" spans="5:5" x14ac:dyDescent="0.2">
      <c r="E2297" s="34"/>
    </row>
    <row r="2298" spans="5:5" x14ac:dyDescent="0.2">
      <c r="E2298" s="34"/>
    </row>
    <row r="2299" spans="5:5" x14ac:dyDescent="0.2">
      <c r="E2299" s="34"/>
    </row>
    <row r="2300" spans="5:5" x14ac:dyDescent="0.2">
      <c r="E2300" s="34"/>
    </row>
    <row r="2301" spans="5:5" x14ac:dyDescent="0.2">
      <c r="E2301" s="34"/>
    </row>
    <row r="2302" spans="5:5" x14ac:dyDescent="0.2">
      <c r="E2302" s="34"/>
    </row>
    <row r="2303" spans="5:5" x14ac:dyDescent="0.2">
      <c r="E2303" s="34"/>
    </row>
    <row r="2304" spans="5:5" x14ac:dyDescent="0.2">
      <c r="E2304" s="34"/>
    </row>
    <row r="2305" spans="5:5" x14ac:dyDescent="0.2">
      <c r="E2305" s="34"/>
    </row>
    <row r="2306" spans="5:5" x14ac:dyDescent="0.2">
      <c r="E2306" s="34"/>
    </row>
    <row r="2307" spans="5:5" x14ac:dyDescent="0.2">
      <c r="E2307" s="34"/>
    </row>
    <row r="2308" spans="5:5" x14ac:dyDescent="0.2">
      <c r="E2308" s="34"/>
    </row>
    <row r="2309" spans="5:5" x14ac:dyDescent="0.2">
      <c r="E2309" s="34"/>
    </row>
    <row r="2310" spans="5:5" x14ac:dyDescent="0.2">
      <c r="E2310" s="34"/>
    </row>
    <row r="2311" spans="5:5" x14ac:dyDescent="0.2">
      <c r="E2311" s="34"/>
    </row>
    <row r="2312" spans="5:5" x14ac:dyDescent="0.2">
      <c r="E2312" s="34"/>
    </row>
    <row r="2313" spans="5:5" x14ac:dyDescent="0.2">
      <c r="E2313" s="34"/>
    </row>
    <row r="2314" spans="5:5" x14ac:dyDescent="0.2">
      <c r="E2314" s="34"/>
    </row>
    <row r="2315" spans="5:5" x14ac:dyDescent="0.2">
      <c r="E2315" s="34"/>
    </row>
    <row r="2316" spans="5:5" x14ac:dyDescent="0.2">
      <c r="E2316" s="34"/>
    </row>
    <row r="2317" spans="5:5" x14ac:dyDescent="0.2">
      <c r="E2317" s="34"/>
    </row>
    <row r="2318" spans="5:5" x14ac:dyDescent="0.2">
      <c r="E2318" s="34"/>
    </row>
    <row r="2319" spans="5:5" x14ac:dyDescent="0.2">
      <c r="E2319" s="34"/>
    </row>
    <row r="2320" spans="5:5" x14ac:dyDescent="0.2">
      <c r="E2320" s="34"/>
    </row>
    <row r="2321" spans="5:5" x14ac:dyDescent="0.2">
      <c r="E2321" s="34"/>
    </row>
    <row r="2322" spans="5:5" x14ac:dyDescent="0.2">
      <c r="E2322" s="34"/>
    </row>
    <row r="2323" spans="5:5" x14ac:dyDescent="0.2">
      <c r="E2323" s="34"/>
    </row>
    <row r="2324" spans="5:5" x14ac:dyDescent="0.2">
      <c r="E2324" s="34"/>
    </row>
    <row r="2325" spans="5:5" x14ac:dyDescent="0.2">
      <c r="E2325" s="34"/>
    </row>
    <row r="2326" spans="5:5" x14ac:dyDescent="0.2">
      <c r="E2326" s="34"/>
    </row>
    <row r="2327" spans="5:5" x14ac:dyDescent="0.2">
      <c r="E2327" s="34"/>
    </row>
    <row r="2328" spans="5:5" x14ac:dyDescent="0.2">
      <c r="E2328" s="34"/>
    </row>
    <row r="2329" spans="5:5" x14ac:dyDescent="0.2">
      <c r="E2329" s="34"/>
    </row>
    <row r="2330" spans="5:5" x14ac:dyDescent="0.2">
      <c r="E2330" s="34"/>
    </row>
    <row r="2331" spans="5:5" x14ac:dyDescent="0.2">
      <c r="E2331" s="34"/>
    </row>
    <row r="2332" spans="5:5" x14ac:dyDescent="0.2">
      <c r="E2332" s="34"/>
    </row>
    <row r="2333" spans="5:5" x14ac:dyDescent="0.2">
      <c r="E2333" s="34"/>
    </row>
    <row r="2334" spans="5:5" x14ac:dyDescent="0.2">
      <c r="E2334" s="34"/>
    </row>
    <row r="2335" spans="5:5" x14ac:dyDescent="0.2">
      <c r="E2335" s="34"/>
    </row>
    <row r="2336" spans="5:5" x14ac:dyDescent="0.2">
      <c r="E2336" s="34"/>
    </row>
    <row r="2337" spans="5:5" x14ac:dyDescent="0.2">
      <c r="E2337" s="34"/>
    </row>
    <row r="2338" spans="5:5" x14ac:dyDescent="0.2">
      <c r="E2338" s="34"/>
    </row>
    <row r="2339" spans="5:5" x14ac:dyDescent="0.2">
      <c r="E2339" s="34"/>
    </row>
    <row r="2340" spans="5:5" x14ac:dyDescent="0.2">
      <c r="E2340" s="34"/>
    </row>
    <row r="2341" spans="5:5" x14ac:dyDescent="0.2">
      <c r="E2341" s="34"/>
    </row>
    <row r="2342" spans="5:5" x14ac:dyDescent="0.2">
      <c r="E2342" s="34"/>
    </row>
    <row r="2343" spans="5:5" x14ac:dyDescent="0.2">
      <c r="E2343" s="34"/>
    </row>
    <row r="2344" spans="5:5" x14ac:dyDescent="0.2">
      <c r="E2344" s="34"/>
    </row>
    <row r="2345" spans="5:5" x14ac:dyDescent="0.2">
      <c r="E2345" s="34"/>
    </row>
    <row r="2346" spans="5:5" x14ac:dyDescent="0.2">
      <c r="E2346" s="34"/>
    </row>
    <row r="2347" spans="5:5" x14ac:dyDescent="0.2">
      <c r="E2347" s="34"/>
    </row>
    <row r="2348" spans="5:5" x14ac:dyDescent="0.2">
      <c r="E2348" s="34"/>
    </row>
    <row r="2349" spans="5:5" x14ac:dyDescent="0.2">
      <c r="E2349" s="34"/>
    </row>
    <row r="2350" spans="5:5" x14ac:dyDescent="0.2">
      <c r="E2350" s="34"/>
    </row>
    <row r="2351" spans="5:5" x14ac:dyDescent="0.2">
      <c r="E2351" s="34"/>
    </row>
    <row r="2352" spans="5:5" x14ac:dyDescent="0.2">
      <c r="E2352" s="34"/>
    </row>
    <row r="2353" spans="5:5" x14ac:dyDescent="0.2">
      <c r="E2353" s="34"/>
    </row>
    <row r="2354" spans="5:5" x14ac:dyDescent="0.2">
      <c r="E2354" s="34"/>
    </row>
    <row r="2355" spans="5:5" x14ac:dyDescent="0.2">
      <c r="E2355" s="34"/>
    </row>
    <row r="2356" spans="5:5" x14ac:dyDescent="0.2">
      <c r="E2356" s="34"/>
    </row>
    <row r="2357" spans="5:5" x14ac:dyDescent="0.2">
      <c r="E2357" s="34"/>
    </row>
    <row r="2358" spans="5:5" x14ac:dyDescent="0.2">
      <c r="E2358" s="34"/>
    </row>
    <row r="2359" spans="5:5" x14ac:dyDescent="0.2">
      <c r="E2359" s="34"/>
    </row>
    <row r="2360" spans="5:5" x14ac:dyDescent="0.2">
      <c r="E2360" s="34"/>
    </row>
    <row r="2361" spans="5:5" x14ac:dyDescent="0.2">
      <c r="E2361" s="34"/>
    </row>
    <row r="2362" spans="5:5" x14ac:dyDescent="0.2">
      <c r="E2362" s="34"/>
    </row>
    <row r="2363" spans="5:5" x14ac:dyDescent="0.2">
      <c r="E2363" s="34"/>
    </row>
    <row r="2364" spans="5:5" x14ac:dyDescent="0.2">
      <c r="E2364" s="34"/>
    </row>
    <row r="2365" spans="5:5" x14ac:dyDescent="0.2">
      <c r="E2365" s="34"/>
    </row>
    <row r="2366" spans="5:5" x14ac:dyDescent="0.2">
      <c r="E2366" s="34"/>
    </row>
    <row r="2367" spans="5:5" x14ac:dyDescent="0.2">
      <c r="E2367" s="34"/>
    </row>
    <row r="2368" spans="5:5" x14ac:dyDescent="0.2">
      <c r="E2368" s="34"/>
    </row>
    <row r="2369" spans="5:5" x14ac:dyDescent="0.2">
      <c r="E2369" s="34"/>
    </row>
    <row r="2370" spans="5:5" x14ac:dyDescent="0.2">
      <c r="E2370" s="34"/>
    </row>
    <row r="2371" spans="5:5" x14ac:dyDescent="0.2">
      <c r="E2371" s="34"/>
    </row>
    <row r="2372" spans="5:5" x14ac:dyDescent="0.2">
      <c r="E2372" s="34"/>
    </row>
    <row r="2373" spans="5:5" x14ac:dyDescent="0.2">
      <c r="E2373" s="34"/>
    </row>
    <row r="2374" spans="5:5" x14ac:dyDescent="0.2">
      <c r="E2374" s="34"/>
    </row>
    <row r="2375" spans="5:5" x14ac:dyDescent="0.2">
      <c r="E2375" s="34"/>
    </row>
    <row r="2376" spans="5:5" x14ac:dyDescent="0.2">
      <c r="E2376" s="34"/>
    </row>
    <row r="2377" spans="5:5" x14ac:dyDescent="0.2">
      <c r="E2377" s="34"/>
    </row>
    <row r="2378" spans="5:5" x14ac:dyDescent="0.2">
      <c r="E2378" s="34"/>
    </row>
    <row r="2379" spans="5:5" x14ac:dyDescent="0.2">
      <c r="E2379" s="34"/>
    </row>
    <row r="2380" spans="5:5" x14ac:dyDescent="0.2">
      <c r="E2380" s="34"/>
    </row>
    <row r="2381" spans="5:5" x14ac:dyDescent="0.2">
      <c r="E2381" s="34"/>
    </row>
    <row r="2382" spans="5:5" x14ac:dyDescent="0.2">
      <c r="E2382" s="34"/>
    </row>
    <row r="2383" spans="5:5" x14ac:dyDescent="0.2">
      <c r="E2383" s="34"/>
    </row>
    <row r="2384" spans="5:5" x14ac:dyDescent="0.2">
      <c r="E2384" s="34"/>
    </row>
    <row r="2385" spans="5:5" x14ac:dyDescent="0.2">
      <c r="E2385" s="34"/>
    </row>
    <row r="2386" spans="5:5" x14ac:dyDescent="0.2">
      <c r="E2386" s="34"/>
    </row>
    <row r="2387" spans="5:5" x14ac:dyDescent="0.2">
      <c r="E2387" s="34"/>
    </row>
    <row r="2388" spans="5:5" x14ac:dyDescent="0.2">
      <c r="E2388" s="34"/>
    </row>
    <row r="2389" spans="5:5" x14ac:dyDescent="0.2">
      <c r="E2389" s="34"/>
    </row>
    <row r="2390" spans="5:5" x14ac:dyDescent="0.2">
      <c r="E2390" s="34"/>
    </row>
    <row r="2391" spans="5:5" x14ac:dyDescent="0.2">
      <c r="E2391" s="34"/>
    </row>
    <row r="2392" spans="5:5" x14ac:dyDescent="0.2">
      <c r="E2392" s="34"/>
    </row>
    <row r="2393" spans="5:5" x14ac:dyDescent="0.2">
      <c r="E2393" s="34"/>
    </row>
    <row r="2394" spans="5:5" x14ac:dyDescent="0.2">
      <c r="E2394" s="34"/>
    </row>
    <row r="2395" spans="5:5" x14ac:dyDescent="0.2">
      <c r="E2395" s="34"/>
    </row>
    <row r="2396" spans="5:5" x14ac:dyDescent="0.2">
      <c r="E2396" s="34"/>
    </row>
    <row r="2397" spans="5:5" x14ac:dyDescent="0.2">
      <c r="E2397" s="34"/>
    </row>
    <row r="2398" spans="5:5" x14ac:dyDescent="0.2">
      <c r="E2398" s="34"/>
    </row>
    <row r="2399" spans="5:5" x14ac:dyDescent="0.2">
      <c r="E2399" s="34"/>
    </row>
    <row r="2400" spans="5:5" x14ac:dyDescent="0.2">
      <c r="E2400" s="34"/>
    </row>
    <row r="2401" spans="5:5" x14ac:dyDescent="0.2">
      <c r="E2401" s="34"/>
    </row>
    <row r="2402" spans="5:5" x14ac:dyDescent="0.2">
      <c r="E2402" s="34"/>
    </row>
    <row r="2403" spans="5:5" x14ac:dyDescent="0.2">
      <c r="E2403" s="34"/>
    </row>
    <row r="2404" spans="5:5" x14ac:dyDescent="0.2">
      <c r="E2404" s="34"/>
    </row>
    <row r="2405" spans="5:5" x14ac:dyDescent="0.2">
      <c r="E2405" s="34"/>
    </row>
    <row r="2406" spans="5:5" x14ac:dyDescent="0.2">
      <c r="E2406" s="34"/>
    </row>
    <row r="2407" spans="5:5" x14ac:dyDescent="0.2">
      <c r="E2407" s="34"/>
    </row>
    <row r="2408" spans="5:5" x14ac:dyDescent="0.2">
      <c r="E2408" s="34"/>
    </row>
    <row r="2409" spans="5:5" x14ac:dyDescent="0.2">
      <c r="E2409" s="34"/>
    </row>
    <row r="2410" spans="5:5" x14ac:dyDescent="0.2">
      <c r="E2410" s="34"/>
    </row>
    <row r="2411" spans="5:5" x14ac:dyDescent="0.2">
      <c r="E2411" s="34"/>
    </row>
    <row r="2412" spans="5:5" x14ac:dyDescent="0.2">
      <c r="E2412" s="34"/>
    </row>
    <row r="2413" spans="5:5" x14ac:dyDescent="0.2">
      <c r="E2413" s="34"/>
    </row>
    <row r="2414" spans="5:5" x14ac:dyDescent="0.2">
      <c r="E2414" s="34"/>
    </row>
    <row r="2415" spans="5:5" x14ac:dyDescent="0.2">
      <c r="E2415" s="34"/>
    </row>
    <row r="2416" spans="5:5" x14ac:dyDescent="0.2">
      <c r="E2416" s="34"/>
    </row>
    <row r="2417" spans="5:5" x14ac:dyDescent="0.2">
      <c r="E2417" s="34"/>
    </row>
    <row r="2418" spans="5:5" x14ac:dyDescent="0.2">
      <c r="E2418" s="34"/>
    </row>
    <row r="2419" spans="5:5" x14ac:dyDescent="0.2">
      <c r="E2419" s="34"/>
    </row>
    <row r="2420" spans="5:5" x14ac:dyDescent="0.2">
      <c r="E2420" s="34"/>
    </row>
    <row r="2421" spans="5:5" x14ac:dyDescent="0.2">
      <c r="E2421" s="34"/>
    </row>
    <row r="2422" spans="5:5" x14ac:dyDescent="0.2">
      <c r="E2422" s="34"/>
    </row>
    <row r="2423" spans="5:5" x14ac:dyDescent="0.2">
      <c r="E2423" s="34"/>
    </row>
    <row r="2424" spans="5:5" x14ac:dyDescent="0.2">
      <c r="E2424" s="34"/>
    </row>
    <row r="2425" spans="5:5" x14ac:dyDescent="0.2">
      <c r="E2425" s="34"/>
    </row>
    <row r="2426" spans="5:5" x14ac:dyDescent="0.2">
      <c r="E2426" s="34"/>
    </row>
    <row r="2427" spans="5:5" x14ac:dyDescent="0.2">
      <c r="E2427" s="34"/>
    </row>
    <row r="2428" spans="5:5" x14ac:dyDescent="0.2">
      <c r="E2428" s="34"/>
    </row>
    <row r="2429" spans="5:5" x14ac:dyDescent="0.2">
      <c r="E2429" s="34"/>
    </row>
    <row r="2430" spans="5:5" x14ac:dyDescent="0.2">
      <c r="E2430" s="34"/>
    </row>
    <row r="2431" spans="5:5" x14ac:dyDescent="0.2">
      <c r="E2431" s="34"/>
    </row>
    <row r="2432" spans="5:5" x14ac:dyDescent="0.2">
      <c r="E2432" s="34"/>
    </row>
    <row r="2433" spans="5:5" x14ac:dyDescent="0.2">
      <c r="E2433" s="34"/>
    </row>
    <row r="2434" spans="5:5" x14ac:dyDescent="0.2">
      <c r="E2434" s="34"/>
    </row>
    <row r="2435" spans="5:5" x14ac:dyDescent="0.2">
      <c r="E2435" s="34"/>
    </row>
    <row r="2436" spans="5:5" x14ac:dyDescent="0.2">
      <c r="E2436" s="34"/>
    </row>
    <row r="2437" spans="5:5" x14ac:dyDescent="0.2">
      <c r="E2437" s="34"/>
    </row>
    <row r="2438" spans="5:5" x14ac:dyDescent="0.2">
      <c r="E2438" s="34"/>
    </row>
    <row r="2439" spans="5:5" x14ac:dyDescent="0.2">
      <c r="E2439" s="34"/>
    </row>
    <row r="2440" spans="5:5" x14ac:dyDescent="0.2">
      <c r="E2440" s="34"/>
    </row>
    <row r="2441" spans="5:5" x14ac:dyDescent="0.2">
      <c r="E2441" s="34"/>
    </row>
    <row r="2442" spans="5:5" x14ac:dyDescent="0.2">
      <c r="E2442" s="34"/>
    </row>
    <row r="2443" spans="5:5" x14ac:dyDescent="0.2">
      <c r="E2443" s="34"/>
    </row>
    <row r="2444" spans="5:5" x14ac:dyDescent="0.2">
      <c r="E2444" s="34"/>
    </row>
    <row r="2445" spans="5:5" x14ac:dyDescent="0.2">
      <c r="E2445" s="34"/>
    </row>
    <row r="2446" spans="5:5" x14ac:dyDescent="0.2">
      <c r="E2446" s="34"/>
    </row>
    <row r="2447" spans="5:5" x14ac:dyDescent="0.2">
      <c r="E2447" s="34"/>
    </row>
    <row r="2448" spans="5:5" x14ac:dyDescent="0.2">
      <c r="E2448" s="34"/>
    </row>
    <row r="2449" spans="5:5" x14ac:dyDescent="0.2">
      <c r="E2449" s="34"/>
    </row>
    <row r="2450" spans="5:5" x14ac:dyDescent="0.2">
      <c r="E2450" s="34"/>
    </row>
    <row r="2451" spans="5:5" x14ac:dyDescent="0.2">
      <c r="E2451" s="34"/>
    </row>
    <row r="2452" spans="5:5" x14ac:dyDescent="0.2">
      <c r="E2452" s="34"/>
    </row>
    <row r="2453" spans="5:5" x14ac:dyDescent="0.2">
      <c r="E2453" s="34"/>
    </row>
    <row r="2454" spans="5:5" x14ac:dyDescent="0.2">
      <c r="E2454" s="34"/>
    </row>
    <row r="2455" spans="5:5" x14ac:dyDescent="0.2">
      <c r="E2455" s="34"/>
    </row>
    <row r="2456" spans="5:5" x14ac:dyDescent="0.2">
      <c r="E2456" s="34"/>
    </row>
    <row r="2457" spans="5:5" x14ac:dyDescent="0.2">
      <c r="E2457" s="34"/>
    </row>
    <row r="2458" spans="5:5" x14ac:dyDescent="0.2">
      <c r="E2458" s="34"/>
    </row>
    <row r="2459" spans="5:5" x14ac:dyDescent="0.2">
      <c r="E2459" s="34"/>
    </row>
    <row r="2460" spans="5:5" x14ac:dyDescent="0.2">
      <c r="E2460" s="34"/>
    </row>
    <row r="2461" spans="5:5" x14ac:dyDescent="0.2">
      <c r="E2461" s="34"/>
    </row>
    <row r="2462" spans="5:5" x14ac:dyDescent="0.2">
      <c r="E2462" s="34"/>
    </row>
    <row r="2463" spans="5:5" x14ac:dyDescent="0.2">
      <c r="E2463" s="34"/>
    </row>
    <row r="2464" spans="5:5" x14ac:dyDescent="0.2">
      <c r="E2464" s="34"/>
    </row>
    <row r="2465" spans="5:5" x14ac:dyDescent="0.2">
      <c r="E2465" s="34"/>
    </row>
    <row r="2466" spans="5:5" x14ac:dyDescent="0.2">
      <c r="E2466" s="34"/>
    </row>
    <row r="2467" spans="5:5" x14ac:dyDescent="0.2">
      <c r="E2467" s="34"/>
    </row>
    <row r="2468" spans="5:5" x14ac:dyDescent="0.2">
      <c r="E2468" s="34"/>
    </row>
    <row r="2469" spans="5:5" x14ac:dyDescent="0.2">
      <c r="E2469" s="34"/>
    </row>
    <row r="2470" spans="5:5" x14ac:dyDescent="0.2">
      <c r="E2470" s="34"/>
    </row>
    <row r="2471" spans="5:5" x14ac:dyDescent="0.2">
      <c r="E2471" s="34"/>
    </row>
    <row r="2472" spans="5:5" x14ac:dyDescent="0.2">
      <c r="E2472" s="34"/>
    </row>
    <row r="2473" spans="5:5" x14ac:dyDescent="0.2">
      <c r="E2473" s="34"/>
    </row>
    <row r="2474" spans="5:5" x14ac:dyDescent="0.2">
      <c r="E2474" s="34"/>
    </row>
    <row r="2475" spans="5:5" x14ac:dyDescent="0.2">
      <c r="E2475" s="34"/>
    </row>
    <row r="2476" spans="5:5" x14ac:dyDescent="0.2">
      <c r="E2476" s="34"/>
    </row>
    <row r="2477" spans="5:5" x14ac:dyDescent="0.2">
      <c r="E2477" s="34"/>
    </row>
    <row r="2478" spans="5:5" x14ac:dyDescent="0.2">
      <c r="E2478" s="34"/>
    </row>
    <row r="2479" spans="5:5" x14ac:dyDescent="0.2">
      <c r="E2479" s="34"/>
    </row>
    <row r="2480" spans="5:5" x14ac:dyDescent="0.2">
      <c r="E2480" s="34"/>
    </row>
    <row r="2481" spans="5:5" x14ac:dyDescent="0.2">
      <c r="E2481" s="34"/>
    </row>
    <row r="2482" spans="5:5" x14ac:dyDescent="0.2">
      <c r="E2482" s="34"/>
    </row>
    <row r="2483" spans="5:5" x14ac:dyDescent="0.2">
      <c r="E2483" s="34"/>
    </row>
    <row r="2484" spans="5:5" x14ac:dyDescent="0.2">
      <c r="E2484" s="34"/>
    </row>
    <row r="2485" spans="5:5" x14ac:dyDescent="0.2">
      <c r="E2485" s="34"/>
    </row>
    <row r="2486" spans="5:5" x14ac:dyDescent="0.2">
      <c r="E2486" s="34"/>
    </row>
    <row r="2487" spans="5:5" x14ac:dyDescent="0.2">
      <c r="E2487" s="34"/>
    </row>
    <row r="2488" spans="5:5" x14ac:dyDescent="0.2">
      <c r="E2488" s="34"/>
    </row>
    <row r="2489" spans="5:5" x14ac:dyDescent="0.2">
      <c r="E2489" s="34"/>
    </row>
    <row r="2490" spans="5:5" x14ac:dyDescent="0.2">
      <c r="E2490" s="34"/>
    </row>
    <row r="2491" spans="5:5" x14ac:dyDescent="0.2">
      <c r="E2491" s="34"/>
    </row>
    <row r="2492" spans="5:5" x14ac:dyDescent="0.2">
      <c r="E2492" s="34"/>
    </row>
    <row r="2493" spans="5:5" x14ac:dyDescent="0.2">
      <c r="E2493" s="34"/>
    </row>
    <row r="2494" spans="5:5" x14ac:dyDescent="0.2">
      <c r="E2494" s="34"/>
    </row>
    <row r="2495" spans="5:5" x14ac:dyDescent="0.2">
      <c r="E2495" s="34"/>
    </row>
    <row r="2496" spans="5:5" x14ac:dyDescent="0.2">
      <c r="E2496" s="34"/>
    </row>
    <row r="2497" spans="5:5" x14ac:dyDescent="0.2">
      <c r="E2497" s="34"/>
    </row>
    <row r="2498" spans="5:5" x14ac:dyDescent="0.2">
      <c r="E2498" s="34"/>
    </row>
    <row r="2499" spans="5:5" x14ac:dyDescent="0.2">
      <c r="E2499" s="34"/>
    </row>
    <row r="2500" spans="5:5" x14ac:dyDescent="0.2">
      <c r="E2500" s="34"/>
    </row>
    <row r="2501" spans="5:5" x14ac:dyDescent="0.2">
      <c r="E2501" s="34"/>
    </row>
    <row r="2502" spans="5:5" x14ac:dyDescent="0.2">
      <c r="E2502" s="34"/>
    </row>
    <row r="2503" spans="5:5" x14ac:dyDescent="0.2">
      <c r="E2503" s="34"/>
    </row>
    <row r="2504" spans="5:5" x14ac:dyDescent="0.2">
      <c r="E2504" s="34"/>
    </row>
    <row r="2505" spans="5:5" x14ac:dyDescent="0.2">
      <c r="E2505" s="34"/>
    </row>
    <row r="2506" spans="5:5" x14ac:dyDescent="0.2">
      <c r="E2506" s="34"/>
    </row>
    <row r="2507" spans="5:5" x14ac:dyDescent="0.2">
      <c r="E2507" s="34"/>
    </row>
    <row r="2508" spans="5:5" x14ac:dyDescent="0.2">
      <c r="E2508" s="34"/>
    </row>
    <row r="2509" spans="5:5" x14ac:dyDescent="0.2">
      <c r="E2509" s="34"/>
    </row>
    <row r="2510" spans="5:5" x14ac:dyDescent="0.2">
      <c r="E2510" s="34"/>
    </row>
    <row r="2511" spans="5:5" x14ac:dyDescent="0.2">
      <c r="E2511" s="34"/>
    </row>
    <row r="2512" spans="5:5" x14ac:dyDescent="0.2">
      <c r="E2512" s="34"/>
    </row>
    <row r="2513" spans="5:5" x14ac:dyDescent="0.2">
      <c r="E2513" s="34"/>
    </row>
    <row r="2514" spans="5:5" x14ac:dyDescent="0.2">
      <c r="E2514" s="34"/>
    </row>
    <row r="2515" spans="5:5" x14ac:dyDescent="0.2">
      <c r="E2515" s="34"/>
    </row>
    <row r="2516" spans="5:5" x14ac:dyDescent="0.2">
      <c r="E2516" s="34"/>
    </row>
    <row r="2517" spans="5:5" x14ac:dyDescent="0.2">
      <c r="E2517" s="34"/>
    </row>
    <row r="2518" spans="5:5" x14ac:dyDescent="0.2">
      <c r="E2518" s="34"/>
    </row>
    <row r="2519" spans="5:5" x14ac:dyDescent="0.2">
      <c r="E2519" s="34"/>
    </row>
    <row r="2520" spans="5:5" x14ac:dyDescent="0.2">
      <c r="E2520" s="34"/>
    </row>
    <row r="2521" spans="5:5" x14ac:dyDescent="0.2">
      <c r="E2521" s="34"/>
    </row>
    <row r="2522" spans="5:5" x14ac:dyDescent="0.2">
      <c r="E2522" s="34"/>
    </row>
    <row r="2523" spans="5:5" x14ac:dyDescent="0.2">
      <c r="E2523" s="34"/>
    </row>
    <row r="2524" spans="5:5" x14ac:dyDescent="0.2">
      <c r="E2524" s="34"/>
    </row>
    <row r="2525" spans="5:5" x14ac:dyDescent="0.2">
      <c r="E2525" s="34"/>
    </row>
    <row r="2526" spans="5:5" x14ac:dyDescent="0.2">
      <c r="E2526" s="34"/>
    </row>
    <row r="2527" spans="5:5" x14ac:dyDescent="0.2">
      <c r="E2527" s="34"/>
    </row>
    <row r="2528" spans="5:5" x14ac:dyDescent="0.2">
      <c r="E2528" s="34"/>
    </row>
    <row r="2529" spans="5:5" x14ac:dyDescent="0.2">
      <c r="E2529" s="34"/>
    </row>
    <row r="2530" spans="5:5" x14ac:dyDescent="0.2">
      <c r="E2530" s="34"/>
    </row>
    <row r="2531" spans="5:5" x14ac:dyDescent="0.2">
      <c r="E2531" s="34"/>
    </row>
    <row r="2532" spans="5:5" x14ac:dyDescent="0.2">
      <c r="E2532" s="34"/>
    </row>
    <row r="2533" spans="5:5" x14ac:dyDescent="0.2">
      <c r="E2533" s="34"/>
    </row>
    <row r="2534" spans="5:5" x14ac:dyDescent="0.2">
      <c r="E2534" s="34"/>
    </row>
    <row r="2535" spans="5:5" x14ac:dyDescent="0.2">
      <c r="E2535" s="34"/>
    </row>
    <row r="2536" spans="5:5" x14ac:dyDescent="0.2">
      <c r="E2536" s="34"/>
    </row>
    <row r="2537" spans="5:5" x14ac:dyDescent="0.2">
      <c r="E2537" s="34"/>
    </row>
    <row r="2538" spans="5:5" x14ac:dyDescent="0.2">
      <c r="E2538" s="34"/>
    </row>
    <row r="2539" spans="5:5" x14ac:dyDescent="0.2">
      <c r="E2539" s="34"/>
    </row>
    <row r="2540" spans="5:5" x14ac:dyDescent="0.2">
      <c r="E2540" s="34"/>
    </row>
    <row r="2541" spans="5:5" x14ac:dyDescent="0.2">
      <c r="E2541" s="34"/>
    </row>
    <row r="2542" spans="5:5" x14ac:dyDescent="0.2">
      <c r="E2542" s="34"/>
    </row>
    <row r="2543" spans="5:5" x14ac:dyDescent="0.2">
      <c r="E2543" s="34"/>
    </row>
    <row r="2544" spans="5:5" x14ac:dyDescent="0.2">
      <c r="E2544" s="34"/>
    </row>
    <row r="2545" spans="5:5" x14ac:dyDescent="0.2">
      <c r="E2545" s="34"/>
    </row>
    <row r="2546" spans="5:5" x14ac:dyDescent="0.2">
      <c r="E2546" s="34"/>
    </row>
    <row r="2547" spans="5:5" x14ac:dyDescent="0.2">
      <c r="E2547" s="34"/>
    </row>
    <row r="2548" spans="5:5" x14ac:dyDescent="0.2">
      <c r="E2548" s="34"/>
    </row>
    <row r="2549" spans="5:5" x14ac:dyDescent="0.2">
      <c r="E2549" s="34"/>
    </row>
    <row r="2550" spans="5:5" x14ac:dyDescent="0.2">
      <c r="E2550" s="34"/>
    </row>
    <row r="2551" spans="5:5" x14ac:dyDescent="0.2">
      <c r="E2551" s="34"/>
    </row>
    <row r="2552" spans="5:5" x14ac:dyDescent="0.2">
      <c r="E2552" s="34"/>
    </row>
    <row r="2553" spans="5:5" x14ac:dyDescent="0.2">
      <c r="E2553" s="34"/>
    </row>
    <row r="2554" spans="5:5" x14ac:dyDescent="0.2">
      <c r="E2554" s="34"/>
    </row>
    <row r="2555" spans="5:5" x14ac:dyDescent="0.2">
      <c r="E2555" s="34"/>
    </row>
    <row r="2556" spans="5:5" x14ac:dyDescent="0.2">
      <c r="E2556" s="34"/>
    </row>
    <row r="2557" spans="5:5" x14ac:dyDescent="0.2">
      <c r="E2557" s="34"/>
    </row>
    <row r="2558" spans="5:5" x14ac:dyDescent="0.2">
      <c r="E2558" s="34"/>
    </row>
    <row r="2559" spans="5:5" x14ac:dyDescent="0.2">
      <c r="E2559" s="34"/>
    </row>
    <row r="2560" spans="5:5" x14ac:dyDescent="0.2">
      <c r="E2560" s="34"/>
    </row>
    <row r="2561" spans="5:5" x14ac:dyDescent="0.2">
      <c r="E2561" s="34"/>
    </row>
    <row r="2562" spans="5:5" x14ac:dyDescent="0.2">
      <c r="E2562" s="34"/>
    </row>
    <row r="2563" spans="5:5" x14ac:dyDescent="0.2">
      <c r="E2563" s="34"/>
    </row>
    <row r="2564" spans="5:5" x14ac:dyDescent="0.2">
      <c r="E2564" s="34"/>
    </row>
    <row r="2565" spans="5:5" x14ac:dyDescent="0.2">
      <c r="E2565" s="34"/>
    </row>
    <row r="2566" spans="5:5" x14ac:dyDescent="0.2">
      <c r="E2566" s="34"/>
    </row>
    <row r="2567" spans="5:5" x14ac:dyDescent="0.2">
      <c r="E2567" s="34"/>
    </row>
    <row r="2568" spans="5:5" x14ac:dyDescent="0.2">
      <c r="E2568" s="34"/>
    </row>
    <row r="2569" spans="5:5" x14ac:dyDescent="0.2">
      <c r="E2569" s="34"/>
    </row>
    <row r="2570" spans="5:5" x14ac:dyDescent="0.2">
      <c r="E2570" s="34"/>
    </row>
    <row r="2571" spans="5:5" x14ac:dyDescent="0.2">
      <c r="E2571" s="34"/>
    </row>
    <row r="2572" spans="5:5" x14ac:dyDescent="0.2">
      <c r="E2572" s="34"/>
    </row>
    <row r="2573" spans="5:5" x14ac:dyDescent="0.2">
      <c r="E2573" s="34"/>
    </row>
    <row r="2574" spans="5:5" x14ac:dyDescent="0.2">
      <c r="E2574" s="34"/>
    </row>
    <row r="2575" spans="5:5" x14ac:dyDescent="0.2">
      <c r="E2575" s="34"/>
    </row>
    <row r="2576" spans="5:5" x14ac:dyDescent="0.2">
      <c r="E2576" s="34"/>
    </row>
    <row r="2577" spans="5:5" x14ac:dyDescent="0.2">
      <c r="E2577" s="34"/>
    </row>
    <row r="2578" spans="5:5" x14ac:dyDescent="0.2">
      <c r="E2578" s="34"/>
    </row>
    <row r="2579" spans="5:5" x14ac:dyDescent="0.2">
      <c r="E2579" s="34"/>
    </row>
    <row r="2580" spans="5:5" x14ac:dyDescent="0.2">
      <c r="E2580" s="34"/>
    </row>
    <row r="2581" spans="5:5" x14ac:dyDescent="0.2">
      <c r="E2581" s="34"/>
    </row>
    <row r="2582" spans="5:5" x14ac:dyDescent="0.2">
      <c r="E2582" s="34"/>
    </row>
    <row r="2583" spans="5:5" x14ac:dyDescent="0.2">
      <c r="E2583" s="34"/>
    </row>
    <row r="2584" spans="5:5" x14ac:dyDescent="0.2">
      <c r="E2584" s="34"/>
    </row>
    <row r="2585" spans="5:5" x14ac:dyDescent="0.2">
      <c r="E2585" s="34"/>
    </row>
    <row r="2586" spans="5:5" x14ac:dyDescent="0.2">
      <c r="E2586" s="34"/>
    </row>
    <row r="2587" spans="5:5" x14ac:dyDescent="0.2">
      <c r="E2587" s="34"/>
    </row>
    <row r="2588" spans="5:5" x14ac:dyDescent="0.2">
      <c r="E2588" s="34"/>
    </row>
    <row r="2589" spans="5:5" x14ac:dyDescent="0.2">
      <c r="E2589" s="34"/>
    </row>
    <row r="2590" spans="5:5" x14ac:dyDescent="0.2">
      <c r="E2590" s="34"/>
    </row>
    <row r="2591" spans="5:5" x14ac:dyDescent="0.2">
      <c r="E2591" s="34"/>
    </row>
    <row r="2592" spans="5:5" x14ac:dyDescent="0.2">
      <c r="E2592" s="34"/>
    </row>
    <row r="2593" spans="5:5" x14ac:dyDescent="0.2">
      <c r="E2593" s="34"/>
    </row>
    <row r="2594" spans="5:5" x14ac:dyDescent="0.2">
      <c r="E2594" s="34"/>
    </row>
    <row r="2595" spans="5:5" x14ac:dyDescent="0.2">
      <c r="E2595" s="34"/>
    </row>
    <row r="2596" spans="5:5" x14ac:dyDescent="0.2">
      <c r="E2596" s="34"/>
    </row>
    <row r="2597" spans="5:5" x14ac:dyDescent="0.2">
      <c r="E2597" s="34"/>
    </row>
    <row r="2598" spans="5:5" x14ac:dyDescent="0.2">
      <c r="E2598" s="34"/>
    </row>
    <row r="2599" spans="5:5" x14ac:dyDescent="0.2">
      <c r="E2599" s="34"/>
    </row>
    <row r="2600" spans="5:5" x14ac:dyDescent="0.2">
      <c r="E2600" s="34"/>
    </row>
    <row r="2601" spans="5:5" x14ac:dyDescent="0.2">
      <c r="E2601" s="34"/>
    </row>
    <row r="2602" spans="5:5" x14ac:dyDescent="0.2">
      <c r="E2602" s="34"/>
    </row>
    <row r="2603" spans="5:5" x14ac:dyDescent="0.2">
      <c r="E2603" s="34"/>
    </row>
    <row r="2604" spans="5:5" x14ac:dyDescent="0.2">
      <c r="E2604" s="34"/>
    </row>
    <row r="2605" spans="5:5" x14ac:dyDescent="0.2">
      <c r="E2605" s="34"/>
    </row>
    <row r="2606" spans="5:5" x14ac:dyDescent="0.2">
      <c r="E2606" s="34"/>
    </row>
    <row r="2607" spans="5:5" x14ac:dyDescent="0.2">
      <c r="E2607" s="34"/>
    </row>
    <row r="2608" spans="5:5" x14ac:dyDescent="0.2">
      <c r="E2608" s="34"/>
    </row>
    <row r="2609" spans="5:5" x14ac:dyDescent="0.2">
      <c r="E2609" s="34"/>
    </row>
    <row r="2610" spans="5:5" x14ac:dyDescent="0.2">
      <c r="E2610" s="34"/>
    </row>
    <row r="2611" spans="5:5" x14ac:dyDescent="0.2">
      <c r="E2611" s="34"/>
    </row>
    <row r="2612" spans="5:5" x14ac:dyDescent="0.2">
      <c r="E2612" s="34"/>
    </row>
    <row r="2613" spans="5:5" x14ac:dyDescent="0.2">
      <c r="E2613" s="34"/>
    </row>
    <row r="2614" spans="5:5" x14ac:dyDescent="0.2">
      <c r="E2614" s="34"/>
    </row>
    <row r="2615" spans="5:5" x14ac:dyDescent="0.2">
      <c r="E2615" s="34"/>
    </row>
    <row r="2616" spans="5:5" x14ac:dyDescent="0.2">
      <c r="E2616" s="34"/>
    </row>
    <row r="2617" spans="5:5" x14ac:dyDescent="0.2">
      <c r="E2617" s="34"/>
    </row>
    <row r="2618" spans="5:5" x14ac:dyDescent="0.2">
      <c r="E2618" s="34"/>
    </row>
    <row r="2619" spans="5:5" x14ac:dyDescent="0.2">
      <c r="E2619" s="34"/>
    </row>
    <row r="2620" spans="5:5" x14ac:dyDescent="0.2">
      <c r="E2620" s="34"/>
    </row>
    <row r="2621" spans="5:5" x14ac:dyDescent="0.2">
      <c r="E2621" s="34"/>
    </row>
    <row r="2622" spans="5:5" x14ac:dyDescent="0.2">
      <c r="E2622" s="34"/>
    </row>
    <row r="2623" spans="5:5" x14ac:dyDescent="0.2">
      <c r="E2623" s="34"/>
    </row>
    <row r="2624" spans="5:5" x14ac:dyDescent="0.2">
      <c r="E2624" s="34"/>
    </row>
    <row r="2625" spans="5:5" x14ac:dyDescent="0.2">
      <c r="E2625" s="34"/>
    </row>
    <row r="2626" spans="5:5" x14ac:dyDescent="0.2">
      <c r="E2626" s="34"/>
    </row>
    <row r="2627" spans="5:5" x14ac:dyDescent="0.2">
      <c r="E2627" s="34"/>
    </row>
    <row r="2628" spans="5:5" x14ac:dyDescent="0.2">
      <c r="E2628" s="34"/>
    </row>
    <row r="2629" spans="5:5" x14ac:dyDescent="0.2">
      <c r="E2629" s="34"/>
    </row>
    <row r="2630" spans="5:5" x14ac:dyDescent="0.2">
      <c r="E2630" s="34"/>
    </row>
    <row r="2631" spans="5:5" x14ac:dyDescent="0.2">
      <c r="E2631" s="34"/>
    </row>
    <row r="2632" spans="5:5" x14ac:dyDescent="0.2">
      <c r="E2632" s="34"/>
    </row>
    <row r="2633" spans="5:5" x14ac:dyDescent="0.2">
      <c r="E2633" s="34"/>
    </row>
    <row r="2634" spans="5:5" x14ac:dyDescent="0.2">
      <c r="E2634" s="34"/>
    </row>
    <row r="2635" spans="5:5" x14ac:dyDescent="0.2">
      <c r="E2635" s="34"/>
    </row>
    <row r="2636" spans="5:5" x14ac:dyDescent="0.2">
      <c r="E2636" s="34"/>
    </row>
    <row r="2637" spans="5:5" x14ac:dyDescent="0.2">
      <c r="E2637" s="34"/>
    </row>
    <row r="2638" spans="5:5" x14ac:dyDescent="0.2">
      <c r="E2638" s="34"/>
    </row>
    <row r="2639" spans="5:5" x14ac:dyDescent="0.2">
      <c r="E2639" s="34"/>
    </row>
    <row r="2640" spans="5:5" x14ac:dyDescent="0.2">
      <c r="E2640" s="34"/>
    </row>
    <row r="2641" spans="5:5" x14ac:dyDescent="0.2">
      <c r="E2641" s="34"/>
    </row>
    <row r="2642" spans="5:5" x14ac:dyDescent="0.2">
      <c r="E2642" s="34"/>
    </row>
    <row r="2643" spans="5:5" x14ac:dyDescent="0.2">
      <c r="E2643" s="34"/>
    </row>
    <row r="2644" spans="5:5" x14ac:dyDescent="0.2">
      <c r="E2644" s="34"/>
    </row>
    <row r="2645" spans="5:5" x14ac:dyDescent="0.2">
      <c r="E2645" s="34"/>
    </row>
    <row r="2646" spans="5:5" x14ac:dyDescent="0.2">
      <c r="E2646" s="34"/>
    </row>
    <row r="2647" spans="5:5" x14ac:dyDescent="0.2">
      <c r="E2647" s="34"/>
    </row>
    <row r="2648" spans="5:5" x14ac:dyDescent="0.2">
      <c r="E2648" s="34"/>
    </row>
    <row r="2649" spans="5:5" x14ac:dyDescent="0.2">
      <c r="E2649" s="34"/>
    </row>
    <row r="2650" spans="5:5" x14ac:dyDescent="0.2">
      <c r="E2650" s="34"/>
    </row>
    <row r="2651" spans="5:5" x14ac:dyDescent="0.2">
      <c r="E2651" s="34"/>
    </row>
    <row r="2652" spans="5:5" x14ac:dyDescent="0.2">
      <c r="E2652" s="34"/>
    </row>
    <row r="2653" spans="5:5" x14ac:dyDescent="0.2">
      <c r="E2653" s="34"/>
    </row>
    <row r="2654" spans="5:5" x14ac:dyDescent="0.2">
      <c r="E2654" s="34"/>
    </row>
    <row r="2655" spans="5:5" x14ac:dyDescent="0.2">
      <c r="E2655" s="34"/>
    </row>
    <row r="2656" spans="5:5" x14ac:dyDescent="0.2">
      <c r="E2656" s="34"/>
    </row>
    <row r="2657" spans="5:5" x14ac:dyDescent="0.2">
      <c r="E2657" s="34"/>
    </row>
    <row r="2658" spans="5:5" x14ac:dyDescent="0.2">
      <c r="E2658" s="34"/>
    </row>
    <row r="2659" spans="5:5" x14ac:dyDescent="0.2">
      <c r="E2659" s="34"/>
    </row>
    <row r="2660" spans="5:5" x14ac:dyDescent="0.2">
      <c r="E2660" s="34"/>
    </row>
    <row r="2661" spans="5:5" x14ac:dyDescent="0.2">
      <c r="E2661" s="34"/>
    </row>
    <row r="2662" spans="5:5" x14ac:dyDescent="0.2">
      <c r="E2662" s="34"/>
    </row>
    <row r="2663" spans="5:5" x14ac:dyDescent="0.2">
      <c r="E2663" s="34"/>
    </row>
    <row r="2664" spans="5:5" x14ac:dyDescent="0.2">
      <c r="E2664" s="34"/>
    </row>
    <row r="2665" spans="5:5" x14ac:dyDescent="0.2">
      <c r="E2665" s="34"/>
    </row>
    <row r="2666" spans="5:5" x14ac:dyDescent="0.2">
      <c r="E2666" s="34"/>
    </row>
    <row r="2667" spans="5:5" x14ac:dyDescent="0.2">
      <c r="E2667" s="34"/>
    </row>
    <row r="2668" spans="5:5" x14ac:dyDescent="0.2">
      <c r="E2668" s="34"/>
    </row>
    <row r="2669" spans="5:5" x14ac:dyDescent="0.2">
      <c r="E2669" s="34"/>
    </row>
    <row r="2670" spans="5:5" x14ac:dyDescent="0.2">
      <c r="E2670" s="34"/>
    </row>
    <row r="2671" spans="5:5" x14ac:dyDescent="0.2">
      <c r="E2671" s="34"/>
    </row>
    <row r="2672" spans="5:5" x14ac:dyDescent="0.2">
      <c r="E2672" s="34"/>
    </row>
    <row r="2673" spans="5:5" x14ac:dyDescent="0.2">
      <c r="E2673" s="34"/>
    </row>
    <row r="2674" spans="5:5" x14ac:dyDescent="0.2">
      <c r="E2674" s="34"/>
    </row>
    <row r="2675" spans="5:5" x14ac:dyDescent="0.2">
      <c r="E2675" s="34"/>
    </row>
    <row r="2676" spans="5:5" x14ac:dyDescent="0.2">
      <c r="E2676" s="34"/>
    </row>
    <row r="2677" spans="5:5" x14ac:dyDescent="0.2">
      <c r="E2677" s="34"/>
    </row>
    <row r="2678" spans="5:5" x14ac:dyDescent="0.2">
      <c r="E2678" s="34"/>
    </row>
    <row r="2679" spans="5:5" x14ac:dyDescent="0.2">
      <c r="E2679" s="34"/>
    </row>
    <row r="2680" spans="5:5" x14ac:dyDescent="0.2">
      <c r="E2680" s="34"/>
    </row>
    <row r="2681" spans="5:5" x14ac:dyDescent="0.2">
      <c r="E2681" s="34"/>
    </row>
    <row r="2682" spans="5:5" x14ac:dyDescent="0.2">
      <c r="E2682" s="34"/>
    </row>
    <row r="2683" spans="5:5" x14ac:dyDescent="0.2">
      <c r="E2683" s="34"/>
    </row>
    <row r="2684" spans="5:5" x14ac:dyDescent="0.2">
      <c r="E2684" s="34"/>
    </row>
    <row r="2685" spans="5:5" x14ac:dyDescent="0.2">
      <c r="E2685" s="34"/>
    </row>
    <row r="2686" spans="5:5" x14ac:dyDescent="0.2">
      <c r="E2686" s="34"/>
    </row>
    <row r="2687" spans="5:5" x14ac:dyDescent="0.2">
      <c r="E2687" s="34"/>
    </row>
    <row r="2688" spans="5:5" x14ac:dyDescent="0.2">
      <c r="E2688" s="34"/>
    </row>
    <row r="2689" spans="5:5" x14ac:dyDescent="0.2">
      <c r="E2689" s="34"/>
    </row>
    <row r="2690" spans="5:5" x14ac:dyDescent="0.2">
      <c r="E2690" s="34"/>
    </row>
    <row r="2691" spans="5:5" x14ac:dyDescent="0.2">
      <c r="E2691" s="34"/>
    </row>
    <row r="2692" spans="5:5" x14ac:dyDescent="0.2">
      <c r="E2692" s="34"/>
    </row>
    <row r="2693" spans="5:5" x14ac:dyDescent="0.2">
      <c r="E2693" s="34"/>
    </row>
    <row r="2694" spans="5:5" x14ac:dyDescent="0.2">
      <c r="E2694" s="34"/>
    </row>
    <row r="2695" spans="5:5" x14ac:dyDescent="0.2">
      <c r="E2695" s="34"/>
    </row>
    <row r="2696" spans="5:5" x14ac:dyDescent="0.2">
      <c r="E2696" s="34"/>
    </row>
    <row r="2697" spans="5:5" x14ac:dyDescent="0.2">
      <c r="E2697" s="34"/>
    </row>
    <row r="2698" spans="5:5" x14ac:dyDescent="0.2">
      <c r="E2698" s="34"/>
    </row>
    <row r="2699" spans="5:5" x14ac:dyDescent="0.2">
      <c r="E2699" s="34"/>
    </row>
    <row r="2700" spans="5:5" x14ac:dyDescent="0.2">
      <c r="E2700" s="34"/>
    </row>
    <row r="2701" spans="5:5" x14ac:dyDescent="0.2">
      <c r="E2701" s="34"/>
    </row>
    <row r="2702" spans="5:5" x14ac:dyDescent="0.2">
      <c r="E2702" s="34"/>
    </row>
    <row r="2703" spans="5:5" x14ac:dyDescent="0.2">
      <c r="E2703" s="34"/>
    </row>
    <row r="2704" spans="5:5" x14ac:dyDescent="0.2">
      <c r="E2704" s="34"/>
    </row>
    <row r="2705" spans="5:5" x14ac:dyDescent="0.2">
      <c r="E2705" s="34"/>
    </row>
    <row r="2706" spans="5:5" x14ac:dyDescent="0.2">
      <c r="E2706" s="34"/>
    </row>
    <row r="2707" spans="5:5" x14ac:dyDescent="0.2">
      <c r="E2707" s="34"/>
    </row>
    <row r="2708" spans="5:5" x14ac:dyDescent="0.2">
      <c r="E2708" s="34"/>
    </row>
    <row r="2709" spans="5:5" x14ac:dyDescent="0.2">
      <c r="E2709" s="34"/>
    </row>
    <row r="2710" spans="5:5" x14ac:dyDescent="0.2">
      <c r="E2710" s="34"/>
    </row>
    <row r="2711" spans="5:5" x14ac:dyDescent="0.2">
      <c r="E2711" s="34"/>
    </row>
    <row r="2712" spans="5:5" x14ac:dyDescent="0.2">
      <c r="E2712" s="34"/>
    </row>
    <row r="2713" spans="5:5" x14ac:dyDescent="0.2">
      <c r="E2713" s="34"/>
    </row>
    <row r="2714" spans="5:5" x14ac:dyDescent="0.2">
      <c r="E2714" s="34"/>
    </row>
    <row r="2715" spans="5:5" x14ac:dyDescent="0.2">
      <c r="E2715" s="34"/>
    </row>
    <row r="2716" spans="5:5" x14ac:dyDescent="0.2">
      <c r="E2716" s="34"/>
    </row>
    <row r="2717" spans="5:5" x14ac:dyDescent="0.2">
      <c r="E2717" s="34"/>
    </row>
    <row r="2718" spans="5:5" x14ac:dyDescent="0.2">
      <c r="E2718" s="34"/>
    </row>
    <row r="2719" spans="5:5" x14ac:dyDescent="0.2">
      <c r="E2719" s="34"/>
    </row>
    <row r="2720" spans="5:5" x14ac:dyDescent="0.2">
      <c r="E2720" s="34"/>
    </row>
    <row r="2721" spans="5:5" x14ac:dyDescent="0.2">
      <c r="E2721" s="34"/>
    </row>
    <row r="2722" spans="5:5" x14ac:dyDescent="0.2">
      <c r="E2722" s="34"/>
    </row>
    <row r="2723" spans="5:5" x14ac:dyDescent="0.2">
      <c r="E2723" s="34"/>
    </row>
    <row r="2724" spans="5:5" x14ac:dyDescent="0.2">
      <c r="E2724" s="34"/>
    </row>
    <row r="2725" spans="5:5" x14ac:dyDescent="0.2">
      <c r="E2725" s="34"/>
    </row>
    <row r="2726" spans="5:5" x14ac:dyDescent="0.2">
      <c r="E2726" s="34"/>
    </row>
    <row r="2727" spans="5:5" x14ac:dyDescent="0.2">
      <c r="E2727" s="34"/>
    </row>
    <row r="2728" spans="5:5" x14ac:dyDescent="0.2">
      <c r="E2728" s="34"/>
    </row>
    <row r="2729" spans="5:5" x14ac:dyDescent="0.2">
      <c r="E2729" s="34"/>
    </row>
    <row r="2730" spans="5:5" x14ac:dyDescent="0.2">
      <c r="E2730" s="34"/>
    </row>
    <row r="2731" spans="5:5" x14ac:dyDescent="0.2">
      <c r="E2731" s="34"/>
    </row>
    <row r="2732" spans="5:5" x14ac:dyDescent="0.2">
      <c r="E2732" s="34"/>
    </row>
    <row r="2733" spans="5:5" x14ac:dyDescent="0.2">
      <c r="E2733" s="34"/>
    </row>
    <row r="2734" spans="5:5" x14ac:dyDescent="0.2">
      <c r="E2734" s="34"/>
    </row>
    <row r="2735" spans="5:5" x14ac:dyDescent="0.2">
      <c r="E2735" s="34"/>
    </row>
    <row r="2736" spans="5:5" x14ac:dyDescent="0.2">
      <c r="E2736" s="34"/>
    </row>
    <row r="2737" spans="5:5" x14ac:dyDescent="0.2">
      <c r="E2737" s="34"/>
    </row>
    <row r="2738" spans="5:5" x14ac:dyDescent="0.2">
      <c r="E2738" s="34"/>
    </row>
    <row r="2739" spans="5:5" x14ac:dyDescent="0.2">
      <c r="E2739" s="34"/>
    </row>
    <row r="2740" spans="5:5" x14ac:dyDescent="0.2">
      <c r="E2740" s="34"/>
    </row>
    <row r="2741" spans="5:5" x14ac:dyDescent="0.2">
      <c r="E2741" s="34"/>
    </row>
    <row r="2742" spans="5:5" x14ac:dyDescent="0.2">
      <c r="E2742" s="34"/>
    </row>
    <row r="2743" spans="5:5" x14ac:dyDescent="0.2">
      <c r="E2743" s="34"/>
    </row>
    <row r="2744" spans="5:5" x14ac:dyDescent="0.2">
      <c r="E2744" s="34"/>
    </row>
    <row r="2745" spans="5:5" x14ac:dyDescent="0.2">
      <c r="E2745" s="34"/>
    </row>
    <row r="2746" spans="5:5" x14ac:dyDescent="0.2">
      <c r="E2746" s="34"/>
    </row>
    <row r="2747" spans="5:5" x14ac:dyDescent="0.2">
      <c r="E2747" s="34"/>
    </row>
    <row r="2748" spans="5:5" x14ac:dyDescent="0.2">
      <c r="E2748" s="34"/>
    </row>
    <row r="2749" spans="5:5" x14ac:dyDescent="0.2">
      <c r="E2749" s="34"/>
    </row>
    <row r="2750" spans="5:5" x14ac:dyDescent="0.2">
      <c r="E2750" s="34"/>
    </row>
    <row r="2751" spans="5:5" x14ac:dyDescent="0.2">
      <c r="E2751" s="34"/>
    </row>
    <row r="2752" spans="5:5" x14ac:dyDescent="0.2">
      <c r="E2752" s="34"/>
    </row>
    <row r="2753" spans="5:5" x14ac:dyDescent="0.2">
      <c r="E2753" s="34"/>
    </row>
    <row r="2754" spans="5:5" x14ac:dyDescent="0.2">
      <c r="E2754" s="34"/>
    </row>
    <row r="2755" spans="5:5" x14ac:dyDescent="0.2">
      <c r="E2755" s="34"/>
    </row>
    <row r="2756" spans="5:5" x14ac:dyDescent="0.2">
      <c r="E2756" s="34"/>
    </row>
    <row r="2757" spans="5:5" x14ac:dyDescent="0.2">
      <c r="E2757" s="34"/>
    </row>
    <row r="2758" spans="5:5" x14ac:dyDescent="0.2">
      <c r="E2758" s="34"/>
    </row>
    <row r="2759" spans="5:5" x14ac:dyDescent="0.2">
      <c r="E2759" s="34"/>
    </row>
    <row r="2760" spans="5:5" x14ac:dyDescent="0.2">
      <c r="E2760" s="34"/>
    </row>
    <row r="2761" spans="5:5" x14ac:dyDescent="0.2">
      <c r="E2761" s="34"/>
    </row>
    <row r="2762" spans="5:5" x14ac:dyDescent="0.2">
      <c r="E2762" s="34"/>
    </row>
    <row r="2763" spans="5:5" x14ac:dyDescent="0.2">
      <c r="E2763" s="34"/>
    </row>
    <row r="2764" spans="5:5" x14ac:dyDescent="0.2">
      <c r="E2764" s="34"/>
    </row>
    <row r="2765" spans="5:5" x14ac:dyDescent="0.2">
      <c r="E2765" s="34"/>
    </row>
    <row r="2766" spans="5:5" x14ac:dyDescent="0.2">
      <c r="E2766" s="34"/>
    </row>
    <row r="2767" spans="5:5" x14ac:dyDescent="0.2">
      <c r="E2767" s="34"/>
    </row>
    <row r="2768" spans="5:5" x14ac:dyDescent="0.2">
      <c r="E2768" s="34"/>
    </row>
    <row r="2769" spans="5:5" x14ac:dyDescent="0.2">
      <c r="E2769" s="34"/>
    </row>
    <row r="2770" spans="5:5" x14ac:dyDescent="0.2">
      <c r="E2770" s="34"/>
    </row>
    <row r="2771" spans="5:5" x14ac:dyDescent="0.2">
      <c r="E2771" s="34"/>
    </row>
    <row r="2772" spans="5:5" x14ac:dyDescent="0.2">
      <c r="E2772" s="34"/>
    </row>
    <row r="2773" spans="5:5" x14ac:dyDescent="0.2">
      <c r="E2773" s="34"/>
    </row>
    <row r="2774" spans="5:5" x14ac:dyDescent="0.2">
      <c r="E2774" s="34"/>
    </row>
    <row r="2775" spans="5:5" x14ac:dyDescent="0.2">
      <c r="E2775" s="34"/>
    </row>
    <row r="2776" spans="5:5" x14ac:dyDescent="0.2">
      <c r="E2776" s="34"/>
    </row>
    <row r="2777" spans="5:5" x14ac:dyDescent="0.2">
      <c r="E2777" s="34"/>
    </row>
    <row r="2778" spans="5:5" x14ac:dyDescent="0.2">
      <c r="E2778" s="34"/>
    </row>
    <row r="2779" spans="5:5" x14ac:dyDescent="0.2">
      <c r="E2779" s="34"/>
    </row>
    <row r="2780" spans="5:5" x14ac:dyDescent="0.2">
      <c r="E2780" s="34"/>
    </row>
    <row r="2781" spans="5:5" x14ac:dyDescent="0.2">
      <c r="E2781" s="34"/>
    </row>
    <row r="2782" spans="5:5" x14ac:dyDescent="0.2">
      <c r="E2782" s="34"/>
    </row>
    <row r="2783" spans="5:5" x14ac:dyDescent="0.2">
      <c r="E2783" s="34"/>
    </row>
    <row r="2784" spans="5:5" x14ac:dyDescent="0.2">
      <c r="E2784" s="34"/>
    </row>
    <row r="2785" spans="5:5" x14ac:dyDescent="0.2">
      <c r="E2785" s="34"/>
    </row>
    <row r="2786" spans="5:5" x14ac:dyDescent="0.2">
      <c r="E2786" s="34"/>
    </row>
    <row r="2787" spans="5:5" x14ac:dyDescent="0.2">
      <c r="E2787" s="34"/>
    </row>
    <row r="2788" spans="5:5" x14ac:dyDescent="0.2">
      <c r="E2788" s="34"/>
    </row>
    <row r="2789" spans="5:5" x14ac:dyDescent="0.2">
      <c r="E2789" s="34"/>
    </row>
    <row r="2790" spans="5:5" x14ac:dyDescent="0.2">
      <c r="E2790" s="34"/>
    </row>
    <row r="2791" spans="5:5" x14ac:dyDescent="0.2">
      <c r="E2791" s="34"/>
    </row>
    <row r="2792" spans="5:5" x14ac:dyDescent="0.2">
      <c r="E2792" s="34"/>
    </row>
    <row r="2793" spans="5:5" x14ac:dyDescent="0.2">
      <c r="E2793" s="34"/>
    </row>
    <row r="2794" spans="5:5" x14ac:dyDescent="0.2">
      <c r="E2794" s="34"/>
    </row>
    <row r="2795" spans="5:5" x14ac:dyDescent="0.2">
      <c r="E2795" s="34"/>
    </row>
    <row r="2796" spans="5:5" x14ac:dyDescent="0.2">
      <c r="E2796" s="34"/>
    </row>
    <row r="2797" spans="5:5" x14ac:dyDescent="0.2">
      <c r="E2797" s="34"/>
    </row>
    <row r="2798" spans="5:5" x14ac:dyDescent="0.2">
      <c r="E2798" s="34"/>
    </row>
    <row r="2799" spans="5:5" x14ac:dyDescent="0.2">
      <c r="E2799" s="34"/>
    </row>
    <row r="2800" spans="5:5" x14ac:dyDescent="0.2">
      <c r="E2800" s="34"/>
    </row>
    <row r="2801" spans="5:5" x14ac:dyDescent="0.2">
      <c r="E2801" s="34"/>
    </row>
    <row r="2802" spans="5:5" x14ac:dyDescent="0.2">
      <c r="E2802" s="34"/>
    </row>
    <row r="2803" spans="5:5" x14ac:dyDescent="0.2">
      <c r="E2803" s="34"/>
    </row>
    <row r="2804" spans="5:5" x14ac:dyDescent="0.2">
      <c r="E2804" s="34"/>
    </row>
    <row r="2805" spans="5:5" x14ac:dyDescent="0.2">
      <c r="E2805" s="34"/>
    </row>
    <row r="2806" spans="5:5" x14ac:dyDescent="0.2">
      <c r="E2806" s="34"/>
    </row>
    <row r="2807" spans="5:5" x14ac:dyDescent="0.2">
      <c r="E2807" s="34"/>
    </row>
    <row r="2808" spans="5:5" x14ac:dyDescent="0.2">
      <c r="E2808" s="34"/>
    </row>
    <row r="2809" spans="5:5" x14ac:dyDescent="0.2">
      <c r="E2809" s="34"/>
    </row>
    <row r="2810" spans="5:5" x14ac:dyDescent="0.2">
      <c r="E2810" s="34"/>
    </row>
    <row r="2811" spans="5:5" x14ac:dyDescent="0.2">
      <c r="E2811" s="34"/>
    </row>
    <row r="2812" spans="5:5" x14ac:dyDescent="0.2">
      <c r="E2812" s="34"/>
    </row>
    <row r="2813" spans="5:5" x14ac:dyDescent="0.2">
      <c r="E2813" s="34"/>
    </row>
    <row r="2814" spans="5:5" x14ac:dyDescent="0.2">
      <c r="E2814" s="34"/>
    </row>
    <row r="2815" spans="5:5" x14ac:dyDescent="0.2">
      <c r="E2815" s="34"/>
    </row>
    <row r="2816" spans="5:5" x14ac:dyDescent="0.2">
      <c r="E2816" s="34"/>
    </row>
    <row r="2817" spans="5:5" x14ac:dyDescent="0.2">
      <c r="E2817" s="34"/>
    </row>
    <row r="2818" spans="5:5" x14ac:dyDescent="0.2">
      <c r="E2818" s="34"/>
    </row>
    <row r="2819" spans="5:5" x14ac:dyDescent="0.2">
      <c r="E2819" s="34"/>
    </row>
    <row r="2820" spans="5:5" x14ac:dyDescent="0.2">
      <c r="E2820" s="34"/>
    </row>
    <row r="2821" spans="5:5" x14ac:dyDescent="0.2">
      <c r="E2821" s="34"/>
    </row>
    <row r="2822" spans="5:5" x14ac:dyDescent="0.2">
      <c r="E2822" s="34"/>
    </row>
    <row r="2823" spans="5:5" x14ac:dyDescent="0.2">
      <c r="E2823" s="34"/>
    </row>
    <row r="2824" spans="5:5" x14ac:dyDescent="0.2">
      <c r="E2824" s="34"/>
    </row>
    <row r="2825" spans="5:5" x14ac:dyDescent="0.2">
      <c r="E2825" s="34"/>
    </row>
    <row r="2826" spans="5:5" x14ac:dyDescent="0.2">
      <c r="E2826" s="34"/>
    </row>
    <row r="2827" spans="5:5" x14ac:dyDescent="0.2">
      <c r="E2827" s="34"/>
    </row>
    <row r="2828" spans="5:5" x14ac:dyDescent="0.2">
      <c r="E2828" s="34"/>
    </row>
    <row r="2829" spans="5:5" x14ac:dyDescent="0.2">
      <c r="E2829" s="34"/>
    </row>
    <row r="2830" spans="5:5" x14ac:dyDescent="0.2">
      <c r="E2830" s="34"/>
    </row>
    <row r="2831" spans="5:5" x14ac:dyDescent="0.2">
      <c r="E2831" s="34"/>
    </row>
    <row r="2832" spans="5:5" x14ac:dyDescent="0.2">
      <c r="E2832" s="34"/>
    </row>
    <row r="2833" spans="5:5" x14ac:dyDescent="0.2">
      <c r="E2833" s="34"/>
    </row>
    <row r="2834" spans="5:5" x14ac:dyDescent="0.2">
      <c r="E2834" s="34"/>
    </row>
    <row r="2835" spans="5:5" x14ac:dyDescent="0.2">
      <c r="E2835" s="34"/>
    </row>
    <row r="2836" spans="5:5" x14ac:dyDescent="0.2">
      <c r="E2836" s="34"/>
    </row>
    <row r="2837" spans="5:5" x14ac:dyDescent="0.2">
      <c r="E2837" s="34"/>
    </row>
    <row r="2838" spans="5:5" x14ac:dyDescent="0.2">
      <c r="E2838" s="34"/>
    </row>
    <row r="2839" spans="5:5" x14ac:dyDescent="0.2">
      <c r="E2839" s="34"/>
    </row>
  </sheetData>
  <mergeCells count="10">
    <mergeCell ref="A85:H85"/>
    <mergeCell ref="A133:H133"/>
    <mergeCell ref="A2:H2"/>
    <mergeCell ref="A84:H84"/>
    <mergeCell ref="A3:H3"/>
    <mergeCell ref="A132:H132"/>
    <mergeCell ref="G4:H4"/>
    <mergeCell ref="G5:H5"/>
    <mergeCell ref="G6:H6"/>
    <mergeCell ref="G8:H8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855"/>
  <sheetViews>
    <sheetView topLeftCell="B45" zoomScaleNormal="100" workbookViewId="0">
      <selection activeCell="E62" sqref="E62"/>
    </sheetView>
  </sheetViews>
  <sheetFormatPr defaultColWidth="2.140625" defaultRowHeight="12.75" x14ac:dyDescent="0.2"/>
  <cols>
    <col min="1" max="1" width="56.7109375" style="6" customWidth="1"/>
    <col min="2" max="3" width="11.7109375" style="6" customWidth="1"/>
    <col min="4" max="6" width="10.7109375" style="6" customWidth="1"/>
    <col min="7" max="8" width="11.7109375" style="6" customWidth="1"/>
    <col min="9" max="16384" width="2.140625" style="6"/>
  </cols>
  <sheetData>
    <row r="1" spans="1:8" x14ac:dyDescent="0.2">
      <c r="H1" s="45" t="s">
        <v>27</v>
      </c>
    </row>
    <row r="2" spans="1:8" ht="20.25" x14ac:dyDescent="0.3">
      <c r="A2" s="312" t="s">
        <v>9</v>
      </c>
      <c r="B2" s="312"/>
      <c r="C2" s="312"/>
      <c r="D2" s="312"/>
      <c r="E2" s="312"/>
      <c r="F2" s="312"/>
      <c r="G2" s="312"/>
      <c r="H2" s="312"/>
    </row>
    <row r="3" spans="1:8" ht="21" thickBot="1" x14ac:dyDescent="0.35">
      <c r="A3" s="312" t="s">
        <v>206</v>
      </c>
      <c r="B3" s="312"/>
      <c r="C3" s="312"/>
      <c r="D3" s="312"/>
      <c r="E3" s="312"/>
      <c r="F3" s="312"/>
      <c r="G3" s="312"/>
      <c r="H3" s="312"/>
    </row>
    <row r="4" spans="1:8" ht="13.5" thickBot="1" x14ac:dyDescent="0.25">
      <c r="A4" s="63"/>
      <c r="B4" s="63"/>
      <c r="C4" s="63"/>
      <c r="D4" s="63"/>
      <c r="E4" s="63"/>
      <c r="F4" s="63"/>
      <c r="G4" s="313" t="s">
        <v>185</v>
      </c>
      <c r="H4" s="314"/>
    </row>
    <row r="5" spans="1:8" x14ac:dyDescent="0.2">
      <c r="A5" s="67" t="s">
        <v>207</v>
      </c>
      <c r="B5" s="61"/>
      <c r="C5" s="62"/>
      <c r="D5" s="1"/>
      <c r="G5" s="315" t="s">
        <v>183</v>
      </c>
      <c r="H5" s="316"/>
    </row>
    <row r="6" spans="1:8" x14ac:dyDescent="0.2">
      <c r="A6" s="8"/>
      <c r="B6" s="31"/>
      <c r="C6" s="68"/>
      <c r="E6" s="66"/>
      <c r="F6" s="66"/>
      <c r="G6" s="317" t="s">
        <v>91</v>
      </c>
      <c r="H6" s="318"/>
    </row>
    <row r="7" spans="1:8" x14ac:dyDescent="0.2">
      <c r="A7" s="8" t="s">
        <v>208</v>
      </c>
      <c r="B7" s="31"/>
      <c r="C7" s="299">
        <f>G51-C51</f>
        <v>2.8084769859103922</v>
      </c>
      <c r="E7" s="38"/>
      <c r="F7" s="38"/>
      <c r="G7" s="285"/>
      <c r="H7" s="286"/>
    </row>
    <row r="8" spans="1:8" x14ac:dyDescent="0.2">
      <c r="A8" s="8"/>
      <c r="B8" s="31"/>
      <c r="C8" s="32"/>
      <c r="E8" s="38"/>
      <c r="F8" s="38"/>
      <c r="G8" s="319">
        <f>'Street Lighting'!G62-'Street Lighting'!C62</f>
        <v>2.7515977510158844</v>
      </c>
      <c r="H8" s="320"/>
    </row>
    <row r="9" spans="1:8" ht="13.5" thickBot="1" x14ac:dyDescent="0.25">
      <c r="A9" s="51" t="s">
        <v>209</v>
      </c>
      <c r="B9" s="33"/>
      <c r="C9" s="219">
        <f>E51</f>
        <v>2.6598936187176614</v>
      </c>
      <c r="E9" s="38"/>
      <c r="F9" s="38"/>
      <c r="G9" s="292"/>
      <c r="H9" s="291"/>
    </row>
    <row r="10" spans="1:8" ht="13.5" thickBot="1" x14ac:dyDescent="0.25">
      <c r="A10" s="47"/>
      <c r="B10" s="31"/>
      <c r="C10" s="48"/>
      <c r="D10" s="7"/>
      <c r="E10" s="7"/>
      <c r="F10" s="7"/>
      <c r="G10" s="7"/>
      <c r="H10" s="7"/>
    </row>
    <row r="11" spans="1:8" ht="64.5" thickBot="1" x14ac:dyDescent="0.25">
      <c r="A11" s="2" t="s">
        <v>0</v>
      </c>
      <c r="B11" s="9" t="s">
        <v>46</v>
      </c>
      <c r="C11" s="9" t="s">
        <v>200</v>
      </c>
      <c r="D11" s="9" t="s">
        <v>51</v>
      </c>
      <c r="E11" s="9" t="s">
        <v>220</v>
      </c>
      <c r="F11" s="9" t="s">
        <v>6</v>
      </c>
      <c r="G11" s="9" t="s">
        <v>47</v>
      </c>
      <c r="H11" s="3" t="s">
        <v>48</v>
      </c>
    </row>
    <row r="12" spans="1:8" x14ac:dyDescent="0.2">
      <c r="A12" s="10"/>
      <c r="B12" s="11"/>
      <c r="C12" s="11"/>
      <c r="D12" s="11"/>
      <c r="E12" s="11"/>
      <c r="F12" s="11"/>
      <c r="G12" s="11"/>
      <c r="H12" s="10"/>
    </row>
    <row r="13" spans="1:8" x14ac:dyDescent="0.2">
      <c r="A13" s="44" t="s">
        <v>210</v>
      </c>
      <c r="B13" s="13"/>
      <c r="C13" s="14"/>
      <c r="D13" s="15"/>
      <c r="E13" s="16"/>
      <c r="F13" s="16"/>
      <c r="G13" s="14"/>
      <c r="H13" s="10"/>
    </row>
    <row r="14" spans="1:8" x14ac:dyDescent="0.2">
      <c r="A14" s="79" t="s">
        <v>13</v>
      </c>
      <c r="B14" s="83"/>
      <c r="C14" s="234">
        <f>D14/B18*100</f>
        <v>14.702343669454168</v>
      </c>
      <c r="D14" s="194">
        <v>3.4278915404499988</v>
      </c>
      <c r="E14" s="149">
        <f>F14-D14</f>
        <v>0</v>
      </c>
      <c r="F14" s="149">
        <f>D14</f>
        <v>3.4278915404499988</v>
      </c>
      <c r="G14" s="234">
        <f>F14/B18*100</f>
        <v>14.702343669454168</v>
      </c>
      <c r="H14" s="18"/>
    </row>
    <row r="15" spans="1:8" x14ac:dyDescent="0.2">
      <c r="A15" s="79"/>
      <c r="B15" s="83"/>
      <c r="C15" s="234"/>
      <c r="D15" s="194"/>
      <c r="E15" s="149"/>
      <c r="F15" s="149"/>
      <c r="G15" s="304"/>
      <c r="H15" s="18"/>
    </row>
    <row r="16" spans="1:8" x14ac:dyDescent="0.2">
      <c r="A16" s="63" t="s">
        <v>12</v>
      </c>
      <c r="B16" s="83">
        <v>23.315272840287655</v>
      </c>
      <c r="C16" s="234">
        <v>6.5</v>
      </c>
      <c r="D16" s="194">
        <f>C16*B16/100</f>
        <v>1.5154927346186975</v>
      </c>
      <c r="E16" s="149">
        <f>Residential!$N$58*B16</f>
        <v>0.65480407192169421</v>
      </c>
      <c r="F16" s="149">
        <f>D16+E16</f>
        <v>2.1702968065403918</v>
      </c>
      <c r="G16" s="234">
        <f>F16/B16*100</f>
        <v>9.3084769859103886</v>
      </c>
      <c r="H16" s="19"/>
    </row>
    <row r="17" spans="1:8" x14ac:dyDescent="0.2">
      <c r="A17" s="12"/>
      <c r="B17" s="83"/>
      <c r="C17" s="234"/>
      <c r="D17" s="194"/>
      <c r="E17" s="149"/>
      <c r="F17" s="149"/>
      <c r="G17" s="234"/>
      <c r="H17" s="19"/>
    </row>
    <row r="18" spans="1:8" ht="13.5" thickBot="1" x14ac:dyDescent="0.25">
      <c r="A18" s="146"/>
      <c r="B18" s="166">
        <f>B16</f>
        <v>23.315272840287655</v>
      </c>
      <c r="C18" s="305">
        <f>D18/B18*100</f>
        <v>21.202343669454169</v>
      </c>
      <c r="D18" s="225">
        <f>D14+D16</f>
        <v>4.9433842750686967</v>
      </c>
      <c r="E18" s="225">
        <f>E16</f>
        <v>0.65480407192169421</v>
      </c>
      <c r="F18" s="225">
        <f>SUM(F14:F16)</f>
        <v>5.5981883469903906</v>
      </c>
      <c r="G18" s="305">
        <f>F18/B18*100</f>
        <v>24.010820655364558</v>
      </c>
      <c r="H18" s="106">
        <f>(G18-C18)/C18</f>
        <v>0.13246068593617366</v>
      </c>
    </row>
    <row r="19" spans="1:8" ht="13.5" thickTop="1" x14ac:dyDescent="0.2">
      <c r="A19" s="12"/>
      <c r="B19" s="173"/>
      <c r="C19" s="112"/>
      <c r="D19" s="24"/>
      <c r="E19" s="24"/>
      <c r="F19" s="24"/>
      <c r="G19" s="112"/>
      <c r="H19" s="23"/>
    </row>
    <row r="20" spans="1:8" x14ac:dyDescent="0.2">
      <c r="A20" s="44" t="s">
        <v>211</v>
      </c>
      <c r="B20" s="172"/>
      <c r="C20" s="112"/>
      <c r="D20" s="24"/>
      <c r="E20" s="24"/>
      <c r="F20" s="24"/>
      <c r="G20" s="112"/>
      <c r="H20" s="24"/>
    </row>
    <row r="21" spans="1:8" x14ac:dyDescent="0.2">
      <c r="A21" s="79" t="s">
        <v>13</v>
      </c>
      <c r="B21" s="172"/>
      <c r="C21" s="145">
        <f>D21/B25*100</f>
        <v>2.9399955268368907</v>
      </c>
      <c r="D21" s="149">
        <v>1.5436219818499994</v>
      </c>
      <c r="E21" s="149">
        <f>F21-D21</f>
        <v>0</v>
      </c>
      <c r="F21" s="149">
        <f>D21</f>
        <v>1.5436219818499994</v>
      </c>
      <c r="G21" s="234">
        <f>F21/B25*100</f>
        <v>2.9399955268368907</v>
      </c>
      <c r="H21" s="18"/>
    </row>
    <row r="22" spans="1:8" x14ac:dyDescent="0.2">
      <c r="A22" s="79"/>
      <c r="B22" s="172"/>
      <c r="C22" s="112"/>
      <c r="D22" s="24"/>
      <c r="E22" s="149"/>
      <c r="F22" s="149"/>
      <c r="G22" s="304"/>
      <c r="H22" s="18"/>
    </row>
    <row r="23" spans="1:8" x14ac:dyDescent="0.2">
      <c r="A23" s="63" t="s">
        <v>12</v>
      </c>
      <c r="B23" s="82">
        <v>52.504228926863895</v>
      </c>
      <c r="C23" s="145">
        <v>6.5</v>
      </c>
      <c r="D23" s="149">
        <f>C23*B23/100</f>
        <v>3.4127748802461531</v>
      </c>
      <c r="E23" s="149">
        <f>Residential!$N$58*B23</f>
        <v>1.4745691860406775</v>
      </c>
      <c r="F23" s="149">
        <f>D23+E23</f>
        <v>4.8873440662868308</v>
      </c>
      <c r="G23" s="234">
        <f>F23/B23*100</f>
        <v>9.3084769859103886</v>
      </c>
      <c r="H23" s="19"/>
    </row>
    <row r="24" spans="1:8" x14ac:dyDescent="0.2">
      <c r="A24" s="12"/>
      <c r="B24" s="82"/>
      <c r="C24" s="306"/>
      <c r="D24" s="226"/>
      <c r="E24" s="149"/>
      <c r="F24" s="149"/>
      <c r="G24" s="234"/>
      <c r="H24" s="19"/>
    </row>
    <row r="25" spans="1:8" ht="13.5" thickBot="1" x14ac:dyDescent="0.25">
      <c r="A25" s="146" t="s">
        <v>212</v>
      </c>
      <c r="B25" s="166">
        <f>B23</f>
        <v>52.504228926863895</v>
      </c>
      <c r="C25" s="305">
        <f>D25/B25*100</f>
        <v>9.4399955268368902</v>
      </c>
      <c r="D25" s="225">
        <f>D21+D23</f>
        <v>4.9563968620961525</v>
      </c>
      <c r="E25" s="225">
        <f>E23</f>
        <v>1.4745691860406775</v>
      </c>
      <c r="F25" s="225">
        <f>SUM(F21:F23)</f>
        <v>6.4309660481368303</v>
      </c>
      <c r="G25" s="305">
        <f>F25/B25*100</f>
        <v>12.248472512747281</v>
      </c>
      <c r="H25" s="106">
        <f>(G25-C25)/C25</f>
        <v>0.29750829626202607</v>
      </c>
    </row>
    <row r="26" spans="1:8" ht="13.5" thickTop="1" x14ac:dyDescent="0.2">
      <c r="A26" s="56"/>
      <c r="B26" s="82"/>
      <c r="C26" s="306"/>
      <c r="D26" s="226"/>
      <c r="E26" s="226"/>
      <c r="F26" s="226"/>
      <c r="G26" s="306"/>
      <c r="H26" s="25"/>
    </row>
    <row r="27" spans="1:8" x14ac:dyDescent="0.2">
      <c r="A27" s="56"/>
      <c r="B27" s="82"/>
      <c r="C27" s="306"/>
      <c r="D27" s="226"/>
      <c r="E27" s="226"/>
      <c r="F27" s="226"/>
      <c r="G27" s="306"/>
      <c r="H27" s="25"/>
    </row>
    <row r="28" spans="1:8" x14ac:dyDescent="0.2">
      <c r="A28" s="44" t="s">
        <v>213</v>
      </c>
      <c r="B28" s="82"/>
      <c r="C28" s="306"/>
      <c r="D28" s="226"/>
      <c r="E28" s="226"/>
      <c r="F28" s="226"/>
      <c r="G28" s="306"/>
      <c r="H28" s="25"/>
    </row>
    <row r="29" spans="1:8" x14ac:dyDescent="0.2">
      <c r="A29" s="79" t="s">
        <v>13</v>
      </c>
      <c r="B29" s="82"/>
      <c r="C29" s="271">
        <f>D29/B33*100</f>
        <v>1.5941142422068344E-4</v>
      </c>
      <c r="D29" s="149">
        <v>6.3373214780296416E-6</v>
      </c>
      <c r="E29" s="149">
        <f>F29-D29</f>
        <v>0</v>
      </c>
      <c r="F29" s="149">
        <f>D29</f>
        <v>6.3373214780296416E-6</v>
      </c>
      <c r="G29" s="234">
        <f>F29/B33*100</f>
        <v>1.5941142422068344E-4</v>
      </c>
      <c r="H29" s="18"/>
    </row>
    <row r="30" spans="1:8" x14ac:dyDescent="0.2">
      <c r="A30" s="79"/>
      <c r="B30" s="82"/>
      <c r="C30" s="306"/>
      <c r="D30" s="226"/>
      <c r="E30" s="149"/>
      <c r="F30" s="149"/>
      <c r="G30" s="304"/>
      <c r="H30" s="18"/>
    </row>
    <row r="31" spans="1:8" x14ac:dyDescent="0.2">
      <c r="A31" s="63" t="s">
        <v>12</v>
      </c>
      <c r="B31" s="82">
        <v>3.975450008687258</v>
      </c>
      <c r="C31" s="145">
        <f>1.67129075+6.5</f>
        <v>8.1712907500000007</v>
      </c>
      <c r="D31" s="149">
        <f>C31*B31/100</f>
        <v>0.32484557883073611</v>
      </c>
      <c r="E31" s="149">
        <f>Residential!$N$58*B31</f>
        <v>0.11164959858035418</v>
      </c>
      <c r="F31" s="149">
        <f>D31+E31</f>
        <v>0.43649517741109028</v>
      </c>
      <c r="G31" s="234">
        <f>F31/B31*100</f>
        <v>10.979767735910388</v>
      </c>
      <c r="H31" s="19"/>
    </row>
    <row r="32" spans="1:8" x14ac:dyDescent="0.2">
      <c r="A32" s="12"/>
      <c r="B32" s="82"/>
      <c r="C32" s="306"/>
      <c r="D32" s="194"/>
      <c r="E32" s="149"/>
      <c r="F32" s="149"/>
      <c r="G32" s="234"/>
      <c r="H32" s="19"/>
    </row>
    <row r="33" spans="1:8" ht="13.5" thickBot="1" x14ac:dyDescent="0.25">
      <c r="A33" s="146" t="s">
        <v>214</v>
      </c>
      <c r="B33" s="166">
        <f>B31</f>
        <v>3.975450008687258</v>
      </c>
      <c r="C33" s="305">
        <f>D33/B33*100</f>
        <v>8.1714501614242216</v>
      </c>
      <c r="D33" s="229">
        <f>D29+D31</f>
        <v>0.32485191615221415</v>
      </c>
      <c r="E33" s="225">
        <f>E31</f>
        <v>0.11164959858035418</v>
      </c>
      <c r="F33" s="225">
        <f>SUM(F29:F31)</f>
        <v>0.43650151473256832</v>
      </c>
      <c r="G33" s="305">
        <f>F33/B33*100</f>
        <v>10.979927147334609</v>
      </c>
      <c r="H33" s="106">
        <f>(G33-C33)/C33</f>
        <v>0.3436938279534083</v>
      </c>
    </row>
    <row r="34" spans="1:8" ht="13.5" thickTop="1" x14ac:dyDescent="0.2">
      <c r="A34" s="56"/>
      <c r="B34" s="86"/>
      <c r="C34" s="234"/>
      <c r="D34" s="114"/>
      <c r="E34" s="114"/>
      <c r="F34" s="114"/>
      <c r="G34" s="234"/>
    </row>
    <row r="35" spans="1:8" x14ac:dyDescent="0.2">
      <c r="A35" s="44" t="s">
        <v>215</v>
      </c>
      <c r="B35" s="82"/>
      <c r="C35" s="306"/>
      <c r="D35" s="194"/>
      <c r="E35" s="226"/>
      <c r="F35" s="149"/>
      <c r="G35" s="306"/>
      <c r="H35" s="25"/>
    </row>
    <row r="36" spans="1:8" x14ac:dyDescent="0.2">
      <c r="A36" s="79" t="s">
        <v>13</v>
      </c>
      <c r="B36" s="82"/>
      <c r="C36" s="271">
        <f>D36/B40*100</f>
        <v>11.903182979222567</v>
      </c>
      <c r="D36" s="194">
        <v>0.98561633039999996</v>
      </c>
      <c r="E36" s="149">
        <f>F36-D36</f>
        <v>0</v>
      </c>
      <c r="F36" s="149">
        <f>D36</f>
        <v>0.98561633039999996</v>
      </c>
      <c r="G36" s="234">
        <f>F36/B40*100</f>
        <v>11.903182979222567</v>
      </c>
      <c r="H36" s="18"/>
    </row>
    <row r="37" spans="1:8" x14ac:dyDescent="0.2">
      <c r="A37" s="79"/>
      <c r="B37" s="82"/>
      <c r="C37" s="306"/>
      <c r="D37" s="194"/>
      <c r="E37" s="149"/>
      <c r="F37" s="149"/>
      <c r="G37" s="304"/>
      <c r="H37" s="18"/>
    </row>
    <row r="38" spans="1:8" x14ac:dyDescent="0.2">
      <c r="A38" s="63" t="s">
        <v>12</v>
      </c>
      <c r="B38" s="82">
        <v>8.2802753861755178</v>
      </c>
      <c r="C38" s="145">
        <v>6.5</v>
      </c>
      <c r="D38" s="194">
        <f>C38*B38/100</f>
        <v>0.53821790010140869</v>
      </c>
      <c r="E38" s="149">
        <f>Residential!$N$58*B38</f>
        <v>0.23254962859074199</v>
      </c>
      <c r="F38" s="149">
        <f>D38+E38</f>
        <v>0.77076752869215071</v>
      </c>
      <c r="G38" s="234">
        <f>F38/B38*100</f>
        <v>9.3084769859103904</v>
      </c>
      <c r="H38" s="19"/>
    </row>
    <row r="39" spans="1:8" x14ac:dyDescent="0.2">
      <c r="A39" s="12"/>
      <c r="B39" s="82"/>
      <c r="C39" s="306"/>
      <c r="D39" s="194"/>
      <c r="E39" s="149"/>
      <c r="F39" s="149"/>
      <c r="G39" s="234"/>
      <c r="H39" s="19"/>
    </row>
    <row r="40" spans="1:8" ht="13.5" thickBot="1" x14ac:dyDescent="0.25">
      <c r="A40" s="146" t="s">
        <v>216</v>
      </c>
      <c r="B40" s="166">
        <f>B38</f>
        <v>8.2802753861755178</v>
      </c>
      <c r="C40" s="305">
        <f>D40/B40*100</f>
        <v>18.403182979222564</v>
      </c>
      <c r="D40" s="229">
        <f>D36+D38</f>
        <v>1.5238342305014085</v>
      </c>
      <c r="E40" s="225">
        <f>E38</f>
        <v>0.23254962859074199</v>
      </c>
      <c r="F40" s="225">
        <f>SUM(F36:F38)</f>
        <v>1.7563838590921508</v>
      </c>
      <c r="G40" s="305">
        <f>F40/B40*100</f>
        <v>21.211659965132959</v>
      </c>
      <c r="H40" s="106">
        <f>(G40-C40)/C40</f>
        <v>0.15260821940863184</v>
      </c>
    </row>
    <row r="41" spans="1:8" ht="13.5" thickTop="1" x14ac:dyDescent="0.2">
      <c r="A41" s="12"/>
      <c r="B41" s="82"/>
      <c r="C41" s="306"/>
      <c r="D41" s="194"/>
      <c r="E41" s="226"/>
      <c r="F41" s="149"/>
      <c r="G41" s="306"/>
      <c r="H41" s="25"/>
    </row>
    <row r="42" spans="1:8" x14ac:dyDescent="0.2">
      <c r="A42" s="12"/>
      <c r="B42" s="82"/>
      <c r="C42" s="306"/>
      <c r="D42" s="194"/>
      <c r="E42" s="226"/>
      <c r="F42" s="149"/>
      <c r="G42" s="306"/>
      <c r="H42" s="25"/>
    </row>
    <row r="43" spans="1:8" x14ac:dyDescent="0.2">
      <c r="A43" s="44" t="s">
        <v>217</v>
      </c>
      <c r="B43" s="82"/>
      <c r="C43" s="306"/>
      <c r="D43" s="194"/>
      <c r="E43" s="226"/>
      <c r="F43" s="149"/>
      <c r="G43" s="306"/>
      <c r="H43" s="25"/>
    </row>
    <row r="44" spans="1:8" x14ac:dyDescent="0.2">
      <c r="A44" s="79" t="s">
        <v>13</v>
      </c>
      <c r="B44" s="82"/>
      <c r="C44" s="271">
        <f>D44/B48*100</f>
        <v>4.2510383101139446</v>
      </c>
      <c r="D44" s="194">
        <v>0.28202412938538429</v>
      </c>
      <c r="E44" s="149">
        <f>F44-D44</f>
        <v>0</v>
      </c>
      <c r="F44" s="149">
        <f>D44</f>
        <v>0.28202412938538429</v>
      </c>
      <c r="G44" s="234">
        <f>F44/B48*100</f>
        <v>4.2510383101139446</v>
      </c>
      <c r="H44" s="18"/>
    </row>
    <row r="45" spans="1:8" x14ac:dyDescent="0.2">
      <c r="A45" s="79"/>
      <c r="B45" s="82"/>
      <c r="C45" s="306"/>
      <c r="D45" s="194"/>
      <c r="E45" s="149"/>
      <c r="F45" s="149"/>
      <c r="G45" s="304"/>
      <c r="H45" s="18"/>
    </row>
    <row r="46" spans="1:8" x14ac:dyDescent="0.2">
      <c r="A46" s="63" t="s">
        <v>12</v>
      </c>
      <c r="B46" s="82">
        <v>6.6342410679856929</v>
      </c>
      <c r="C46" s="145">
        <v>6.5</v>
      </c>
      <c r="D46" s="194">
        <f>C46*B46/100</f>
        <v>0.43122566941907003</v>
      </c>
      <c r="E46" s="149">
        <f>Residential!$N$58*B46</f>
        <v>0.18632113358419378</v>
      </c>
      <c r="F46" s="149">
        <f>D46+E46</f>
        <v>0.61754680300326381</v>
      </c>
      <c r="G46" s="234">
        <f>F46/B46*100</f>
        <v>9.3084769859103886</v>
      </c>
      <c r="H46" s="19"/>
    </row>
    <row r="47" spans="1:8" x14ac:dyDescent="0.2">
      <c r="A47" s="53"/>
      <c r="B47" s="85"/>
      <c r="C47" s="306"/>
      <c r="D47" s="194"/>
      <c r="E47" s="149"/>
      <c r="F47" s="149"/>
      <c r="G47" s="234"/>
      <c r="H47" s="19"/>
    </row>
    <row r="48" spans="1:8" ht="13.5" thickBot="1" x14ac:dyDescent="0.25">
      <c r="A48" s="146" t="s">
        <v>218</v>
      </c>
      <c r="B48" s="166">
        <f>B46</f>
        <v>6.6342410679856929</v>
      </c>
      <c r="C48" s="305">
        <f>D48/B48*100</f>
        <v>10.751038310113945</v>
      </c>
      <c r="D48" s="229">
        <f>D44+D46</f>
        <v>0.71324979880445438</v>
      </c>
      <c r="E48" s="225">
        <f>E46</f>
        <v>0.18632113358419378</v>
      </c>
      <c r="F48" s="225">
        <f>SUM(F44:F46)</f>
        <v>0.89957093238864805</v>
      </c>
      <c r="G48" s="305">
        <f>F48/B48*100</f>
        <v>13.559515296024333</v>
      </c>
      <c r="H48" s="106">
        <f>(G48-C48)/C48</f>
        <v>0.26122844183973737</v>
      </c>
    </row>
    <row r="49" spans="1:8" ht="13.5" thickTop="1" x14ac:dyDescent="0.2">
      <c r="A49" s="12"/>
      <c r="B49" s="85"/>
      <c r="C49" s="306"/>
      <c r="D49" s="194"/>
      <c r="E49" s="226"/>
      <c r="F49" s="149"/>
      <c r="G49" s="306"/>
      <c r="H49" s="25"/>
    </row>
    <row r="50" spans="1:8" ht="13.5" thickBot="1" x14ac:dyDescent="0.25">
      <c r="A50" s="70"/>
      <c r="B50" s="174"/>
      <c r="C50" s="307"/>
      <c r="D50" s="222"/>
      <c r="E50" s="227"/>
      <c r="F50" s="223"/>
      <c r="G50" s="307"/>
      <c r="H50" s="71"/>
    </row>
    <row r="51" spans="1:8" ht="13.5" thickBot="1" x14ac:dyDescent="0.25">
      <c r="A51" s="116" t="s">
        <v>219</v>
      </c>
      <c r="B51" s="117">
        <f>B18+B25+B33+B40+B48</f>
        <v>94.709468230000027</v>
      </c>
      <c r="C51" s="308">
        <f>D51/B51*100</f>
        <v>13.157836608648143</v>
      </c>
      <c r="D51" s="287">
        <f>D18+D25+D33+D40+D48</f>
        <v>12.461717082622927</v>
      </c>
      <c r="E51" s="287">
        <f>E18+E25+E33+E40+E48</f>
        <v>2.6598936187176614</v>
      </c>
      <c r="F51" s="287">
        <f>F18+F25+F33+F40+F48</f>
        <v>15.12161070134059</v>
      </c>
      <c r="G51" s="308">
        <f>F51/B51*100</f>
        <v>15.966313594558535</v>
      </c>
      <c r="H51" s="118">
        <f>(G51-C51)/C51</f>
        <v>0.21344519387514568</v>
      </c>
    </row>
    <row r="52" spans="1:8" x14ac:dyDescent="0.2">
      <c r="A52" s="53"/>
      <c r="B52" s="83"/>
      <c r="C52" s="234"/>
      <c r="D52" s="194"/>
      <c r="E52" s="149"/>
      <c r="F52" s="149"/>
      <c r="G52" s="309"/>
      <c r="H52" s="12"/>
    </row>
    <row r="53" spans="1:8" x14ac:dyDescent="0.2">
      <c r="A53" s="53"/>
      <c r="B53" s="83"/>
      <c r="C53" s="234"/>
      <c r="D53" s="194"/>
      <c r="E53" s="149"/>
      <c r="F53" s="149"/>
      <c r="G53" s="309"/>
      <c r="H53" s="12"/>
    </row>
    <row r="54" spans="1:8" x14ac:dyDescent="0.2">
      <c r="A54" s="12"/>
      <c r="B54" s="173"/>
      <c r="C54" s="112"/>
      <c r="D54" s="24"/>
      <c r="E54" s="24"/>
      <c r="F54" s="24"/>
      <c r="G54" s="112"/>
      <c r="H54" s="23"/>
    </row>
    <row r="55" spans="1:8" x14ac:dyDescent="0.2">
      <c r="A55" s="300" t="s">
        <v>127</v>
      </c>
      <c r="B55" s="173"/>
      <c r="C55" s="112"/>
      <c r="D55" s="24"/>
      <c r="E55" s="24"/>
      <c r="F55" s="24"/>
      <c r="G55" s="112"/>
      <c r="H55" s="23"/>
    </row>
    <row r="56" spans="1:8" x14ac:dyDescent="0.2">
      <c r="A56" s="31" t="s">
        <v>141</v>
      </c>
      <c r="C56" s="235"/>
      <c r="D56" s="302"/>
      <c r="E56" s="151"/>
      <c r="F56" s="302"/>
      <c r="G56" s="235"/>
      <c r="H56" s="31"/>
    </row>
    <row r="57" spans="1:8" x14ac:dyDescent="0.2">
      <c r="A57" s="31" t="s">
        <v>143</v>
      </c>
      <c r="C57" s="112"/>
      <c r="D57" s="303"/>
      <c r="E57" s="303"/>
      <c r="F57" s="303"/>
      <c r="G57" s="112"/>
      <c r="H57" s="23"/>
    </row>
    <row r="58" spans="1:8" x14ac:dyDescent="0.2">
      <c r="A58" s="31"/>
      <c r="B58" s="31"/>
      <c r="C58" s="112"/>
      <c r="D58" s="303"/>
      <c r="E58" s="303"/>
      <c r="F58" s="303"/>
      <c r="G58" s="112"/>
      <c r="H58" s="23"/>
    </row>
    <row r="59" spans="1:8" x14ac:dyDescent="0.2">
      <c r="A59" s="31"/>
      <c r="B59" s="31"/>
      <c r="C59" s="112"/>
      <c r="D59" s="303"/>
      <c r="E59" s="303"/>
      <c r="F59" s="303"/>
      <c r="G59" s="112"/>
      <c r="H59" s="23"/>
    </row>
    <row r="60" spans="1:8" x14ac:dyDescent="0.2">
      <c r="A60" s="31"/>
      <c r="B60" s="301"/>
      <c r="C60" s="235"/>
      <c r="D60" s="302"/>
      <c r="E60" s="151"/>
      <c r="F60" s="302"/>
      <c r="G60" s="235"/>
      <c r="H60" s="31"/>
    </row>
    <row r="61" spans="1:8" ht="13.5" thickBot="1" x14ac:dyDescent="0.25">
      <c r="A61" s="31"/>
      <c r="B61" s="31"/>
      <c r="C61" s="235"/>
      <c r="D61" s="302"/>
      <c r="E61" s="151"/>
      <c r="F61" s="302"/>
      <c r="G61" s="235"/>
      <c r="H61" s="31"/>
    </row>
    <row r="62" spans="1:8" ht="13.5" thickBot="1" x14ac:dyDescent="0.25">
      <c r="A62" s="116" t="s">
        <v>184</v>
      </c>
      <c r="B62" s="117">
        <f>Residential!B163+'Small Commercial'!B39+'Medium-Large Commercial (AB265)'!B170+B51</f>
        <v>11332.503859597982</v>
      </c>
      <c r="C62" s="308">
        <f>D62/B62*100</f>
        <v>13.090667130687326</v>
      </c>
      <c r="D62" s="287">
        <f>Residential!D163+'Small Commercial'!D39+'Medium-Large Commercial (AB265)'!D170+D51</f>
        <v>1483.5003578322655</v>
      </c>
      <c r="E62" s="287">
        <f>Residential!E163+'Small Commercial'!E39+'Medium-Large Commercial (AB265)'!E170+E51</f>
        <v>311.8249213344867</v>
      </c>
      <c r="F62" s="287">
        <f>Residential!F163+'Small Commercial'!F39+'Medium-Large Commercial (AB265)'!F170+F51</f>
        <v>1795.3252791667521</v>
      </c>
      <c r="G62" s="308">
        <f>F62/B62*100</f>
        <v>15.84226488170321</v>
      </c>
      <c r="H62" s="118">
        <f>(G62-C62)/C62</f>
        <v>0.21019537992571444</v>
      </c>
    </row>
    <row r="63" spans="1:8" x14ac:dyDescent="0.2">
      <c r="E63" s="34"/>
    </row>
    <row r="64" spans="1:8" x14ac:dyDescent="0.2">
      <c r="B64" s="125"/>
      <c r="E64" s="34"/>
      <c r="G64" s="113"/>
    </row>
    <row r="65" spans="5:5" x14ac:dyDescent="0.2">
      <c r="E65" s="34"/>
    </row>
    <row r="66" spans="5:5" x14ac:dyDescent="0.2">
      <c r="E66" s="34"/>
    </row>
    <row r="67" spans="5:5" x14ac:dyDescent="0.2">
      <c r="E67" s="34"/>
    </row>
    <row r="68" spans="5:5" x14ac:dyDescent="0.2">
      <c r="E68" s="34"/>
    </row>
    <row r="69" spans="5:5" x14ac:dyDescent="0.2">
      <c r="E69" s="34"/>
    </row>
    <row r="70" spans="5:5" x14ac:dyDescent="0.2">
      <c r="E70" s="34"/>
    </row>
    <row r="71" spans="5:5" x14ac:dyDescent="0.2">
      <c r="E71" s="34"/>
    </row>
    <row r="72" spans="5:5" x14ac:dyDescent="0.2">
      <c r="E72" s="34"/>
    </row>
    <row r="73" spans="5:5" x14ac:dyDescent="0.2">
      <c r="E73" s="34"/>
    </row>
    <row r="74" spans="5:5" x14ac:dyDescent="0.2">
      <c r="E74" s="34"/>
    </row>
    <row r="75" spans="5:5" x14ac:dyDescent="0.2">
      <c r="E75" s="34"/>
    </row>
    <row r="76" spans="5:5" x14ac:dyDescent="0.2">
      <c r="E76" s="34"/>
    </row>
    <row r="77" spans="5:5" x14ac:dyDescent="0.2">
      <c r="E77" s="34"/>
    </row>
    <row r="78" spans="5:5" x14ac:dyDescent="0.2">
      <c r="E78" s="34"/>
    </row>
    <row r="79" spans="5:5" x14ac:dyDescent="0.2">
      <c r="E79" s="34"/>
    </row>
    <row r="80" spans="5:5" x14ac:dyDescent="0.2">
      <c r="E80" s="34"/>
    </row>
    <row r="81" spans="5:5" x14ac:dyDescent="0.2">
      <c r="E81" s="34"/>
    </row>
    <row r="82" spans="5:5" x14ac:dyDescent="0.2">
      <c r="E82" s="34"/>
    </row>
    <row r="83" spans="5:5" x14ac:dyDescent="0.2">
      <c r="E83" s="34"/>
    </row>
    <row r="84" spans="5:5" x14ac:dyDescent="0.2">
      <c r="E84" s="34"/>
    </row>
    <row r="85" spans="5:5" x14ac:dyDescent="0.2">
      <c r="E85" s="34"/>
    </row>
    <row r="86" spans="5:5" x14ac:dyDescent="0.2">
      <c r="E86" s="34"/>
    </row>
    <row r="87" spans="5:5" x14ac:dyDescent="0.2">
      <c r="E87" s="34"/>
    </row>
    <row r="88" spans="5:5" x14ac:dyDescent="0.2">
      <c r="E88" s="34"/>
    </row>
    <row r="89" spans="5:5" x14ac:dyDescent="0.2">
      <c r="E89" s="34"/>
    </row>
    <row r="90" spans="5:5" x14ac:dyDescent="0.2">
      <c r="E90" s="34"/>
    </row>
    <row r="91" spans="5:5" x14ac:dyDescent="0.2">
      <c r="E91" s="34"/>
    </row>
    <row r="92" spans="5:5" x14ac:dyDescent="0.2">
      <c r="E92" s="34"/>
    </row>
    <row r="93" spans="5:5" x14ac:dyDescent="0.2">
      <c r="E93" s="34"/>
    </row>
    <row r="94" spans="5:5" x14ac:dyDescent="0.2">
      <c r="E94" s="34"/>
    </row>
    <row r="95" spans="5:5" x14ac:dyDescent="0.2">
      <c r="E95" s="34"/>
    </row>
    <row r="96" spans="5:5" x14ac:dyDescent="0.2">
      <c r="E96" s="34"/>
    </row>
    <row r="97" spans="5:5" x14ac:dyDescent="0.2">
      <c r="E97" s="34"/>
    </row>
    <row r="98" spans="5:5" x14ac:dyDescent="0.2">
      <c r="E98" s="34"/>
    </row>
    <row r="99" spans="5:5" x14ac:dyDescent="0.2">
      <c r="E99" s="34"/>
    </row>
    <row r="100" spans="5:5" x14ac:dyDescent="0.2">
      <c r="E100" s="34"/>
    </row>
    <row r="101" spans="5:5" x14ac:dyDescent="0.2">
      <c r="E101" s="34"/>
    </row>
    <row r="102" spans="5:5" x14ac:dyDescent="0.2">
      <c r="E102" s="34"/>
    </row>
    <row r="103" spans="5:5" x14ac:dyDescent="0.2">
      <c r="E103" s="34"/>
    </row>
    <row r="104" spans="5:5" x14ac:dyDescent="0.2">
      <c r="E104" s="34"/>
    </row>
    <row r="105" spans="5:5" x14ac:dyDescent="0.2">
      <c r="E105" s="34"/>
    </row>
    <row r="106" spans="5:5" x14ac:dyDescent="0.2">
      <c r="E106" s="34"/>
    </row>
    <row r="107" spans="5:5" x14ac:dyDescent="0.2">
      <c r="E107" s="34"/>
    </row>
    <row r="108" spans="5:5" x14ac:dyDescent="0.2">
      <c r="E108" s="34"/>
    </row>
    <row r="109" spans="5:5" x14ac:dyDescent="0.2">
      <c r="E109" s="34"/>
    </row>
    <row r="110" spans="5:5" x14ac:dyDescent="0.2">
      <c r="E110" s="34"/>
    </row>
    <row r="111" spans="5:5" x14ac:dyDescent="0.2">
      <c r="E111" s="34"/>
    </row>
    <row r="112" spans="5:5" x14ac:dyDescent="0.2">
      <c r="E112" s="34"/>
    </row>
    <row r="113" spans="5:5" x14ac:dyDescent="0.2">
      <c r="E113" s="34"/>
    </row>
    <row r="114" spans="5:5" x14ac:dyDescent="0.2">
      <c r="E114" s="34"/>
    </row>
    <row r="115" spans="5:5" x14ac:dyDescent="0.2">
      <c r="E115" s="34"/>
    </row>
    <row r="116" spans="5:5" x14ac:dyDescent="0.2">
      <c r="E116" s="34"/>
    </row>
    <row r="117" spans="5:5" x14ac:dyDescent="0.2">
      <c r="E117" s="34"/>
    </row>
    <row r="118" spans="5:5" x14ac:dyDescent="0.2">
      <c r="E118" s="34"/>
    </row>
    <row r="119" spans="5:5" x14ac:dyDescent="0.2">
      <c r="E119" s="34"/>
    </row>
    <row r="120" spans="5:5" x14ac:dyDescent="0.2">
      <c r="E120" s="34"/>
    </row>
    <row r="121" spans="5:5" x14ac:dyDescent="0.2">
      <c r="E121" s="34"/>
    </row>
    <row r="122" spans="5:5" x14ac:dyDescent="0.2">
      <c r="E122" s="34"/>
    </row>
    <row r="123" spans="5:5" x14ac:dyDescent="0.2">
      <c r="E123" s="34"/>
    </row>
    <row r="124" spans="5:5" x14ac:dyDescent="0.2">
      <c r="E124" s="34"/>
    </row>
    <row r="125" spans="5:5" x14ac:dyDescent="0.2">
      <c r="E125" s="34"/>
    </row>
    <row r="126" spans="5:5" x14ac:dyDescent="0.2">
      <c r="E126" s="34"/>
    </row>
    <row r="127" spans="5:5" x14ac:dyDescent="0.2">
      <c r="E127" s="34"/>
    </row>
    <row r="128" spans="5:5" x14ac:dyDescent="0.2">
      <c r="E128" s="34"/>
    </row>
    <row r="129" spans="5:5" x14ac:dyDescent="0.2">
      <c r="E129" s="34"/>
    </row>
    <row r="130" spans="5:5" x14ac:dyDescent="0.2">
      <c r="E130" s="34"/>
    </row>
    <row r="131" spans="5:5" x14ac:dyDescent="0.2">
      <c r="E131" s="34"/>
    </row>
    <row r="132" spans="5:5" x14ac:dyDescent="0.2">
      <c r="E132" s="34"/>
    </row>
    <row r="133" spans="5:5" x14ac:dyDescent="0.2">
      <c r="E133" s="34"/>
    </row>
    <row r="134" spans="5:5" x14ac:dyDescent="0.2">
      <c r="E134" s="34"/>
    </row>
    <row r="135" spans="5:5" x14ac:dyDescent="0.2">
      <c r="E135" s="34"/>
    </row>
    <row r="136" spans="5:5" x14ac:dyDescent="0.2">
      <c r="E136" s="34"/>
    </row>
    <row r="137" spans="5:5" x14ac:dyDescent="0.2">
      <c r="E137" s="34"/>
    </row>
    <row r="138" spans="5:5" x14ac:dyDescent="0.2">
      <c r="E138" s="34"/>
    </row>
    <row r="139" spans="5:5" x14ac:dyDescent="0.2">
      <c r="E139" s="34"/>
    </row>
    <row r="140" spans="5:5" x14ac:dyDescent="0.2">
      <c r="E140" s="34"/>
    </row>
    <row r="141" spans="5:5" x14ac:dyDescent="0.2">
      <c r="E141" s="34"/>
    </row>
    <row r="142" spans="5:5" x14ac:dyDescent="0.2">
      <c r="E142" s="34"/>
    </row>
    <row r="143" spans="5:5" x14ac:dyDescent="0.2">
      <c r="E143" s="34"/>
    </row>
    <row r="144" spans="5:5" x14ac:dyDescent="0.2">
      <c r="E144" s="34"/>
    </row>
    <row r="145" spans="5:5" x14ac:dyDescent="0.2">
      <c r="E145" s="34"/>
    </row>
    <row r="146" spans="5:5" x14ac:dyDescent="0.2">
      <c r="E146" s="34"/>
    </row>
    <row r="147" spans="5:5" x14ac:dyDescent="0.2">
      <c r="E147" s="34"/>
    </row>
    <row r="148" spans="5:5" x14ac:dyDescent="0.2">
      <c r="E148" s="34"/>
    </row>
    <row r="149" spans="5:5" x14ac:dyDescent="0.2">
      <c r="E149" s="34"/>
    </row>
    <row r="150" spans="5:5" x14ac:dyDescent="0.2">
      <c r="E150" s="34"/>
    </row>
    <row r="151" spans="5:5" x14ac:dyDescent="0.2">
      <c r="E151" s="34"/>
    </row>
    <row r="152" spans="5:5" x14ac:dyDescent="0.2">
      <c r="E152" s="34"/>
    </row>
    <row r="153" spans="5:5" x14ac:dyDescent="0.2">
      <c r="E153" s="34"/>
    </row>
    <row r="154" spans="5:5" x14ac:dyDescent="0.2">
      <c r="E154" s="34"/>
    </row>
    <row r="155" spans="5:5" x14ac:dyDescent="0.2">
      <c r="E155" s="34"/>
    </row>
    <row r="156" spans="5:5" x14ac:dyDescent="0.2">
      <c r="E156" s="34"/>
    </row>
    <row r="157" spans="5:5" x14ac:dyDescent="0.2">
      <c r="E157" s="34"/>
    </row>
    <row r="158" spans="5:5" x14ac:dyDescent="0.2">
      <c r="E158" s="34"/>
    </row>
    <row r="159" spans="5:5" x14ac:dyDescent="0.2">
      <c r="E159" s="34"/>
    </row>
    <row r="160" spans="5:5" x14ac:dyDescent="0.2">
      <c r="E160" s="34"/>
    </row>
    <row r="161" spans="5:5" x14ac:dyDescent="0.2">
      <c r="E161" s="34"/>
    </row>
    <row r="162" spans="5:5" x14ac:dyDescent="0.2">
      <c r="E162" s="34"/>
    </row>
    <row r="163" spans="5:5" x14ac:dyDescent="0.2">
      <c r="E163" s="34"/>
    </row>
    <row r="164" spans="5:5" x14ac:dyDescent="0.2">
      <c r="E164" s="34"/>
    </row>
    <row r="165" spans="5:5" x14ac:dyDescent="0.2">
      <c r="E165" s="34"/>
    </row>
    <row r="166" spans="5:5" x14ac:dyDescent="0.2">
      <c r="E166" s="34"/>
    </row>
    <row r="167" spans="5:5" x14ac:dyDescent="0.2">
      <c r="E167" s="34"/>
    </row>
    <row r="168" spans="5:5" x14ac:dyDescent="0.2">
      <c r="E168" s="34"/>
    </row>
    <row r="169" spans="5:5" x14ac:dyDescent="0.2">
      <c r="E169" s="34"/>
    </row>
    <row r="170" spans="5:5" x14ac:dyDescent="0.2">
      <c r="E170" s="34"/>
    </row>
    <row r="171" spans="5:5" x14ac:dyDescent="0.2">
      <c r="E171" s="34"/>
    </row>
    <row r="172" spans="5:5" x14ac:dyDescent="0.2">
      <c r="E172" s="34"/>
    </row>
    <row r="173" spans="5:5" x14ac:dyDescent="0.2">
      <c r="E173" s="34"/>
    </row>
    <row r="174" spans="5:5" x14ac:dyDescent="0.2">
      <c r="E174" s="34"/>
    </row>
    <row r="175" spans="5:5" x14ac:dyDescent="0.2">
      <c r="E175" s="34"/>
    </row>
    <row r="176" spans="5:5" x14ac:dyDescent="0.2">
      <c r="E176" s="34"/>
    </row>
    <row r="177" spans="5:5" x14ac:dyDescent="0.2">
      <c r="E177" s="34"/>
    </row>
    <row r="178" spans="5:5" x14ac:dyDescent="0.2">
      <c r="E178" s="34"/>
    </row>
    <row r="179" spans="5:5" x14ac:dyDescent="0.2">
      <c r="E179" s="34"/>
    </row>
    <row r="180" spans="5:5" x14ac:dyDescent="0.2">
      <c r="E180" s="34"/>
    </row>
    <row r="181" spans="5:5" x14ac:dyDescent="0.2">
      <c r="E181" s="34"/>
    </row>
    <row r="182" spans="5:5" x14ac:dyDescent="0.2">
      <c r="E182" s="34"/>
    </row>
    <row r="183" spans="5:5" x14ac:dyDescent="0.2">
      <c r="E183" s="34"/>
    </row>
    <row r="184" spans="5:5" x14ac:dyDescent="0.2">
      <c r="E184" s="34"/>
    </row>
    <row r="185" spans="5:5" x14ac:dyDescent="0.2">
      <c r="E185" s="34"/>
    </row>
    <row r="186" spans="5:5" x14ac:dyDescent="0.2">
      <c r="E186" s="34"/>
    </row>
    <row r="187" spans="5:5" x14ac:dyDescent="0.2">
      <c r="E187" s="34"/>
    </row>
    <row r="188" spans="5:5" x14ac:dyDescent="0.2">
      <c r="E188" s="34"/>
    </row>
    <row r="189" spans="5:5" x14ac:dyDescent="0.2">
      <c r="E189" s="34"/>
    </row>
    <row r="190" spans="5:5" x14ac:dyDescent="0.2">
      <c r="E190" s="34"/>
    </row>
    <row r="191" spans="5:5" x14ac:dyDescent="0.2">
      <c r="E191" s="34"/>
    </row>
    <row r="192" spans="5:5" x14ac:dyDescent="0.2">
      <c r="E192" s="34"/>
    </row>
    <row r="193" spans="5:5" x14ac:dyDescent="0.2">
      <c r="E193" s="34"/>
    </row>
    <row r="194" spans="5:5" x14ac:dyDescent="0.2">
      <c r="E194" s="34"/>
    </row>
    <row r="195" spans="5:5" x14ac:dyDescent="0.2">
      <c r="E195" s="34"/>
    </row>
    <row r="196" spans="5:5" x14ac:dyDescent="0.2">
      <c r="E196" s="34"/>
    </row>
    <row r="197" spans="5:5" x14ac:dyDescent="0.2">
      <c r="E197" s="34"/>
    </row>
    <row r="198" spans="5:5" x14ac:dyDescent="0.2">
      <c r="E198" s="34"/>
    </row>
    <row r="199" spans="5:5" x14ac:dyDescent="0.2">
      <c r="E199" s="34"/>
    </row>
    <row r="200" spans="5:5" x14ac:dyDescent="0.2">
      <c r="E200" s="34"/>
    </row>
    <row r="201" spans="5:5" x14ac:dyDescent="0.2">
      <c r="E201" s="34"/>
    </row>
    <row r="202" spans="5:5" x14ac:dyDescent="0.2">
      <c r="E202" s="34"/>
    </row>
    <row r="203" spans="5:5" x14ac:dyDescent="0.2">
      <c r="E203" s="34"/>
    </row>
    <row r="204" spans="5:5" x14ac:dyDescent="0.2">
      <c r="E204" s="34"/>
    </row>
    <row r="205" spans="5:5" x14ac:dyDescent="0.2">
      <c r="E205" s="34"/>
    </row>
    <row r="206" spans="5:5" x14ac:dyDescent="0.2">
      <c r="E206" s="34"/>
    </row>
    <row r="207" spans="5:5" x14ac:dyDescent="0.2">
      <c r="E207" s="34"/>
    </row>
    <row r="208" spans="5:5" x14ac:dyDescent="0.2">
      <c r="E208" s="34"/>
    </row>
    <row r="209" spans="5:5" x14ac:dyDescent="0.2">
      <c r="E209" s="34"/>
    </row>
    <row r="210" spans="5:5" x14ac:dyDescent="0.2">
      <c r="E210" s="34"/>
    </row>
    <row r="211" spans="5:5" x14ac:dyDescent="0.2">
      <c r="E211" s="34"/>
    </row>
    <row r="212" spans="5:5" x14ac:dyDescent="0.2">
      <c r="E212" s="34"/>
    </row>
    <row r="213" spans="5:5" x14ac:dyDescent="0.2">
      <c r="E213" s="34"/>
    </row>
    <row r="214" spans="5:5" x14ac:dyDescent="0.2">
      <c r="E214" s="34"/>
    </row>
    <row r="215" spans="5:5" x14ac:dyDescent="0.2">
      <c r="E215" s="34"/>
    </row>
    <row r="216" spans="5:5" x14ac:dyDescent="0.2">
      <c r="E216" s="34"/>
    </row>
    <row r="217" spans="5:5" x14ac:dyDescent="0.2">
      <c r="E217" s="34"/>
    </row>
    <row r="218" spans="5:5" x14ac:dyDescent="0.2">
      <c r="E218" s="34"/>
    </row>
    <row r="219" spans="5:5" x14ac:dyDescent="0.2">
      <c r="E219" s="34"/>
    </row>
    <row r="220" spans="5:5" x14ac:dyDescent="0.2">
      <c r="E220" s="34"/>
    </row>
    <row r="221" spans="5:5" x14ac:dyDescent="0.2">
      <c r="E221" s="34"/>
    </row>
    <row r="222" spans="5:5" x14ac:dyDescent="0.2">
      <c r="E222" s="34"/>
    </row>
    <row r="223" spans="5:5" x14ac:dyDescent="0.2">
      <c r="E223" s="34"/>
    </row>
    <row r="224" spans="5:5" x14ac:dyDescent="0.2">
      <c r="E224" s="34"/>
    </row>
    <row r="225" spans="5:5" x14ac:dyDescent="0.2">
      <c r="E225" s="34"/>
    </row>
    <row r="226" spans="5:5" x14ac:dyDescent="0.2">
      <c r="E226" s="34"/>
    </row>
    <row r="227" spans="5:5" x14ac:dyDescent="0.2">
      <c r="E227" s="34"/>
    </row>
    <row r="228" spans="5:5" x14ac:dyDescent="0.2">
      <c r="E228" s="34"/>
    </row>
    <row r="229" spans="5:5" x14ac:dyDescent="0.2">
      <c r="E229" s="34"/>
    </row>
    <row r="230" spans="5:5" x14ac:dyDescent="0.2">
      <c r="E230" s="34"/>
    </row>
    <row r="231" spans="5:5" x14ac:dyDescent="0.2">
      <c r="E231" s="34"/>
    </row>
    <row r="232" spans="5:5" x14ac:dyDescent="0.2">
      <c r="E232" s="34"/>
    </row>
    <row r="233" spans="5:5" x14ac:dyDescent="0.2">
      <c r="E233" s="34"/>
    </row>
    <row r="234" spans="5:5" x14ac:dyDescent="0.2">
      <c r="E234" s="34"/>
    </row>
    <row r="235" spans="5:5" x14ac:dyDescent="0.2">
      <c r="E235" s="34"/>
    </row>
    <row r="236" spans="5:5" x14ac:dyDescent="0.2">
      <c r="E236" s="34"/>
    </row>
    <row r="237" spans="5:5" x14ac:dyDescent="0.2">
      <c r="E237" s="34"/>
    </row>
    <row r="238" spans="5:5" x14ac:dyDescent="0.2">
      <c r="E238" s="34"/>
    </row>
    <row r="239" spans="5:5" x14ac:dyDescent="0.2">
      <c r="E239" s="34"/>
    </row>
    <row r="240" spans="5:5" x14ac:dyDescent="0.2">
      <c r="E240" s="34"/>
    </row>
    <row r="241" spans="5:5" x14ac:dyDescent="0.2">
      <c r="E241" s="34"/>
    </row>
    <row r="242" spans="5:5" x14ac:dyDescent="0.2">
      <c r="E242" s="34"/>
    </row>
    <row r="243" spans="5:5" x14ac:dyDescent="0.2">
      <c r="E243" s="34"/>
    </row>
    <row r="244" spans="5:5" x14ac:dyDescent="0.2">
      <c r="E244" s="34"/>
    </row>
    <row r="245" spans="5:5" x14ac:dyDescent="0.2">
      <c r="E245" s="34"/>
    </row>
    <row r="246" spans="5:5" x14ac:dyDescent="0.2">
      <c r="E246" s="34"/>
    </row>
    <row r="247" spans="5:5" x14ac:dyDescent="0.2">
      <c r="E247" s="34"/>
    </row>
    <row r="248" spans="5:5" x14ac:dyDescent="0.2">
      <c r="E248" s="34"/>
    </row>
    <row r="249" spans="5:5" x14ac:dyDescent="0.2">
      <c r="E249" s="34"/>
    </row>
    <row r="250" spans="5:5" x14ac:dyDescent="0.2">
      <c r="E250" s="34"/>
    </row>
    <row r="251" spans="5:5" x14ac:dyDescent="0.2">
      <c r="E251" s="34"/>
    </row>
    <row r="252" spans="5:5" x14ac:dyDescent="0.2">
      <c r="E252" s="34"/>
    </row>
    <row r="253" spans="5:5" x14ac:dyDescent="0.2">
      <c r="E253" s="34"/>
    </row>
    <row r="254" spans="5:5" x14ac:dyDescent="0.2">
      <c r="E254" s="34"/>
    </row>
    <row r="255" spans="5:5" x14ac:dyDescent="0.2">
      <c r="E255" s="34"/>
    </row>
    <row r="256" spans="5:5" x14ac:dyDescent="0.2">
      <c r="E256" s="34"/>
    </row>
    <row r="257" spans="5:5" x14ac:dyDescent="0.2">
      <c r="E257" s="34"/>
    </row>
    <row r="258" spans="5:5" x14ac:dyDescent="0.2">
      <c r="E258" s="34"/>
    </row>
    <row r="259" spans="5:5" x14ac:dyDescent="0.2">
      <c r="E259" s="34"/>
    </row>
    <row r="260" spans="5:5" x14ac:dyDescent="0.2">
      <c r="E260" s="34"/>
    </row>
    <row r="261" spans="5:5" x14ac:dyDescent="0.2">
      <c r="E261" s="34"/>
    </row>
    <row r="262" spans="5:5" x14ac:dyDescent="0.2">
      <c r="E262" s="34"/>
    </row>
    <row r="263" spans="5:5" x14ac:dyDescent="0.2">
      <c r="E263" s="34"/>
    </row>
    <row r="264" spans="5:5" x14ac:dyDescent="0.2">
      <c r="E264" s="34"/>
    </row>
    <row r="265" spans="5:5" x14ac:dyDescent="0.2">
      <c r="E265" s="34"/>
    </row>
    <row r="266" spans="5:5" x14ac:dyDescent="0.2">
      <c r="E266" s="34"/>
    </row>
    <row r="267" spans="5:5" x14ac:dyDescent="0.2">
      <c r="E267" s="34"/>
    </row>
    <row r="268" spans="5:5" x14ac:dyDescent="0.2">
      <c r="E268" s="34"/>
    </row>
    <row r="269" spans="5:5" x14ac:dyDescent="0.2">
      <c r="E269" s="34"/>
    </row>
    <row r="270" spans="5:5" x14ac:dyDescent="0.2">
      <c r="E270" s="34"/>
    </row>
    <row r="271" spans="5:5" x14ac:dyDescent="0.2">
      <c r="E271" s="34"/>
    </row>
    <row r="272" spans="5:5" x14ac:dyDescent="0.2">
      <c r="E272" s="34"/>
    </row>
    <row r="273" spans="5:5" x14ac:dyDescent="0.2">
      <c r="E273" s="34"/>
    </row>
    <row r="274" spans="5:5" x14ac:dyDescent="0.2">
      <c r="E274" s="34"/>
    </row>
    <row r="275" spans="5:5" x14ac:dyDescent="0.2">
      <c r="E275" s="34"/>
    </row>
    <row r="276" spans="5:5" x14ac:dyDescent="0.2">
      <c r="E276" s="34"/>
    </row>
    <row r="277" spans="5:5" x14ac:dyDescent="0.2">
      <c r="E277" s="34"/>
    </row>
    <row r="278" spans="5:5" x14ac:dyDescent="0.2">
      <c r="E278" s="34"/>
    </row>
    <row r="279" spans="5:5" x14ac:dyDescent="0.2">
      <c r="E279" s="34"/>
    </row>
    <row r="280" spans="5:5" x14ac:dyDescent="0.2">
      <c r="E280" s="34"/>
    </row>
    <row r="281" spans="5:5" x14ac:dyDescent="0.2">
      <c r="E281" s="34"/>
    </row>
    <row r="282" spans="5:5" x14ac:dyDescent="0.2">
      <c r="E282" s="34"/>
    </row>
    <row r="283" spans="5:5" x14ac:dyDescent="0.2">
      <c r="E283" s="34"/>
    </row>
    <row r="284" spans="5:5" x14ac:dyDescent="0.2">
      <c r="E284" s="34"/>
    </row>
    <row r="285" spans="5:5" x14ac:dyDescent="0.2">
      <c r="E285" s="34"/>
    </row>
    <row r="286" spans="5:5" x14ac:dyDescent="0.2">
      <c r="E286" s="34"/>
    </row>
    <row r="287" spans="5:5" x14ac:dyDescent="0.2">
      <c r="E287" s="34"/>
    </row>
    <row r="288" spans="5:5" x14ac:dyDescent="0.2">
      <c r="E288" s="34"/>
    </row>
    <row r="289" spans="5:5" x14ac:dyDescent="0.2">
      <c r="E289" s="34"/>
    </row>
    <row r="290" spans="5:5" x14ac:dyDescent="0.2">
      <c r="E290" s="34"/>
    </row>
    <row r="291" spans="5:5" x14ac:dyDescent="0.2">
      <c r="E291" s="34"/>
    </row>
    <row r="292" spans="5:5" x14ac:dyDescent="0.2">
      <c r="E292" s="34"/>
    </row>
    <row r="293" spans="5:5" x14ac:dyDescent="0.2">
      <c r="E293" s="34"/>
    </row>
    <row r="294" spans="5:5" x14ac:dyDescent="0.2">
      <c r="E294" s="34"/>
    </row>
    <row r="295" spans="5:5" x14ac:dyDescent="0.2">
      <c r="E295" s="34"/>
    </row>
    <row r="296" spans="5:5" x14ac:dyDescent="0.2">
      <c r="E296" s="34"/>
    </row>
    <row r="297" spans="5:5" x14ac:dyDescent="0.2">
      <c r="E297" s="34"/>
    </row>
    <row r="298" spans="5:5" x14ac:dyDescent="0.2">
      <c r="E298" s="34"/>
    </row>
    <row r="299" spans="5:5" x14ac:dyDescent="0.2">
      <c r="E299" s="34"/>
    </row>
    <row r="300" spans="5:5" x14ac:dyDescent="0.2">
      <c r="E300" s="34"/>
    </row>
    <row r="301" spans="5:5" x14ac:dyDescent="0.2">
      <c r="E301" s="34"/>
    </row>
    <row r="302" spans="5:5" x14ac:dyDescent="0.2">
      <c r="E302" s="34"/>
    </row>
    <row r="303" spans="5:5" x14ac:dyDescent="0.2">
      <c r="E303" s="34"/>
    </row>
    <row r="304" spans="5:5" x14ac:dyDescent="0.2">
      <c r="E304" s="34"/>
    </row>
    <row r="305" spans="5:5" x14ac:dyDescent="0.2">
      <c r="E305" s="34"/>
    </row>
    <row r="306" spans="5:5" x14ac:dyDescent="0.2">
      <c r="E306" s="34"/>
    </row>
    <row r="307" spans="5:5" x14ac:dyDescent="0.2">
      <c r="E307" s="34"/>
    </row>
    <row r="308" spans="5:5" x14ac:dyDescent="0.2">
      <c r="E308" s="34"/>
    </row>
    <row r="309" spans="5:5" x14ac:dyDescent="0.2">
      <c r="E309" s="34"/>
    </row>
    <row r="310" spans="5:5" x14ac:dyDescent="0.2">
      <c r="E310" s="34"/>
    </row>
    <row r="311" spans="5:5" x14ac:dyDescent="0.2">
      <c r="E311" s="34"/>
    </row>
    <row r="312" spans="5:5" x14ac:dyDescent="0.2">
      <c r="E312" s="34"/>
    </row>
    <row r="313" spans="5:5" x14ac:dyDescent="0.2">
      <c r="E313" s="34"/>
    </row>
    <row r="314" spans="5:5" x14ac:dyDescent="0.2">
      <c r="E314" s="34"/>
    </row>
    <row r="315" spans="5:5" x14ac:dyDescent="0.2">
      <c r="E315" s="34"/>
    </row>
    <row r="316" spans="5:5" x14ac:dyDescent="0.2">
      <c r="E316" s="34"/>
    </row>
    <row r="317" spans="5:5" x14ac:dyDescent="0.2">
      <c r="E317" s="34"/>
    </row>
    <row r="318" spans="5:5" x14ac:dyDescent="0.2">
      <c r="E318" s="34"/>
    </row>
    <row r="319" spans="5:5" x14ac:dyDescent="0.2">
      <c r="E319" s="34"/>
    </row>
    <row r="320" spans="5:5" x14ac:dyDescent="0.2">
      <c r="E320" s="34"/>
    </row>
    <row r="321" spans="5:5" x14ac:dyDescent="0.2">
      <c r="E321" s="34"/>
    </row>
    <row r="322" spans="5:5" x14ac:dyDescent="0.2">
      <c r="E322" s="34"/>
    </row>
    <row r="323" spans="5:5" x14ac:dyDescent="0.2">
      <c r="E323" s="34"/>
    </row>
    <row r="324" spans="5:5" x14ac:dyDescent="0.2">
      <c r="E324" s="34"/>
    </row>
    <row r="325" spans="5:5" x14ac:dyDescent="0.2">
      <c r="E325" s="34"/>
    </row>
    <row r="326" spans="5:5" x14ac:dyDescent="0.2">
      <c r="E326" s="34"/>
    </row>
    <row r="327" spans="5:5" x14ac:dyDescent="0.2">
      <c r="E327" s="34"/>
    </row>
    <row r="328" spans="5:5" x14ac:dyDescent="0.2">
      <c r="E328" s="34"/>
    </row>
    <row r="329" spans="5:5" x14ac:dyDescent="0.2">
      <c r="E329" s="34"/>
    </row>
    <row r="330" spans="5:5" x14ac:dyDescent="0.2">
      <c r="E330" s="34"/>
    </row>
    <row r="331" spans="5:5" x14ac:dyDescent="0.2">
      <c r="E331" s="34"/>
    </row>
    <row r="332" spans="5:5" x14ac:dyDescent="0.2">
      <c r="E332" s="34"/>
    </row>
    <row r="333" spans="5:5" x14ac:dyDescent="0.2">
      <c r="E333" s="34"/>
    </row>
    <row r="334" spans="5:5" x14ac:dyDescent="0.2">
      <c r="E334" s="34"/>
    </row>
    <row r="335" spans="5:5" x14ac:dyDescent="0.2">
      <c r="E335" s="34"/>
    </row>
    <row r="336" spans="5:5" x14ac:dyDescent="0.2">
      <c r="E336" s="34"/>
    </row>
    <row r="337" spans="5:5" x14ac:dyDescent="0.2">
      <c r="E337" s="34"/>
    </row>
    <row r="338" spans="5:5" x14ac:dyDescent="0.2">
      <c r="E338" s="34"/>
    </row>
    <row r="339" spans="5:5" x14ac:dyDescent="0.2">
      <c r="E339" s="34"/>
    </row>
    <row r="340" spans="5:5" x14ac:dyDescent="0.2">
      <c r="E340" s="34"/>
    </row>
    <row r="341" spans="5:5" x14ac:dyDescent="0.2">
      <c r="E341" s="34"/>
    </row>
    <row r="342" spans="5:5" x14ac:dyDescent="0.2">
      <c r="E342" s="34"/>
    </row>
    <row r="343" spans="5:5" x14ac:dyDescent="0.2">
      <c r="E343" s="34"/>
    </row>
    <row r="344" spans="5:5" x14ac:dyDescent="0.2">
      <c r="E344" s="34"/>
    </row>
    <row r="345" spans="5:5" x14ac:dyDescent="0.2">
      <c r="E345" s="34"/>
    </row>
    <row r="346" spans="5:5" x14ac:dyDescent="0.2">
      <c r="E346" s="34"/>
    </row>
    <row r="347" spans="5:5" x14ac:dyDescent="0.2">
      <c r="E347" s="34"/>
    </row>
    <row r="348" spans="5:5" x14ac:dyDescent="0.2">
      <c r="E348" s="34"/>
    </row>
    <row r="349" spans="5:5" x14ac:dyDescent="0.2">
      <c r="E349" s="34"/>
    </row>
    <row r="350" spans="5:5" x14ac:dyDescent="0.2">
      <c r="E350" s="34"/>
    </row>
    <row r="351" spans="5:5" x14ac:dyDescent="0.2">
      <c r="E351" s="34"/>
    </row>
    <row r="352" spans="5:5" x14ac:dyDescent="0.2">
      <c r="E352" s="34"/>
    </row>
    <row r="353" spans="5:5" x14ac:dyDescent="0.2">
      <c r="E353" s="34"/>
    </row>
    <row r="354" spans="5:5" x14ac:dyDescent="0.2">
      <c r="E354" s="34"/>
    </row>
    <row r="355" spans="5:5" x14ac:dyDescent="0.2">
      <c r="E355" s="34"/>
    </row>
    <row r="356" spans="5:5" x14ac:dyDescent="0.2">
      <c r="E356" s="34"/>
    </row>
    <row r="357" spans="5:5" x14ac:dyDescent="0.2">
      <c r="E357" s="34"/>
    </row>
    <row r="358" spans="5:5" x14ac:dyDescent="0.2">
      <c r="E358" s="34"/>
    </row>
    <row r="359" spans="5:5" x14ac:dyDescent="0.2">
      <c r="E359" s="34"/>
    </row>
    <row r="360" spans="5:5" x14ac:dyDescent="0.2">
      <c r="E360" s="34"/>
    </row>
    <row r="361" spans="5:5" x14ac:dyDescent="0.2">
      <c r="E361" s="34"/>
    </row>
    <row r="362" spans="5:5" x14ac:dyDescent="0.2">
      <c r="E362" s="34"/>
    </row>
    <row r="363" spans="5:5" x14ac:dyDescent="0.2">
      <c r="E363" s="34"/>
    </row>
    <row r="364" spans="5:5" x14ac:dyDescent="0.2">
      <c r="E364" s="34"/>
    </row>
    <row r="365" spans="5:5" x14ac:dyDescent="0.2">
      <c r="E365" s="34"/>
    </row>
    <row r="366" spans="5:5" x14ac:dyDescent="0.2">
      <c r="E366" s="34"/>
    </row>
    <row r="367" spans="5:5" x14ac:dyDescent="0.2">
      <c r="E367" s="34"/>
    </row>
    <row r="368" spans="5:5" x14ac:dyDescent="0.2">
      <c r="E368" s="34"/>
    </row>
    <row r="369" spans="5:5" x14ac:dyDescent="0.2">
      <c r="E369" s="34"/>
    </row>
    <row r="370" spans="5:5" x14ac:dyDescent="0.2">
      <c r="E370" s="34"/>
    </row>
    <row r="371" spans="5:5" x14ac:dyDescent="0.2">
      <c r="E371" s="34"/>
    </row>
    <row r="372" spans="5:5" x14ac:dyDescent="0.2">
      <c r="E372" s="34"/>
    </row>
    <row r="373" spans="5:5" x14ac:dyDescent="0.2">
      <c r="E373" s="34"/>
    </row>
    <row r="374" spans="5:5" x14ac:dyDescent="0.2">
      <c r="E374" s="34"/>
    </row>
    <row r="375" spans="5:5" x14ac:dyDescent="0.2">
      <c r="E375" s="34"/>
    </row>
    <row r="376" spans="5:5" x14ac:dyDescent="0.2">
      <c r="E376" s="34"/>
    </row>
    <row r="377" spans="5:5" x14ac:dyDescent="0.2">
      <c r="E377" s="34"/>
    </row>
    <row r="378" spans="5:5" x14ac:dyDescent="0.2">
      <c r="E378" s="34"/>
    </row>
    <row r="379" spans="5:5" x14ac:dyDescent="0.2">
      <c r="E379" s="34"/>
    </row>
    <row r="380" spans="5:5" x14ac:dyDescent="0.2">
      <c r="E380" s="34"/>
    </row>
    <row r="381" spans="5:5" x14ac:dyDescent="0.2">
      <c r="E381" s="34"/>
    </row>
    <row r="382" spans="5:5" x14ac:dyDescent="0.2">
      <c r="E382" s="34"/>
    </row>
    <row r="383" spans="5:5" x14ac:dyDescent="0.2">
      <c r="E383" s="34"/>
    </row>
    <row r="384" spans="5:5" x14ac:dyDescent="0.2">
      <c r="E384" s="34"/>
    </row>
    <row r="385" spans="5:5" x14ac:dyDescent="0.2">
      <c r="E385" s="34"/>
    </row>
    <row r="386" spans="5:5" x14ac:dyDescent="0.2">
      <c r="E386" s="34"/>
    </row>
    <row r="387" spans="5:5" x14ac:dyDescent="0.2">
      <c r="E387" s="34"/>
    </row>
    <row r="388" spans="5:5" x14ac:dyDescent="0.2">
      <c r="E388" s="34"/>
    </row>
    <row r="389" spans="5:5" x14ac:dyDescent="0.2">
      <c r="E389" s="34"/>
    </row>
    <row r="390" spans="5:5" x14ac:dyDescent="0.2">
      <c r="E390" s="34"/>
    </row>
    <row r="391" spans="5:5" x14ac:dyDescent="0.2">
      <c r="E391" s="34"/>
    </row>
    <row r="392" spans="5:5" x14ac:dyDescent="0.2">
      <c r="E392" s="34"/>
    </row>
    <row r="393" spans="5:5" x14ac:dyDescent="0.2">
      <c r="E393" s="34"/>
    </row>
    <row r="394" spans="5:5" x14ac:dyDescent="0.2">
      <c r="E394" s="34"/>
    </row>
    <row r="395" spans="5:5" x14ac:dyDescent="0.2">
      <c r="E395" s="34"/>
    </row>
    <row r="396" spans="5:5" x14ac:dyDescent="0.2">
      <c r="E396" s="34"/>
    </row>
    <row r="397" spans="5:5" x14ac:dyDescent="0.2">
      <c r="E397" s="34"/>
    </row>
    <row r="398" spans="5:5" x14ac:dyDescent="0.2">
      <c r="E398" s="34"/>
    </row>
    <row r="399" spans="5:5" x14ac:dyDescent="0.2">
      <c r="E399" s="34"/>
    </row>
    <row r="400" spans="5:5" x14ac:dyDescent="0.2">
      <c r="E400" s="34"/>
    </row>
    <row r="401" spans="5:5" x14ac:dyDescent="0.2">
      <c r="E401" s="34"/>
    </row>
    <row r="402" spans="5:5" x14ac:dyDescent="0.2">
      <c r="E402" s="34"/>
    </row>
    <row r="403" spans="5:5" x14ac:dyDescent="0.2">
      <c r="E403" s="34"/>
    </row>
    <row r="404" spans="5:5" x14ac:dyDescent="0.2">
      <c r="E404" s="34"/>
    </row>
    <row r="405" spans="5:5" x14ac:dyDescent="0.2">
      <c r="E405" s="34"/>
    </row>
    <row r="406" spans="5:5" x14ac:dyDescent="0.2">
      <c r="E406" s="34"/>
    </row>
    <row r="407" spans="5:5" x14ac:dyDescent="0.2">
      <c r="E407" s="34"/>
    </row>
    <row r="408" spans="5:5" x14ac:dyDescent="0.2">
      <c r="E408" s="34"/>
    </row>
    <row r="409" spans="5:5" x14ac:dyDescent="0.2">
      <c r="E409" s="34"/>
    </row>
    <row r="410" spans="5:5" x14ac:dyDescent="0.2">
      <c r="E410" s="34"/>
    </row>
    <row r="411" spans="5:5" x14ac:dyDescent="0.2">
      <c r="E411" s="34"/>
    </row>
    <row r="412" spans="5:5" x14ac:dyDescent="0.2">
      <c r="E412" s="34"/>
    </row>
    <row r="413" spans="5:5" x14ac:dyDescent="0.2">
      <c r="E413" s="34"/>
    </row>
    <row r="414" spans="5:5" x14ac:dyDescent="0.2">
      <c r="E414" s="34"/>
    </row>
    <row r="415" spans="5:5" x14ac:dyDescent="0.2">
      <c r="E415" s="34"/>
    </row>
    <row r="416" spans="5:5" x14ac:dyDescent="0.2">
      <c r="E416" s="34"/>
    </row>
    <row r="417" spans="5:5" x14ac:dyDescent="0.2">
      <c r="E417" s="34"/>
    </row>
    <row r="418" spans="5:5" x14ac:dyDescent="0.2">
      <c r="E418" s="34"/>
    </row>
    <row r="419" spans="5:5" x14ac:dyDescent="0.2">
      <c r="E419" s="34"/>
    </row>
    <row r="420" spans="5:5" x14ac:dyDescent="0.2">
      <c r="E420" s="34"/>
    </row>
    <row r="421" spans="5:5" x14ac:dyDescent="0.2">
      <c r="E421" s="34"/>
    </row>
    <row r="422" spans="5:5" x14ac:dyDescent="0.2">
      <c r="E422" s="34"/>
    </row>
    <row r="423" spans="5:5" x14ac:dyDescent="0.2">
      <c r="E423" s="34"/>
    </row>
    <row r="424" spans="5:5" x14ac:dyDescent="0.2">
      <c r="E424" s="34"/>
    </row>
    <row r="425" spans="5:5" x14ac:dyDescent="0.2">
      <c r="E425" s="34"/>
    </row>
    <row r="426" spans="5:5" x14ac:dyDescent="0.2">
      <c r="E426" s="34"/>
    </row>
    <row r="427" spans="5:5" x14ac:dyDescent="0.2">
      <c r="E427" s="34"/>
    </row>
    <row r="428" spans="5:5" x14ac:dyDescent="0.2">
      <c r="E428" s="34"/>
    </row>
    <row r="429" spans="5:5" x14ac:dyDescent="0.2">
      <c r="E429" s="34"/>
    </row>
    <row r="430" spans="5:5" x14ac:dyDescent="0.2">
      <c r="E430" s="34"/>
    </row>
    <row r="431" spans="5:5" x14ac:dyDescent="0.2">
      <c r="E431" s="34"/>
    </row>
    <row r="432" spans="5:5" x14ac:dyDescent="0.2">
      <c r="E432" s="34"/>
    </row>
    <row r="433" spans="5:5" x14ac:dyDescent="0.2">
      <c r="E433" s="34"/>
    </row>
    <row r="434" spans="5:5" x14ac:dyDescent="0.2">
      <c r="E434" s="34"/>
    </row>
    <row r="435" spans="5:5" x14ac:dyDescent="0.2">
      <c r="E435" s="34"/>
    </row>
    <row r="436" spans="5:5" x14ac:dyDescent="0.2">
      <c r="E436" s="34"/>
    </row>
    <row r="437" spans="5:5" x14ac:dyDescent="0.2">
      <c r="E437" s="34"/>
    </row>
    <row r="438" spans="5:5" x14ac:dyDescent="0.2">
      <c r="E438" s="34"/>
    </row>
    <row r="439" spans="5:5" x14ac:dyDescent="0.2">
      <c r="E439" s="34"/>
    </row>
    <row r="440" spans="5:5" x14ac:dyDescent="0.2">
      <c r="E440" s="34"/>
    </row>
    <row r="441" spans="5:5" x14ac:dyDescent="0.2">
      <c r="E441" s="34"/>
    </row>
    <row r="442" spans="5:5" x14ac:dyDescent="0.2">
      <c r="E442" s="34"/>
    </row>
    <row r="443" spans="5:5" x14ac:dyDescent="0.2">
      <c r="E443" s="34"/>
    </row>
    <row r="444" spans="5:5" x14ac:dyDescent="0.2">
      <c r="E444" s="34"/>
    </row>
    <row r="445" spans="5:5" x14ac:dyDescent="0.2">
      <c r="E445" s="34"/>
    </row>
    <row r="446" spans="5:5" x14ac:dyDescent="0.2">
      <c r="E446" s="34"/>
    </row>
    <row r="447" spans="5:5" x14ac:dyDescent="0.2">
      <c r="E447" s="34"/>
    </row>
    <row r="448" spans="5:5" x14ac:dyDescent="0.2">
      <c r="E448" s="34"/>
    </row>
    <row r="449" spans="5:5" x14ac:dyDescent="0.2">
      <c r="E449" s="34"/>
    </row>
    <row r="450" spans="5:5" x14ac:dyDescent="0.2">
      <c r="E450" s="34"/>
    </row>
    <row r="451" spans="5:5" x14ac:dyDescent="0.2">
      <c r="E451" s="34"/>
    </row>
    <row r="452" spans="5:5" x14ac:dyDescent="0.2">
      <c r="E452" s="34"/>
    </row>
    <row r="453" spans="5:5" x14ac:dyDescent="0.2">
      <c r="E453" s="34"/>
    </row>
    <row r="454" spans="5:5" x14ac:dyDescent="0.2">
      <c r="E454" s="34"/>
    </row>
    <row r="455" spans="5:5" x14ac:dyDescent="0.2">
      <c r="E455" s="34"/>
    </row>
    <row r="456" spans="5:5" x14ac:dyDescent="0.2">
      <c r="E456" s="34"/>
    </row>
    <row r="457" spans="5:5" x14ac:dyDescent="0.2">
      <c r="E457" s="34"/>
    </row>
    <row r="458" spans="5:5" x14ac:dyDescent="0.2">
      <c r="E458" s="34"/>
    </row>
    <row r="459" spans="5:5" x14ac:dyDescent="0.2">
      <c r="E459" s="34"/>
    </row>
    <row r="460" spans="5:5" x14ac:dyDescent="0.2">
      <c r="E460" s="34"/>
    </row>
    <row r="461" spans="5:5" x14ac:dyDescent="0.2">
      <c r="E461" s="34"/>
    </row>
    <row r="462" spans="5:5" x14ac:dyDescent="0.2">
      <c r="E462" s="34"/>
    </row>
    <row r="463" spans="5:5" x14ac:dyDescent="0.2">
      <c r="E463" s="34"/>
    </row>
    <row r="464" spans="5:5" x14ac:dyDescent="0.2">
      <c r="E464" s="34"/>
    </row>
    <row r="465" spans="5:5" x14ac:dyDescent="0.2">
      <c r="E465" s="34"/>
    </row>
    <row r="466" spans="5:5" x14ac:dyDescent="0.2">
      <c r="E466" s="34"/>
    </row>
    <row r="467" spans="5:5" x14ac:dyDescent="0.2">
      <c r="E467" s="34"/>
    </row>
    <row r="468" spans="5:5" x14ac:dyDescent="0.2">
      <c r="E468" s="34"/>
    </row>
    <row r="469" spans="5:5" x14ac:dyDescent="0.2">
      <c r="E469" s="34"/>
    </row>
    <row r="470" spans="5:5" x14ac:dyDescent="0.2">
      <c r="E470" s="34"/>
    </row>
    <row r="471" spans="5:5" x14ac:dyDescent="0.2">
      <c r="E471" s="34"/>
    </row>
    <row r="472" spans="5:5" x14ac:dyDescent="0.2">
      <c r="E472" s="34"/>
    </row>
    <row r="473" spans="5:5" x14ac:dyDescent="0.2">
      <c r="E473" s="34"/>
    </row>
    <row r="474" spans="5:5" x14ac:dyDescent="0.2">
      <c r="E474" s="34"/>
    </row>
    <row r="475" spans="5:5" x14ac:dyDescent="0.2">
      <c r="E475" s="34"/>
    </row>
    <row r="476" spans="5:5" x14ac:dyDescent="0.2">
      <c r="E476" s="34"/>
    </row>
    <row r="477" spans="5:5" x14ac:dyDescent="0.2">
      <c r="E477" s="34"/>
    </row>
    <row r="478" spans="5:5" x14ac:dyDescent="0.2">
      <c r="E478" s="34"/>
    </row>
    <row r="479" spans="5:5" x14ac:dyDescent="0.2">
      <c r="E479" s="34"/>
    </row>
    <row r="480" spans="5:5" x14ac:dyDescent="0.2">
      <c r="E480" s="34"/>
    </row>
    <row r="481" spans="5:5" x14ac:dyDescent="0.2">
      <c r="E481" s="34"/>
    </row>
    <row r="482" spans="5:5" x14ac:dyDescent="0.2">
      <c r="E482" s="34"/>
    </row>
    <row r="483" spans="5:5" x14ac:dyDescent="0.2">
      <c r="E483" s="34"/>
    </row>
    <row r="484" spans="5:5" x14ac:dyDescent="0.2">
      <c r="E484" s="34"/>
    </row>
    <row r="485" spans="5:5" x14ac:dyDescent="0.2">
      <c r="E485" s="34"/>
    </row>
    <row r="486" spans="5:5" x14ac:dyDescent="0.2">
      <c r="E486" s="34"/>
    </row>
    <row r="487" spans="5:5" x14ac:dyDescent="0.2">
      <c r="E487" s="34"/>
    </row>
    <row r="488" spans="5:5" x14ac:dyDescent="0.2">
      <c r="E488" s="34"/>
    </row>
    <row r="489" spans="5:5" x14ac:dyDescent="0.2">
      <c r="E489" s="34"/>
    </row>
    <row r="490" spans="5:5" x14ac:dyDescent="0.2">
      <c r="E490" s="34"/>
    </row>
    <row r="491" spans="5:5" x14ac:dyDescent="0.2">
      <c r="E491" s="34"/>
    </row>
    <row r="492" spans="5:5" x14ac:dyDescent="0.2">
      <c r="E492" s="34"/>
    </row>
    <row r="493" spans="5:5" x14ac:dyDescent="0.2">
      <c r="E493" s="34"/>
    </row>
    <row r="494" spans="5:5" x14ac:dyDescent="0.2">
      <c r="E494" s="34"/>
    </row>
    <row r="495" spans="5:5" x14ac:dyDescent="0.2">
      <c r="E495" s="34"/>
    </row>
    <row r="496" spans="5:5" x14ac:dyDescent="0.2">
      <c r="E496" s="34"/>
    </row>
    <row r="497" spans="5:5" x14ac:dyDescent="0.2">
      <c r="E497" s="34"/>
    </row>
    <row r="498" spans="5:5" x14ac:dyDescent="0.2">
      <c r="E498" s="34"/>
    </row>
    <row r="499" spans="5:5" x14ac:dyDescent="0.2">
      <c r="E499" s="34"/>
    </row>
    <row r="500" spans="5:5" x14ac:dyDescent="0.2">
      <c r="E500" s="34"/>
    </row>
    <row r="501" spans="5:5" x14ac:dyDescent="0.2">
      <c r="E501" s="34"/>
    </row>
    <row r="502" spans="5:5" x14ac:dyDescent="0.2">
      <c r="E502" s="34"/>
    </row>
    <row r="503" spans="5:5" x14ac:dyDescent="0.2">
      <c r="E503" s="34"/>
    </row>
    <row r="504" spans="5:5" x14ac:dyDescent="0.2">
      <c r="E504" s="34"/>
    </row>
    <row r="505" spans="5:5" x14ac:dyDescent="0.2">
      <c r="E505" s="34"/>
    </row>
    <row r="506" spans="5:5" x14ac:dyDescent="0.2">
      <c r="E506" s="34"/>
    </row>
    <row r="507" spans="5:5" x14ac:dyDescent="0.2">
      <c r="E507" s="34"/>
    </row>
    <row r="508" spans="5:5" x14ac:dyDescent="0.2">
      <c r="E508" s="34"/>
    </row>
    <row r="509" spans="5:5" x14ac:dyDescent="0.2">
      <c r="E509" s="34"/>
    </row>
    <row r="510" spans="5:5" x14ac:dyDescent="0.2">
      <c r="E510" s="34"/>
    </row>
    <row r="511" spans="5:5" x14ac:dyDescent="0.2">
      <c r="E511" s="34"/>
    </row>
    <row r="512" spans="5:5" x14ac:dyDescent="0.2">
      <c r="E512" s="34"/>
    </row>
    <row r="513" spans="5:5" x14ac:dyDescent="0.2">
      <c r="E513" s="34"/>
    </row>
    <row r="514" spans="5:5" x14ac:dyDescent="0.2">
      <c r="E514" s="34"/>
    </row>
    <row r="515" spans="5:5" x14ac:dyDescent="0.2">
      <c r="E515" s="34"/>
    </row>
    <row r="516" spans="5:5" x14ac:dyDescent="0.2">
      <c r="E516" s="34"/>
    </row>
    <row r="517" spans="5:5" x14ac:dyDescent="0.2">
      <c r="E517" s="34"/>
    </row>
    <row r="518" spans="5:5" x14ac:dyDescent="0.2">
      <c r="E518" s="34"/>
    </row>
    <row r="519" spans="5:5" x14ac:dyDescent="0.2">
      <c r="E519" s="34"/>
    </row>
    <row r="520" spans="5:5" x14ac:dyDescent="0.2">
      <c r="E520" s="34"/>
    </row>
    <row r="521" spans="5:5" x14ac:dyDescent="0.2">
      <c r="E521" s="34"/>
    </row>
    <row r="522" spans="5:5" x14ac:dyDescent="0.2">
      <c r="E522" s="34"/>
    </row>
    <row r="523" spans="5:5" x14ac:dyDescent="0.2">
      <c r="E523" s="34"/>
    </row>
    <row r="524" spans="5:5" x14ac:dyDescent="0.2">
      <c r="E524" s="34"/>
    </row>
    <row r="525" spans="5:5" x14ac:dyDescent="0.2">
      <c r="E525" s="34"/>
    </row>
    <row r="526" spans="5:5" x14ac:dyDescent="0.2">
      <c r="E526" s="34"/>
    </row>
    <row r="527" spans="5:5" x14ac:dyDescent="0.2">
      <c r="E527" s="34"/>
    </row>
    <row r="528" spans="5:5" x14ac:dyDescent="0.2">
      <c r="E528" s="34"/>
    </row>
    <row r="529" spans="5:5" x14ac:dyDescent="0.2">
      <c r="E529" s="34"/>
    </row>
    <row r="530" spans="5:5" x14ac:dyDescent="0.2">
      <c r="E530" s="34"/>
    </row>
    <row r="531" spans="5:5" x14ac:dyDescent="0.2">
      <c r="E531" s="34"/>
    </row>
    <row r="532" spans="5:5" x14ac:dyDescent="0.2">
      <c r="E532" s="34"/>
    </row>
    <row r="533" spans="5:5" x14ac:dyDescent="0.2">
      <c r="E533" s="34"/>
    </row>
    <row r="534" spans="5:5" x14ac:dyDescent="0.2">
      <c r="E534" s="34"/>
    </row>
    <row r="535" spans="5:5" x14ac:dyDescent="0.2">
      <c r="E535" s="34"/>
    </row>
    <row r="536" spans="5:5" x14ac:dyDescent="0.2">
      <c r="E536" s="34"/>
    </row>
    <row r="537" spans="5:5" x14ac:dyDescent="0.2">
      <c r="E537" s="34"/>
    </row>
    <row r="538" spans="5:5" x14ac:dyDescent="0.2">
      <c r="E538" s="34"/>
    </row>
    <row r="539" spans="5:5" x14ac:dyDescent="0.2">
      <c r="E539" s="34"/>
    </row>
    <row r="540" spans="5:5" x14ac:dyDescent="0.2">
      <c r="E540" s="34"/>
    </row>
    <row r="541" spans="5:5" x14ac:dyDescent="0.2">
      <c r="E541" s="34"/>
    </row>
    <row r="542" spans="5:5" x14ac:dyDescent="0.2">
      <c r="E542" s="34"/>
    </row>
    <row r="543" spans="5:5" x14ac:dyDescent="0.2">
      <c r="E543" s="34"/>
    </row>
    <row r="544" spans="5:5" x14ac:dyDescent="0.2">
      <c r="E544" s="34"/>
    </row>
    <row r="545" spans="5:5" x14ac:dyDescent="0.2">
      <c r="E545" s="34"/>
    </row>
    <row r="546" spans="5:5" x14ac:dyDescent="0.2">
      <c r="E546" s="34"/>
    </row>
    <row r="547" spans="5:5" x14ac:dyDescent="0.2">
      <c r="E547" s="34"/>
    </row>
    <row r="548" spans="5:5" x14ac:dyDescent="0.2">
      <c r="E548" s="34"/>
    </row>
    <row r="549" spans="5:5" x14ac:dyDescent="0.2">
      <c r="E549" s="34"/>
    </row>
    <row r="550" spans="5:5" x14ac:dyDescent="0.2">
      <c r="E550" s="34"/>
    </row>
    <row r="551" spans="5:5" x14ac:dyDescent="0.2">
      <c r="E551" s="34"/>
    </row>
    <row r="552" spans="5:5" x14ac:dyDescent="0.2">
      <c r="E552" s="34"/>
    </row>
    <row r="553" spans="5:5" x14ac:dyDescent="0.2">
      <c r="E553" s="34"/>
    </row>
    <row r="554" spans="5:5" x14ac:dyDescent="0.2">
      <c r="E554" s="34"/>
    </row>
    <row r="555" spans="5:5" x14ac:dyDescent="0.2">
      <c r="E555" s="34"/>
    </row>
    <row r="556" spans="5:5" x14ac:dyDescent="0.2">
      <c r="E556" s="34"/>
    </row>
    <row r="557" spans="5:5" x14ac:dyDescent="0.2">
      <c r="E557" s="34"/>
    </row>
    <row r="558" spans="5:5" x14ac:dyDescent="0.2">
      <c r="E558" s="34"/>
    </row>
    <row r="559" spans="5:5" x14ac:dyDescent="0.2">
      <c r="E559" s="34"/>
    </row>
    <row r="560" spans="5:5" x14ac:dyDescent="0.2">
      <c r="E560" s="34"/>
    </row>
    <row r="561" spans="5:5" x14ac:dyDescent="0.2">
      <c r="E561" s="34"/>
    </row>
    <row r="562" spans="5:5" x14ac:dyDescent="0.2">
      <c r="E562" s="34"/>
    </row>
    <row r="563" spans="5:5" x14ac:dyDescent="0.2">
      <c r="E563" s="34"/>
    </row>
    <row r="564" spans="5:5" x14ac:dyDescent="0.2">
      <c r="E564" s="34"/>
    </row>
    <row r="565" spans="5:5" x14ac:dyDescent="0.2">
      <c r="E565" s="34"/>
    </row>
    <row r="566" spans="5:5" x14ac:dyDescent="0.2">
      <c r="E566" s="34"/>
    </row>
    <row r="567" spans="5:5" x14ac:dyDescent="0.2">
      <c r="E567" s="34"/>
    </row>
    <row r="568" spans="5:5" x14ac:dyDescent="0.2">
      <c r="E568" s="34"/>
    </row>
    <row r="569" spans="5:5" x14ac:dyDescent="0.2">
      <c r="E569" s="34"/>
    </row>
    <row r="570" spans="5:5" x14ac:dyDescent="0.2">
      <c r="E570" s="34"/>
    </row>
    <row r="571" spans="5:5" x14ac:dyDescent="0.2">
      <c r="E571" s="34"/>
    </row>
    <row r="572" spans="5:5" x14ac:dyDescent="0.2">
      <c r="E572" s="34"/>
    </row>
    <row r="573" spans="5:5" x14ac:dyDescent="0.2">
      <c r="E573" s="34"/>
    </row>
    <row r="574" spans="5:5" x14ac:dyDescent="0.2">
      <c r="E574" s="34"/>
    </row>
    <row r="575" spans="5:5" x14ac:dyDescent="0.2">
      <c r="E575" s="34"/>
    </row>
    <row r="576" spans="5:5" x14ac:dyDescent="0.2">
      <c r="E576" s="34"/>
    </row>
    <row r="577" spans="5:5" x14ac:dyDescent="0.2">
      <c r="E577" s="34"/>
    </row>
    <row r="578" spans="5:5" x14ac:dyDescent="0.2">
      <c r="E578" s="34"/>
    </row>
    <row r="579" spans="5:5" x14ac:dyDescent="0.2">
      <c r="E579" s="34"/>
    </row>
    <row r="580" spans="5:5" x14ac:dyDescent="0.2">
      <c r="E580" s="34"/>
    </row>
    <row r="581" spans="5:5" x14ac:dyDescent="0.2">
      <c r="E581" s="34"/>
    </row>
    <row r="582" spans="5:5" x14ac:dyDescent="0.2">
      <c r="E582" s="34"/>
    </row>
    <row r="583" spans="5:5" x14ac:dyDescent="0.2">
      <c r="E583" s="34"/>
    </row>
    <row r="584" spans="5:5" x14ac:dyDescent="0.2">
      <c r="E584" s="34"/>
    </row>
    <row r="585" spans="5:5" x14ac:dyDescent="0.2">
      <c r="E585" s="34"/>
    </row>
    <row r="586" spans="5:5" x14ac:dyDescent="0.2">
      <c r="E586" s="34"/>
    </row>
    <row r="587" spans="5:5" x14ac:dyDescent="0.2">
      <c r="E587" s="34"/>
    </row>
    <row r="588" spans="5:5" x14ac:dyDescent="0.2">
      <c r="E588" s="34"/>
    </row>
    <row r="589" spans="5:5" x14ac:dyDescent="0.2">
      <c r="E589" s="34"/>
    </row>
    <row r="590" spans="5:5" x14ac:dyDescent="0.2">
      <c r="E590" s="34"/>
    </row>
    <row r="591" spans="5:5" x14ac:dyDescent="0.2">
      <c r="E591" s="34"/>
    </row>
    <row r="592" spans="5:5" x14ac:dyDescent="0.2">
      <c r="E592" s="34"/>
    </row>
    <row r="593" spans="5:5" x14ac:dyDescent="0.2">
      <c r="E593" s="34"/>
    </row>
    <row r="594" spans="5:5" x14ac:dyDescent="0.2">
      <c r="E594" s="34"/>
    </row>
    <row r="595" spans="5:5" x14ac:dyDescent="0.2">
      <c r="E595" s="34"/>
    </row>
    <row r="596" spans="5:5" x14ac:dyDescent="0.2">
      <c r="E596" s="34"/>
    </row>
    <row r="597" spans="5:5" x14ac:dyDescent="0.2">
      <c r="E597" s="34"/>
    </row>
    <row r="598" spans="5:5" x14ac:dyDescent="0.2">
      <c r="E598" s="34"/>
    </row>
    <row r="599" spans="5:5" x14ac:dyDescent="0.2">
      <c r="E599" s="34"/>
    </row>
    <row r="600" spans="5:5" x14ac:dyDescent="0.2">
      <c r="E600" s="34"/>
    </row>
    <row r="601" spans="5:5" x14ac:dyDescent="0.2">
      <c r="E601" s="34"/>
    </row>
    <row r="602" spans="5:5" x14ac:dyDescent="0.2">
      <c r="E602" s="34"/>
    </row>
    <row r="603" spans="5:5" x14ac:dyDescent="0.2">
      <c r="E603" s="34"/>
    </row>
    <row r="604" spans="5:5" x14ac:dyDescent="0.2">
      <c r="E604" s="34"/>
    </row>
    <row r="605" spans="5:5" x14ac:dyDescent="0.2">
      <c r="E605" s="34"/>
    </row>
    <row r="606" spans="5:5" x14ac:dyDescent="0.2">
      <c r="E606" s="34"/>
    </row>
    <row r="607" spans="5:5" x14ac:dyDescent="0.2">
      <c r="E607" s="34"/>
    </row>
    <row r="608" spans="5:5" x14ac:dyDescent="0.2">
      <c r="E608" s="34"/>
    </row>
    <row r="609" spans="5:5" x14ac:dyDescent="0.2">
      <c r="E609" s="34"/>
    </row>
    <row r="610" spans="5:5" x14ac:dyDescent="0.2">
      <c r="E610" s="34"/>
    </row>
    <row r="611" spans="5:5" x14ac:dyDescent="0.2">
      <c r="E611" s="34"/>
    </row>
    <row r="612" spans="5:5" x14ac:dyDescent="0.2">
      <c r="E612" s="34"/>
    </row>
    <row r="613" spans="5:5" x14ac:dyDescent="0.2">
      <c r="E613" s="34"/>
    </row>
    <row r="614" spans="5:5" x14ac:dyDescent="0.2">
      <c r="E614" s="34"/>
    </row>
    <row r="615" spans="5:5" x14ac:dyDescent="0.2">
      <c r="E615" s="34"/>
    </row>
    <row r="616" spans="5:5" x14ac:dyDescent="0.2">
      <c r="E616" s="34"/>
    </row>
    <row r="617" spans="5:5" x14ac:dyDescent="0.2">
      <c r="E617" s="34"/>
    </row>
    <row r="618" spans="5:5" x14ac:dyDescent="0.2">
      <c r="E618" s="34"/>
    </row>
    <row r="619" spans="5:5" x14ac:dyDescent="0.2">
      <c r="E619" s="34"/>
    </row>
    <row r="620" spans="5:5" x14ac:dyDescent="0.2">
      <c r="E620" s="34"/>
    </row>
    <row r="621" spans="5:5" x14ac:dyDescent="0.2">
      <c r="E621" s="34"/>
    </row>
    <row r="622" spans="5:5" x14ac:dyDescent="0.2">
      <c r="E622" s="34"/>
    </row>
    <row r="623" spans="5:5" x14ac:dyDescent="0.2">
      <c r="E623" s="34"/>
    </row>
    <row r="624" spans="5:5" x14ac:dyDescent="0.2">
      <c r="E624" s="34"/>
    </row>
    <row r="625" spans="5:5" x14ac:dyDescent="0.2">
      <c r="E625" s="34"/>
    </row>
    <row r="626" spans="5:5" x14ac:dyDescent="0.2">
      <c r="E626" s="34"/>
    </row>
    <row r="627" spans="5:5" x14ac:dyDescent="0.2">
      <c r="E627" s="34"/>
    </row>
    <row r="628" spans="5:5" x14ac:dyDescent="0.2">
      <c r="E628" s="34"/>
    </row>
    <row r="629" spans="5:5" x14ac:dyDescent="0.2">
      <c r="E629" s="34"/>
    </row>
    <row r="630" spans="5:5" x14ac:dyDescent="0.2">
      <c r="E630" s="34"/>
    </row>
    <row r="631" spans="5:5" x14ac:dyDescent="0.2">
      <c r="E631" s="34"/>
    </row>
    <row r="632" spans="5:5" x14ac:dyDescent="0.2">
      <c r="E632" s="34"/>
    </row>
    <row r="633" spans="5:5" x14ac:dyDescent="0.2">
      <c r="E633" s="34"/>
    </row>
    <row r="634" spans="5:5" x14ac:dyDescent="0.2">
      <c r="E634" s="34"/>
    </row>
    <row r="635" spans="5:5" x14ac:dyDescent="0.2">
      <c r="E635" s="34"/>
    </row>
    <row r="636" spans="5:5" x14ac:dyDescent="0.2">
      <c r="E636" s="34"/>
    </row>
    <row r="637" spans="5:5" x14ac:dyDescent="0.2">
      <c r="E637" s="34"/>
    </row>
    <row r="638" spans="5:5" x14ac:dyDescent="0.2">
      <c r="E638" s="34"/>
    </row>
    <row r="639" spans="5:5" x14ac:dyDescent="0.2">
      <c r="E639" s="34"/>
    </row>
    <row r="640" spans="5:5" x14ac:dyDescent="0.2">
      <c r="E640" s="34"/>
    </row>
    <row r="641" spans="5:5" x14ac:dyDescent="0.2">
      <c r="E641" s="34"/>
    </row>
    <row r="642" spans="5:5" x14ac:dyDescent="0.2">
      <c r="E642" s="34"/>
    </row>
    <row r="643" spans="5:5" x14ac:dyDescent="0.2">
      <c r="E643" s="34"/>
    </row>
    <row r="644" spans="5:5" x14ac:dyDescent="0.2">
      <c r="E644" s="34"/>
    </row>
    <row r="645" spans="5:5" x14ac:dyDescent="0.2">
      <c r="E645" s="34"/>
    </row>
    <row r="646" spans="5:5" x14ac:dyDescent="0.2">
      <c r="E646" s="34"/>
    </row>
    <row r="647" spans="5:5" x14ac:dyDescent="0.2">
      <c r="E647" s="34"/>
    </row>
    <row r="648" spans="5:5" x14ac:dyDescent="0.2">
      <c r="E648" s="34"/>
    </row>
    <row r="649" spans="5:5" x14ac:dyDescent="0.2">
      <c r="E649" s="34"/>
    </row>
    <row r="650" spans="5:5" x14ac:dyDescent="0.2">
      <c r="E650" s="34"/>
    </row>
    <row r="651" spans="5:5" x14ac:dyDescent="0.2">
      <c r="E651" s="34"/>
    </row>
    <row r="652" spans="5:5" x14ac:dyDescent="0.2">
      <c r="E652" s="34"/>
    </row>
    <row r="653" spans="5:5" x14ac:dyDescent="0.2">
      <c r="E653" s="34"/>
    </row>
    <row r="654" spans="5:5" x14ac:dyDescent="0.2">
      <c r="E654" s="34"/>
    </row>
    <row r="655" spans="5:5" x14ac:dyDescent="0.2">
      <c r="E655" s="34"/>
    </row>
    <row r="656" spans="5:5" x14ac:dyDescent="0.2">
      <c r="E656" s="34"/>
    </row>
    <row r="657" spans="5:5" x14ac:dyDescent="0.2">
      <c r="E657" s="34"/>
    </row>
    <row r="658" spans="5:5" x14ac:dyDescent="0.2">
      <c r="E658" s="34"/>
    </row>
    <row r="659" spans="5:5" x14ac:dyDescent="0.2">
      <c r="E659" s="34"/>
    </row>
    <row r="660" spans="5:5" x14ac:dyDescent="0.2">
      <c r="E660" s="34"/>
    </row>
    <row r="661" spans="5:5" x14ac:dyDescent="0.2">
      <c r="E661" s="34"/>
    </row>
    <row r="662" spans="5:5" x14ac:dyDescent="0.2">
      <c r="E662" s="34"/>
    </row>
    <row r="663" spans="5:5" x14ac:dyDescent="0.2">
      <c r="E663" s="34"/>
    </row>
    <row r="664" spans="5:5" x14ac:dyDescent="0.2">
      <c r="E664" s="34"/>
    </row>
    <row r="665" spans="5:5" x14ac:dyDescent="0.2">
      <c r="E665" s="34"/>
    </row>
    <row r="666" spans="5:5" x14ac:dyDescent="0.2">
      <c r="E666" s="34"/>
    </row>
    <row r="667" spans="5:5" x14ac:dyDescent="0.2">
      <c r="E667" s="34"/>
    </row>
    <row r="668" spans="5:5" x14ac:dyDescent="0.2">
      <c r="E668" s="34"/>
    </row>
    <row r="669" spans="5:5" x14ac:dyDescent="0.2">
      <c r="E669" s="34"/>
    </row>
    <row r="670" spans="5:5" x14ac:dyDescent="0.2">
      <c r="E670" s="34"/>
    </row>
    <row r="671" spans="5:5" x14ac:dyDescent="0.2">
      <c r="E671" s="34"/>
    </row>
    <row r="672" spans="5:5" x14ac:dyDescent="0.2">
      <c r="E672" s="34"/>
    </row>
    <row r="673" spans="5:5" x14ac:dyDescent="0.2">
      <c r="E673" s="34"/>
    </row>
    <row r="674" spans="5:5" x14ac:dyDescent="0.2">
      <c r="E674" s="34"/>
    </row>
    <row r="675" spans="5:5" x14ac:dyDescent="0.2">
      <c r="E675" s="34"/>
    </row>
    <row r="676" spans="5:5" x14ac:dyDescent="0.2">
      <c r="E676" s="34"/>
    </row>
    <row r="677" spans="5:5" x14ac:dyDescent="0.2">
      <c r="E677" s="34"/>
    </row>
    <row r="678" spans="5:5" x14ac:dyDescent="0.2">
      <c r="E678" s="34"/>
    </row>
    <row r="679" spans="5:5" x14ac:dyDescent="0.2">
      <c r="E679" s="34"/>
    </row>
    <row r="680" spans="5:5" x14ac:dyDescent="0.2">
      <c r="E680" s="34"/>
    </row>
    <row r="681" spans="5:5" x14ac:dyDescent="0.2">
      <c r="E681" s="34"/>
    </row>
    <row r="682" spans="5:5" x14ac:dyDescent="0.2">
      <c r="E682" s="34"/>
    </row>
    <row r="683" spans="5:5" x14ac:dyDescent="0.2">
      <c r="E683" s="34"/>
    </row>
    <row r="684" spans="5:5" x14ac:dyDescent="0.2">
      <c r="E684" s="34"/>
    </row>
    <row r="685" spans="5:5" x14ac:dyDescent="0.2">
      <c r="E685" s="34"/>
    </row>
    <row r="686" spans="5:5" x14ac:dyDescent="0.2">
      <c r="E686" s="34"/>
    </row>
    <row r="687" spans="5:5" x14ac:dyDescent="0.2">
      <c r="E687" s="34"/>
    </row>
    <row r="688" spans="5:5" x14ac:dyDescent="0.2">
      <c r="E688" s="34"/>
    </row>
    <row r="689" spans="5:5" x14ac:dyDescent="0.2">
      <c r="E689" s="34"/>
    </row>
    <row r="690" spans="5:5" x14ac:dyDescent="0.2">
      <c r="E690" s="34"/>
    </row>
    <row r="691" spans="5:5" x14ac:dyDescent="0.2">
      <c r="E691" s="34"/>
    </row>
    <row r="692" spans="5:5" x14ac:dyDescent="0.2">
      <c r="E692" s="34"/>
    </row>
    <row r="693" spans="5:5" x14ac:dyDescent="0.2">
      <c r="E693" s="34"/>
    </row>
    <row r="694" spans="5:5" x14ac:dyDescent="0.2">
      <c r="E694" s="34"/>
    </row>
    <row r="695" spans="5:5" x14ac:dyDescent="0.2">
      <c r="E695" s="34"/>
    </row>
    <row r="696" spans="5:5" x14ac:dyDescent="0.2">
      <c r="E696" s="34"/>
    </row>
    <row r="697" spans="5:5" x14ac:dyDescent="0.2">
      <c r="E697" s="34"/>
    </row>
    <row r="698" spans="5:5" x14ac:dyDescent="0.2">
      <c r="E698" s="34"/>
    </row>
    <row r="699" spans="5:5" x14ac:dyDescent="0.2">
      <c r="E699" s="34"/>
    </row>
    <row r="700" spans="5:5" x14ac:dyDescent="0.2">
      <c r="E700" s="34"/>
    </row>
    <row r="701" spans="5:5" x14ac:dyDescent="0.2">
      <c r="E701" s="34"/>
    </row>
    <row r="702" spans="5:5" x14ac:dyDescent="0.2">
      <c r="E702" s="34"/>
    </row>
    <row r="703" spans="5:5" x14ac:dyDescent="0.2">
      <c r="E703" s="34"/>
    </row>
    <row r="704" spans="5:5" x14ac:dyDescent="0.2">
      <c r="E704" s="34"/>
    </row>
    <row r="705" spans="5:5" x14ac:dyDescent="0.2">
      <c r="E705" s="34"/>
    </row>
    <row r="706" spans="5:5" x14ac:dyDescent="0.2">
      <c r="E706" s="34"/>
    </row>
    <row r="707" spans="5:5" x14ac:dyDescent="0.2">
      <c r="E707" s="34"/>
    </row>
    <row r="708" spans="5:5" x14ac:dyDescent="0.2">
      <c r="E708" s="34"/>
    </row>
    <row r="709" spans="5:5" x14ac:dyDescent="0.2">
      <c r="E709" s="34"/>
    </row>
    <row r="710" spans="5:5" x14ac:dyDescent="0.2">
      <c r="E710" s="34"/>
    </row>
    <row r="711" spans="5:5" x14ac:dyDescent="0.2">
      <c r="E711" s="34"/>
    </row>
    <row r="712" spans="5:5" x14ac:dyDescent="0.2">
      <c r="E712" s="34"/>
    </row>
    <row r="713" spans="5:5" x14ac:dyDescent="0.2">
      <c r="E713" s="34"/>
    </row>
    <row r="714" spans="5:5" x14ac:dyDescent="0.2">
      <c r="E714" s="34"/>
    </row>
    <row r="715" spans="5:5" x14ac:dyDescent="0.2">
      <c r="E715" s="34"/>
    </row>
    <row r="716" spans="5:5" x14ac:dyDescent="0.2">
      <c r="E716" s="34"/>
    </row>
    <row r="717" spans="5:5" x14ac:dyDescent="0.2">
      <c r="E717" s="34"/>
    </row>
    <row r="718" spans="5:5" x14ac:dyDescent="0.2">
      <c r="E718" s="34"/>
    </row>
    <row r="719" spans="5:5" x14ac:dyDescent="0.2">
      <c r="E719" s="34"/>
    </row>
    <row r="720" spans="5:5" x14ac:dyDescent="0.2">
      <c r="E720" s="34"/>
    </row>
    <row r="721" spans="5:5" x14ac:dyDescent="0.2">
      <c r="E721" s="34"/>
    </row>
    <row r="722" spans="5:5" x14ac:dyDescent="0.2">
      <c r="E722" s="34"/>
    </row>
    <row r="723" spans="5:5" x14ac:dyDescent="0.2">
      <c r="E723" s="34"/>
    </row>
    <row r="724" spans="5:5" x14ac:dyDescent="0.2">
      <c r="E724" s="34"/>
    </row>
    <row r="725" spans="5:5" x14ac:dyDescent="0.2">
      <c r="E725" s="34"/>
    </row>
    <row r="726" spans="5:5" x14ac:dyDescent="0.2">
      <c r="E726" s="34"/>
    </row>
    <row r="727" spans="5:5" x14ac:dyDescent="0.2">
      <c r="E727" s="34"/>
    </row>
    <row r="728" spans="5:5" x14ac:dyDescent="0.2">
      <c r="E728" s="34"/>
    </row>
    <row r="729" spans="5:5" x14ac:dyDescent="0.2">
      <c r="E729" s="34"/>
    </row>
    <row r="730" spans="5:5" x14ac:dyDescent="0.2">
      <c r="E730" s="34"/>
    </row>
    <row r="731" spans="5:5" x14ac:dyDescent="0.2">
      <c r="E731" s="34"/>
    </row>
    <row r="732" spans="5:5" x14ac:dyDescent="0.2">
      <c r="E732" s="34"/>
    </row>
    <row r="733" spans="5:5" x14ac:dyDescent="0.2">
      <c r="E733" s="34"/>
    </row>
    <row r="734" spans="5:5" x14ac:dyDescent="0.2">
      <c r="E734" s="34"/>
    </row>
    <row r="735" spans="5:5" x14ac:dyDescent="0.2">
      <c r="E735" s="34"/>
    </row>
    <row r="736" spans="5:5" x14ac:dyDescent="0.2">
      <c r="E736" s="34"/>
    </row>
    <row r="737" spans="5:5" x14ac:dyDescent="0.2">
      <c r="E737" s="34"/>
    </row>
    <row r="738" spans="5:5" x14ac:dyDescent="0.2">
      <c r="E738" s="34"/>
    </row>
    <row r="739" spans="5:5" x14ac:dyDescent="0.2">
      <c r="E739" s="34"/>
    </row>
    <row r="740" spans="5:5" x14ac:dyDescent="0.2">
      <c r="E740" s="34"/>
    </row>
    <row r="741" spans="5:5" x14ac:dyDescent="0.2">
      <c r="E741" s="34"/>
    </row>
    <row r="742" spans="5:5" x14ac:dyDescent="0.2">
      <c r="E742" s="34"/>
    </row>
    <row r="743" spans="5:5" x14ac:dyDescent="0.2">
      <c r="E743" s="34"/>
    </row>
    <row r="744" spans="5:5" x14ac:dyDescent="0.2">
      <c r="E744" s="34"/>
    </row>
    <row r="745" spans="5:5" x14ac:dyDescent="0.2">
      <c r="E745" s="34"/>
    </row>
    <row r="746" spans="5:5" x14ac:dyDescent="0.2">
      <c r="E746" s="34"/>
    </row>
    <row r="747" spans="5:5" x14ac:dyDescent="0.2">
      <c r="E747" s="34"/>
    </row>
    <row r="748" spans="5:5" x14ac:dyDescent="0.2">
      <c r="E748" s="34"/>
    </row>
    <row r="749" spans="5:5" x14ac:dyDescent="0.2">
      <c r="E749" s="34"/>
    </row>
    <row r="750" spans="5:5" x14ac:dyDescent="0.2">
      <c r="E750" s="34"/>
    </row>
    <row r="751" spans="5:5" x14ac:dyDescent="0.2">
      <c r="E751" s="34"/>
    </row>
    <row r="752" spans="5:5" x14ac:dyDescent="0.2">
      <c r="E752" s="34"/>
    </row>
    <row r="753" spans="5:5" x14ac:dyDescent="0.2">
      <c r="E753" s="34"/>
    </row>
    <row r="754" spans="5:5" x14ac:dyDescent="0.2">
      <c r="E754" s="34"/>
    </row>
    <row r="755" spans="5:5" x14ac:dyDescent="0.2">
      <c r="E755" s="34"/>
    </row>
    <row r="756" spans="5:5" x14ac:dyDescent="0.2">
      <c r="E756" s="34"/>
    </row>
    <row r="757" spans="5:5" x14ac:dyDescent="0.2">
      <c r="E757" s="34"/>
    </row>
    <row r="758" spans="5:5" x14ac:dyDescent="0.2">
      <c r="E758" s="34"/>
    </row>
    <row r="759" spans="5:5" x14ac:dyDescent="0.2">
      <c r="E759" s="34"/>
    </row>
    <row r="760" spans="5:5" x14ac:dyDescent="0.2">
      <c r="E760" s="34"/>
    </row>
    <row r="761" spans="5:5" x14ac:dyDescent="0.2">
      <c r="E761" s="34"/>
    </row>
    <row r="762" spans="5:5" x14ac:dyDescent="0.2">
      <c r="E762" s="34"/>
    </row>
    <row r="763" spans="5:5" x14ac:dyDescent="0.2">
      <c r="E763" s="34"/>
    </row>
    <row r="764" spans="5:5" x14ac:dyDescent="0.2">
      <c r="E764" s="34"/>
    </row>
    <row r="765" spans="5:5" x14ac:dyDescent="0.2">
      <c r="E765" s="34"/>
    </row>
    <row r="766" spans="5:5" x14ac:dyDescent="0.2">
      <c r="E766" s="34"/>
    </row>
    <row r="767" spans="5:5" x14ac:dyDescent="0.2">
      <c r="E767" s="34"/>
    </row>
    <row r="768" spans="5:5" x14ac:dyDescent="0.2">
      <c r="E768" s="34"/>
    </row>
    <row r="769" spans="5:5" x14ac:dyDescent="0.2">
      <c r="E769" s="34"/>
    </row>
    <row r="770" spans="5:5" x14ac:dyDescent="0.2">
      <c r="E770" s="34"/>
    </row>
    <row r="771" spans="5:5" x14ac:dyDescent="0.2">
      <c r="E771" s="34"/>
    </row>
    <row r="772" spans="5:5" x14ac:dyDescent="0.2">
      <c r="E772" s="34"/>
    </row>
    <row r="773" spans="5:5" x14ac:dyDescent="0.2">
      <c r="E773" s="34"/>
    </row>
    <row r="774" spans="5:5" x14ac:dyDescent="0.2">
      <c r="E774" s="34"/>
    </row>
    <row r="775" spans="5:5" x14ac:dyDescent="0.2">
      <c r="E775" s="34"/>
    </row>
    <row r="776" spans="5:5" x14ac:dyDescent="0.2">
      <c r="E776" s="34"/>
    </row>
    <row r="777" spans="5:5" x14ac:dyDescent="0.2">
      <c r="E777" s="34"/>
    </row>
    <row r="778" spans="5:5" x14ac:dyDescent="0.2">
      <c r="E778" s="34"/>
    </row>
    <row r="779" spans="5:5" x14ac:dyDescent="0.2">
      <c r="E779" s="34"/>
    </row>
    <row r="780" spans="5:5" x14ac:dyDescent="0.2">
      <c r="E780" s="34"/>
    </row>
    <row r="781" spans="5:5" x14ac:dyDescent="0.2">
      <c r="E781" s="34"/>
    </row>
    <row r="782" spans="5:5" x14ac:dyDescent="0.2">
      <c r="E782" s="34"/>
    </row>
    <row r="783" spans="5:5" x14ac:dyDescent="0.2">
      <c r="E783" s="34"/>
    </row>
    <row r="784" spans="5:5" x14ac:dyDescent="0.2">
      <c r="E784" s="34"/>
    </row>
    <row r="785" spans="5:5" x14ac:dyDescent="0.2">
      <c r="E785" s="34"/>
    </row>
    <row r="786" spans="5:5" x14ac:dyDescent="0.2">
      <c r="E786" s="34"/>
    </row>
    <row r="787" spans="5:5" x14ac:dyDescent="0.2">
      <c r="E787" s="34"/>
    </row>
    <row r="788" spans="5:5" x14ac:dyDescent="0.2">
      <c r="E788" s="34"/>
    </row>
    <row r="789" spans="5:5" x14ac:dyDescent="0.2">
      <c r="E789" s="34"/>
    </row>
    <row r="790" spans="5:5" x14ac:dyDescent="0.2">
      <c r="E790" s="34"/>
    </row>
    <row r="791" spans="5:5" x14ac:dyDescent="0.2">
      <c r="E791" s="34"/>
    </row>
    <row r="792" spans="5:5" x14ac:dyDescent="0.2">
      <c r="E792" s="34"/>
    </row>
    <row r="793" spans="5:5" x14ac:dyDescent="0.2">
      <c r="E793" s="34"/>
    </row>
    <row r="794" spans="5:5" x14ac:dyDescent="0.2">
      <c r="E794" s="34"/>
    </row>
    <row r="795" spans="5:5" x14ac:dyDescent="0.2">
      <c r="E795" s="34"/>
    </row>
    <row r="796" spans="5:5" x14ac:dyDescent="0.2">
      <c r="E796" s="34"/>
    </row>
    <row r="797" spans="5:5" x14ac:dyDescent="0.2">
      <c r="E797" s="34"/>
    </row>
    <row r="798" spans="5:5" x14ac:dyDescent="0.2">
      <c r="E798" s="34"/>
    </row>
    <row r="799" spans="5:5" x14ac:dyDescent="0.2">
      <c r="E799" s="34"/>
    </row>
    <row r="800" spans="5:5" x14ac:dyDescent="0.2">
      <c r="E800" s="34"/>
    </row>
    <row r="801" spans="5:5" x14ac:dyDescent="0.2">
      <c r="E801" s="34"/>
    </row>
    <row r="802" spans="5:5" x14ac:dyDescent="0.2">
      <c r="E802" s="34"/>
    </row>
    <row r="803" spans="5:5" x14ac:dyDescent="0.2">
      <c r="E803" s="34"/>
    </row>
    <row r="804" spans="5:5" x14ac:dyDescent="0.2">
      <c r="E804" s="34"/>
    </row>
    <row r="805" spans="5:5" x14ac:dyDescent="0.2">
      <c r="E805" s="34"/>
    </row>
    <row r="806" spans="5:5" x14ac:dyDescent="0.2">
      <c r="E806" s="34"/>
    </row>
    <row r="807" spans="5:5" x14ac:dyDescent="0.2">
      <c r="E807" s="34"/>
    </row>
    <row r="808" spans="5:5" x14ac:dyDescent="0.2">
      <c r="E808" s="34"/>
    </row>
    <row r="809" spans="5:5" x14ac:dyDescent="0.2">
      <c r="E809" s="34"/>
    </row>
    <row r="810" spans="5:5" x14ac:dyDescent="0.2">
      <c r="E810" s="34"/>
    </row>
    <row r="811" spans="5:5" x14ac:dyDescent="0.2">
      <c r="E811" s="34"/>
    </row>
    <row r="812" spans="5:5" x14ac:dyDescent="0.2">
      <c r="E812" s="34"/>
    </row>
    <row r="813" spans="5:5" x14ac:dyDescent="0.2">
      <c r="E813" s="34"/>
    </row>
    <row r="814" spans="5:5" x14ac:dyDescent="0.2">
      <c r="E814" s="34"/>
    </row>
    <row r="815" spans="5:5" x14ac:dyDescent="0.2">
      <c r="E815" s="34"/>
    </row>
    <row r="816" spans="5:5" x14ac:dyDescent="0.2">
      <c r="E816" s="34"/>
    </row>
    <row r="817" spans="5:5" x14ac:dyDescent="0.2">
      <c r="E817" s="34"/>
    </row>
    <row r="818" spans="5:5" x14ac:dyDescent="0.2">
      <c r="E818" s="34"/>
    </row>
    <row r="819" spans="5:5" x14ac:dyDescent="0.2">
      <c r="E819" s="34"/>
    </row>
    <row r="820" spans="5:5" x14ac:dyDescent="0.2">
      <c r="E820" s="34"/>
    </row>
    <row r="821" spans="5:5" x14ac:dyDescent="0.2">
      <c r="E821" s="34"/>
    </row>
    <row r="822" spans="5:5" x14ac:dyDescent="0.2">
      <c r="E822" s="34"/>
    </row>
    <row r="823" spans="5:5" x14ac:dyDescent="0.2">
      <c r="E823" s="34"/>
    </row>
    <row r="824" spans="5:5" x14ac:dyDescent="0.2">
      <c r="E824" s="34"/>
    </row>
    <row r="825" spans="5:5" x14ac:dyDescent="0.2">
      <c r="E825" s="34"/>
    </row>
    <row r="826" spans="5:5" x14ac:dyDescent="0.2">
      <c r="E826" s="34"/>
    </row>
    <row r="827" spans="5:5" x14ac:dyDescent="0.2">
      <c r="E827" s="34"/>
    </row>
    <row r="828" spans="5:5" x14ac:dyDescent="0.2">
      <c r="E828" s="34"/>
    </row>
    <row r="829" spans="5:5" x14ac:dyDescent="0.2">
      <c r="E829" s="34"/>
    </row>
    <row r="830" spans="5:5" x14ac:dyDescent="0.2">
      <c r="E830" s="34"/>
    </row>
    <row r="831" spans="5:5" x14ac:dyDescent="0.2">
      <c r="E831" s="34"/>
    </row>
    <row r="832" spans="5:5" x14ac:dyDescent="0.2">
      <c r="E832" s="34"/>
    </row>
    <row r="833" spans="5:5" x14ac:dyDescent="0.2">
      <c r="E833" s="34"/>
    </row>
    <row r="834" spans="5:5" x14ac:dyDescent="0.2">
      <c r="E834" s="34"/>
    </row>
    <row r="835" spans="5:5" x14ac:dyDescent="0.2">
      <c r="E835" s="34"/>
    </row>
    <row r="836" spans="5:5" x14ac:dyDescent="0.2">
      <c r="E836" s="34"/>
    </row>
    <row r="837" spans="5:5" x14ac:dyDescent="0.2">
      <c r="E837" s="34"/>
    </row>
    <row r="838" spans="5:5" x14ac:dyDescent="0.2">
      <c r="E838" s="34"/>
    </row>
    <row r="839" spans="5:5" x14ac:dyDescent="0.2">
      <c r="E839" s="34"/>
    </row>
    <row r="840" spans="5:5" x14ac:dyDescent="0.2">
      <c r="E840" s="34"/>
    </row>
    <row r="841" spans="5:5" x14ac:dyDescent="0.2">
      <c r="E841" s="34"/>
    </row>
    <row r="842" spans="5:5" x14ac:dyDescent="0.2">
      <c r="E842" s="34"/>
    </row>
    <row r="843" spans="5:5" x14ac:dyDescent="0.2">
      <c r="E843" s="34"/>
    </row>
    <row r="844" spans="5:5" x14ac:dyDescent="0.2">
      <c r="E844" s="34"/>
    </row>
    <row r="845" spans="5:5" x14ac:dyDescent="0.2">
      <c r="E845" s="34"/>
    </row>
    <row r="846" spans="5:5" x14ac:dyDescent="0.2">
      <c r="E846" s="34"/>
    </row>
    <row r="847" spans="5:5" x14ac:dyDescent="0.2">
      <c r="E847" s="34"/>
    </row>
    <row r="848" spans="5:5" x14ac:dyDescent="0.2">
      <c r="E848" s="34"/>
    </row>
    <row r="849" spans="5:5" x14ac:dyDescent="0.2">
      <c r="E849" s="34"/>
    </row>
    <row r="850" spans="5:5" x14ac:dyDescent="0.2">
      <c r="E850" s="34"/>
    </row>
    <row r="851" spans="5:5" x14ac:dyDescent="0.2">
      <c r="E851" s="34"/>
    </row>
    <row r="852" spans="5:5" x14ac:dyDescent="0.2">
      <c r="E852" s="34"/>
    </row>
    <row r="853" spans="5:5" x14ac:dyDescent="0.2">
      <c r="E853" s="34"/>
    </row>
    <row r="854" spans="5:5" x14ac:dyDescent="0.2">
      <c r="E854" s="34"/>
    </row>
    <row r="855" spans="5:5" x14ac:dyDescent="0.2">
      <c r="E855" s="34"/>
    </row>
    <row r="856" spans="5:5" x14ac:dyDescent="0.2">
      <c r="E856" s="34"/>
    </row>
    <row r="857" spans="5:5" x14ac:dyDescent="0.2">
      <c r="E857" s="34"/>
    </row>
    <row r="858" spans="5:5" x14ac:dyDescent="0.2">
      <c r="E858" s="34"/>
    </row>
    <row r="859" spans="5:5" x14ac:dyDescent="0.2">
      <c r="E859" s="34"/>
    </row>
    <row r="860" spans="5:5" x14ac:dyDescent="0.2">
      <c r="E860" s="34"/>
    </row>
    <row r="861" spans="5:5" x14ac:dyDescent="0.2">
      <c r="E861" s="34"/>
    </row>
    <row r="862" spans="5:5" x14ac:dyDescent="0.2">
      <c r="E862" s="34"/>
    </row>
    <row r="863" spans="5:5" x14ac:dyDescent="0.2">
      <c r="E863" s="34"/>
    </row>
    <row r="864" spans="5:5" x14ac:dyDescent="0.2">
      <c r="E864" s="34"/>
    </row>
    <row r="865" spans="5:5" x14ac:dyDescent="0.2">
      <c r="E865" s="34"/>
    </row>
    <row r="866" spans="5:5" x14ac:dyDescent="0.2">
      <c r="E866" s="34"/>
    </row>
    <row r="867" spans="5:5" x14ac:dyDescent="0.2">
      <c r="E867" s="34"/>
    </row>
    <row r="868" spans="5:5" x14ac:dyDescent="0.2">
      <c r="E868" s="34"/>
    </row>
    <row r="869" spans="5:5" x14ac:dyDescent="0.2">
      <c r="E869" s="34"/>
    </row>
    <row r="870" spans="5:5" x14ac:dyDescent="0.2">
      <c r="E870" s="34"/>
    </row>
    <row r="871" spans="5:5" x14ac:dyDescent="0.2">
      <c r="E871" s="34"/>
    </row>
    <row r="872" spans="5:5" x14ac:dyDescent="0.2">
      <c r="E872" s="34"/>
    </row>
    <row r="873" spans="5:5" x14ac:dyDescent="0.2">
      <c r="E873" s="34"/>
    </row>
    <row r="874" spans="5:5" x14ac:dyDescent="0.2">
      <c r="E874" s="34"/>
    </row>
    <row r="875" spans="5:5" x14ac:dyDescent="0.2">
      <c r="E875" s="34"/>
    </row>
    <row r="876" spans="5:5" x14ac:dyDescent="0.2">
      <c r="E876" s="34"/>
    </row>
    <row r="877" spans="5:5" x14ac:dyDescent="0.2">
      <c r="E877" s="34"/>
    </row>
    <row r="878" spans="5:5" x14ac:dyDescent="0.2">
      <c r="E878" s="34"/>
    </row>
    <row r="879" spans="5:5" x14ac:dyDescent="0.2">
      <c r="E879" s="34"/>
    </row>
    <row r="880" spans="5:5" x14ac:dyDescent="0.2">
      <c r="E880" s="34"/>
    </row>
    <row r="881" spans="5:5" x14ac:dyDescent="0.2">
      <c r="E881" s="34"/>
    </row>
    <row r="882" spans="5:5" x14ac:dyDescent="0.2">
      <c r="E882" s="34"/>
    </row>
    <row r="883" spans="5:5" x14ac:dyDescent="0.2">
      <c r="E883" s="34"/>
    </row>
    <row r="884" spans="5:5" x14ac:dyDescent="0.2">
      <c r="E884" s="34"/>
    </row>
    <row r="885" spans="5:5" x14ac:dyDescent="0.2">
      <c r="E885" s="34"/>
    </row>
    <row r="886" spans="5:5" x14ac:dyDescent="0.2">
      <c r="E886" s="34"/>
    </row>
    <row r="887" spans="5:5" x14ac:dyDescent="0.2">
      <c r="E887" s="34"/>
    </row>
    <row r="888" spans="5:5" x14ac:dyDescent="0.2">
      <c r="E888" s="34"/>
    </row>
    <row r="889" spans="5:5" x14ac:dyDescent="0.2">
      <c r="E889" s="34"/>
    </row>
    <row r="890" spans="5:5" x14ac:dyDescent="0.2">
      <c r="E890" s="34"/>
    </row>
    <row r="891" spans="5:5" x14ac:dyDescent="0.2">
      <c r="E891" s="34"/>
    </row>
    <row r="892" spans="5:5" x14ac:dyDescent="0.2">
      <c r="E892" s="34"/>
    </row>
    <row r="893" spans="5:5" x14ac:dyDescent="0.2">
      <c r="E893" s="34"/>
    </row>
    <row r="894" spans="5:5" x14ac:dyDescent="0.2">
      <c r="E894" s="34"/>
    </row>
    <row r="895" spans="5:5" x14ac:dyDescent="0.2">
      <c r="E895" s="34"/>
    </row>
    <row r="896" spans="5:5" x14ac:dyDescent="0.2">
      <c r="E896" s="34"/>
    </row>
    <row r="897" spans="5:5" x14ac:dyDescent="0.2">
      <c r="E897" s="34"/>
    </row>
    <row r="898" spans="5:5" x14ac:dyDescent="0.2">
      <c r="E898" s="34"/>
    </row>
    <row r="899" spans="5:5" x14ac:dyDescent="0.2">
      <c r="E899" s="34"/>
    </row>
    <row r="900" spans="5:5" x14ac:dyDescent="0.2">
      <c r="E900" s="34"/>
    </row>
    <row r="901" spans="5:5" x14ac:dyDescent="0.2">
      <c r="E901" s="34"/>
    </row>
    <row r="902" spans="5:5" x14ac:dyDescent="0.2">
      <c r="E902" s="34"/>
    </row>
    <row r="903" spans="5:5" x14ac:dyDescent="0.2">
      <c r="E903" s="34"/>
    </row>
    <row r="904" spans="5:5" x14ac:dyDescent="0.2">
      <c r="E904" s="34"/>
    </row>
    <row r="905" spans="5:5" x14ac:dyDescent="0.2">
      <c r="E905" s="34"/>
    </row>
    <row r="906" spans="5:5" x14ac:dyDescent="0.2">
      <c r="E906" s="34"/>
    </row>
    <row r="907" spans="5:5" x14ac:dyDescent="0.2">
      <c r="E907" s="34"/>
    </row>
    <row r="908" spans="5:5" x14ac:dyDescent="0.2">
      <c r="E908" s="34"/>
    </row>
    <row r="909" spans="5:5" x14ac:dyDescent="0.2">
      <c r="E909" s="34"/>
    </row>
    <row r="910" spans="5:5" x14ac:dyDescent="0.2">
      <c r="E910" s="34"/>
    </row>
    <row r="911" spans="5:5" x14ac:dyDescent="0.2">
      <c r="E911" s="34"/>
    </row>
    <row r="912" spans="5:5" x14ac:dyDescent="0.2">
      <c r="E912" s="34"/>
    </row>
    <row r="913" spans="5:5" x14ac:dyDescent="0.2">
      <c r="E913" s="34"/>
    </row>
    <row r="914" spans="5:5" x14ac:dyDescent="0.2">
      <c r="E914" s="34"/>
    </row>
    <row r="915" spans="5:5" x14ac:dyDescent="0.2">
      <c r="E915" s="34"/>
    </row>
    <row r="916" spans="5:5" x14ac:dyDescent="0.2">
      <c r="E916" s="34"/>
    </row>
    <row r="917" spans="5:5" x14ac:dyDescent="0.2">
      <c r="E917" s="34"/>
    </row>
    <row r="918" spans="5:5" x14ac:dyDescent="0.2">
      <c r="E918" s="34"/>
    </row>
    <row r="919" spans="5:5" x14ac:dyDescent="0.2">
      <c r="E919" s="34"/>
    </row>
    <row r="920" spans="5:5" x14ac:dyDescent="0.2">
      <c r="E920" s="34"/>
    </row>
    <row r="921" spans="5:5" x14ac:dyDescent="0.2">
      <c r="E921" s="34"/>
    </row>
    <row r="922" spans="5:5" x14ac:dyDescent="0.2">
      <c r="E922" s="34"/>
    </row>
    <row r="923" spans="5:5" x14ac:dyDescent="0.2">
      <c r="E923" s="34"/>
    </row>
    <row r="924" spans="5:5" x14ac:dyDescent="0.2">
      <c r="E924" s="34"/>
    </row>
    <row r="925" spans="5:5" x14ac:dyDescent="0.2">
      <c r="E925" s="34"/>
    </row>
    <row r="926" spans="5:5" x14ac:dyDescent="0.2">
      <c r="E926" s="34"/>
    </row>
    <row r="927" spans="5:5" x14ac:dyDescent="0.2">
      <c r="E927" s="34"/>
    </row>
    <row r="928" spans="5:5" x14ac:dyDescent="0.2">
      <c r="E928" s="34"/>
    </row>
    <row r="929" spans="5:5" x14ac:dyDescent="0.2">
      <c r="E929" s="34"/>
    </row>
    <row r="930" spans="5:5" x14ac:dyDescent="0.2">
      <c r="E930" s="34"/>
    </row>
    <row r="931" spans="5:5" x14ac:dyDescent="0.2">
      <c r="E931" s="34"/>
    </row>
    <row r="932" spans="5:5" x14ac:dyDescent="0.2">
      <c r="E932" s="34"/>
    </row>
    <row r="933" spans="5:5" x14ac:dyDescent="0.2">
      <c r="E933" s="34"/>
    </row>
    <row r="934" spans="5:5" x14ac:dyDescent="0.2">
      <c r="E934" s="34"/>
    </row>
    <row r="935" spans="5:5" x14ac:dyDescent="0.2">
      <c r="E935" s="34"/>
    </row>
    <row r="936" spans="5:5" x14ac:dyDescent="0.2">
      <c r="E936" s="34"/>
    </row>
    <row r="937" spans="5:5" x14ac:dyDescent="0.2">
      <c r="E937" s="34"/>
    </row>
    <row r="938" spans="5:5" x14ac:dyDescent="0.2">
      <c r="E938" s="34"/>
    </row>
    <row r="939" spans="5:5" x14ac:dyDescent="0.2">
      <c r="E939" s="34"/>
    </row>
    <row r="940" spans="5:5" x14ac:dyDescent="0.2">
      <c r="E940" s="34"/>
    </row>
    <row r="941" spans="5:5" x14ac:dyDescent="0.2">
      <c r="E941" s="34"/>
    </row>
    <row r="942" spans="5:5" x14ac:dyDescent="0.2">
      <c r="E942" s="34"/>
    </row>
    <row r="943" spans="5:5" x14ac:dyDescent="0.2">
      <c r="E943" s="34"/>
    </row>
    <row r="944" spans="5:5" x14ac:dyDescent="0.2">
      <c r="E944" s="34"/>
    </row>
    <row r="945" spans="5:5" x14ac:dyDescent="0.2">
      <c r="E945" s="34"/>
    </row>
    <row r="946" spans="5:5" x14ac:dyDescent="0.2">
      <c r="E946" s="34"/>
    </row>
    <row r="947" spans="5:5" x14ac:dyDescent="0.2">
      <c r="E947" s="34"/>
    </row>
    <row r="948" spans="5:5" x14ac:dyDescent="0.2">
      <c r="E948" s="34"/>
    </row>
    <row r="949" spans="5:5" x14ac:dyDescent="0.2">
      <c r="E949" s="34"/>
    </row>
    <row r="950" spans="5:5" x14ac:dyDescent="0.2">
      <c r="E950" s="34"/>
    </row>
    <row r="951" spans="5:5" x14ac:dyDescent="0.2">
      <c r="E951" s="34"/>
    </row>
    <row r="952" spans="5:5" x14ac:dyDescent="0.2">
      <c r="E952" s="34"/>
    </row>
    <row r="953" spans="5:5" x14ac:dyDescent="0.2">
      <c r="E953" s="34"/>
    </row>
    <row r="954" spans="5:5" x14ac:dyDescent="0.2">
      <c r="E954" s="34"/>
    </row>
    <row r="955" spans="5:5" x14ac:dyDescent="0.2">
      <c r="E955" s="34"/>
    </row>
    <row r="956" spans="5:5" x14ac:dyDescent="0.2">
      <c r="E956" s="34"/>
    </row>
    <row r="957" spans="5:5" x14ac:dyDescent="0.2">
      <c r="E957" s="34"/>
    </row>
    <row r="958" spans="5:5" x14ac:dyDescent="0.2">
      <c r="E958" s="34"/>
    </row>
    <row r="959" spans="5:5" x14ac:dyDescent="0.2">
      <c r="E959" s="34"/>
    </row>
    <row r="960" spans="5:5" x14ac:dyDescent="0.2">
      <c r="E960" s="34"/>
    </row>
    <row r="961" spans="5:5" x14ac:dyDescent="0.2">
      <c r="E961" s="34"/>
    </row>
    <row r="962" spans="5:5" x14ac:dyDescent="0.2">
      <c r="E962" s="34"/>
    </row>
    <row r="963" spans="5:5" x14ac:dyDescent="0.2">
      <c r="E963" s="34"/>
    </row>
    <row r="964" spans="5:5" x14ac:dyDescent="0.2">
      <c r="E964" s="34"/>
    </row>
    <row r="965" spans="5:5" x14ac:dyDescent="0.2">
      <c r="E965" s="34"/>
    </row>
    <row r="966" spans="5:5" x14ac:dyDescent="0.2">
      <c r="E966" s="34"/>
    </row>
    <row r="967" spans="5:5" x14ac:dyDescent="0.2">
      <c r="E967" s="34"/>
    </row>
    <row r="968" spans="5:5" x14ac:dyDescent="0.2">
      <c r="E968" s="34"/>
    </row>
    <row r="969" spans="5:5" x14ac:dyDescent="0.2">
      <c r="E969" s="34"/>
    </row>
    <row r="970" spans="5:5" x14ac:dyDescent="0.2">
      <c r="E970" s="34"/>
    </row>
    <row r="971" spans="5:5" x14ac:dyDescent="0.2">
      <c r="E971" s="34"/>
    </row>
    <row r="972" spans="5:5" x14ac:dyDescent="0.2">
      <c r="E972" s="34"/>
    </row>
    <row r="973" spans="5:5" x14ac:dyDescent="0.2">
      <c r="E973" s="34"/>
    </row>
    <row r="974" spans="5:5" x14ac:dyDescent="0.2">
      <c r="E974" s="34"/>
    </row>
    <row r="975" spans="5:5" x14ac:dyDescent="0.2">
      <c r="E975" s="34"/>
    </row>
    <row r="976" spans="5:5" x14ac:dyDescent="0.2">
      <c r="E976" s="34"/>
    </row>
    <row r="977" spans="5:5" x14ac:dyDescent="0.2">
      <c r="E977" s="34"/>
    </row>
    <row r="978" spans="5:5" x14ac:dyDescent="0.2">
      <c r="E978" s="34"/>
    </row>
    <row r="979" spans="5:5" x14ac:dyDescent="0.2">
      <c r="E979" s="34"/>
    </row>
    <row r="980" spans="5:5" x14ac:dyDescent="0.2">
      <c r="E980" s="34"/>
    </row>
    <row r="981" spans="5:5" x14ac:dyDescent="0.2">
      <c r="E981" s="34"/>
    </row>
    <row r="982" spans="5:5" x14ac:dyDescent="0.2">
      <c r="E982" s="34"/>
    </row>
    <row r="983" spans="5:5" x14ac:dyDescent="0.2">
      <c r="E983" s="34"/>
    </row>
    <row r="984" spans="5:5" x14ac:dyDescent="0.2">
      <c r="E984" s="34"/>
    </row>
    <row r="985" spans="5:5" x14ac:dyDescent="0.2">
      <c r="E985" s="34"/>
    </row>
    <row r="986" spans="5:5" x14ac:dyDescent="0.2">
      <c r="E986" s="34"/>
    </row>
    <row r="987" spans="5:5" x14ac:dyDescent="0.2">
      <c r="E987" s="34"/>
    </row>
    <row r="988" spans="5:5" x14ac:dyDescent="0.2">
      <c r="E988" s="34"/>
    </row>
    <row r="989" spans="5:5" x14ac:dyDescent="0.2">
      <c r="E989" s="34"/>
    </row>
    <row r="990" spans="5:5" x14ac:dyDescent="0.2">
      <c r="E990" s="34"/>
    </row>
    <row r="991" spans="5:5" x14ac:dyDescent="0.2">
      <c r="E991" s="34"/>
    </row>
    <row r="992" spans="5:5" x14ac:dyDescent="0.2">
      <c r="E992" s="34"/>
    </row>
    <row r="993" spans="5:5" x14ac:dyDescent="0.2">
      <c r="E993" s="34"/>
    </row>
    <row r="994" spans="5:5" x14ac:dyDescent="0.2">
      <c r="E994" s="34"/>
    </row>
    <row r="995" spans="5:5" x14ac:dyDescent="0.2">
      <c r="E995" s="34"/>
    </row>
    <row r="996" spans="5:5" x14ac:dyDescent="0.2">
      <c r="E996" s="34"/>
    </row>
    <row r="997" spans="5:5" x14ac:dyDescent="0.2">
      <c r="E997" s="34"/>
    </row>
    <row r="998" spans="5:5" x14ac:dyDescent="0.2">
      <c r="E998" s="34"/>
    </row>
    <row r="999" spans="5:5" x14ac:dyDescent="0.2">
      <c r="E999" s="34"/>
    </row>
    <row r="1000" spans="5:5" x14ac:dyDescent="0.2">
      <c r="E1000" s="34"/>
    </row>
    <row r="1001" spans="5:5" x14ac:dyDescent="0.2">
      <c r="E1001" s="34"/>
    </row>
    <row r="1002" spans="5:5" x14ac:dyDescent="0.2">
      <c r="E1002" s="34"/>
    </row>
    <row r="1003" spans="5:5" x14ac:dyDescent="0.2">
      <c r="E1003" s="34"/>
    </row>
    <row r="1004" spans="5:5" x14ac:dyDescent="0.2">
      <c r="E1004" s="34"/>
    </row>
    <row r="1005" spans="5:5" x14ac:dyDescent="0.2">
      <c r="E1005" s="34"/>
    </row>
    <row r="1006" spans="5:5" x14ac:dyDescent="0.2">
      <c r="E1006" s="34"/>
    </row>
    <row r="1007" spans="5:5" x14ac:dyDescent="0.2">
      <c r="E1007" s="34"/>
    </row>
    <row r="1008" spans="5:5" x14ac:dyDescent="0.2">
      <c r="E1008" s="34"/>
    </row>
    <row r="1009" spans="5:5" x14ac:dyDescent="0.2">
      <c r="E1009" s="34"/>
    </row>
    <row r="1010" spans="5:5" x14ac:dyDescent="0.2">
      <c r="E1010" s="34"/>
    </row>
    <row r="1011" spans="5:5" x14ac:dyDescent="0.2">
      <c r="E1011" s="34"/>
    </row>
    <row r="1012" spans="5:5" x14ac:dyDescent="0.2">
      <c r="E1012" s="34"/>
    </row>
    <row r="1013" spans="5:5" x14ac:dyDescent="0.2">
      <c r="E1013" s="34"/>
    </row>
    <row r="1014" spans="5:5" x14ac:dyDescent="0.2">
      <c r="E1014" s="34"/>
    </row>
    <row r="1015" spans="5:5" x14ac:dyDescent="0.2">
      <c r="E1015" s="34"/>
    </row>
    <row r="1016" spans="5:5" x14ac:dyDescent="0.2">
      <c r="E1016" s="34"/>
    </row>
    <row r="1017" spans="5:5" x14ac:dyDescent="0.2">
      <c r="E1017" s="34"/>
    </row>
    <row r="1018" spans="5:5" x14ac:dyDescent="0.2">
      <c r="E1018" s="34"/>
    </row>
    <row r="1019" spans="5:5" x14ac:dyDescent="0.2">
      <c r="E1019" s="34"/>
    </row>
    <row r="1020" spans="5:5" x14ac:dyDescent="0.2">
      <c r="E1020" s="34"/>
    </row>
    <row r="1021" spans="5:5" x14ac:dyDescent="0.2">
      <c r="E1021" s="34"/>
    </row>
    <row r="1022" spans="5:5" x14ac:dyDescent="0.2">
      <c r="E1022" s="34"/>
    </row>
    <row r="1023" spans="5:5" x14ac:dyDescent="0.2">
      <c r="E1023" s="34"/>
    </row>
    <row r="1024" spans="5:5" x14ac:dyDescent="0.2">
      <c r="E1024" s="34"/>
    </row>
    <row r="1025" spans="5:5" x14ac:dyDescent="0.2">
      <c r="E1025" s="34"/>
    </row>
    <row r="1026" spans="5:5" x14ac:dyDescent="0.2">
      <c r="E1026" s="34"/>
    </row>
    <row r="1027" spans="5:5" x14ac:dyDescent="0.2">
      <c r="E1027" s="34"/>
    </row>
    <row r="1028" spans="5:5" x14ac:dyDescent="0.2">
      <c r="E1028" s="34"/>
    </row>
    <row r="1029" spans="5:5" x14ac:dyDescent="0.2">
      <c r="E1029" s="34"/>
    </row>
    <row r="1030" spans="5:5" x14ac:dyDescent="0.2">
      <c r="E1030" s="34"/>
    </row>
    <row r="1031" spans="5:5" x14ac:dyDescent="0.2">
      <c r="E1031" s="34"/>
    </row>
    <row r="1032" spans="5:5" x14ac:dyDescent="0.2">
      <c r="E1032" s="34"/>
    </row>
    <row r="1033" spans="5:5" x14ac:dyDescent="0.2">
      <c r="E1033" s="34"/>
    </row>
    <row r="1034" spans="5:5" x14ac:dyDescent="0.2">
      <c r="E1034" s="34"/>
    </row>
    <row r="1035" spans="5:5" x14ac:dyDescent="0.2">
      <c r="E1035" s="34"/>
    </row>
    <row r="1036" spans="5:5" x14ac:dyDescent="0.2">
      <c r="E1036" s="34"/>
    </row>
    <row r="1037" spans="5:5" x14ac:dyDescent="0.2">
      <c r="E1037" s="34"/>
    </row>
    <row r="1038" spans="5:5" x14ac:dyDescent="0.2">
      <c r="E1038" s="34"/>
    </row>
    <row r="1039" spans="5:5" x14ac:dyDescent="0.2">
      <c r="E1039" s="34"/>
    </row>
    <row r="1040" spans="5:5" x14ac:dyDescent="0.2">
      <c r="E1040" s="34"/>
    </row>
    <row r="1041" spans="5:5" x14ac:dyDescent="0.2">
      <c r="E1041" s="34"/>
    </row>
    <row r="1042" spans="5:5" x14ac:dyDescent="0.2">
      <c r="E1042" s="34"/>
    </row>
    <row r="1043" spans="5:5" x14ac:dyDescent="0.2">
      <c r="E1043" s="34"/>
    </row>
    <row r="1044" spans="5:5" x14ac:dyDescent="0.2">
      <c r="E1044" s="34"/>
    </row>
    <row r="1045" spans="5:5" x14ac:dyDescent="0.2">
      <c r="E1045" s="34"/>
    </row>
    <row r="1046" spans="5:5" x14ac:dyDescent="0.2">
      <c r="E1046" s="34"/>
    </row>
    <row r="1047" spans="5:5" x14ac:dyDescent="0.2">
      <c r="E1047" s="34"/>
    </row>
    <row r="1048" spans="5:5" x14ac:dyDescent="0.2">
      <c r="E1048" s="34"/>
    </row>
    <row r="1049" spans="5:5" x14ac:dyDescent="0.2">
      <c r="E1049" s="34"/>
    </row>
    <row r="1050" spans="5:5" x14ac:dyDescent="0.2">
      <c r="E1050" s="34"/>
    </row>
    <row r="1051" spans="5:5" x14ac:dyDescent="0.2">
      <c r="E1051" s="34"/>
    </row>
    <row r="1052" spans="5:5" x14ac:dyDescent="0.2">
      <c r="E1052" s="34"/>
    </row>
    <row r="1053" spans="5:5" x14ac:dyDescent="0.2">
      <c r="E1053" s="34"/>
    </row>
    <row r="1054" spans="5:5" x14ac:dyDescent="0.2">
      <c r="E1054" s="34"/>
    </row>
    <row r="1055" spans="5:5" x14ac:dyDescent="0.2">
      <c r="E1055" s="34"/>
    </row>
    <row r="1056" spans="5:5" x14ac:dyDescent="0.2">
      <c r="E1056" s="34"/>
    </row>
    <row r="1057" spans="5:5" x14ac:dyDescent="0.2">
      <c r="E1057" s="34"/>
    </row>
    <row r="1058" spans="5:5" x14ac:dyDescent="0.2">
      <c r="E1058" s="34"/>
    </row>
    <row r="1059" spans="5:5" x14ac:dyDescent="0.2">
      <c r="E1059" s="34"/>
    </row>
    <row r="1060" spans="5:5" x14ac:dyDescent="0.2">
      <c r="E1060" s="34"/>
    </row>
    <row r="1061" spans="5:5" x14ac:dyDescent="0.2">
      <c r="E1061" s="34"/>
    </row>
    <row r="1062" spans="5:5" x14ac:dyDescent="0.2">
      <c r="E1062" s="34"/>
    </row>
    <row r="1063" spans="5:5" x14ac:dyDescent="0.2">
      <c r="E1063" s="34"/>
    </row>
    <row r="1064" spans="5:5" x14ac:dyDescent="0.2">
      <c r="E1064" s="34"/>
    </row>
    <row r="1065" spans="5:5" x14ac:dyDescent="0.2">
      <c r="E1065" s="34"/>
    </row>
    <row r="1066" spans="5:5" x14ac:dyDescent="0.2">
      <c r="E1066" s="34"/>
    </row>
    <row r="1067" spans="5:5" x14ac:dyDescent="0.2">
      <c r="E1067" s="34"/>
    </row>
    <row r="1068" spans="5:5" x14ac:dyDescent="0.2">
      <c r="E1068" s="34"/>
    </row>
    <row r="1069" spans="5:5" x14ac:dyDescent="0.2">
      <c r="E1069" s="34"/>
    </row>
    <row r="1070" spans="5:5" x14ac:dyDescent="0.2">
      <c r="E1070" s="34"/>
    </row>
    <row r="1071" spans="5:5" x14ac:dyDescent="0.2">
      <c r="E1071" s="34"/>
    </row>
    <row r="1072" spans="5:5" x14ac:dyDescent="0.2">
      <c r="E1072" s="34"/>
    </row>
    <row r="1073" spans="5:5" x14ac:dyDescent="0.2">
      <c r="E1073" s="34"/>
    </row>
    <row r="1074" spans="5:5" x14ac:dyDescent="0.2">
      <c r="E1074" s="34"/>
    </row>
    <row r="1075" spans="5:5" x14ac:dyDescent="0.2">
      <c r="E1075" s="34"/>
    </row>
    <row r="1076" spans="5:5" x14ac:dyDescent="0.2">
      <c r="E1076" s="34"/>
    </row>
    <row r="1077" spans="5:5" x14ac:dyDescent="0.2">
      <c r="E1077" s="34"/>
    </row>
    <row r="1078" spans="5:5" x14ac:dyDescent="0.2">
      <c r="E1078" s="34"/>
    </row>
    <row r="1079" spans="5:5" x14ac:dyDescent="0.2">
      <c r="E1079" s="34"/>
    </row>
    <row r="1080" spans="5:5" x14ac:dyDescent="0.2">
      <c r="E1080" s="34"/>
    </row>
    <row r="1081" spans="5:5" x14ac:dyDescent="0.2">
      <c r="E1081" s="34"/>
    </row>
    <row r="1082" spans="5:5" x14ac:dyDescent="0.2">
      <c r="E1082" s="34"/>
    </row>
    <row r="1083" spans="5:5" x14ac:dyDescent="0.2">
      <c r="E1083" s="34"/>
    </row>
    <row r="1084" spans="5:5" x14ac:dyDescent="0.2">
      <c r="E1084" s="34"/>
    </row>
    <row r="1085" spans="5:5" x14ac:dyDescent="0.2">
      <c r="E1085" s="34"/>
    </row>
    <row r="1086" spans="5:5" x14ac:dyDescent="0.2">
      <c r="E1086" s="34"/>
    </row>
    <row r="1087" spans="5:5" x14ac:dyDescent="0.2">
      <c r="E1087" s="34"/>
    </row>
    <row r="1088" spans="5:5" x14ac:dyDescent="0.2">
      <c r="E1088" s="34"/>
    </row>
    <row r="1089" spans="5:5" x14ac:dyDescent="0.2">
      <c r="E1089" s="34"/>
    </row>
    <row r="1090" spans="5:5" x14ac:dyDescent="0.2">
      <c r="E1090" s="34"/>
    </row>
    <row r="1091" spans="5:5" x14ac:dyDescent="0.2">
      <c r="E1091" s="34"/>
    </row>
    <row r="1092" spans="5:5" x14ac:dyDescent="0.2">
      <c r="E1092" s="34"/>
    </row>
    <row r="1093" spans="5:5" x14ac:dyDescent="0.2">
      <c r="E1093" s="34"/>
    </row>
    <row r="1094" spans="5:5" x14ac:dyDescent="0.2">
      <c r="E1094" s="34"/>
    </row>
    <row r="1095" spans="5:5" x14ac:dyDescent="0.2">
      <c r="E1095" s="34"/>
    </row>
    <row r="1096" spans="5:5" x14ac:dyDescent="0.2">
      <c r="E1096" s="34"/>
    </row>
    <row r="1097" spans="5:5" x14ac:dyDescent="0.2">
      <c r="E1097" s="34"/>
    </row>
    <row r="1098" spans="5:5" x14ac:dyDescent="0.2">
      <c r="E1098" s="34"/>
    </row>
    <row r="1099" spans="5:5" x14ac:dyDescent="0.2">
      <c r="E1099" s="34"/>
    </row>
    <row r="1100" spans="5:5" x14ac:dyDescent="0.2">
      <c r="E1100" s="34"/>
    </row>
    <row r="1101" spans="5:5" x14ac:dyDescent="0.2">
      <c r="E1101" s="34"/>
    </row>
    <row r="1102" spans="5:5" x14ac:dyDescent="0.2">
      <c r="E1102" s="34"/>
    </row>
    <row r="1103" spans="5:5" x14ac:dyDescent="0.2">
      <c r="E1103" s="34"/>
    </row>
    <row r="1104" spans="5:5" x14ac:dyDescent="0.2">
      <c r="E1104" s="34"/>
    </row>
    <row r="1105" spans="5:5" x14ac:dyDescent="0.2">
      <c r="E1105" s="34"/>
    </row>
    <row r="1106" spans="5:5" x14ac:dyDescent="0.2">
      <c r="E1106" s="34"/>
    </row>
    <row r="1107" spans="5:5" x14ac:dyDescent="0.2">
      <c r="E1107" s="34"/>
    </row>
    <row r="1108" spans="5:5" x14ac:dyDescent="0.2">
      <c r="E1108" s="34"/>
    </row>
    <row r="1109" spans="5:5" x14ac:dyDescent="0.2">
      <c r="E1109" s="34"/>
    </row>
    <row r="1110" spans="5:5" x14ac:dyDescent="0.2">
      <c r="E1110" s="34"/>
    </row>
    <row r="1111" spans="5:5" x14ac:dyDescent="0.2">
      <c r="E1111" s="34"/>
    </row>
    <row r="1112" spans="5:5" x14ac:dyDescent="0.2">
      <c r="E1112" s="34"/>
    </row>
    <row r="1113" spans="5:5" x14ac:dyDescent="0.2">
      <c r="E1113" s="34"/>
    </row>
    <row r="1114" spans="5:5" x14ac:dyDescent="0.2">
      <c r="E1114" s="34"/>
    </row>
    <row r="1115" spans="5:5" x14ac:dyDescent="0.2">
      <c r="E1115" s="34"/>
    </row>
    <row r="1116" spans="5:5" x14ac:dyDescent="0.2">
      <c r="E1116" s="34"/>
    </row>
    <row r="1117" spans="5:5" x14ac:dyDescent="0.2">
      <c r="E1117" s="34"/>
    </row>
    <row r="1118" spans="5:5" x14ac:dyDescent="0.2">
      <c r="E1118" s="34"/>
    </row>
    <row r="1119" spans="5:5" x14ac:dyDescent="0.2">
      <c r="E1119" s="34"/>
    </row>
    <row r="1120" spans="5:5" x14ac:dyDescent="0.2">
      <c r="E1120" s="34"/>
    </row>
    <row r="1121" spans="5:5" x14ac:dyDescent="0.2">
      <c r="E1121" s="34"/>
    </row>
    <row r="1122" spans="5:5" x14ac:dyDescent="0.2">
      <c r="E1122" s="34"/>
    </row>
    <row r="1123" spans="5:5" x14ac:dyDescent="0.2">
      <c r="E1123" s="34"/>
    </row>
    <row r="1124" spans="5:5" x14ac:dyDescent="0.2">
      <c r="E1124" s="34"/>
    </row>
    <row r="1125" spans="5:5" x14ac:dyDescent="0.2">
      <c r="E1125" s="34"/>
    </row>
    <row r="1126" spans="5:5" x14ac:dyDescent="0.2">
      <c r="E1126" s="34"/>
    </row>
    <row r="1127" spans="5:5" x14ac:dyDescent="0.2">
      <c r="E1127" s="34"/>
    </row>
    <row r="1128" spans="5:5" x14ac:dyDescent="0.2">
      <c r="E1128" s="34"/>
    </row>
    <row r="1129" spans="5:5" x14ac:dyDescent="0.2">
      <c r="E1129" s="34"/>
    </row>
    <row r="1130" spans="5:5" x14ac:dyDescent="0.2">
      <c r="E1130" s="34"/>
    </row>
    <row r="1131" spans="5:5" x14ac:dyDescent="0.2">
      <c r="E1131" s="34"/>
    </row>
    <row r="1132" spans="5:5" x14ac:dyDescent="0.2">
      <c r="E1132" s="34"/>
    </row>
    <row r="1133" spans="5:5" x14ac:dyDescent="0.2">
      <c r="E1133" s="34"/>
    </row>
    <row r="1134" spans="5:5" x14ac:dyDescent="0.2">
      <c r="E1134" s="34"/>
    </row>
    <row r="1135" spans="5:5" x14ac:dyDescent="0.2">
      <c r="E1135" s="34"/>
    </row>
    <row r="1136" spans="5:5" x14ac:dyDescent="0.2">
      <c r="E1136" s="34"/>
    </row>
    <row r="1137" spans="5:5" x14ac:dyDescent="0.2">
      <c r="E1137" s="34"/>
    </row>
    <row r="1138" spans="5:5" x14ac:dyDescent="0.2">
      <c r="E1138" s="34"/>
    </row>
    <row r="1139" spans="5:5" x14ac:dyDescent="0.2">
      <c r="E1139" s="34"/>
    </row>
    <row r="1140" spans="5:5" x14ac:dyDescent="0.2">
      <c r="E1140" s="34"/>
    </row>
    <row r="1141" spans="5:5" x14ac:dyDescent="0.2">
      <c r="E1141" s="34"/>
    </row>
    <row r="1142" spans="5:5" x14ac:dyDescent="0.2">
      <c r="E1142" s="34"/>
    </row>
    <row r="1143" spans="5:5" x14ac:dyDescent="0.2">
      <c r="E1143" s="34"/>
    </row>
    <row r="1144" spans="5:5" x14ac:dyDescent="0.2">
      <c r="E1144" s="34"/>
    </row>
    <row r="1145" spans="5:5" x14ac:dyDescent="0.2">
      <c r="E1145" s="34"/>
    </row>
    <row r="1146" spans="5:5" x14ac:dyDescent="0.2">
      <c r="E1146" s="34"/>
    </row>
    <row r="1147" spans="5:5" x14ac:dyDescent="0.2">
      <c r="E1147" s="34"/>
    </row>
    <row r="1148" spans="5:5" x14ac:dyDescent="0.2">
      <c r="E1148" s="34"/>
    </row>
    <row r="1149" spans="5:5" x14ac:dyDescent="0.2">
      <c r="E1149" s="34"/>
    </row>
    <row r="1150" spans="5:5" x14ac:dyDescent="0.2">
      <c r="E1150" s="34"/>
    </row>
    <row r="1151" spans="5:5" x14ac:dyDescent="0.2">
      <c r="E1151" s="34"/>
    </row>
    <row r="1152" spans="5:5" x14ac:dyDescent="0.2">
      <c r="E1152" s="34"/>
    </row>
    <row r="1153" spans="5:5" x14ac:dyDescent="0.2">
      <c r="E1153" s="34"/>
    </row>
    <row r="1154" spans="5:5" x14ac:dyDescent="0.2">
      <c r="E1154" s="34"/>
    </row>
    <row r="1155" spans="5:5" x14ac:dyDescent="0.2">
      <c r="E1155" s="34"/>
    </row>
    <row r="1156" spans="5:5" x14ac:dyDescent="0.2">
      <c r="E1156" s="34"/>
    </row>
    <row r="1157" spans="5:5" x14ac:dyDescent="0.2">
      <c r="E1157" s="34"/>
    </row>
    <row r="1158" spans="5:5" x14ac:dyDescent="0.2">
      <c r="E1158" s="34"/>
    </row>
    <row r="1159" spans="5:5" x14ac:dyDescent="0.2">
      <c r="E1159" s="34"/>
    </row>
    <row r="1160" spans="5:5" x14ac:dyDescent="0.2">
      <c r="E1160" s="34"/>
    </row>
    <row r="1161" spans="5:5" x14ac:dyDescent="0.2">
      <c r="E1161" s="34"/>
    </row>
    <row r="1162" spans="5:5" x14ac:dyDescent="0.2">
      <c r="E1162" s="34"/>
    </row>
    <row r="1163" spans="5:5" x14ac:dyDescent="0.2">
      <c r="E1163" s="34"/>
    </row>
    <row r="1164" spans="5:5" x14ac:dyDescent="0.2">
      <c r="E1164" s="34"/>
    </row>
    <row r="1165" spans="5:5" x14ac:dyDescent="0.2">
      <c r="E1165" s="34"/>
    </row>
    <row r="1166" spans="5:5" x14ac:dyDescent="0.2">
      <c r="E1166" s="34"/>
    </row>
    <row r="1167" spans="5:5" x14ac:dyDescent="0.2">
      <c r="E1167" s="34"/>
    </row>
    <row r="1168" spans="5:5" x14ac:dyDescent="0.2">
      <c r="E1168" s="34"/>
    </row>
    <row r="1169" spans="5:5" x14ac:dyDescent="0.2">
      <c r="E1169" s="34"/>
    </row>
    <row r="1170" spans="5:5" x14ac:dyDescent="0.2">
      <c r="E1170" s="34"/>
    </row>
    <row r="1171" spans="5:5" x14ac:dyDescent="0.2">
      <c r="E1171" s="34"/>
    </row>
    <row r="1172" spans="5:5" x14ac:dyDescent="0.2">
      <c r="E1172" s="34"/>
    </row>
    <row r="1173" spans="5:5" x14ac:dyDescent="0.2">
      <c r="E1173" s="34"/>
    </row>
    <row r="1174" spans="5:5" x14ac:dyDescent="0.2">
      <c r="E1174" s="34"/>
    </row>
    <row r="1175" spans="5:5" x14ac:dyDescent="0.2">
      <c r="E1175" s="34"/>
    </row>
    <row r="1176" spans="5:5" x14ac:dyDescent="0.2">
      <c r="E1176" s="34"/>
    </row>
    <row r="1177" spans="5:5" x14ac:dyDescent="0.2">
      <c r="E1177" s="34"/>
    </row>
    <row r="1178" spans="5:5" x14ac:dyDescent="0.2">
      <c r="E1178" s="34"/>
    </row>
    <row r="1179" spans="5:5" x14ac:dyDescent="0.2">
      <c r="E1179" s="34"/>
    </row>
    <row r="1180" spans="5:5" x14ac:dyDescent="0.2">
      <c r="E1180" s="34"/>
    </row>
    <row r="1181" spans="5:5" x14ac:dyDescent="0.2">
      <c r="E1181" s="34"/>
    </row>
    <row r="1182" spans="5:5" x14ac:dyDescent="0.2">
      <c r="E1182" s="34"/>
    </row>
    <row r="1183" spans="5:5" x14ac:dyDescent="0.2">
      <c r="E1183" s="34"/>
    </row>
    <row r="1184" spans="5:5" x14ac:dyDescent="0.2">
      <c r="E1184" s="34"/>
    </row>
    <row r="1185" spans="5:5" x14ac:dyDescent="0.2">
      <c r="E1185" s="34"/>
    </row>
    <row r="1186" spans="5:5" x14ac:dyDescent="0.2">
      <c r="E1186" s="34"/>
    </row>
    <row r="1187" spans="5:5" x14ac:dyDescent="0.2">
      <c r="E1187" s="34"/>
    </row>
    <row r="1188" spans="5:5" x14ac:dyDescent="0.2">
      <c r="E1188" s="34"/>
    </row>
    <row r="1189" spans="5:5" x14ac:dyDescent="0.2">
      <c r="E1189" s="34"/>
    </row>
    <row r="1190" spans="5:5" x14ac:dyDescent="0.2">
      <c r="E1190" s="34"/>
    </row>
    <row r="1191" spans="5:5" x14ac:dyDescent="0.2">
      <c r="E1191" s="34"/>
    </row>
    <row r="1192" spans="5:5" x14ac:dyDescent="0.2">
      <c r="E1192" s="34"/>
    </row>
    <row r="1193" spans="5:5" x14ac:dyDescent="0.2">
      <c r="E1193" s="34"/>
    </row>
    <row r="1194" spans="5:5" x14ac:dyDescent="0.2">
      <c r="E1194" s="34"/>
    </row>
    <row r="1195" spans="5:5" x14ac:dyDescent="0.2">
      <c r="E1195" s="34"/>
    </row>
    <row r="1196" spans="5:5" x14ac:dyDescent="0.2">
      <c r="E1196" s="34"/>
    </row>
    <row r="1197" spans="5:5" x14ac:dyDescent="0.2">
      <c r="E1197" s="34"/>
    </row>
    <row r="1198" spans="5:5" x14ac:dyDescent="0.2">
      <c r="E1198" s="34"/>
    </row>
    <row r="1199" spans="5:5" x14ac:dyDescent="0.2">
      <c r="E1199" s="34"/>
    </row>
    <row r="1200" spans="5:5" x14ac:dyDescent="0.2">
      <c r="E1200" s="34"/>
    </row>
    <row r="1201" spans="5:5" x14ac:dyDescent="0.2">
      <c r="E1201" s="34"/>
    </row>
    <row r="1202" spans="5:5" x14ac:dyDescent="0.2">
      <c r="E1202" s="34"/>
    </row>
    <row r="1203" spans="5:5" x14ac:dyDescent="0.2">
      <c r="E1203" s="34"/>
    </row>
    <row r="1204" spans="5:5" x14ac:dyDescent="0.2">
      <c r="E1204" s="34"/>
    </row>
    <row r="1205" spans="5:5" x14ac:dyDescent="0.2">
      <c r="E1205" s="34"/>
    </row>
    <row r="1206" spans="5:5" x14ac:dyDescent="0.2">
      <c r="E1206" s="34"/>
    </row>
    <row r="1207" spans="5:5" x14ac:dyDescent="0.2">
      <c r="E1207" s="34"/>
    </row>
    <row r="1208" spans="5:5" x14ac:dyDescent="0.2">
      <c r="E1208" s="34"/>
    </row>
    <row r="1209" spans="5:5" x14ac:dyDescent="0.2">
      <c r="E1209" s="34"/>
    </row>
    <row r="1210" spans="5:5" x14ac:dyDescent="0.2">
      <c r="E1210" s="34"/>
    </row>
    <row r="1211" spans="5:5" x14ac:dyDescent="0.2">
      <c r="E1211" s="34"/>
    </row>
    <row r="1212" spans="5:5" x14ac:dyDescent="0.2">
      <c r="E1212" s="34"/>
    </row>
    <row r="1213" spans="5:5" x14ac:dyDescent="0.2">
      <c r="E1213" s="34"/>
    </row>
    <row r="1214" spans="5:5" x14ac:dyDescent="0.2">
      <c r="E1214" s="34"/>
    </row>
    <row r="1215" spans="5:5" x14ac:dyDescent="0.2">
      <c r="E1215" s="34"/>
    </row>
    <row r="1216" spans="5:5" x14ac:dyDescent="0.2">
      <c r="E1216" s="34"/>
    </row>
    <row r="1217" spans="5:5" x14ac:dyDescent="0.2">
      <c r="E1217" s="34"/>
    </row>
    <row r="1218" spans="5:5" x14ac:dyDescent="0.2">
      <c r="E1218" s="34"/>
    </row>
    <row r="1219" spans="5:5" x14ac:dyDescent="0.2">
      <c r="E1219" s="34"/>
    </row>
    <row r="1220" spans="5:5" x14ac:dyDescent="0.2">
      <c r="E1220" s="34"/>
    </row>
    <row r="1221" spans="5:5" x14ac:dyDescent="0.2">
      <c r="E1221" s="34"/>
    </row>
    <row r="1222" spans="5:5" x14ac:dyDescent="0.2">
      <c r="E1222" s="34"/>
    </row>
    <row r="1223" spans="5:5" x14ac:dyDescent="0.2">
      <c r="E1223" s="34"/>
    </row>
    <row r="1224" spans="5:5" x14ac:dyDescent="0.2">
      <c r="E1224" s="34"/>
    </row>
    <row r="1225" spans="5:5" x14ac:dyDescent="0.2">
      <c r="E1225" s="34"/>
    </row>
    <row r="1226" spans="5:5" x14ac:dyDescent="0.2">
      <c r="E1226" s="34"/>
    </row>
    <row r="1227" spans="5:5" x14ac:dyDescent="0.2">
      <c r="E1227" s="34"/>
    </row>
    <row r="1228" spans="5:5" x14ac:dyDescent="0.2">
      <c r="E1228" s="34"/>
    </row>
    <row r="1229" spans="5:5" x14ac:dyDescent="0.2">
      <c r="E1229" s="34"/>
    </row>
    <row r="1230" spans="5:5" x14ac:dyDescent="0.2">
      <c r="E1230" s="34"/>
    </row>
    <row r="1231" spans="5:5" x14ac:dyDescent="0.2">
      <c r="E1231" s="34"/>
    </row>
    <row r="1232" spans="5:5" x14ac:dyDescent="0.2">
      <c r="E1232" s="34"/>
    </row>
    <row r="1233" spans="5:5" x14ac:dyDescent="0.2">
      <c r="E1233" s="34"/>
    </row>
    <row r="1234" spans="5:5" x14ac:dyDescent="0.2">
      <c r="E1234" s="34"/>
    </row>
    <row r="1235" spans="5:5" x14ac:dyDescent="0.2">
      <c r="E1235" s="34"/>
    </row>
    <row r="1236" spans="5:5" x14ac:dyDescent="0.2">
      <c r="E1236" s="34"/>
    </row>
    <row r="1237" spans="5:5" x14ac:dyDescent="0.2">
      <c r="E1237" s="34"/>
    </row>
    <row r="1238" spans="5:5" x14ac:dyDescent="0.2">
      <c r="E1238" s="34"/>
    </row>
    <row r="1239" spans="5:5" x14ac:dyDescent="0.2">
      <c r="E1239" s="34"/>
    </row>
    <row r="1240" spans="5:5" x14ac:dyDescent="0.2">
      <c r="E1240" s="34"/>
    </row>
    <row r="1241" spans="5:5" x14ac:dyDescent="0.2">
      <c r="E1241" s="34"/>
    </row>
    <row r="1242" spans="5:5" x14ac:dyDescent="0.2">
      <c r="E1242" s="34"/>
    </row>
    <row r="1243" spans="5:5" x14ac:dyDescent="0.2">
      <c r="E1243" s="34"/>
    </row>
    <row r="1244" spans="5:5" x14ac:dyDescent="0.2">
      <c r="E1244" s="34"/>
    </row>
    <row r="1245" spans="5:5" x14ac:dyDescent="0.2">
      <c r="E1245" s="34"/>
    </row>
    <row r="1246" spans="5:5" x14ac:dyDescent="0.2">
      <c r="E1246" s="34"/>
    </row>
    <row r="1247" spans="5:5" x14ac:dyDescent="0.2">
      <c r="E1247" s="34"/>
    </row>
    <row r="1248" spans="5:5" x14ac:dyDescent="0.2">
      <c r="E1248" s="34"/>
    </row>
    <row r="1249" spans="5:5" x14ac:dyDescent="0.2">
      <c r="E1249" s="34"/>
    </row>
    <row r="1250" spans="5:5" x14ac:dyDescent="0.2">
      <c r="E1250" s="34"/>
    </row>
    <row r="1251" spans="5:5" x14ac:dyDescent="0.2">
      <c r="E1251" s="34"/>
    </row>
    <row r="1252" spans="5:5" x14ac:dyDescent="0.2">
      <c r="E1252" s="34"/>
    </row>
    <row r="1253" spans="5:5" x14ac:dyDescent="0.2">
      <c r="E1253" s="34"/>
    </row>
    <row r="1254" spans="5:5" x14ac:dyDescent="0.2">
      <c r="E1254" s="34"/>
    </row>
    <row r="1255" spans="5:5" x14ac:dyDescent="0.2">
      <c r="E1255" s="34"/>
    </row>
    <row r="1256" spans="5:5" x14ac:dyDescent="0.2">
      <c r="E1256" s="34"/>
    </row>
    <row r="1257" spans="5:5" x14ac:dyDescent="0.2">
      <c r="E1257" s="34"/>
    </row>
    <row r="1258" spans="5:5" x14ac:dyDescent="0.2">
      <c r="E1258" s="34"/>
    </row>
    <row r="1259" spans="5:5" x14ac:dyDescent="0.2">
      <c r="E1259" s="34"/>
    </row>
    <row r="1260" spans="5:5" x14ac:dyDescent="0.2">
      <c r="E1260" s="34"/>
    </row>
    <row r="1261" spans="5:5" x14ac:dyDescent="0.2">
      <c r="E1261" s="34"/>
    </row>
    <row r="1262" spans="5:5" x14ac:dyDescent="0.2">
      <c r="E1262" s="34"/>
    </row>
    <row r="1263" spans="5:5" x14ac:dyDescent="0.2">
      <c r="E1263" s="34"/>
    </row>
    <row r="1264" spans="5:5" x14ac:dyDescent="0.2">
      <c r="E1264" s="34"/>
    </row>
    <row r="1265" spans="5:5" x14ac:dyDescent="0.2">
      <c r="E1265" s="34"/>
    </row>
    <row r="1266" spans="5:5" x14ac:dyDescent="0.2">
      <c r="E1266" s="34"/>
    </row>
    <row r="1267" spans="5:5" x14ac:dyDescent="0.2">
      <c r="E1267" s="34"/>
    </row>
    <row r="1268" spans="5:5" x14ac:dyDescent="0.2">
      <c r="E1268" s="34"/>
    </row>
    <row r="1269" spans="5:5" x14ac:dyDescent="0.2">
      <c r="E1269" s="34"/>
    </row>
    <row r="1270" spans="5:5" x14ac:dyDescent="0.2">
      <c r="E1270" s="34"/>
    </row>
    <row r="1271" spans="5:5" x14ac:dyDescent="0.2">
      <c r="E1271" s="34"/>
    </row>
    <row r="1272" spans="5:5" x14ac:dyDescent="0.2">
      <c r="E1272" s="34"/>
    </row>
    <row r="1273" spans="5:5" x14ac:dyDescent="0.2">
      <c r="E1273" s="34"/>
    </row>
    <row r="1274" spans="5:5" x14ac:dyDescent="0.2">
      <c r="E1274" s="34"/>
    </row>
    <row r="1275" spans="5:5" x14ac:dyDescent="0.2">
      <c r="E1275" s="34"/>
    </row>
    <row r="1276" spans="5:5" x14ac:dyDescent="0.2">
      <c r="E1276" s="34"/>
    </row>
    <row r="1277" spans="5:5" x14ac:dyDescent="0.2">
      <c r="E1277" s="34"/>
    </row>
    <row r="1278" spans="5:5" x14ac:dyDescent="0.2">
      <c r="E1278" s="34"/>
    </row>
    <row r="1279" spans="5:5" x14ac:dyDescent="0.2">
      <c r="E1279" s="34"/>
    </row>
    <row r="1280" spans="5:5" x14ac:dyDescent="0.2">
      <c r="E1280" s="34"/>
    </row>
    <row r="1281" spans="5:5" x14ac:dyDescent="0.2">
      <c r="E1281" s="34"/>
    </row>
    <row r="1282" spans="5:5" x14ac:dyDescent="0.2">
      <c r="E1282" s="34"/>
    </row>
    <row r="1283" spans="5:5" x14ac:dyDescent="0.2">
      <c r="E1283" s="34"/>
    </row>
    <row r="1284" spans="5:5" x14ac:dyDescent="0.2">
      <c r="E1284" s="34"/>
    </row>
    <row r="1285" spans="5:5" x14ac:dyDescent="0.2">
      <c r="E1285" s="34"/>
    </row>
    <row r="1286" spans="5:5" x14ac:dyDescent="0.2">
      <c r="E1286" s="34"/>
    </row>
    <row r="1287" spans="5:5" x14ac:dyDescent="0.2">
      <c r="E1287" s="34"/>
    </row>
    <row r="1288" spans="5:5" x14ac:dyDescent="0.2">
      <c r="E1288" s="34"/>
    </row>
    <row r="1289" spans="5:5" x14ac:dyDescent="0.2">
      <c r="E1289" s="34"/>
    </row>
    <row r="1290" spans="5:5" x14ac:dyDescent="0.2">
      <c r="E1290" s="34"/>
    </row>
    <row r="1291" spans="5:5" x14ac:dyDescent="0.2">
      <c r="E1291" s="34"/>
    </row>
    <row r="1292" spans="5:5" x14ac:dyDescent="0.2">
      <c r="E1292" s="34"/>
    </row>
    <row r="1293" spans="5:5" x14ac:dyDescent="0.2">
      <c r="E1293" s="34"/>
    </row>
    <row r="1294" spans="5:5" x14ac:dyDescent="0.2">
      <c r="E1294" s="34"/>
    </row>
    <row r="1295" spans="5:5" x14ac:dyDescent="0.2">
      <c r="E1295" s="34"/>
    </row>
    <row r="1296" spans="5:5" x14ac:dyDescent="0.2">
      <c r="E1296" s="34"/>
    </row>
    <row r="1297" spans="5:5" x14ac:dyDescent="0.2">
      <c r="E1297" s="34"/>
    </row>
    <row r="1298" spans="5:5" x14ac:dyDescent="0.2">
      <c r="E1298" s="34"/>
    </row>
    <row r="1299" spans="5:5" x14ac:dyDescent="0.2">
      <c r="E1299" s="34"/>
    </row>
    <row r="1300" spans="5:5" x14ac:dyDescent="0.2">
      <c r="E1300" s="34"/>
    </row>
    <row r="1301" spans="5:5" x14ac:dyDescent="0.2">
      <c r="E1301" s="34"/>
    </row>
    <row r="1302" spans="5:5" x14ac:dyDescent="0.2">
      <c r="E1302" s="34"/>
    </row>
    <row r="1303" spans="5:5" x14ac:dyDescent="0.2">
      <c r="E1303" s="34"/>
    </row>
    <row r="1304" spans="5:5" x14ac:dyDescent="0.2">
      <c r="E1304" s="34"/>
    </row>
    <row r="1305" spans="5:5" x14ac:dyDescent="0.2">
      <c r="E1305" s="34"/>
    </row>
    <row r="1306" spans="5:5" x14ac:dyDescent="0.2">
      <c r="E1306" s="34"/>
    </row>
    <row r="1307" spans="5:5" x14ac:dyDescent="0.2">
      <c r="E1307" s="34"/>
    </row>
    <row r="1308" spans="5:5" x14ac:dyDescent="0.2">
      <c r="E1308" s="34"/>
    </row>
    <row r="1309" spans="5:5" x14ac:dyDescent="0.2">
      <c r="E1309" s="34"/>
    </row>
    <row r="1310" spans="5:5" x14ac:dyDescent="0.2">
      <c r="E1310" s="34"/>
    </row>
    <row r="1311" spans="5:5" x14ac:dyDescent="0.2">
      <c r="E1311" s="34"/>
    </row>
    <row r="1312" spans="5:5" x14ac:dyDescent="0.2">
      <c r="E1312" s="34"/>
    </row>
    <row r="1313" spans="5:5" x14ac:dyDescent="0.2">
      <c r="E1313" s="34"/>
    </row>
    <row r="1314" spans="5:5" x14ac:dyDescent="0.2">
      <c r="E1314" s="34"/>
    </row>
    <row r="1315" spans="5:5" x14ac:dyDescent="0.2">
      <c r="E1315" s="34"/>
    </row>
    <row r="1316" spans="5:5" x14ac:dyDescent="0.2">
      <c r="E1316" s="34"/>
    </row>
    <row r="1317" spans="5:5" x14ac:dyDescent="0.2">
      <c r="E1317" s="34"/>
    </row>
    <row r="1318" spans="5:5" x14ac:dyDescent="0.2">
      <c r="E1318" s="34"/>
    </row>
    <row r="1319" spans="5:5" x14ac:dyDescent="0.2">
      <c r="E1319" s="34"/>
    </row>
    <row r="1320" spans="5:5" x14ac:dyDescent="0.2">
      <c r="E1320" s="34"/>
    </row>
    <row r="1321" spans="5:5" x14ac:dyDescent="0.2">
      <c r="E1321" s="34"/>
    </row>
    <row r="1322" spans="5:5" x14ac:dyDescent="0.2">
      <c r="E1322" s="34"/>
    </row>
    <row r="1323" spans="5:5" x14ac:dyDescent="0.2">
      <c r="E1323" s="34"/>
    </row>
    <row r="1324" spans="5:5" x14ac:dyDescent="0.2">
      <c r="E1324" s="34"/>
    </row>
    <row r="1325" spans="5:5" x14ac:dyDescent="0.2">
      <c r="E1325" s="34"/>
    </row>
    <row r="1326" spans="5:5" x14ac:dyDescent="0.2">
      <c r="E1326" s="34"/>
    </row>
    <row r="1327" spans="5:5" x14ac:dyDescent="0.2">
      <c r="E1327" s="34"/>
    </row>
    <row r="1328" spans="5:5" x14ac:dyDescent="0.2">
      <c r="E1328" s="34"/>
    </row>
    <row r="1329" spans="5:5" x14ac:dyDescent="0.2">
      <c r="E1329" s="34"/>
    </row>
    <row r="1330" spans="5:5" x14ac:dyDescent="0.2">
      <c r="E1330" s="34"/>
    </row>
    <row r="1331" spans="5:5" x14ac:dyDescent="0.2">
      <c r="E1331" s="34"/>
    </row>
    <row r="1332" spans="5:5" x14ac:dyDescent="0.2">
      <c r="E1332" s="34"/>
    </row>
    <row r="1333" spans="5:5" x14ac:dyDescent="0.2">
      <c r="E1333" s="34"/>
    </row>
    <row r="1334" spans="5:5" x14ac:dyDescent="0.2">
      <c r="E1334" s="34"/>
    </row>
    <row r="1335" spans="5:5" x14ac:dyDescent="0.2">
      <c r="E1335" s="34"/>
    </row>
    <row r="1336" spans="5:5" x14ac:dyDescent="0.2">
      <c r="E1336" s="34"/>
    </row>
    <row r="1337" spans="5:5" x14ac:dyDescent="0.2">
      <c r="E1337" s="34"/>
    </row>
    <row r="1338" spans="5:5" x14ac:dyDescent="0.2">
      <c r="E1338" s="34"/>
    </row>
    <row r="1339" spans="5:5" x14ac:dyDescent="0.2">
      <c r="E1339" s="34"/>
    </row>
    <row r="1340" spans="5:5" x14ac:dyDescent="0.2">
      <c r="E1340" s="34"/>
    </row>
    <row r="1341" spans="5:5" x14ac:dyDescent="0.2">
      <c r="E1341" s="34"/>
    </row>
    <row r="1342" spans="5:5" x14ac:dyDescent="0.2">
      <c r="E1342" s="34"/>
    </row>
    <row r="1343" spans="5:5" x14ac:dyDescent="0.2">
      <c r="E1343" s="34"/>
    </row>
    <row r="1344" spans="5:5" x14ac:dyDescent="0.2">
      <c r="E1344" s="34"/>
    </row>
    <row r="1345" spans="5:5" x14ac:dyDescent="0.2">
      <c r="E1345" s="34"/>
    </row>
    <row r="1346" spans="5:5" x14ac:dyDescent="0.2">
      <c r="E1346" s="34"/>
    </row>
    <row r="1347" spans="5:5" x14ac:dyDescent="0.2">
      <c r="E1347" s="34"/>
    </row>
    <row r="1348" spans="5:5" x14ac:dyDescent="0.2">
      <c r="E1348" s="34"/>
    </row>
    <row r="1349" spans="5:5" x14ac:dyDescent="0.2">
      <c r="E1349" s="34"/>
    </row>
    <row r="1350" spans="5:5" x14ac:dyDescent="0.2">
      <c r="E1350" s="34"/>
    </row>
    <row r="1351" spans="5:5" x14ac:dyDescent="0.2">
      <c r="E1351" s="34"/>
    </row>
    <row r="1352" spans="5:5" x14ac:dyDescent="0.2">
      <c r="E1352" s="34"/>
    </row>
    <row r="1353" spans="5:5" x14ac:dyDescent="0.2">
      <c r="E1353" s="34"/>
    </row>
    <row r="1354" spans="5:5" x14ac:dyDescent="0.2">
      <c r="E1354" s="34"/>
    </row>
    <row r="1355" spans="5:5" x14ac:dyDescent="0.2">
      <c r="E1355" s="34"/>
    </row>
    <row r="1356" spans="5:5" x14ac:dyDescent="0.2">
      <c r="E1356" s="34"/>
    </row>
    <row r="1357" spans="5:5" x14ac:dyDescent="0.2">
      <c r="E1357" s="34"/>
    </row>
    <row r="1358" spans="5:5" x14ac:dyDescent="0.2">
      <c r="E1358" s="34"/>
    </row>
    <row r="1359" spans="5:5" x14ac:dyDescent="0.2">
      <c r="E1359" s="34"/>
    </row>
    <row r="1360" spans="5:5" x14ac:dyDescent="0.2">
      <c r="E1360" s="34"/>
    </row>
    <row r="1361" spans="5:5" x14ac:dyDescent="0.2">
      <c r="E1361" s="34"/>
    </row>
    <row r="1362" spans="5:5" x14ac:dyDescent="0.2">
      <c r="E1362" s="34"/>
    </row>
    <row r="1363" spans="5:5" x14ac:dyDescent="0.2">
      <c r="E1363" s="34"/>
    </row>
    <row r="1364" spans="5:5" x14ac:dyDescent="0.2">
      <c r="E1364" s="34"/>
    </row>
    <row r="1365" spans="5:5" x14ac:dyDescent="0.2">
      <c r="E1365" s="34"/>
    </row>
    <row r="1366" spans="5:5" x14ac:dyDescent="0.2">
      <c r="E1366" s="34"/>
    </row>
    <row r="1367" spans="5:5" x14ac:dyDescent="0.2">
      <c r="E1367" s="34"/>
    </row>
    <row r="1368" spans="5:5" x14ac:dyDescent="0.2">
      <c r="E1368" s="34"/>
    </row>
    <row r="1369" spans="5:5" x14ac:dyDescent="0.2">
      <c r="E1369" s="34"/>
    </row>
    <row r="1370" spans="5:5" x14ac:dyDescent="0.2">
      <c r="E1370" s="34"/>
    </row>
    <row r="1371" spans="5:5" x14ac:dyDescent="0.2">
      <c r="E1371" s="34"/>
    </row>
    <row r="1372" spans="5:5" x14ac:dyDescent="0.2">
      <c r="E1372" s="34"/>
    </row>
    <row r="1373" spans="5:5" x14ac:dyDescent="0.2">
      <c r="E1373" s="34"/>
    </row>
    <row r="1374" spans="5:5" x14ac:dyDescent="0.2">
      <c r="E1374" s="34"/>
    </row>
    <row r="1375" spans="5:5" x14ac:dyDescent="0.2">
      <c r="E1375" s="34"/>
    </row>
    <row r="1376" spans="5:5" x14ac:dyDescent="0.2">
      <c r="E1376" s="34"/>
    </row>
    <row r="1377" spans="5:5" x14ac:dyDescent="0.2">
      <c r="E1377" s="34"/>
    </row>
    <row r="1378" spans="5:5" x14ac:dyDescent="0.2">
      <c r="E1378" s="34"/>
    </row>
    <row r="1379" spans="5:5" x14ac:dyDescent="0.2">
      <c r="E1379" s="34"/>
    </row>
    <row r="1380" spans="5:5" x14ac:dyDescent="0.2">
      <c r="E1380" s="34"/>
    </row>
    <row r="1381" spans="5:5" x14ac:dyDescent="0.2">
      <c r="E1381" s="34"/>
    </row>
    <row r="1382" spans="5:5" x14ac:dyDescent="0.2">
      <c r="E1382" s="34"/>
    </row>
    <row r="1383" spans="5:5" x14ac:dyDescent="0.2">
      <c r="E1383" s="34"/>
    </row>
    <row r="1384" spans="5:5" x14ac:dyDescent="0.2">
      <c r="E1384" s="34"/>
    </row>
    <row r="1385" spans="5:5" x14ac:dyDescent="0.2">
      <c r="E1385" s="34"/>
    </row>
    <row r="1386" spans="5:5" x14ac:dyDescent="0.2">
      <c r="E1386" s="34"/>
    </row>
    <row r="1387" spans="5:5" x14ac:dyDescent="0.2">
      <c r="E1387" s="34"/>
    </row>
    <row r="1388" spans="5:5" x14ac:dyDescent="0.2">
      <c r="E1388" s="34"/>
    </row>
    <row r="1389" spans="5:5" x14ac:dyDescent="0.2">
      <c r="E1389" s="34"/>
    </row>
    <row r="1390" spans="5:5" x14ac:dyDescent="0.2">
      <c r="E1390" s="34"/>
    </row>
    <row r="1391" spans="5:5" x14ac:dyDescent="0.2">
      <c r="E1391" s="34"/>
    </row>
    <row r="1392" spans="5:5" x14ac:dyDescent="0.2">
      <c r="E1392" s="34"/>
    </row>
    <row r="1393" spans="5:5" x14ac:dyDescent="0.2">
      <c r="E1393" s="34"/>
    </row>
    <row r="1394" spans="5:5" x14ac:dyDescent="0.2">
      <c r="E1394" s="34"/>
    </row>
    <row r="1395" spans="5:5" x14ac:dyDescent="0.2">
      <c r="E1395" s="34"/>
    </row>
    <row r="1396" spans="5:5" x14ac:dyDescent="0.2">
      <c r="E1396" s="34"/>
    </row>
    <row r="1397" spans="5:5" x14ac:dyDescent="0.2">
      <c r="E1397" s="34"/>
    </row>
    <row r="1398" spans="5:5" x14ac:dyDescent="0.2">
      <c r="E1398" s="34"/>
    </row>
    <row r="1399" spans="5:5" x14ac:dyDescent="0.2">
      <c r="E1399" s="34"/>
    </row>
    <row r="1400" spans="5:5" x14ac:dyDescent="0.2">
      <c r="E1400" s="34"/>
    </row>
    <row r="1401" spans="5:5" x14ac:dyDescent="0.2">
      <c r="E1401" s="34"/>
    </row>
    <row r="1402" spans="5:5" x14ac:dyDescent="0.2">
      <c r="E1402" s="34"/>
    </row>
    <row r="1403" spans="5:5" x14ac:dyDescent="0.2">
      <c r="E1403" s="34"/>
    </row>
    <row r="1404" spans="5:5" x14ac:dyDescent="0.2">
      <c r="E1404" s="34"/>
    </row>
    <row r="1405" spans="5:5" x14ac:dyDescent="0.2">
      <c r="E1405" s="34"/>
    </row>
    <row r="1406" spans="5:5" x14ac:dyDescent="0.2">
      <c r="E1406" s="34"/>
    </row>
    <row r="1407" spans="5:5" x14ac:dyDescent="0.2">
      <c r="E1407" s="34"/>
    </row>
    <row r="1408" spans="5:5" x14ac:dyDescent="0.2">
      <c r="E1408" s="34"/>
    </row>
    <row r="1409" spans="5:5" x14ac:dyDescent="0.2">
      <c r="E1409" s="34"/>
    </row>
    <row r="1410" spans="5:5" x14ac:dyDescent="0.2">
      <c r="E1410" s="34"/>
    </row>
    <row r="1411" spans="5:5" x14ac:dyDescent="0.2">
      <c r="E1411" s="34"/>
    </row>
    <row r="1412" spans="5:5" x14ac:dyDescent="0.2">
      <c r="E1412" s="34"/>
    </row>
    <row r="1413" spans="5:5" x14ac:dyDescent="0.2">
      <c r="E1413" s="34"/>
    </row>
    <row r="1414" spans="5:5" x14ac:dyDescent="0.2">
      <c r="E1414" s="34"/>
    </row>
    <row r="1415" spans="5:5" x14ac:dyDescent="0.2">
      <c r="E1415" s="34"/>
    </row>
    <row r="1416" spans="5:5" x14ac:dyDescent="0.2">
      <c r="E1416" s="34"/>
    </row>
    <row r="1417" spans="5:5" x14ac:dyDescent="0.2">
      <c r="E1417" s="34"/>
    </row>
    <row r="1418" spans="5:5" x14ac:dyDescent="0.2">
      <c r="E1418" s="34"/>
    </row>
    <row r="1419" spans="5:5" x14ac:dyDescent="0.2">
      <c r="E1419" s="34"/>
    </row>
    <row r="1420" spans="5:5" x14ac:dyDescent="0.2">
      <c r="E1420" s="34"/>
    </row>
    <row r="1421" spans="5:5" x14ac:dyDescent="0.2">
      <c r="E1421" s="34"/>
    </row>
    <row r="1422" spans="5:5" x14ac:dyDescent="0.2">
      <c r="E1422" s="34"/>
    </row>
    <row r="1423" spans="5:5" x14ac:dyDescent="0.2">
      <c r="E1423" s="34"/>
    </row>
    <row r="1424" spans="5:5" x14ac:dyDescent="0.2">
      <c r="E1424" s="34"/>
    </row>
    <row r="1425" spans="5:5" x14ac:dyDescent="0.2">
      <c r="E1425" s="34"/>
    </row>
    <row r="1426" spans="5:5" x14ac:dyDescent="0.2">
      <c r="E1426" s="34"/>
    </row>
    <row r="1427" spans="5:5" x14ac:dyDescent="0.2">
      <c r="E1427" s="34"/>
    </row>
    <row r="1428" spans="5:5" x14ac:dyDescent="0.2">
      <c r="E1428" s="34"/>
    </row>
    <row r="1429" spans="5:5" x14ac:dyDescent="0.2">
      <c r="E1429" s="34"/>
    </row>
    <row r="1430" spans="5:5" x14ac:dyDescent="0.2">
      <c r="E1430" s="34"/>
    </row>
    <row r="1431" spans="5:5" x14ac:dyDescent="0.2">
      <c r="E1431" s="34"/>
    </row>
    <row r="1432" spans="5:5" x14ac:dyDescent="0.2">
      <c r="E1432" s="34"/>
    </row>
    <row r="1433" spans="5:5" x14ac:dyDescent="0.2">
      <c r="E1433" s="34"/>
    </row>
    <row r="1434" spans="5:5" x14ac:dyDescent="0.2">
      <c r="E1434" s="34"/>
    </row>
    <row r="1435" spans="5:5" x14ac:dyDescent="0.2">
      <c r="E1435" s="34"/>
    </row>
    <row r="1436" spans="5:5" x14ac:dyDescent="0.2">
      <c r="E1436" s="34"/>
    </row>
    <row r="1437" spans="5:5" x14ac:dyDescent="0.2">
      <c r="E1437" s="34"/>
    </row>
    <row r="1438" spans="5:5" x14ac:dyDescent="0.2">
      <c r="E1438" s="34"/>
    </row>
    <row r="1439" spans="5:5" x14ac:dyDescent="0.2">
      <c r="E1439" s="34"/>
    </row>
    <row r="1440" spans="5:5" x14ac:dyDescent="0.2">
      <c r="E1440" s="34"/>
    </row>
    <row r="1441" spans="5:5" x14ac:dyDescent="0.2">
      <c r="E1441" s="34"/>
    </row>
    <row r="1442" spans="5:5" x14ac:dyDescent="0.2">
      <c r="E1442" s="34"/>
    </row>
    <row r="1443" spans="5:5" x14ac:dyDescent="0.2">
      <c r="E1443" s="34"/>
    </row>
    <row r="1444" spans="5:5" x14ac:dyDescent="0.2">
      <c r="E1444" s="34"/>
    </row>
    <row r="1445" spans="5:5" x14ac:dyDescent="0.2">
      <c r="E1445" s="34"/>
    </row>
    <row r="1446" spans="5:5" x14ac:dyDescent="0.2">
      <c r="E1446" s="34"/>
    </row>
    <row r="1447" spans="5:5" x14ac:dyDescent="0.2">
      <c r="E1447" s="34"/>
    </row>
    <row r="1448" spans="5:5" x14ac:dyDescent="0.2">
      <c r="E1448" s="34"/>
    </row>
    <row r="1449" spans="5:5" x14ac:dyDescent="0.2">
      <c r="E1449" s="34"/>
    </row>
    <row r="1450" spans="5:5" x14ac:dyDescent="0.2">
      <c r="E1450" s="34"/>
    </row>
    <row r="1451" spans="5:5" x14ac:dyDescent="0.2">
      <c r="E1451" s="34"/>
    </row>
    <row r="1452" spans="5:5" x14ac:dyDescent="0.2">
      <c r="E1452" s="34"/>
    </row>
    <row r="1453" spans="5:5" x14ac:dyDescent="0.2">
      <c r="E1453" s="34"/>
    </row>
    <row r="1454" spans="5:5" x14ac:dyDescent="0.2">
      <c r="E1454" s="34"/>
    </row>
    <row r="1455" spans="5:5" x14ac:dyDescent="0.2">
      <c r="E1455" s="34"/>
    </row>
    <row r="1456" spans="5:5" x14ac:dyDescent="0.2">
      <c r="E1456" s="34"/>
    </row>
    <row r="1457" spans="5:5" x14ac:dyDescent="0.2">
      <c r="E1457" s="34"/>
    </row>
    <row r="1458" spans="5:5" x14ac:dyDescent="0.2">
      <c r="E1458" s="34"/>
    </row>
    <row r="1459" spans="5:5" x14ac:dyDescent="0.2">
      <c r="E1459" s="34"/>
    </row>
    <row r="1460" spans="5:5" x14ac:dyDescent="0.2">
      <c r="E1460" s="34"/>
    </row>
    <row r="1461" spans="5:5" x14ac:dyDescent="0.2">
      <c r="E1461" s="34"/>
    </row>
    <row r="1462" spans="5:5" x14ac:dyDescent="0.2">
      <c r="E1462" s="34"/>
    </row>
    <row r="1463" spans="5:5" x14ac:dyDescent="0.2">
      <c r="E1463" s="34"/>
    </row>
    <row r="1464" spans="5:5" x14ac:dyDescent="0.2">
      <c r="E1464" s="34"/>
    </row>
    <row r="1465" spans="5:5" x14ac:dyDescent="0.2">
      <c r="E1465" s="34"/>
    </row>
    <row r="1466" spans="5:5" x14ac:dyDescent="0.2">
      <c r="E1466" s="34"/>
    </row>
    <row r="1467" spans="5:5" x14ac:dyDescent="0.2">
      <c r="E1467" s="34"/>
    </row>
    <row r="1468" spans="5:5" x14ac:dyDescent="0.2">
      <c r="E1468" s="34"/>
    </row>
    <row r="1469" spans="5:5" x14ac:dyDescent="0.2">
      <c r="E1469" s="34"/>
    </row>
    <row r="1470" spans="5:5" x14ac:dyDescent="0.2">
      <c r="E1470" s="34"/>
    </row>
    <row r="1471" spans="5:5" x14ac:dyDescent="0.2">
      <c r="E1471" s="34"/>
    </row>
    <row r="1472" spans="5:5" x14ac:dyDescent="0.2">
      <c r="E1472" s="34"/>
    </row>
    <row r="1473" spans="5:5" x14ac:dyDescent="0.2">
      <c r="E1473" s="34"/>
    </row>
    <row r="1474" spans="5:5" x14ac:dyDescent="0.2">
      <c r="E1474" s="34"/>
    </row>
    <row r="1475" spans="5:5" x14ac:dyDescent="0.2">
      <c r="E1475" s="34"/>
    </row>
    <row r="1476" spans="5:5" x14ac:dyDescent="0.2">
      <c r="E1476" s="34"/>
    </row>
    <row r="1477" spans="5:5" x14ac:dyDescent="0.2">
      <c r="E1477" s="34"/>
    </row>
    <row r="1478" spans="5:5" x14ac:dyDescent="0.2">
      <c r="E1478" s="34"/>
    </row>
    <row r="1479" spans="5:5" x14ac:dyDescent="0.2">
      <c r="E1479" s="34"/>
    </row>
    <row r="1480" spans="5:5" x14ac:dyDescent="0.2">
      <c r="E1480" s="34"/>
    </row>
    <row r="1481" spans="5:5" x14ac:dyDescent="0.2">
      <c r="E1481" s="34"/>
    </row>
    <row r="1482" spans="5:5" x14ac:dyDescent="0.2">
      <c r="E1482" s="34"/>
    </row>
    <row r="1483" spans="5:5" x14ac:dyDescent="0.2">
      <c r="E1483" s="34"/>
    </row>
    <row r="1484" spans="5:5" x14ac:dyDescent="0.2">
      <c r="E1484" s="34"/>
    </row>
    <row r="1485" spans="5:5" x14ac:dyDescent="0.2">
      <c r="E1485" s="34"/>
    </row>
    <row r="1486" spans="5:5" x14ac:dyDescent="0.2">
      <c r="E1486" s="34"/>
    </row>
    <row r="1487" spans="5:5" x14ac:dyDescent="0.2">
      <c r="E1487" s="34"/>
    </row>
    <row r="1488" spans="5:5" x14ac:dyDescent="0.2">
      <c r="E1488" s="34"/>
    </row>
    <row r="1489" spans="5:5" x14ac:dyDescent="0.2">
      <c r="E1489" s="34"/>
    </row>
    <row r="1490" spans="5:5" x14ac:dyDescent="0.2">
      <c r="E1490" s="34"/>
    </row>
    <row r="1491" spans="5:5" x14ac:dyDescent="0.2">
      <c r="E1491" s="34"/>
    </row>
    <row r="1492" spans="5:5" x14ac:dyDescent="0.2">
      <c r="E1492" s="34"/>
    </row>
    <row r="1493" spans="5:5" x14ac:dyDescent="0.2">
      <c r="E1493" s="34"/>
    </row>
    <row r="1494" spans="5:5" x14ac:dyDescent="0.2">
      <c r="E1494" s="34"/>
    </row>
    <row r="1495" spans="5:5" x14ac:dyDescent="0.2">
      <c r="E1495" s="34"/>
    </row>
    <row r="1496" spans="5:5" x14ac:dyDescent="0.2">
      <c r="E1496" s="34"/>
    </row>
    <row r="1497" spans="5:5" x14ac:dyDescent="0.2">
      <c r="E1497" s="34"/>
    </row>
    <row r="1498" spans="5:5" x14ac:dyDescent="0.2">
      <c r="E1498" s="34"/>
    </row>
    <row r="1499" spans="5:5" x14ac:dyDescent="0.2">
      <c r="E1499" s="34"/>
    </row>
    <row r="1500" spans="5:5" x14ac:dyDescent="0.2">
      <c r="E1500" s="34"/>
    </row>
    <row r="1501" spans="5:5" x14ac:dyDescent="0.2">
      <c r="E1501" s="34"/>
    </row>
    <row r="1502" spans="5:5" x14ac:dyDescent="0.2">
      <c r="E1502" s="34"/>
    </row>
    <row r="1503" spans="5:5" x14ac:dyDescent="0.2">
      <c r="E1503" s="34"/>
    </row>
    <row r="1504" spans="5:5" x14ac:dyDescent="0.2">
      <c r="E1504" s="34"/>
    </row>
    <row r="1505" spans="5:5" x14ac:dyDescent="0.2">
      <c r="E1505" s="34"/>
    </row>
    <row r="1506" spans="5:5" x14ac:dyDescent="0.2">
      <c r="E1506" s="34"/>
    </row>
    <row r="1507" spans="5:5" x14ac:dyDescent="0.2">
      <c r="E1507" s="34"/>
    </row>
    <row r="1508" spans="5:5" x14ac:dyDescent="0.2">
      <c r="E1508" s="34"/>
    </row>
    <row r="1509" spans="5:5" x14ac:dyDescent="0.2">
      <c r="E1509" s="34"/>
    </row>
    <row r="1510" spans="5:5" x14ac:dyDescent="0.2">
      <c r="E1510" s="34"/>
    </row>
    <row r="1511" spans="5:5" x14ac:dyDescent="0.2">
      <c r="E1511" s="34"/>
    </row>
    <row r="1512" spans="5:5" x14ac:dyDescent="0.2">
      <c r="E1512" s="34"/>
    </row>
    <row r="1513" spans="5:5" x14ac:dyDescent="0.2">
      <c r="E1513" s="34"/>
    </row>
    <row r="1514" spans="5:5" x14ac:dyDescent="0.2">
      <c r="E1514" s="34"/>
    </row>
    <row r="1515" spans="5:5" x14ac:dyDescent="0.2">
      <c r="E1515" s="34"/>
    </row>
    <row r="1516" spans="5:5" x14ac:dyDescent="0.2">
      <c r="E1516" s="34"/>
    </row>
    <row r="1517" spans="5:5" x14ac:dyDescent="0.2">
      <c r="E1517" s="34"/>
    </row>
    <row r="1518" spans="5:5" x14ac:dyDescent="0.2">
      <c r="E1518" s="34"/>
    </row>
    <row r="1519" spans="5:5" x14ac:dyDescent="0.2">
      <c r="E1519" s="34"/>
    </row>
    <row r="1520" spans="5:5" x14ac:dyDescent="0.2">
      <c r="E1520" s="34"/>
    </row>
    <row r="1521" spans="5:5" x14ac:dyDescent="0.2">
      <c r="E1521" s="34"/>
    </row>
    <row r="1522" spans="5:5" x14ac:dyDescent="0.2">
      <c r="E1522" s="34"/>
    </row>
    <row r="1523" spans="5:5" x14ac:dyDescent="0.2">
      <c r="E1523" s="34"/>
    </row>
    <row r="1524" spans="5:5" x14ac:dyDescent="0.2">
      <c r="E1524" s="34"/>
    </row>
    <row r="1525" spans="5:5" x14ac:dyDescent="0.2">
      <c r="E1525" s="34"/>
    </row>
    <row r="1526" spans="5:5" x14ac:dyDescent="0.2">
      <c r="E1526" s="34"/>
    </row>
    <row r="1527" spans="5:5" x14ac:dyDescent="0.2">
      <c r="E1527" s="34"/>
    </row>
    <row r="1528" spans="5:5" x14ac:dyDescent="0.2">
      <c r="E1528" s="34"/>
    </row>
    <row r="1529" spans="5:5" x14ac:dyDescent="0.2">
      <c r="E1529" s="34"/>
    </row>
    <row r="1530" spans="5:5" x14ac:dyDescent="0.2">
      <c r="E1530" s="34"/>
    </row>
    <row r="1531" spans="5:5" x14ac:dyDescent="0.2">
      <c r="E1531" s="34"/>
    </row>
    <row r="1532" spans="5:5" x14ac:dyDescent="0.2">
      <c r="E1532" s="34"/>
    </row>
    <row r="1533" spans="5:5" x14ac:dyDescent="0.2">
      <c r="E1533" s="34"/>
    </row>
    <row r="1534" spans="5:5" x14ac:dyDescent="0.2">
      <c r="E1534" s="34"/>
    </row>
    <row r="1535" spans="5:5" x14ac:dyDescent="0.2">
      <c r="E1535" s="34"/>
    </row>
    <row r="1536" spans="5:5" x14ac:dyDescent="0.2">
      <c r="E1536" s="34"/>
    </row>
    <row r="1537" spans="5:5" x14ac:dyDescent="0.2">
      <c r="E1537" s="34"/>
    </row>
    <row r="1538" spans="5:5" x14ac:dyDescent="0.2">
      <c r="E1538" s="34"/>
    </row>
    <row r="1539" spans="5:5" x14ac:dyDescent="0.2">
      <c r="E1539" s="34"/>
    </row>
    <row r="1540" spans="5:5" x14ac:dyDescent="0.2">
      <c r="E1540" s="34"/>
    </row>
    <row r="1541" spans="5:5" x14ac:dyDescent="0.2">
      <c r="E1541" s="34"/>
    </row>
    <row r="1542" spans="5:5" x14ac:dyDescent="0.2">
      <c r="E1542" s="34"/>
    </row>
    <row r="1543" spans="5:5" x14ac:dyDescent="0.2">
      <c r="E1543" s="34"/>
    </row>
    <row r="1544" spans="5:5" x14ac:dyDescent="0.2">
      <c r="E1544" s="34"/>
    </row>
    <row r="1545" spans="5:5" x14ac:dyDescent="0.2">
      <c r="E1545" s="34"/>
    </row>
    <row r="1546" spans="5:5" x14ac:dyDescent="0.2">
      <c r="E1546" s="34"/>
    </row>
    <row r="1547" spans="5:5" x14ac:dyDescent="0.2">
      <c r="E1547" s="34"/>
    </row>
    <row r="1548" spans="5:5" x14ac:dyDescent="0.2">
      <c r="E1548" s="34"/>
    </row>
    <row r="1549" spans="5:5" x14ac:dyDescent="0.2">
      <c r="E1549" s="34"/>
    </row>
    <row r="1550" spans="5:5" x14ac:dyDescent="0.2">
      <c r="E1550" s="34"/>
    </row>
    <row r="1551" spans="5:5" x14ac:dyDescent="0.2">
      <c r="E1551" s="34"/>
    </row>
    <row r="1552" spans="5:5" x14ac:dyDescent="0.2">
      <c r="E1552" s="34"/>
    </row>
    <row r="1553" spans="5:5" x14ac:dyDescent="0.2">
      <c r="E1553" s="34"/>
    </row>
    <row r="1554" spans="5:5" x14ac:dyDescent="0.2">
      <c r="E1554" s="34"/>
    </row>
    <row r="1555" spans="5:5" x14ac:dyDescent="0.2">
      <c r="E1555" s="34"/>
    </row>
    <row r="1556" spans="5:5" x14ac:dyDescent="0.2">
      <c r="E1556" s="34"/>
    </row>
    <row r="1557" spans="5:5" x14ac:dyDescent="0.2">
      <c r="E1557" s="34"/>
    </row>
    <row r="1558" spans="5:5" x14ac:dyDescent="0.2">
      <c r="E1558" s="34"/>
    </row>
    <row r="1559" spans="5:5" x14ac:dyDescent="0.2">
      <c r="E1559" s="34"/>
    </row>
    <row r="1560" spans="5:5" x14ac:dyDescent="0.2">
      <c r="E1560" s="34"/>
    </row>
    <row r="1561" spans="5:5" x14ac:dyDescent="0.2">
      <c r="E1561" s="34"/>
    </row>
    <row r="1562" spans="5:5" x14ac:dyDescent="0.2">
      <c r="E1562" s="34"/>
    </row>
    <row r="1563" spans="5:5" x14ac:dyDescent="0.2">
      <c r="E1563" s="34"/>
    </row>
    <row r="1564" spans="5:5" x14ac:dyDescent="0.2">
      <c r="E1564" s="34"/>
    </row>
    <row r="1565" spans="5:5" x14ac:dyDescent="0.2">
      <c r="E1565" s="34"/>
    </row>
    <row r="1566" spans="5:5" x14ac:dyDescent="0.2">
      <c r="E1566" s="34"/>
    </row>
    <row r="1567" spans="5:5" x14ac:dyDescent="0.2">
      <c r="E1567" s="34"/>
    </row>
    <row r="1568" spans="5:5" x14ac:dyDescent="0.2">
      <c r="E1568" s="34"/>
    </row>
    <row r="1569" spans="5:5" x14ac:dyDescent="0.2">
      <c r="E1569" s="34"/>
    </row>
    <row r="1570" spans="5:5" x14ac:dyDescent="0.2">
      <c r="E1570" s="34"/>
    </row>
    <row r="1571" spans="5:5" x14ac:dyDescent="0.2">
      <c r="E1571" s="34"/>
    </row>
    <row r="1572" spans="5:5" x14ac:dyDescent="0.2">
      <c r="E1572" s="34"/>
    </row>
    <row r="1573" spans="5:5" x14ac:dyDescent="0.2">
      <c r="E1573" s="34"/>
    </row>
    <row r="1574" spans="5:5" x14ac:dyDescent="0.2">
      <c r="E1574" s="34"/>
    </row>
    <row r="1575" spans="5:5" x14ac:dyDescent="0.2">
      <c r="E1575" s="34"/>
    </row>
    <row r="1576" spans="5:5" x14ac:dyDescent="0.2">
      <c r="E1576" s="34"/>
    </row>
    <row r="1577" spans="5:5" x14ac:dyDescent="0.2">
      <c r="E1577" s="34"/>
    </row>
    <row r="1578" spans="5:5" x14ac:dyDescent="0.2">
      <c r="E1578" s="34"/>
    </row>
    <row r="1579" spans="5:5" x14ac:dyDescent="0.2">
      <c r="E1579" s="34"/>
    </row>
    <row r="1580" spans="5:5" x14ac:dyDescent="0.2">
      <c r="E1580" s="34"/>
    </row>
    <row r="1581" spans="5:5" x14ac:dyDescent="0.2">
      <c r="E1581" s="34"/>
    </row>
    <row r="1582" spans="5:5" x14ac:dyDescent="0.2">
      <c r="E1582" s="34"/>
    </row>
    <row r="1583" spans="5:5" x14ac:dyDescent="0.2">
      <c r="E1583" s="34"/>
    </row>
    <row r="1584" spans="5:5" x14ac:dyDescent="0.2">
      <c r="E1584" s="34"/>
    </row>
    <row r="1585" spans="5:5" x14ac:dyDescent="0.2">
      <c r="E1585" s="34"/>
    </row>
    <row r="1586" spans="5:5" x14ac:dyDescent="0.2">
      <c r="E1586" s="34"/>
    </row>
    <row r="1587" spans="5:5" x14ac:dyDescent="0.2">
      <c r="E1587" s="34"/>
    </row>
    <row r="1588" spans="5:5" x14ac:dyDescent="0.2">
      <c r="E1588" s="34"/>
    </row>
    <row r="1589" spans="5:5" x14ac:dyDescent="0.2">
      <c r="E1589" s="34"/>
    </row>
    <row r="1590" spans="5:5" x14ac:dyDescent="0.2">
      <c r="E1590" s="34"/>
    </row>
    <row r="1591" spans="5:5" x14ac:dyDescent="0.2">
      <c r="E1591" s="34"/>
    </row>
    <row r="1592" spans="5:5" x14ac:dyDescent="0.2">
      <c r="E1592" s="34"/>
    </row>
    <row r="1593" spans="5:5" x14ac:dyDescent="0.2">
      <c r="E1593" s="34"/>
    </row>
    <row r="1594" spans="5:5" x14ac:dyDescent="0.2">
      <c r="E1594" s="34"/>
    </row>
    <row r="1595" spans="5:5" x14ac:dyDescent="0.2">
      <c r="E1595" s="34"/>
    </row>
    <row r="1596" spans="5:5" x14ac:dyDescent="0.2">
      <c r="E1596" s="34"/>
    </row>
    <row r="1597" spans="5:5" x14ac:dyDescent="0.2">
      <c r="E1597" s="34"/>
    </row>
    <row r="1598" spans="5:5" x14ac:dyDescent="0.2">
      <c r="E1598" s="34"/>
    </row>
    <row r="1599" spans="5:5" x14ac:dyDescent="0.2">
      <c r="E1599" s="34"/>
    </row>
    <row r="1600" spans="5:5" x14ac:dyDescent="0.2">
      <c r="E1600" s="34"/>
    </row>
    <row r="1601" spans="5:5" x14ac:dyDescent="0.2">
      <c r="E1601" s="34"/>
    </row>
    <row r="1602" spans="5:5" x14ac:dyDescent="0.2">
      <c r="E1602" s="34"/>
    </row>
    <row r="1603" spans="5:5" x14ac:dyDescent="0.2">
      <c r="E1603" s="34"/>
    </row>
    <row r="1604" spans="5:5" x14ac:dyDescent="0.2">
      <c r="E1604" s="34"/>
    </row>
    <row r="1605" spans="5:5" x14ac:dyDescent="0.2">
      <c r="E1605" s="34"/>
    </row>
    <row r="1606" spans="5:5" x14ac:dyDescent="0.2">
      <c r="E1606" s="34"/>
    </row>
    <row r="1607" spans="5:5" x14ac:dyDescent="0.2">
      <c r="E1607" s="34"/>
    </row>
    <row r="1608" spans="5:5" x14ac:dyDescent="0.2">
      <c r="E1608" s="34"/>
    </row>
    <row r="1609" spans="5:5" x14ac:dyDescent="0.2">
      <c r="E1609" s="34"/>
    </row>
    <row r="1610" spans="5:5" x14ac:dyDescent="0.2">
      <c r="E1610" s="34"/>
    </row>
    <row r="1611" spans="5:5" x14ac:dyDescent="0.2">
      <c r="E1611" s="34"/>
    </row>
    <row r="1612" spans="5:5" x14ac:dyDescent="0.2">
      <c r="E1612" s="34"/>
    </row>
    <row r="1613" spans="5:5" x14ac:dyDescent="0.2">
      <c r="E1613" s="34"/>
    </row>
    <row r="1614" spans="5:5" x14ac:dyDescent="0.2">
      <c r="E1614" s="34"/>
    </row>
    <row r="1615" spans="5:5" x14ac:dyDescent="0.2">
      <c r="E1615" s="34"/>
    </row>
    <row r="1616" spans="5:5" x14ac:dyDescent="0.2">
      <c r="E1616" s="34"/>
    </row>
    <row r="1617" spans="5:5" x14ac:dyDescent="0.2">
      <c r="E1617" s="34"/>
    </row>
    <row r="1618" spans="5:5" x14ac:dyDescent="0.2">
      <c r="E1618" s="34"/>
    </row>
    <row r="1619" spans="5:5" x14ac:dyDescent="0.2">
      <c r="E1619" s="34"/>
    </row>
    <row r="1620" spans="5:5" x14ac:dyDescent="0.2">
      <c r="E1620" s="34"/>
    </row>
    <row r="1621" spans="5:5" x14ac:dyDescent="0.2">
      <c r="E1621" s="34"/>
    </row>
    <row r="1622" spans="5:5" x14ac:dyDescent="0.2">
      <c r="E1622" s="34"/>
    </row>
    <row r="1623" spans="5:5" x14ac:dyDescent="0.2">
      <c r="E1623" s="34"/>
    </row>
    <row r="1624" spans="5:5" x14ac:dyDescent="0.2">
      <c r="E1624" s="34"/>
    </row>
    <row r="1625" spans="5:5" x14ac:dyDescent="0.2">
      <c r="E1625" s="34"/>
    </row>
    <row r="1626" spans="5:5" x14ac:dyDescent="0.2">
      <c r="E1626" s="34"/>
    </row>
    <row r="1627" spans="5:5" x14ac:dyDescent="0.2">
      <c r="E1627" s="34"/>
    </row>
    <row r="1628" spans="5:5" x14ac:dyDescent="0.2">
      <c r="E1628" s="34"/>
    </row>
    <row r="1629" spans="5:5" x14ac:dyDescent="0.2">
      <c r="E1629" s="34"/>
    </row>
    <row r="1630" spans="5:5" x14ac:dyDescent="0.2">
      <c r="E1630" s="34"/>
    </row>
    <row r="1631" spans="5:5" x14ac:dyDescent="0.2">
      <c r="E1631" s="34"/>
    </row>
    <row r="1632" spans="5:5" x14ac:dyDescent="0.2">
      <c r="E1632" s="34"/>
    </row>
    <row r="1633" spans="5:5" x14ac:dyDescent="0.2">
      <c r="E1633" s="34"/>
    </row>
    <row r="1634" spans="5:5" x14ac:dyDescent="0.2">
      <c r="E1634" s="34"/>
    </row>
    <row r="1635" spans="5:5" x14ac:dyDescent="0.2">
      <c r="E1635" s="34"/>
    </row>
    <row r="1636" spans="5:5" x14ac:dyDescent="0.2">
      <c r="E1636" s="34"/>
    </row>
    <row r="1637" spans="5:5" x14ac:dyDescent="0.2">
      <c r="E1637" s="34"/>
    </row>
    <row r="1638" spans="5:5" x14ac:dyDescent="0.2">
      <c r="E1638" s="34"/>
    </row>
    <row r="1639" spans="5:5" x14ac:dyDescent="0.2">
      <c r="E1639" s="34"/>
    </row>
    <row r="1640" spans="5:5" x14ac:dyDescent="0.2">
      <c r="E1640" s="34"/>
    </row>
    <row r="1641" spans="5:5" x14ac:dyDescent="0.2">
      <c r="E1641" s="34"/>
    </row>
    <row r="1642" spans="5:5" x14ac:dyDescent="0.2">
      <c r="E1642" s="34"/>
    </row>
    <row r="1643" spans="5:5" x14ac:dyDescent="0.2">
      <c r="E1643" s="34"/>
    </row>
    <row r="1644" spans="5:5" x14ac:dyDescent="0.2">
      <c r="E1644" s="34"/>
    </row>
    <row r="1645" spans="5:5" x14ac:dyDescent="0.2">
      <c r="E1645" s="34"/>
    </row>
    <row r="1646" spans="5:5" x14ac:dyDescent="0.2">
      <c r="E1646" s="34"/>
    </row>
    <row r="1647" spans="5:5" x14ac:dyDescent="0.2">
      <c r="E1647" s="34"/>
    </row>
    <row r="1648" spans="5:5" x14ac:dyDescent="0.2">
      <c r="E1648" s="34"/>
    </row>
    <row r="1649" spans="5:5" x14ac:dyDescent="0.2">
      <c r="E1649" s="34"/>
    </row>
    <row r="1650" spans="5:5" x14ac:dyDescent="0.2">
      <c r="E1650" s="34"/>
    </row>
    <row r="1651" spans="5:5" x14ac:dyDescent="0.2">
      <c r="E1651" s="34"/>
    </row>
    <row r="1652" spans="5:5" x14ac:dyDescent="0.2">
      <c r="E1652" s="34"/>
    </row>
    <row r="1653" spans="5:5" x14ac:dyDescent="0.2">
      <c r="E1653" s="34"/>
    </row>
    <row r="1654" spans="5:5" x14ac:dyDescent="0.2">
      <c r="E1654" s="34"/>
    </row>
    <row r="1655" spans="5:5" x14ac:dyDescent="0.2">
      <c r="E1655" s="34"/>
    </row>
    <row r="1656" spans="5:5" x14ac:dyDescent="0.2">
      <c r="E1656" s="34"/>
    </row>
    <row r="1657" spans="5:5" x14ac:dyDescent="0.2">
      <c r="E1657" s="34"/>
    </row>
    <row r="1658" spans="5:5" x14ac:dyDescent="0.2">
      <c r="E1658" s="34"/>
    </row>
    <row r="1659" spans="5:5" x14ac:dyDescent="0.2">
      <c r="E1659" s="34"/>
    </row>
    <row r="1660" spans="5:5" x14ac:dyDescent="0.2">
      <c r="E1660" s="34"/>
    </row>
    <row r="1661" spans="5:5" x14ac:dyDescent="0.2">
      <c r="E1661" s="34"/>
    </row>
    <row r="1662" spans="5:5" x14ac:dyDescent="0.2">
      <c r="E1662" s="34"/>
    </row>
    <row r="1663" spans="5:5" x14ac:dyDescent="0.2">
      <c r="E1663" s="34"/>
    </row>
    <row r="1664" spans="5:5" x14ac:dyDescent="0.2">
      <c r="E1664" s="34"/>
    </row>
    <row r="1665" spans="5:5" x14ac:dyDescent="0.2">
      <c r="E1665" s="34"/>
    </row>
    <row r="1666" spans="5:5" x14ac:dyDescent="0.2">
      <c r="E1666" s="34"/>
    </row>
    <row r="1667" spans="5:5" x14ac:dyDescent="0.2">
      <c r="E1667" s="34"/>
    </row>
    <row r="1668" spans="5:5" x14ac:dyDescent="0.2">
      <c r="E1668" s="34"/>
    </row>
    <row r="1669" spans="5:5" x14ac:dyDescent="0.2">
      <c r="E1669" s="34"/>
    </row>
    <row r="1670" spans="5:5" x14ac:dyDescent="0.2">
      <c r="E1670" s="34"/>
    </row>
    <row r="1671" spans="5:5" x14ac:dyDescent="0.2">
      <c r="E1671" s="34"/>
    </row>
    <row r="1672" spans="5:5" x14ac:dyDescent="0.2">
      <c r="E1672" s="34"/>
    </row>
    <row r="1673" spans="5:5" x14ac:dyDescent="0.2">
      <c r="E1673" s="34"/>
    </row>
    <row r="1674" spans="5:5" x14ac:dyDescent="0.2">
      <c r="E1674" s="34"/>
    </row>
    <row r="1675" spans="5:5" x14ac:dyDescent="0.2">
      <c r="E1675" s="34"/>
    </row>
    <row r="1676" spans="5:5" x14ac:dyDescent="0.2">
      <c r="E1676" s="34"/>
    </row>
    <row r="1677" spans="5:5" x14ac:dyDescent="0.2">
      <c r="E1677" s="34"/>
    </row>
    <row r="1678" spans="5:5" x14ac:dyDescent="0.2">
      <c r="E1678" s="34"/>
    </row>
    <row r="1679" spans="5:5" x14ac:dyDescent="0.2">
      <c r="E1679" s="34"/>
    </row>
    <row r="1680" spans="5:5" x14ac:dyDescent="0.2">
      <c r="E1680" s="34"/>
    </row>
    <row r="1681" spans="5:5" x14ac:dyDescent="0.2">
      <c r="E1681" s="34"/>
    </row>
    <row r="1682" spans="5:5" x14ac:dyDescent="0.2">
      <c r="E1682" s="34"/>
    </row>
    <row r="1683" spans="5:5" x14ac:dyDescent="0.2">
      <c r="E1683" s="34"/>
    </row>
    <row r="1684" spans="5:5" x14ac:dyDescent="0.2">
      <c r="E1684" s="34"/>
    </row>
    <row r="1685" spans="5:5" x14ac:dyDescent="0.2">
      <c r="E1685" s="34"/>
    </row>
    <row r="1686" spans="5:5" x14ac:dyDescent="0.2">
      <c r="E1686" s="34"/>
    </row>
    <row r="1687" spans="5:5" x14ac:dyDescent="0.2">
      <c r="E1687" s="34"/>
    </row>
    <row r="1688" spans="5:5" x14ac:dyDescent="0.2">
      <c r="E1688" s="34"/>
    </row>
    <row r="1689" spans="5:5" x14ac:dyDescent="0.2">
      <c r="E1689" s="34"/>
    </row>
    <row r="1690" spans="5:5" x14ac:dyDescent="0.2">
      <c r="E1690" s="34"/>
    </row>
    <row r="1691" spans="5:5" x14ac:dyDescent="0.2">
      <c r="E1691" s="34"/>
    </row>
    <row r="1692" spans="5:5" x14ac:dyDescent="0.2">
      <c r="E1692" s="34"/>
    </row>
    <row r="1693" spans="5:5" x14ac:dyDescent="0.2">
      <c r="E1693" s="34"/>
    </row>
    <row r="1694" spans="5:5" x14ac:dyDescent="0.2">
      <c r="E1694" s="34"/>
    </row>
    <row r="1695" spans="5:5" x14ac:dyDescent="0.2">
      <c r="E1695" s="34"/>
    </row>
    <row r="1696" spans="5:5" x14ac:dyDescent="0.2">
      <c r="E1696" s="34"/>
    </row>
    <row r="1697" spans="5:5" x14ac:dyDescent="0.2">
      <c r="E1697" s="34"/>
    </row>
    <row r="1698" spans="5:5" x14ac:dyDescent="0.2">
      <c r="E1698" s="34"/>
    </row>
    <row r="1699" spans="5:5" x14ac:dyDescent="0.2">
      <c r="E1699" s="34"/>
    </row>
    <row r="1700" spans="5:5" x14ac:dyDescent="0.2">
      <c r="E1700" s="34"/>
    </row>
    <row r="1701" spans="5:5" x14ac:dyDescent="0.2">
      <c r="E1701" s="34"/>
    </row>
    <row r="1702" spans="5:5" x14ac:dyDescent="0.2">
      <c r="E1702" s="34"/>
    </row>
    <row r="1703" spans="5:5" x14ac:dyDescent="0.2">
      <c r="E1703" s="34"/>
    </row>
    <row r="1704" spans="5:5" x14ac:dyDescent="0.2">
      <c r="E1704" s="34"/>
    </row>
    <row r="1705" spans="5:5" x14ac:dyDescent="0.2">
      <c r="E1705" s="34"/>
    </row>
    <row r="1706" spans="5:5" x14ac:dyDescent="0.2">
      <c r="E1706" s="34"/>
    </row>
    <row r="1707" spans="5:5" x14ac:dyDescent="0.2">
      <c r="E1707" s="34"/>
    </row>
    <row r="1708" spans="5:5" x14ac:dyDescent="0.2">
      <c r="E1708" s="34"/>
    </row>
    <row r="1709" spans="5:5" x14ac:dyDescent="0.2">
      <c r="E1709" s="34"/>
    </row>
    <row r="1710" spans="5:5" x14ac:dyDescent="0.2">
      <c r="E1710" s="34"/>
    </row>
    <row r="1711" spans="5:5" x14ac:dyDescent="0.2">
      <c r="E1711" s="34"/>
    </row>
    <row r="1712" spans="5:5" x14ac:dyDescent="0.2">
      <c r="E1712" s="34"/>
    </row>
    <row r="1713" spans="5:5" x14ac:dyDescent="0.2">
      <c r="E1713" s="34"/>
    </row>
    <row r="1714" spans="5:5" x14ac:dyDescent="0.2">
      <c r="E1714" s="34"/>
    </row>
    <row r="1715" spans="5:5" x14ac:dyDescent="0.2">
      <c r="E1715" s="34"/>
    </row>
    <row r="1716" spans="5:5" x14ac:dyDescent="0.2">
      <c r="E1716" s="34"/>
    </row>
    <row r="1717" spans="5:5" x14ac:dyDescent="0.2">
      <c r="E1717" s="34"/>
    </row>
    <row r="1718" spans="5:5" x14ac:dyDescent="0.2">
      <c r="E1718" s="34"/>
    </row>
    <row r="1719" spans="5:5" x14ac:dyDescent="0.2">
      <c r="E1719" s="34"/>
    </row>
    <row r="1720" spans="5:5" x14ac:dyDescent="0.2">
      <c r="E1720" s="34"/>
    </row>
    <row r="1721" spans="5:5" x14ac:dyDescent="0.2">
      <c r="E1721" s="34"/>
    </row>
    <row r="1722" spans="5:5" x14ac:dyDescent="0.2">
      <c r="E1722" s="34"/>
    </row>
    <row r="1723" spans="5:5" x14ac:dyDescent="0.2">
      <c r="E1723" s="34"/>
    </row>
    <row r="1724" spans="5:5" x14ac:dyDescent="0.2">
      <c r="E1724" s="34"/>
    </row>
    <row r="1725" spans="5:5" x14ac:dyDescent="0.2">
      <c r="E1725" s="34"/>
    </row>
    <row r="1726" spans="5:5" x14ac:dyDescent="0.2">
      <c r="E1726" s="34"/>
    </row>
    <row r="1727" spans="5:5" x14ac:dyDescent="0.2">
      <c r="E1727" s="34"/>
    </row>
    <row r="1728" spans="5:5" x14ac:dyDescent="0.2">
      <c r="E1728" s="34"/>
    </row>
    <row r="1729" spans="5:5" x14ac:dyDescent="0.2">
      <c r="E1729" s="34"/>
    </row>
    <row r="1730" spans="5:5" x14ac:dyDescent="0.2">
      <c r="E1730" s="34"/>
    </row>
    <row r="1731" spans="5:5" x14ac:dyDescent="0.2">
      <c r="E1731" s="34"/>
    </row>
    <row r="1732" spans="5:5" x14ac:dyDescent="0.2">
      <c r="E1732" s="34"/>
    </row>
    <row r="1733" spans="5:5" x14ac:dyDescent="0.2">
      <c r="E1733" s="34"/>
    </row>
    <row r="1734" spans="5:5" x14ac:dyDescent="0.2">
      <c r="E1734" s="34"/>
    </row>
    <row r="1735" spans="5:5" x14ac:dyDescent="0.2">
      <c r="E1735" s="34"/>
    </row>
    <row r="1736" spans="5:5" x14ac:dyDescent="0.2">
      <c r="E1736" s="34"/>
    </row>
    <row r="1737" spans="5:5" x14ac:dyDescent="0.2">
      <c r="E1737" s="34"/>
    </row>
    <row r="1738" spans="5:5" x14ac:dyDescent="0.2">
      <c r="E1738" s="34"/>
    </row>
    <row r="1739" spans="5:5" x14ac:dyDescent="0.2">
      <c r="E1739" s="34"/>
    </row>
    <row r="1740" spans="5:5" x14ac:dyDescent="0.2">
      <c r="E1740" s="34"/>
    </row>
    <row r="1741" spans="5:5" x14ac:dyDescent="0.2">
      <c r="E1741" s="34"/>
    </row>
    <row r="1742" spans="5:5" x14ac:dyDescent="0.2">
      <c r="E1742" s="34"/>
    </row>
    <row r="1743" spans="5:5" x14ac:dyDescent="0.2">
      <c r="E1743" s="34"/>
    </row>
    <row r="1744" spans="5:5" x14ac:dyDescent="0.2">
      <c r="E1744" s="34"/>
    </row>
    <row r="1745" spans="5:5" x14ac:dyDescent="0.2">
      <c r="E1745" s="34"/>
    </row>
    <row r="1746" spans="5:5" x14ac:dyDescent="0.2">
      <c r="E1746" s="34"/>
    </row>
    <row r="1747" spans="5:5" x14ac:dyDescent="0.2">
      <c r="E1747" s="34"/>
    </row>
    <row r="1748" spans="5:5" x14ac:dyDescent="0.2">
      <c r="E1748" s="34"/>
    </row>
    <row r="1749" spans="5:5" x14ac:dyDescent="0.2">
      <c r="E1749" s="34"/>
    </row>
    <row r="1750" spans="5:5" x14ac:dyDescent="0.2">
      <c r="E1750" s="34"/>
    </row>
    <row r="1751" spans="5:5" x14ac:dyDescent="0.2">
      <c r="E1751" s="34"/>
    </row>
    <row r="1752" spans="5:5" x14ac:dyDescent="0.2">
      <c r="E1752" s="34"/>
    </row>
    <row r="1753" spans="5:5" x14ac:dyDescent="0.2">
      <c r="E1753" s="34"/>
    </row>
    <row r="1754" spans="5:5" x14ac:dyDescent="0.2">
      <c r="E1754" s="34"/>
    </row>
    <row r="1755" spans="5:5" x14ac:dyDescent="0.2">
      <c r="E1755" s="34"/>
    </row>
    <row r="1756" spans="5:5" x14ac:dyDescent="0.2">
      <c r="E1756" s="34"/>
    </row>
    <row r="1757" spans="5:5" x14ac:dyDescent="0.2">
      <c r="E1757" s="34"/>
    </row>
    <row r="1758" spans="5:5" x14ac:dyDescent="0.2">
      <c r="E1758" s="34"/>
    </row>
    <row r="1759" spans="5:5" x14ac:dyDescent="0.2">
      <c r="E1759" s="34"/>
    </row>
    <row r="1760" spans="5:5" x14ac:dyDescent="0.2">
      <c r="E1760" s="34"/>
    </row>
    <row r="1761" spans="5:5" x14ac:dyDescent="0.2">
      <c r="E1761" s="34"/>
    </row>
    <row r="1762" spans="5:5" x14ac:dyDescent="0.2">
      <c r="E1762" s="34"/>
    </row>
    <row r="1763" spans="5:5" x14ac:dyDescent="0.2">
      <c r="E1763" s="34"/>
    </row>
    <row r="1764" spans="5:5" x14ac:dyDescent="0.2">
      <c r="E1764" s="34"/>
    </row>
    <row r="1765" spans="5:5" x14ac:dyDescent="0.2">
      <c r="E1765" s="34"/>
    </row>
    <row r="1766" spans="5:5" x14ac:dyDescent="0.2">
      <c r="E1766" s="34"/>
    </row>
    <row r="1767" spans="5:5" x14ac:dyDescent="0.2">
      <c r="E1767" s="34"/>
    </row>
    <row r="1768" spans="5:5" x14ac:dyDescent="0.2">
      <c r="E1768" s="34"/>
    </row>
    <row r="1769" spans="5:5" x14ac:dyDescent="0.2">
      <c r="E1769" s="34"/>
    </row>
    <row r="1770" spans="5:5" x14ac:dyDescent="0.2">
      <c r="E1770" s="34"/>
    </row>
    <row r="1771" spans="5:5" x14ac:dyDescent="0.2">
      <c r="E1771" s="34"/>
    </row>
    <row r="1772" spans="5:5" x14ac:dyDescent="0.2">
      <c r="E1772" s="34"/>
    </row>
    <row r="1773" spans="5:5" x14ac:dyDescent="0.2">
      <c r="E1773" s="34"/>
    </row>
    <row r="1774" spans="5:5" x14ac:dyDescent="0.2">
      <c r="E1774" s="34"/>
    </row>
    <row r="1775" spans="5:5" x14ac:dyDescent="0.2">
      <c r="E1775" s="34"/>
    </row>
    <row r="1776" spans="5:5" x14ac:dyDescent="0.2">
      <c r="E1776" s="34"/>
    </row>
    <row r="1777" spans="5:5" x14ac:dyDescent="0.2">
      <c r="E1777" s="34"/>
    </row>
    <row r="1778" spans="5:5" x14ac:dyDescent="0.2">
      <c r="E1778" s="34"/>
    </row>
    <row r="1779" spans="5:5" x14ac:dyDescent="0.2">
      <c r="E1779" s="34"/>
    </row>
    <row r="1780" spans="5:5" x14ac:dyDescent="0.2">
      <c r="E1780" s="34"/>
    </row>
    <row r="1781" spans="5:5" x14ac:dyDescent="0.2">
      <c r="E1781" s="34"/>
    </row>
    <row r="1782" spans="5:5" x14ac:dyDescent="0.2">
      <c r="E1782" s="34"/>
    </row>
    <row r="1783" spans="5:5" x14ac:dyDescent="0.2">
      <c r="E1783" s="34"/>
    </row>
    <row r="1784" spans="5:5" x14ac:dyDescent="0.2">
      <c r="E1784" s="34"/>
    </row>
    <row r="1785" spans="5:5" x14ac:dyDescent="0.2">
      <c r="E1785" s="34"/>
    </row>
    <row r="1786" spans="5:5" x14ac:dyDescent="0.2">
      <c r="E1786" s="34"/>
    </row>
    <row r="1787" spans="5:5" x14ac:dyDescent="0.2">
      <c r="E1787" s="34"/>
    </row>
    <row r="1788" spans="5:5" x14ac:dyDescent="0.2">
      <c r="E1788" s="34"/>
    </row>
    <row r="1789" spans="5:5" x14ac:dyDescent="0.2">
      <c r="E1789" s="34"/>
    </row>
    <row r="1790" spans="5:5" x14ac:dyDescent="0.2">
      <c r="E1790" s="34"/>
    </row>
    <row r="1791" spans="5:5" x14ac:dyDescent="0.2">
      <c r="E1791" s="34"/>
    </row>
    <row r="1792" spans="5:5" x14ac:dyDescent="0.2">
      <c r="E1792" s="34"/>
    </row>
    <row r="1793" spans="5:5" x14ac:dyDescent="0.2">
      <c r="E1793" s="34"/>
    </row>
    <row r="1794" spans="5:5" x14ac:dyDescent="0.2">
      <c r="E1794" s="34"/>
    </row>
    <row r="1795" spans="5:5" x14ac:dyDescent="0.2">
      <c r="E1795" s="34"/>
    </row>
    <row r="1796" spans="5:5" x14ac:dyDescent="0.2">
      <c r="E1796" s="34"/>
    </row>
    <row r="1797" spans="5:5" x14ac:dyDescent="0.2">
      <c r="E1797" s="34"/>
    </row>
    <row r="1798" spans="5:5" x14ac:dyDescent="0.2">
      <c r="E1798" s="34"/>
    </row>
    <row r="1799" spans="5:5" x14ac:dyDescent="0.2">
      <c r="E1799" s="34"/>
    </row>
    <row r="1800" spans="5:5" x14ac:dyDescent="0.2">
      <c r="E1800" s="34"/>
    </row>
    <row r="1801" spans="5:5" x14ac:dyDescent="0.2">
      <c r="E1801" s="34"/>
    </row>
    <row r="1802" spans="5:5" x14ac:dyDescent="0.2">
      <c r="E1802" s="34"/>
    </row>
    <row r="1803" spans="5:5" x14ac:dyDescent="0.2">
      <c r="E1803" s="34"/>
    </row>
    <row r="1804" spans="5:5" x14ac:dyDescent="0.2">
      <c r="E1804" s="34"/>
    </row>
    <row r="1805" spans="5:5" x14ac:dyDescent="0.2">
      <c r="E1805" s="34"/>
    </row>
    <row r="1806" spans="5:5" x14ac:dyDescent="0.2">
      <c r="E1806" s="34"/>
    </row>
    <row r="1807" spans="5:5" x14ac:dyDescent="0.2">
      <c r="E1807" s="34"/>
    </row>
    <row r="1808" spans="5:5" x14ac:dyDescent="0.2">
      <c r="E1808" s="34"/>
    </row>
    <row r="1809" spans="5:5" x14ac:dyDescent="0.2">
      <c r="E1809" s="34"/>
    </row>
    <row r="1810" spans="5:5" x14ac:dyDescent="0.2">
      <c r="E1810" s="34"/>
    </row>
    <row r="1811" spans="5:5" x14ac:dyDescent="0.2">
      <c r="E1811" s="34"/>
    </row>
    <row r="1812" spans="5:5" x14ac:dyDescent="0.2">
      <c r="E1812" s="34"/>
    </row>
    <row r="1813" spans="5:5" x14ac:dyDescent="0.2">
      <c r="E1813" s="34"/>
    </row>
    <row r="1814" spans="5:5" x14ac:dyDescent="0.2">
      <c r="E1814" s="34"/>
    </row>
    <row r="1815" spans="5:5" x14ac:dyDescent="0.2">
      <c r="E1815" s="34"/>
    </row>
    <row r="1816" spans="5:5" x14ac:dyDescent="0.2">
      <c r="E1816" s="34"/>
    </row>
    <row r="1817" spans="5:5" x14ac:dyDescent="0.2">
      <c r="E1817" s="34"/>
    </row>
    <row r="1818" spans="5:5" x14ac:dyDescent="0.2">
      <c r="E1818" s="34"/>
    </row>
    <row r="1819" spans="5:5" x14ac:dyDescent="0.2">
      <c r="E1819" s="34"/>
    </row>
    <row r="1820" spans="5:5" x14ac:dyDescent="0.2">
      <c r="E1820" s="34"/>
    </row>
    <row r="1821" spans="5:5" x14ac:dyDescent="0.2">
      <c r="E1821" s="34"/>
    </row>
    <row r="1822" spans="5:5" x14ac:dyDescent="0.2">
      <c r="E1822" s="34"/>
    </row>
    <row r="1823" spans="5:5" x14ac:dyDescent="0.2">
      <c r="E1823" s="34"/>
    </row>
    <row r="1824" spans="5:5" x14ac:dyDescent="0.2">
      <c r="E1824" s="34"/>
    </row>
    <row r="1825" spans="5:5" x14ac:dyDescent="0.2">
      <c r="E1825" s="34"/>
    </row>
    <row r="1826" spans="5:5" x14ac:dyDescent="0.2">
      <c r="E1826" s="34"/>
    </row>
    <row r="1827" spans="5:5" x14ac:dyDescent="0.2">
      <c r="E1827" s="34"/>
    </row>
    <row r="1828" spans="5:5" x14ac:dyDescent="0.2">
      <c r="E1828" s="34"/>
    </row>
    <row r="1829" spans="5:5" x14ac:dyDescent="0.2">
      <c r="E1829" s="34"/>
    </row>
    <row r="1830" spans="5:5" x14ac:dyDescent="0.2">
      <c r="E1830" s="34"/>
    </row>
    <row r="1831" spans="5:5" x14ac:dyDescent="0.2">
      <c r="E1831" s="34"/>
    </row>
    <row r="1832" spans="5:5" x14ac:dyDescent="0.2">
      <c r="E1832" s="34"/>
    </row>
    <row r="1833" spans="5:5" x14ac:dyDescent="0.2">
      <c r="E1833" s="34"/>
    </row>
    <row r="1834" spans="5:5" x14ac:dyDescent="0.2">
      <c r="E1834" s="34"/>
    </row>
    <row r="1835" spans="5:5" x14ac:dyDescent="0.2">
      <c r="E1835" s="34"/>
    </row>
    <row r="1836" spans="5:5" x14ac:dyDescent="0.2">
      <c r="E1836" s="34"/>
    </row>
    <row r="1837" spans="5:5" x14ac:dyDescent="0.2">
      <c r="E1837" s="34"/>
    </row>
    <row r="1838" spans="5:5" x14ac:dyDescent="0.2">
      <c r="E1838" s="34"/>
    </row>
    <row r="1839" spans="5:5" x14ac:dyDescent="0.2">
      <c r="E1839" s="34"/>
    </row>
    <row r="1840" spans="5:5" x14ac:dyDescent="0.2">
      <c r="E1840" s="34"/>
    </row>
    <row r="1841" spans="5:5" x14ac:dyDescent="0.2">
      <c r="E1841" s="34"/>
    </row>
    <row r="1842" spans="5:5" x14ac:dyDescent="0.2">
      <c r="E1842" s="34"/>
    </row>
    <row r="1843" spans="5:5" x14ac:dyDescent="0.2">
      <c r="E1843" s="34"/>
    </row>
    <row r="1844" spans="5:5" x14ac:dyDescent="0.2">
      <c r="E1844" s="34"/>
    </row>
    <row r="1845" spans="5:5" x14ac:dyDescent="0.2">
      <c r="E1845" s="34"/>
    </row>
    <row r="1846" spans="5:5" x14ac:dyDescent="0.2">
      <c r="E1846" s="34"/>
    </row>
    <row r="1847" spans="5:5" x14ac:dyDescent="0.2">
      <c r="E1847" s="34"/>
    </row>
    <row r="1848" spans="5:5" x14ac:dyDescent="0.2">
      <c r="E1848" s="34"/>
    </row>
    <row r="1849" spans="5:5" x14ac:dyDescent="0.2">
      <c r="E1849" s="34"/>
    </row>
    <row r="1850" spans="5:5" x14ac:dyDescent="0.2">
      <c r="E1850" s="34"/>
    </row>
    <row r="1851" spans="5:5" x14ac:dyDescent="0.2">
      <c r="E1851" s="34"/>
    </row>
    <row r="1852" spans="5:5" x14ac:dyDescent="0.2">
      <c r="E1852" s="34"/>
    </row>
    <row r="1853" spans="5:5" x14ac:dyDescent="0.2">
      <c r="E1853" s="34"/>
    </row>
    <row r="1854" spans="5:5" x14ac:dyDescent="0.2">
      <c r="E1854" s="34"/>
    </row>
    <row r="1855" spans="5:5" x14ac:dyDescent="0.2">
      <c r="E1855" s="34"/>
    </row>
    <row r="1856" spans="5:5" x14ac:dyDescent="0.2">
      <c r="E1856" s="34"/>
    </row>
    <row r="1857" spans="5:5" x14ac:dyDescent="0.2">
      <c r="E1857" s="34"/>
    </row>
    <row r="1858" spans="5:5" x14ac:dyDescent="0.2">
      <c r="E1858" s="34"/>
    </row>
    <row r="1859" spans="5:5" x14ac:dyDescent="0.2">
      <c r="E1859" s="34"/>
    </row>
    <row r="1860" spans="5:5" x14ac:dyDescent="0.2">
      <c r="E1860" s="34"/>
    </row>
    <row r="1861" spans="5:5" x14ac:dyDescent="0.2">
      <c r="E1861" s="34"/>
    </row>
    <row r="1862" spans="5:5" x14ac:dyDescent="0.2">
      <c r="E1862" s="34"/>
    </row>
    <row r="1863" spans="5:5" x14ac:dyDescent="0.2">
      <c r="E1863" s="34"/>
    </row>
    <row r="1864" spans="5:5" x14ac:dyDescent="0.2">
      <c r="E1864" s="34"/>
    </row>
    <row r="1865" spans="5:5" x14ac:dyDescent="0.2">
      <c r="E1865" s="34"/>
    </row>
    <row r="1866" spans="5:5" x14ac:dyDescent="0.2">
      <c r="E1866" s="34"/>
    </row>
    <row r="1867" spans="5:5" x14ac:dyDescent="0.2">
      <c r="E1867" s="34"/>
    </row>
    <row r="1868" spans="5:5" x14ac:dyDescent="0.2">
      <c r="E1868" s="34"/>
    </row>
    <row r="1869" spans="5:5" x14ac:dyDescent="0.2">
      <c r="E1869" s="34"/>
    </row>
    <row r="1870" spans="5:5" x14ac:dyDescent="0.2">
      <c r="E1870" s="34"/>
    </row>
    <row r="1871" spans="5:5" x14ac:dyDescent="0.2">
      <c r="E1871" s="34"/>
    </row>
    <row r="1872" spans="5:5" x14ac:dyDescent="0.2">
      <c r="E1872" s="34"/>
    </row>
    <row r="1873" spans="5:5" x14ac:dyDescent="0.2">
      <c r="E1873" s="34"/>
    </row>
    <row r="1874" spans="5:5" x14ac:dyDescent="0.2">
      <c r="E1874" s="34"/>
    </row>
    <row r="1875" spans="5:5" x14ac:dyDescent="0.2">
      <c r="E1875" s="34"/>
    </row>
    <row r="1876" spans="5:5" x14ac:dyDescent="0.2">
      <c r="E1876" s="34"/>
    </row>
    <row r="1877" spans="5:5" x14ac:dyDescent="0.2">
      <c r="E1877" s="34"/>
    </row>
    <row r="1878" spans="5:5" x14ac:dyDescent="0.2">
      <c r="E1878" s="34"/>
    </row>
    <row r="1879" spans="5:5" x14ac:dyDescent="0.2">
      <c r="E1879" s="34"/>
    </row>
    <row r="1880" spans="5:5" x14ac:dyDescent="0.2">
      <c r="E1880" s="34"/>
    </row>
    <row r="1881" spans="5:5" x14ac:dyDescent="0.2">
      <c r="E1881" s="34"/>
    </row>
    <row r="1882" spans="5:5" x14ac:dyDescent="0.2">
      <c r="E1882" s="34"/>
    </row>
    <row r="1883" spans="5:5" x14ac:dyDescent="0.2">
      <c r="E1883" s="34"/>
    </row>
    <row r="1884" spans="5:5" x14ac:dyDescent="0.2">
      <c r="E1884" s="34"/>
    </row>
    <row r="1885" spans="5:5" x14ac:dyDescent="0.2">
      <c r="E1885" s="34"/>
    </row>
    <row r="1886" spans="5:5" x14ac:dyDescent="0.2">
      <c r="E1886" s="34"/>
    </row>
    <row r="1887" spans="5:5" x14ac:dyDescent="0.2">
      <c r="E1887" s="34"/>
    </row>
    <row r="1888" spans="5:5" x14ac:dyDescent="0.2">
      <c r="E1888" s="34"/>
    </row>
    <row r="1889" spans="5:5" x14ac:dyDescent="0.2">
      <c r="E1889" s="34"/>
    </row>
    <row r="1890" spans="5:5" x14ac:dyDescent="0.2">
      <c r="E1890" s="34"/>
    </row>
    <row r="1891" spans="5:5" x14ac:dyDescent="0.2">
      <c r="E1891" s="34"/>
    </row>
    <row r="1892" spans="5:5" x14ac:dyDescent="0.2">
      <c r="E1892" s="34"/>
    </row>
    <row r="1893" spans="5:5" x14ac:dyDescent="0.2">
      <c r="E1893" s="34"/>
    </row>
    <row r="1894" spans="5:5" x14ac:dyDescent="0.2">
      <c r="E1894" s="34"/>
    </row>
    <row r="1895" spans="5:5" x14ac:dyDescent="0.2">
      <c r="E1895" s="34"/>
    </row>
    <row r="1896" spans="5:5" x14ac:dyDescent="0.2">
      <c r="E1896" s="34"/>
    </row>
    <row r="1897" spans="5:5" x14ac:dyDescent="0.2">
      <c r="E1897" s="34"/>
    </row>
    <row r="1898" spans="5:5" x14ac:dyDescent="0.2">
      <c r="E1898" s="34"/>
    </row>
    <row r="1899" spans="5:5" x14ac:dyDescent="0.2">
      <c r="E1899" s="34"/>
    </row>
    <row r="1900" spans="5:5" x14ac:dyDescent="0.2">
      <c r="E1900" s="34"/>
    </row>
    <row r="1901" spans="5:5" x14ac:dyDescent="0.2">
      <c r="E1901" s="34"/>
    </row>
    <row r="1902" spans="5:5" x14ac:dyDescent="0.2">
      <c r="E1902" s="34"/>
    </row>
    <row r="1903" spans="5:5" x14ac:dyDescent="0.2">
      <c r="E1903" s="34"/>
    </row>
    <row r="1904" spans="5:5" x14ac:dyDescent="0.2">
      <c r="E1904" s="34"/>
    </row>
    <row r="1905" spans="5:5" x14ac:dyDescent="0.2">
      <c r="E1905" s="34"/>
    </row>
    <row r="1906" spans="5:5" x14ac:dyDescent="0.2">
      <c r="E1906" s="34"/>
    </row>
    <row r="1907" spans="5:5" x14ac:dyDescent="0.2">
      <c r="E1907" s="34"/>
    </row>
    <row r="1908" spans="5:5" x14ac:dyDescent="0.2">
      <c r="E1908" s="34"/>
    </row>
    <row r="1909" spans="5:5" x14ac:dyDescent="0.2">
      <c r="E1909" s="34"/>
    </row>
    <row r="1910" spans="5:5" x14ac:dyDescent="0.2">
      <c r="E1910" s="34"/>
    </row>
    <row r="1911" spans="5:5" x14ac:dyDescent="0.2">
      <c r="E1911" s="34"/>
    </row>
    <row r="1912" spans="5:5" x14ac:dyDescent="0.2">
      <c r="E1912" s="34"/>
    </row>
    <row r="1913" spans="5:5" x14ac:dyDescent="0.2">
      <c r="E1913" s="34"/>
    </row>
    <row r="1914" spans="5:5" x14ac:dyDescent="0.2">
      <c r="E1914" s="34"/>
    </row>
    <row r="1915" spans="5:5" x14ac:dyDescent="0.2">
      <c r="E1915" s="34"/>
    </row>
    <row r="1916" spans="5:5" x14ac:dyDescent="0.2">
      <c r="E1916" s="34"/>
    </row>
    <row r="1917" spans="5:5" x14ac:dyDescent="0.2">
      <c r="E1917" s="34"/>
    </row>
    <row r="1918" spans="5:5" x14ac:dyDescent="0.2">
      <c r="E1918" s="34"/>
    </row>
    <row r="1919" spans="5:5" x14ac:dyDescent="0.2">
      <c r="E1919" s="34"/>
    </row>
    <row r="1920" spans="5:5" x14ac:dyDescent="0.2">
      <c r="E1920" s="34"/>
    </row>
    <row r="1921" spans="5:5" x14ac:dyDescent="0.2">
      <c r="E1921" s="34"/>
    </row>
    <row r="1922" spans="5:5" x14ac:dyDescent="0.2">
      <c r="E1922" s="34"/>
    </row>
    <row r="1923" spans="5:5" x14ac:dyDescent="0.2">
      <c r="E1923" s="34"/>
    </row>
    <row r="1924" spans="5:5" x14ac:dyDescent="0.2">
      <c r="E1924" s="34"/>
    </row>
    <row r="1925" spans="5:5" x14ac:dyDescent="0.2">
      <c r="E1925" s="34"/>
    </row>
    <row r="1926" spans="5:5" x14ac:dyDescent="0.2">
      <c r="E1926" s="34"/>
    </row>
    <row r="1927" spans="5:5" x14ac:dyDescent="0.2">
      <c r="E1927" s="34"/>
    </row>
    <row r="1928" spans="5:5" x14ac:dyDescent="0.2">
      <c r="E1928" s="34"/>
    </row>
    <row r="1929" spans="5:5" x14ac:dyDescent="0.2">
      <c r="E1929" s="34"/>
    </row>
    <row r="1930" spans="5:5" x14ac:dyDescent="0.2">
      <c r="E1930" s="34"/>
    </row>
    <row r="1931" spans="5:5" x14ac:dyDescent="0.2">
      <c r="E1931" s="34"/>
    </row>
    <row r="1932" spans="5:5" x14ac:dyDescent="0.2">
      <c r="E1932" s="34"/>
    </row>
    <row r="1933" spans="5:5" x14ac:dyDescent="0.2">
      <c r="E1933" s="34"/>
    </row>
    <row r="1934" spans="5:5" x14ac:dyDescent="0.2">
      <c r="E1934" s="34"/>
    </row>
    <row r="1935" spans="5:5" x14ac:dyDescent="0.2">
      <c r="E1935" s="34"/>
    </row>
    <row r="1936" spans="5:5" x14ac:dyDescent="0.2">
      <c r="E1936" s="34"/>
    </row>
    <row r="1937" spans="5:5" x14ac:dyDescent="0.2">
      <c r="E1937" s="34"/>
    </row>
    <row r="1938" spans="5:5" x14ac:dyDescent="0.2">
      <c r="E1938" s="34"/>
    </row>
    <row r="1939" spans="5:5" x14ac:dyDescent="0.2">
      <c r="E1939" s="34"/>
    </row>
    <row r="1940" spans="5:5" x14ac:dyDescent="0.2">
      <c r="E1940" s="34"/>
    </row>
    <row r="1941" spans="5:5" x14ac:dyDescent="0.2">
      <c r="E1941" s="34"/>
    </row>
    <row r="1942" spans="5:5" x14ac:dyDescent="0.2">
      <c r="E1942" s="34"/>
    </row>
    <row r="1943" spans="5:5" x14ac:dyDescent="0.2">
      <c r="E1943" s="34"/>
    </row>
    <row r="1944" spans="5:5" x14ac:dyDescent="0.2">
      <c r="E1944" s="34"/>
    </row>
    <row r="1945" spans="5:5" x14ac:dyDescent="0.2">
      <c r="E1945" s="34"/>
    </row>
    <row r="1946" spans="5:5" x14ac:dyDescent="0.2">
      <c r="E1946" s="34"/>
    </row>
    <row r="1947" spans="5:5" x14ac:dyDescent="0.2">
      <c r="E1947" s="34"/>
    </row>
    <row r="1948" spans="5:5" x14ac:dyDescent="0.2">
      <c r="E1948" s="34"/>
    </row>
    <row r="1949" spans="5:5" x14ac:dyDescent="0.2">
      <c r="E1949" s="34"/>
    </row>
    <row r="1950" spans="5:5" x14ac:dyDescent="0.2">
      <c r="E1950" s="34"/>
    </row>
    <row r="1951" spans="5:5" x14ac:dyDescent="0.2">
      <c r="E1951" s="34"/>
    </row>
    <row r="1952" spans="5:5" x14ac:dyDescent="0.2">
      <c r="E1952" s="34"/>
    </row>
    <row r="1953" spans="5:5" x14ac:dyDescent="0.2">
      <c r="E1953" s="34"/>
    </row>
    <row r="1954" spans="5:5" x14ac:dyDescent="0.2">
      <c r="E1954" s="34"/>
    </row>
    <row r="1955" spans="5:5" x14ac:dyDescent="0.2">
      <c r="E1955" s="34"/>
    </row>
    <row r="1956" spans="5:5" x14ac:dyDescent="0.2">
      <c r="E1956" s="34"/>
    </row>
    <row r="1957" spans="5:5" x14ac:dyDescent="0.2">
      <c r="E1957" s="34"/>
    </row>
    <row r="1958" spans="5:5" x14ac:dyDescent="0.2">
      <c r="E1958" s="34"/>
    </row>
    <row r="1959" spans="5:5" x14ac:dyDescent="0.2">
      <c r="E1959" s="34"/>
    </row>
    <row r="1960" spans="5:5" x14ac:dyDescent="0.2">
      <c r="E1960" s="34"/>
    </row>
    <row r="1961" spans="5:5" x14ac:dyDescent="0.2">
      <c r="E1961" s="34"/>
    </row>
    <row r="1962" spans="5:5" x14ac:dyDescent="0.2">
      <c r="E1962" s="34"/>
    </row>
    <row r="1963" spans="5:5" x14ac:dyDescent="0.2">
      <c r="E1963" s="34"/>
    </row>
    <row r="1964" spans="5:5" x14ac:dyDescent="0.2">
      <c r="E1964" s="34"/>
    </row>
    <row r="1965" spans="5:5" x14ac:dyDescent="0.2">
      <c r="E1965" s="34"/>
    </row>
    <row r="1966" spans="5:5" x14ac:dyDescent="0.2">
      <c r="E1966" s="34"/>
    </row>
    <row r="1967" spans="5:5" x14ac:dyDescent="0.2">
      <c r="E1967" s="34"/>
    </row>
    <row r="1968" spans="5:5" x14ac:dyDescent="0.2">
      <c r="E1968" s="34"/>
    </row>
    <row r="1969" spans="5:5" x14ac:dyDescent="0.2">
      <c r="E1969" s="34"/>
    </row>
    <row r="1970" spans="5:5" x14ac:dyDescent="0.2">
      <c r="E1970" s="34"/>
    </row>
    <row r="1971" spans="5:5" x14ac:dyDescent="0.2">
      <c r="E1971" s="34"/>
    </row>
    <row r="1972" spans="5:5" x14ac:dyDescent="0.2">
      <c r="E1972" s="34"/>
    </row>
    <row r="1973" spans="5:5" x14ac:dyDescent="0.2">
      <c r="E1973" s="34"/>
    </row>
    <row r="1974" spans="5:5" x14ac:dyDescent="0.2">
      <c r="E1974" s="34"/>
    </row>
    <row r="1975" spans="5:5" x14ac:dyDescent="0.2">
      <c r="E1975" s="34"/>
    </row>
    <row r="1976" spans="5:5" x14ac:dyDescent="0.2">
      <c r="E1976" s="34"/>
    </row>
    <row r="1977" spans="5:5" x14ac:dyDescent="0.2">
      <c r="E1977" s="34"/>
    </row>
    <row r="1978" spans="5:5" x14ac:dyDescent="0.2">
      <c r="E1978" s="34"/>
    </row>
    <row r="1979" spans="5:5" x14ac:dyDescent="0.2">
      <c r="E1979" s="34"/>
    </row>
    <row r="1980" spans="5:5" x14ac:dyDescent="0.2">
      <c r="E1980" s="34"/>
    </row>
    <row r="1981" spans="5:5" x14ac:dyDescent="0.2">
      <c r="E1981" s="34"/>
    </row>
    <row r="1982" spans="5:5" x14ac:dyDescent="0.2">
      <c r="E1982" s="34"/>
    </row>
    <row r="1983" spans="5:5" x14ac:dyDescent="0.2">
      <c r="E1983" s="34"/>
    </row>
    <row r="1984" spans="5:5" x14ac:dyDescent="0.2">
      <c r="E1984" s="34"/>
    </row>
    <row r="1985" spans="5:5" x14ac:dyDescent="0.2">
      <c r="E1985" s="34"/>
    </row>
    <row r="1986" spans="5:5" x14ac:dyDescent="0.2">
      <c r="E1986" s="34"/>
    </row>
    <row r="1987" spans="5:5" x14ac:dyDescent="0.2">
      <c r="E1987" s="34"/>
    </row>
    <row r="1988" spans="5:5" x14ac:dyDescent="0.2">
      <c r="E1988" s="34"/>
    </row>
    <row r="1989" spans="5:5" x14ac:dyDescent="0.2">
      <c r="E1989" s="34"/>
    </row>
    <row r="1990" spans="5:5" x14ac:dyDescent="0.2">
      <c r="E1990" s="34"/>
    </row>
    <row r="1991" spans="5:5" x14ac:dyDescent="0.2">
      <c r="E1991" s="34"/>
    </row>
    <row r="1992" spans="5:5" x14ac:dyDescent="0.2">
      <c r="E1992" s="34"/>
    </row>
    <row r="1993" spans="5:5" x14ac:dyDescent="0.2">
      <c r="E1993" s="34"/>
    </row>
    <row r="1994" spans="5:5" x14ac:dyDescent="0.2">
      <c r="E1994" s="34"/>
    </row>
    <row r="1995" spans="5:5" x14ac:dyDescent="0.2">
      <c r="E1995" s="34"/>
    </row>
    <row r="1996" spans="5:5" x14ac:dyDescent="0.2">
      <c r="E1996" s="34"/>
    </row>
    <row r="1997" spans="5:5" x14ac:dyDescent="0.2">
      <c r="E1997" s="34"/>
    </row>
    <row r="1998" spans="5:5" x14ac:dyDescent="0.2">
      <c r="E1998" s="34"/>
    </row>
    <row r="1999" spans="5:5" x14ac:dyDescent="0.2">
      <c r="E1999" s="34"/>
    </row>
    <row r="2000" spans="5:5" x14ac:dyDescent="0.2">
      <c r="E2000" s="34"/>
    </row>
    <row r="2001" spans="5:5" x14ac:dyDescent="0.2">
      <c r="E2001" s="34"/>
    </row>
    <row r="2002" spans="5:5" x14ac:dyDescent="0.2">
      <c r="E2002" s="34"/>
    </row>
    <row r="2003" spans="5:5" x14ac:dyDescent="0.2">
      <c r="E2003" s="34"/>
    </row>
    <row r="2004" spans="5:5" x14ac:dyDescent="0.2">
      <c r="E2004" s="34"/>
    </row>
    <row r="2005" spans="5:5" x14ac:dyDescent="0.2">
      <c r="E2005" s="34"/>
    </row>
    <row r="2006" spans="5:5" x14ac:dyDescent="0.2">
      <c r="E2006" s="34"/>
    </row>
    <row r="2007" spans="5:5" x14ac:dyDescent="0.2">
      <c r="E2007" s="34"/>
    </row>
    <row r="2008" spans="5:5" x14ac:dyDescent="0.2">
      <c r="E2008" s="34"/>
    </row>
    <row r="2009" spans="5:5" x14ac:dyDescent="0.2">
      <c r="E2009" s="34"/>
    </row>
    <row r="2010" spans="5:5" x14ac:dyDescent="0.2">
      <c r="E2010" s="34"/>
    </row>
    <row r="2011" spans="5:5" x14ac:dyDescent="0.2">
      <c r="E2011" s="34"/>
    </row>
    <row r="2012" spans="5:5" x14ac:dyDescent="0.2">
      <c r="E2012" s="34"/>
    </row>
    <row r="2013" spans="5:5" x14ac:dyDescent="0.2">
      <c r="E2013" s="34"/>
    </row>
    <row r="2014" spans="5:5" x14ac:dyDescent="0.2">
      <c r="E2014" s="34"/>
    </row>
    <row r="2015" spans="5:5" x14ac:dyDescent="0.2">
      <c r="E2015" s="34"/>
    </row>
    <row r="2016" spans="5:5" x14ac:dyDescent="0.2">
      <c r="E2016" s="34"/>
    </row>
    <row r="2017" spans="5:5" x14ac:dyDescent="0.2">
      <c r="E2017" s="34"/>
    </row>
    <row r="2018" spans="5:5" x14ac:dyDescent="0.2">
      <c r="E2018" s="34"/>
    </row>
    <row r="2019" spans="5:5" x14ac:dyDescent="0.2">
      <c r="E2019" s="34"/>
    </row>
    <row r="2020" spans="5:5" x14ac:dyDescent="0.2">
      <c r="E2020" s="34"/>
    </row>
    <row r="2021" spans="5:5" x14ac:dyDescent="0.2">
      <c r="E2021" s="34"/>
    </row>
    <row r="2022" spans="5:5" x14ac:dyDescent="0.2">
      <c r="E2022" s="34"/>
    </row>
    <row r="2023" spans="5:5" x14ac:dyDescent="0.2">
      <c r="E2023" s="34"/>
    </row>
    <row r="2024" spans="5:5" x14ac:dyDescent="0.2">
      <c r="E2024" s="34"/>
    </row>
    <row r="2025" spans="5:5" x14ac:dyDescent="0.2">
      <c r="E2025" s="34"/>
    </row>
    <row r="2026" spans="5:5" x14ac:dyDescent="0.2">
      <c r="E2026" s="34"/>
    </row>
    <row r="2027" spans="5:5" x14ac:dyDescent="0.2">
      <c r="E2027" s="34"/>
    </row>
    <row r="2028" spans="5:5" x14ac:dyDescent="0.2">
      <c r="E2028" s="34"/>
    </row>
    <row r="2029" spans="5:5" x14ac:dyDescent="0.2">
      <c r="E2029" s="34"/>
    </row>
    <row r="2030" spans="5:5" x14ac:dyDescent="0.2">
      <c r="E2030" s="34"/>
    </row>
    <row r="2031" spans="5:5" x14ac:dyDescent="0.2">
      <c r="E2031" s="34"/>
    </row>
    <row r="2032" spans="5:5" x14ac:dyDescent="0.2">
      <c r="E2032" s="34"/>
    </row>
    <row r="2033" spans="5:5" x14ac:dyDescent="0.2">
      <c r="E2033" s="34"/>
    </row>
    <row r="2034" spans="5:5" x14ac:dyDescent="0.2">
      <c r="E2034" s="34"/>
    </row>
    <row r="2035" spans="5:5" x14ac:dyDescent="0.2">
      <c r="E2035" s="34"/>
    </row>
    <row r="2036" spans="5:5" x14ac:dyDescent="0.2">
      <c r="E2036" s="34"/>
    </row>
    <row r="2037" spans="5:5" x14ac:dyDescent="0.2">
      <c r="E2037" s="34"/>
    </row>
    <row r="2038" spans="5:5" x14ac:dyDescent="0.2">
      <c r="E2038" s="34"/>
    </row>
    <row r="2039" spans="5:5" x14ac:dyDescent="0.2">
      <c r="E2039" s="34"/>
    </row>
    <row r="2040" spans="5:5" x14ac:dyDescent="0.2">
      <c r="E2040" s="34"/>
    </row>
    <row r="2041" spans="5:5" x14ac:dyDescent="0.2">
      <c r="E2041" s="34"/>
    </row>
    <row r="2042" spans="5:5" x14ac:dyDescent="0.2">
      <c r="E2042" s="34"/>
    </row>
    <row r="2043" spans="5:5" x14ac:dyDescent="0.2">
      <c r="E2043" s="34"/>
    </row>
    <row r="2044" spans="5:5" x14ac:dyDescent="0.2">
      <c r="E2044" s="34"/>
    </row>
    <row r="2045" spans="5:5" x14ac:dyDescent="0.2">
      <c r="E2045" s="34"/>
    </row>
    <row r="2046" spans="5:5" x14ac:dyDescent="0.2">
      <c r="E2046" s="34"/>
    </row>
    <row r="2047" spans="5:5" x14ac:dyDescent="0.2">
      <c r="E2047" s="34"/>
    </row>
    <row r="2048" spans="5:5" x14ac:dyDescent="0.2">
      <c r="E2048" s="34"/>
    </row>
    <row r="2049" spans="5:5" x14ac:dyDescent="0.2">
      <c r="E2049" s="34"/>
    </row>
    <row r="2050" spans="5:5" x14ac:dyDescent="0.2">
      <c r="E2050" s="34"/>
    </row>
    <row r="2051" spans="5:5" x14ac:dyDescent="0.2">
      <c r="E2051" s="34"/>
    </row>
    <row r="2052" spans="5:5" x14ac:dyDescent="0.2">
      <c r="E2052" s="34"/>
    </row>
    <row r="2053" spans="5:5" x14ac:dyDescent="0.2">
      <c r="E2053" s="34"/>
    </row>
    <row r="2054" spans="5:5" x14ac:dyDescent="0.2">
      <c r="E2054" s="34"/>
    </row>
    <row r="2055" spans="5:5" x14ac:dyDescent="0.2">
      <c r="E2055" s="34"/>
    </row>
    <row r="2056" spans="5:5" x14ac:dyDescent="0.2">
      <c r="E2056" s="34"/>
    </row>
    <row r="2057" spans="5:5" x14ac:dyDescent="0.2">
      <c r="E2057" s="34"/>
    </row>
    <row r="2058" spans="5:5" x14ac:dyDescent="0.2">
      <c r="E2058" s="34"/>
    </row>
    <row r="2059" spans="5:5" x14ac:dyDescent="0.2">
      <c r="E2059" s="34"/>
    </row>
    <row r="2060" spans="5:5" x14ac:dyDescent="0.2">
      <c r="E2060" s="34"/>
    </row>
    <row r="2061" spans="5:5" x14ac:dyDescent="0.2">
      <c r="E2061" s="34"/>
    </row>
    <row r="2062" spans="5:5" x14ac:dyDescent="0.2">
      <c r="E2062" s="34"/>
    </row>
    <row r="2063" spans="5:5" x14ac:dyDescent="0.2">
      <c r="E2063" s="34"/>
    </row>
    <row r="2064" spans="5:5" x14ac:dyDescent="0.2">
      <c r="E2064" s="34"/>
    </row>
    <row r="2065" spans="5:5" x14ac:dyDescent="0.2">
      <c r="E2065" s="34"/>
    </row>
    <row r="2066" spans="5:5" x14ac:dyDescent="0.2">
      <c r="E2066" s="34"/>
    </row>
    <row r="2067" spans="5:5" x14ac:dyDescent="0.2">
      <c r="E2067" s="34"/>
    </row>
    <row r="2068" spans="5:5" x14ac:dyDescent="0.2">
      <c r="E2068" s="34"/>
    </row>
    <row r="2069" spans="5:5" x14ac:dyDescent="0.2">
      <c r="E2069" s="34"/>
    </row>
    <row r="2070" spans="5:5" x14ac:dyDescent="0.2">
      <c r="E2070" s="34"/>
    </row>
    <row r="2071" spans="5:5" x14ac:dyDescent="0.2">
      <c r="E2071" s="34"/>
    </row>
    <row r="2072" spans="5:5" x14ac:dyDescent="0.2">
      <c r="E2072" s="34"/>
    </row>
    <row r="2073" spans="5:5" x14ac:dyDescent="0.2">
      <c r="E2073" s="34"/>
    </row>
    <row r="2074" spans="5:5" x14ac:dyDescent="0.2">
      <c r="E2074" s="34"/>
    </row>
    <row r="2075" spans="5:5" x14ac:dyDescent="0.2">
      <c r="E2075" s="34"/>
    </row>
    <row r="2076" spans="5:5" x14ac:dyDescent="0.2">
      <c r="E2076" s="34"/>
    </row>
    <row r="2077" spans="5:5" x14ac:dyDescent="0.2">
      <c r="E2077" s="34"/>
    </row>
    <row r="2078" spans="5:5" x14ac:dyDescent="0.2">
      <c r="E2078" s="34"/>
    </row>
    <row r="2079" spans="5:5" x14ac:dyDescent="0.2">
      <c r="E2079" s="34"/>
    </row>
    <row r="2080" spans="5:5" x14ac:dyDescent="0.2">
      <c r="E2080" s="34"/>
    </row>
    <row r="2081" spans="5:5" x14ac:dyDescent="0.2">
      <c r="E2081" s="34"/>
    </row>
    <row r="2082" spans="5:5" x14ac:dyDescent="0.2">
      <c r="E2082" s="34"/>
    </row>
    <row r="2083" spans="5:5" x14ac:dyDescent="0.2">
      <c r="E2083" s="34"/>
    </row>
    <row r="2084" spans="5:5" x14ac:dyDescent="0.2">
      <c r="E2084" s="34"/>
    </row>
    <row r="2085" spans="5:5" x14ac:dyDescent="0.2">
      <c r="E2085" s="34"/>
    </row>
    <row r="2086" spans="5:5" x14ac:dyDescent="0.2">
      <c r="E2086" s="34"/>
    </row>
    <row r="2087" spans="5:5" x14ac:dyDescent="0.2">
      <c r="E2087" s="34"/>
    </row>
    <row r="2088" spans="5:5" x14ac:dyDescent="0.2">
      <c r="E2088" s="34"/>
    </row>
    <row r="2089" spans="5:5" x14ac:dyDescent="0.2">
      <c r="E2089" s="34"/>
    </row>
    <row r="2090" spans="5:5" x14ac:dyDescent="0.2">
      <c r="E2090" s="34"/>
    </row>
    <row r="2091" spans="5:5" x14ac:dyDescent="0.2">
      <c r="E2091" s="34"/>
    </row>
    <row r="2092" spans="5:5" x14ac:dyDescent="0.2">
      <c r="E2092" s="34"/>
    </row>
    <row r="2093" spans="5:5" x14ac:dyDescent="0.2">
      <c r="E2093" s="34"/>
    </row>
    <row r="2094" spans="5:5" x14ac:dyDescent="0.2">
      <c r="E2094" s="34"/>
    </row>
    <row r="2095" spans="5:5" x14ac:dyDescent="0.2">
      <c r="E2095" s="34"/>
    </row>
    <row r="2096" spans="5:5" x14ac:dyDescent="0.2">
      <c r="E2096" s="34"/>
    </row>
    <row r="2097" spans="5:5" x14ac:dyDescent="0.2">
      <c r="E2097" s="34"/>
    </row>
    <row r="2098" spans="5:5" x14ac:dyDescent="0.2">
      <c r="E2098" s="34"/>
    </row>
    <row r="2099" spans="5:5" x14ac:dyDescent="0.2">
      <c r="E2099" s="34"/>
    </row>
    <row r="2100" spans="5:5" x14ac:dyDescent="0.2">
      <c r="E2100" s="34"/>
    </row>
    <row r="2101" spans="5:5" x14ac:dyDescent="0.2">
      <c r="E2101" s="34"/>
    </row>
    <row r="2102" spans="5:5" x14ac:dyDescent="0.2">
      <c r="E2102" s="34"/>
    </row>
    <row r="2103" spans="5:5" x14ac:dyDescent="0.2">
      <c r="E2103" s="34"/>
    </row>
    <row r="2104" spans="5:5" x14ac:dyDescent="0.2">
      <c r="E2104" s="34"/>
    </row>
    <row r="2105" spans="5:5" x14ac:dyDescent="0.2">
      <c r="E2105" s="34"/>
    </row>
    <row r="2106" spans="5:5" x14ac:dyDescent="0.2">
      <c r="E2106" s="34"/>
    </row>
    <row r="2107" spans="5:5" x14ac:dyDescent="0.2">
      <c r="E2107" s="34"/>
    </row>
    <row r="2108" spans="5:5" x14ac:dyDescent="0.2">
      <c r="E2108" s="34"/>
    </row>
    <row r="2109" spans="5:5" x14ac:dyDescent="0.2">
      <c r="E2109" s="34"/>
    </row>
    <row r="2110" spans="5:5" x14ac:dyDescent="0.2">
      <c r="E2110" s="34"/>
    </row>
    <row r="2111" spans="5:5" x14ac:dyDescent="0.2">
      <c r="E2111" s="34"/>
    </row>
    <row r="2112" spans="5:5" x14ac:dyDescent="0.2">
      <c r="E2112" s="34"/>
    </row>
    <row r="2113" spans="5:5" x14ac:dyDescent="0.2">
      <c r="E2113" s="34"/>
    </row>
    <row r="2114" spans="5:5" x14ac:dyDescent="0.2">
      <c r="E2114" s="34"/>
    </row>
    <row r="2115" spans="5:5" x14ac:dyDescent="0.2">
      <c r="E2115" s="34"/>
    </row>
    <row r="2116" spans="5:5" x14ac:dyDescent="0.2">
      <c r="E2116" s="34"/>
    </row>
    <row r="2117" spans="5:5" x14ac:dyDescent="0.2">
      <c r="E2117" s="34"/>
    </row>
    <row r="2118" spans="5:5" x14ac:dyDescent="0.2">
      <c r="E2118" s="34"/>
    </row>
    <row r="2119" spans="5:5" x14ac:dyDescent="0.2">
      <c r="E2119" s="34"/>
    </row>
    <row r="2120" spans="5:5" x14ac:dyDescent="0.2">
      <c r="E2120" s="34"/>
    </row>
    <row r="2121" spans="5:5" x14ac:dyDescent="0.2">
      <c r="E2121" s="34"/>
    </row>
    <row r="2122" spans="5:5" x14ac:dyDescent="0.2">
      <c r="E2122" s="34"/>
    </row>
    <row r="2123" spans="5:5" x14ac:dyDescent="0.2">
      <c r="E2123" s="34"/>
    </row>
    <row r="2124" spans="5:5" x14ac:dyDescent="0.2">
      <c r="E2124" s="34"/>
    </row>
    <row r="2125" spans="5:5" x14ac:dyDescent="0.2">
      <c r="E2125" s="34"/>
    </row>
    <row r="2126" spans="5:5" x14ac:dyDescent="0.2">
      <c r="E2126" s="34"/>
    </row>
    <row r="2127" spans="5:5" x14ac:dyDescent="0.2">
      <c r="E2127" s="34"/>
    </row>
    <row r="2128" spans="5:5" x14ac:dyDescent="0.2">
      <c r="E2128" s="34"/>
    </row>
    <row r="2129" spans="5:5" x14ac:dyDescent="0.2">
      <c r="E2129" s="34"/>
    </row>
    <row r="2130" spans="5:5" x14ac:dyDescent="0.2">
      <c r="E2130" s="34"/>
    </row>
    <row r="2131" spans="5:5" x14ac:dyDescent="0.2">
      <c r="E2131" s="34"/>
    </row>
    <row r="2132" spans="5:5" x14ac:dyDescent="0.2">
      <c r="E2132" s="34"/>
    </row>
    <row r="2133" spans="5:5" x14ac:dyDescent="0.2">
      <c r="E2133" s="34"/>
    </row>
    <row r="2134" spans="5:5" x14ac:dyDescent="0.2">
      <c r="E2134" s="34"/>
    </row>
    <row r="2135" spans="5:5" x14ac:dyDescent="0.2">
      <c r="E2135" s="34"/>
    </row>
    <row r="2136" spans="5:5" x14ac:dyDescent="0.2">
      <c r="E2136" s="34"/>
    </row>
    <row r="2137" spans="5:5" x14ac:dyDescent="0.2">
      <c r="E2137" s="34"/>
    </row>
    <row r="2138" spans="5:5" x14ac:dyDescent="0.2">
      <c r="E2138" s="34"/>
    </row>
    <row r="2139" spans="5:5" x14ac:dyDescent="0.2">
      <c r="E2139" s="34"/>
    </row>
    <row r="2140" spans="5:5" x14ac:dyDescent="0.2">
      <c r="E2140" s="34"/>
    </row>
    <row r="2141" spans="5:5" x14ac:dyDescent="0.2">
      <c r="E2141" s="34"/>
    </row>
    <row r="2142" spans="5:5" x14ac:dyDescent="0.2">
      <c r="E2142" s="34"/>
    </row>
    <row r="2143" spans="5:5" x14ac:dyDescent="0.2">
      <c r="E2143" s="34"/>
    </row>
    <row r="2144" spans="5:5" x14ac:dyDescent="0.2">
      <c r="E2144" s="34"/>
    </row>
    <row r="2145" spans="5:5" x14ac:dyDescent="0.2">
      <c r="E2145" s="34"/>
    </row>
    <row r="2146" spans="5:5" x14ac:dyDescent="0.2">
      <c r="E2146" s="34"/>
    </row>
    <row r="2147" spans="5:5" x14ac:dyDescent="0.2">
      <c r="E2147" s="34"/>
    </row>
    <row r="2148" spans="5:5" x14ac:dyDescent="0.2">
      <c r="E2148" s="34"/>
    </row>
    <row r="2149" spans="5:5" x14ac:dyDescent="0.2">
      <c r="E2149" s="34"/>
    </row>
    <row r="2150" spans="5:5" x14ac:dyDescent="0.2">
      <c r="E2150" s="34"/>
    </row>
    <row r="2151" spans="5:5" x14ac:dyDescent="0.2">
      <c r="E2151" s="34"/>
    </row>
    <row r="2152" spans="5:5" x14ac:dyDescent="0.2">
      <c r="E2152" s="34"/>
    </row>
    <row r="2153" spans="5:5" x14ac:dyDescent="0.2">
      <c r="E2153" s="34"/>
    </row>
    <row r="2154" spans="5:5" x14ac:dyDescent="0.2">
      <c r="E2154" s="34"/>
    </row>
    <row r="2155" spans="5:5" x14ac:dyDescent="0.2">
      <c r="E2155" s="34"/>
    </row>
    <row r="2156" spans="5:5" x14ac:dyDescent="0.2">
      <c r="E2156" s="34"/>
    </row>
    <row r="2157" spans="5:5" x14ac:dyDescent="0.2">
      <c r="E2157" s="34"/>
    </row>
    <row r="2158" spans="5:5" x14ac:dyDescent="0.2">
      <c r="E2158" s="34"/>
    </row>
    <row r="2159" spans="5:5" x14ac:dyDescent="0.2">
      <c r="E2159" s="34"/>
    </row>
    <row r="2160" spans="5:5" x14ac:dyDescent="0.2">
      <c r="E2160" s="34"/>
    </row>
    <row r="2161" spans="5:5" x14ac:dyDescent="0.2">
      <c r="E2161" s="34"/>
    </row>
    <row r="2162" spans="5:5" x14ac:dyDescent="0.2">
      <c r="E2162" s="34"/>
    </row>
    <row r="2163" spans="5:5" x14ac:dyDescent="0.2">
      <c r="E2163" s="34"/>
    </row>
    <row r="2164" spans="5:5" x14ac:dyDescent="0.2">
      <c r="E2164" s="34"/>
    </row>
    <row r="2165" spans="5:5" x14ac:dyDescent="0.2">
      <c r="E2165" s="34"/>
    </row>
    <row r="2166" spans="5:5" x14ac:dyDescent="0.2">
      <c r="E2166" s="34"/>
    </row>
    <row r="2167" spans="5:5" x14ac:dyDescent="0.2">
      <c r="E2167" s="34"/>
    </row>
    <row r="2168" spans="5:5" x14ac:dyDescent="0.2">
      <c r="E2168" s="34"/>
    </row>
    <row r="2169" spans="5:5" x14ac:dyDescent="0.2">
      <c r="E2169" s="34"/>
    </row>
    <row r="2170" spans="5:5" x14ac:dyDescent="0.2">
      <c r="E2170" s="34"/>
    </row>
    <row r="2171" spans="5:5" x14ac:dyDescent="0.2">
      <c r="E2171" s="34"/>
    </row>
    <row r="2172" spans="5:5" x14ac:dyDescent="0.2">
      <c r="E2172" s="34"/>
    </row>
    <row r="2173" spans="5:5" x14ac:dyDescent="0.2">
      <c r="E2173" s="34"/>
    </row>
    <row r="2174" spans="5:5" x14ac:dyDescent="0.2">
      <c r="E2174" s="34"/>
    </row>
    <row r="2175" spans="5:5" x14ac:dyDescent="0.2">
      <c r="E2175" s="34"/>
    </row>
    <row r="2176" spans="5:5" x14ac:dyDescent="0.2">
      <c r="E2176" s="34"/>
    </row>
    <row r="2177" spans="5:5" x14ac:dyDescent="0.2">
      <c r="E2177" s="34"/>
    </row>
    <row r="2178" spans="5:5" x14ac:dyDescent="0.2">
      <c r="E2178" s="34"/>
    </row>
    <row r="2179" spans="5:5" x14ac:dyDescent="0.2">
      <c r="E2179" s="34"/>
    </row>
    <row r="2180" spans="5:5" x14ac:dyDescent="0.2">
      <c r="E2180" s="34"/>
    </row>
    <row r="2181" spans="5:5" x14ac:dyDescent="0.2">
      <c r="E2181" s="34"/>
    </row>
    <row r="2182" spans="5:5" x14ac:dyDescent="0.2">
      <c r="E2182" s="34"/>
    </row>
    <row r="2183" spans="5:5" x14ac:dyDescent="0.2">
      <c r="E2183" s="34"/>
    </row>
    <row r="2184" spans="5:5" x14ac:dyDescent="0.2">
      <c r="E2184" s="34"/>
    </row>
    <row r="2185" spans="5:5" x14ac:dyDescent="0.2">
      <c r="E2185" s="34"/>
    </row>
    <row r="2186" spans="5:5" x14ac:dyDescent="0.2">
      <c r="E2186" s="34"/>
    </row>
    <row r="2187" spans="5:5" x14ac:dyDescent="0.2">
      <c r="E2187" s="34"/>
    </row>
    <row r="2188" spans="5:5" x14ac:dyDescent="0.2">
      <c r="E2188" s="34"/>
    </row>
    <row r="2189" spans="5:5" x14ac:dyDescent="0.2">
      <c r="E2189" s="34"/>
    </row>
    <row r="2190" spans="5:5" x14ac:dyDescent="0.2">
      <c r="E2190" s="34"/>
    </row>
    <row r="2191" spans="5:5" x14ac:dyDescent="0.2">
      <c r="E2191" s="34"/>
    </row>
    <row r="2192" spans="5:5" x14ac:dyDescent="0.2">
      <c r="E2192" s="34"/>
    </row>
    <row r="2193" spans="5:5" x14ac:dyDescent="0.2">
      <c r="E2193" s="34"/>
    </row>
    <row r="2194" spans="5:5" x14ac:dyDescent="0.2">
      <c r="E2194" s="34"/>
    </row>
    <row r="2195" spans="5:5" x14ac:dyDescent="0.2">
      <c r="E2195" s="34"/>
    </row>
    <row r="2196" spans="5:5" x14ac:dyDescent="0.2">
      <c r="E2196" s="34"/>
    </row>
    <row r="2197" spans="5:5" x14ac:dyDescent="0.2">
      <c r="E2197" s="34"/>
    </row>
    <row r="2198" spans="5:5" x14ac:dyDescent="0.2">
      <c r="E2198" s="34"/>
    </row>
    <row r="2199" spans="5:5" x14ac:dyDescent="0.2">
      <c r="E2199" s="34"/>
    </row>
    <row r="2200" spans="5:5" x14ac:dyDescent="0.2">
      <c r="E2200" s="34"/>
    </row>
    <row r="2201" spans="5:5" x14ac:dyDescent="0.2">
      <c r="E2201" s="34"/>
    </row>
    <row r="2202" spans="5:5" x14ac:dyDescent="0.2">
      <c r="E2202" s="34"/>
    </row>
    <row r="2203" spans="5:5" x14ac:dyDescent="0.2">
      <c r="E2203" s="34"/>
    </row>
    <row r="2204" spans="5:5" x14ac:dyDescent="0.2">
      <c r="E2204" s="34"/>
    </row>
    <row r="2205" spans="5:5" x14ac:dyDescent="0.2">
      <c r="E2205" s="34"/>
    </row>
    <row r="2206" spans="5:5" x14ac:dyDescent="0.2">
      <c r="E2206" s="34"/>
    </row>
    <row r="2207" spans="5:5" x14ac:dyDescent="0.2">
      <c r="E2207" s="34"/>
    </row>
    <row r="2208" spans="5:5" x14ac:dyDescent="0.2">
      <c r="E2208" s="34"/>
    </row>
    <row r="2209" spans="5:5" x14ac:dyDescent="0.2">
      <c r="E2209" s="34"/>
    </row>
    <row r="2210" spans="5:5" x14ac:dyDescent="0.2">
      <c r="E2210" s="34"/>
    </row>
    <row r="2211" spans="5:5" x14ac:dyDescent="0.2">
      <c r="E2211" s="34"/>
    </row>
    <row r="2212" spans="5:5" x14ac:dyDescent="0.2">
      <c r="E2212" s="34"/>
    </row>
    <row r="2213" spans="5:5" x14ac:dyDescent="0.2">
      <c r="E2213" s="34"/>
    </row>
    <row r="2214" spans="5:5" x14ac:dyDescent="0.2">
      <c r="E2214" s="34"/>
    </row>
    <row r="2215" spans="5:5" x14ac:dyDescent="0.2">
      <c r="E2215" s="34"/>
    </row>
    <row r="2216" spans="5:5" x14ac:dyDescent="0.2">
      <c r="E2216" s="34"/>
    </row>
    <row r="2217" spans="5:5" x14ac:dyDescent="0.2">
      <c r="E2217" s="34"/>
    </row>
    <row r="2218" spans="5:5" x14ac:dyDescent="0.2">
      <c r="E2218" s="34"/>
    </row>
    <row r="2219" spans="5:5" x14ac:dyDescent="0.2">
      <c r="E2219" s="34"/>
    </row>
    <row r="2220" spans="5:5" x14ac:dyDescent="0.2">
      <c r="E2220" s="34"/>
    </row>
    <row r="2221" spans="5:5" x14ac:dyDescent="0.2">
      <c r="E2221" s="34"/>
    </row>
    <row r="2222" spans="5:5" x14ac:dyDescent="0.2">
      <c r="E2222" s="34"/>
    </row>
    <row r="2223" spans="5:5" x14ac:dyDescent="0.2">
      <c r="E2223" s="34"/>
    </row>
    <row r="2224" spans="5:5" x14ac:dyDescent="0.2">
      <c r="E2224" s="34"/>
    </row>
    <row r="2225" spans="5:5" x14ac:dyDescent="0.2">
      <c r="E2225" s="34"/>
    </row>
    <row r="2226" spans="5:5" x14ac:dyDescent="0.2">
      <c r="E2226" s="34"/>
    </row>
    <row r="2227" spans="5:5" x14ac:dyDescent="0.2">
      <c r="E2227" s="34"/>
    </row>
    <row r="2228" spans="5:5" x14ac:dyDescent="0.2">
      <c r="E2228" s="34"/>
    </row>
    <row r="2229" spans="5:5" x14ac:dyDescent="0.2">
      <c r="E2229" s="34"/>
    </row>
    <row r="2230" spans="5:5" x14ac:dyDescent="0.2">
      <c r="E2230" s="34"/>
    </row>
    <row r="2231" spans="5:5" x14ac:dyDescent="0.2">
      <c r="E2231" s="34"/>
    </row>
    <row r="2232" spans="5:5" x14ac:dyDescent="0.2">
      <c r="E2232" s="34"/>
    </row>
    <row r="2233" spans="5:5" x14ac:dyDescent="0.2">
      <c r="E2233" s="34"/>
    </row>
    <row r="2234" spans="5:5" x14ac:dyDescent="0.2">
      <c r="E2234" s="34"/>
    </row>
    <row r="2235" spans="5:5" x14ac:dyDescent="0.2">
      <c r="E2235" s="34"/>
    </row>
    <row r="2236" spans="5:5" x14ac:dyDescent="0.2">
      <c r="E2236" s="34"/>
    </row>
    <row r="2237" spans="5:5" x14ac:dyDescent="0.2">
      <c r="E2237" s="34"/>
    </row>
    <row r="2238" spans="5:5" x14ac:dyDescent="0.2">
      <c r="E2238" s="34"/>
    </row>
    <row r="2239" spans="5:5" x14ac:dyDescent="0.2">
      <c r="E2239" s="34"/>
    </row>
    <row r="2240" spans="5:5" x14ac:dyDescent="0.2">
      <c r="E2240" s="34"/>
    </row>
    <row r="2241" spans="5:5" x14ac:dyDescent="0.2">
      <c r="E2241" s="34"/>
    </row>
    <row r="2242" spans="5:5" x14ac:dyDescent="0.2">
      <c r="E2242" s="34"/>
    </row>
    <row r="2243" spans="5:5" x14ac:dyDescent="0.2">
      <c r="E2243" s="34"/>
    </row>
    <row r="2244" spans="5:5" x14ac:dyDescent="0.2">
      <c r="E2244" s="34"/>
    </row>
    <row r="2245" spans="5:5" x14ac:dyDescent="0.2">
      <c r="E2245" s="34"/>
    </row>
    <row r="2246" spans="5:5" x14ac:dyDescent="0.2">
      <c r="E2246" s="34"/>
    </row>
    <row r="2247" spans="5:5" x14ac:dyDescent="0.2">
      <c r="E2247" s="34"/>
    </row>
    <row r="2248" spans="5:5" x14ac:dyDescent="0.2">
      <c r="E2248" s="34"/>
    </row>
    <row r="2249" spans="5:5" x14ac:dyDescent="0.2">
      <c r="E2249" s="34"/>
    </row>
    <row r="2250" spans="5:5" x14ac:dyDescent="0.2">
      <c r="E2250" s="34"/>
    </row>
    <row r="2251" spans="5:5" x14ac:dyDescent="0.2">
      <c r="E2251" s="34"/>
    </row>
    <row r="2252" spans="5:5" x14ac:dyDescent="0.2">
      <c r="E2252" s="34"/>
    </row>
    <row r="2253" spans="5:5" x14ac:dyDescent="0.2">
      <c r="E2253" s="34"/>
    </row>
    <row r="2254" spans="5:5" x14ac:dyDescent="0.2">
      <c r="E2254" s="34"/>
    </row>
    <row r="2255" spans="5:5" x14ac:dyDescent="0.2">
      <c r="E2255" s="34"/>
    </row>
    <row r="2256" spans="5:5" x14ac:dyDescent="0.2">
      <c r="E2256" s="34"/>
    </row>
    <row r="2257" spans="5:5" x14ac:dyDescent="0.2">
      <c r="E2257" s="34"/>
    </row>
    <row r="2258" spans="5:5" x14ac:dyDescent="0.2">
      <c r="E2258" s="34"/>
    </row>
    <row r="2259" spans="5:5" x14ac:dyDescent="0.2">
      <c r="E2259" s="34"/>
    </row>
    <row r="2260" spans="5:5" x14ac:dyDescent="0.2">
      <c r="E2260" s="34"/>
    </row>
    <row r="2261" spans="5:5" x14ac:dyDescent="0.2">
      <c r="E2261" s="34"/>
    </row>
    <row r="2262" spans="5:5" x14ac:dyDescent="0.2">
      <c r="E2262" s="34"/>
    </row>
    <row r="2263" spans="5:5" x14ac:dyDescent="0.2">
      <c r="E2263" s="34"/>
    </row>
    <row r="2264" spans="5:5" x14ac:dyDescent="0.2">
      <c r="E2264" s="34"/>
    </row>
    <row r="2265" spans="5:5" x14ac:dyDescent="0.2">
      <c r="E2265" s="34"/>
    </row>
    <row r="2266" spans="5:5" x14ac:dyDescent="0.2">
      <c r="E2266" s="34"/>
    </row>
    <row r="2267" spans="5:5" x14ac:dyDescent="0.2">
      <c r="E2267" s="34"/>
    </row>
    <row r="2268" spans="5:5" x14ac:dyDescent="0.2">
      <c r="E2268" s="34"/>
    </row>
    <row r="2269" spans="5:5" x14ac:dyDescent="0.2">
      <c r="E2269" s="34"/>
    </row>
    <row r="2270" spans="5:5" x14ac:dyDescent="0.2">
      <c r="E2270" s="34"/>
    </row>
    <row r="2271" spans="5:5" x14ac:dyDescent="0.2">
      <c r="E2271" s="34"/>
    </row>
    <row r="2272" spans="5:5" x14ac:dyDescent="0.2">
      <c r="E2272" s="34"/>
    </row>
    <row r="2273" spans="5:5" x14ac:dyDescent="0.2">
      <c r="E2273" s="34"/>
    </row>
    <row r="2274" spans="5:5" x14ac:dyDescent="0.2">
      <c r="E2274" s="34"/>
    </row>
    <row r="2275" spans="5:5" x14ac:dyDescent="0.2">
      <c r="E2275" s="34"/>
    </row>
    <row r="2276" spans="5:5" x14ac:dyDescent="0.2">
      <c r="E2276" s="34"/>
    </row>
    <row r="2277" spans="5:5" x14ac:dyDescent="0.2">
      <c r="E2277" s="34"/>
    </row>
    <row r="2278" spans="5:5" x14ac:dyDescent="0.2">
      <c r="E2278" s="34"/>
    </row>
    <row r="2279" spans="5:5" x14ac:dyDescent="0.2">
      <c r="E2279" s="34"/>
    </row>
    <row r="2280" spans="5:5" x14ac:dyDescent="0.2">
      <c r="E2280" s="34"/>
    </row>
    <row r="2281" spans="5:5" x14ac:dyDescent="0.2">
      <c r="E2281" s="34"/>
    </row>
    <row r="2282" spans="5:5" x14ac:dyDescent="0.2">
      <c r="E2282" s="34"/>
    </row>
    <row r="2283" spans="5:5" x14ac:dyDescent="0.2">
      <c r="E2283" s="34"/>
    </row>
    <row r="2284" spans="5:5" x14ac:dyDescent="0.2">
      <c r="E2284" s="34"/>
    </row>
    <row r="2285" spans="5:5" x14ac:dyDescent="0.2">
      <c r="E2285" s="34"/>
    </row>
    <row r="2286" spans="5:5" x14ac:dyDescent="0.2">
      <c r="E2286" s="34"/>
    </row>
    <row r="2287" spans="5:5" x14ac:dyDescent="0.2">
      <c r="E2287" s="34"/>
    </row>
    <row r="2288" spans="5:5" x14ac:dyDescent="0.2">
      <c r="E2288" s="34"/>
    </row>
    <row r="2289" spans="5:5" x14ac:dyDescent="0.2">
      <c r="E2289" s="34"/>
    </row>
    <row r="2290" spans="5:5" x14ac:dyDescent="0.2">
      <c r="E2290" s="34"/>
    </row>
    <row r="2291" spans="5:5" x14ac:dyDescent="0.2">
      <c r="E2291" s="34"/>
    </row>
    <row r="2292" spans="5:5" x14ac:dyDescent="0.2">
      <c r="E2292" s="34"/>
    </row>
    <row r="2293" spans="5:5" x14ac:dyDescent="0.2">
      <c r="E2293" s="34"/>
    </row>
    <row r="2294" spans="5:5" x14ac:dyDescent="0.2">
      <c r="E2294" s="34"/>
    </row>
    <row r="2295" spans="5:5" x14ac:dyDescent="0.2">
      <c r="E2295" s="34"/>
    </row>
    <row r="2296" spans="5:5" x14ac:dyDescent="0.2">
      <c r="E2296" s="34"/>
    </row>
    <row r="2297" spans="5:5" x14ac:dyDescent="0.2">
      <c r="E2297" s="34"/>
    </row>
    <row r="2298" spans="5:5" x14ac:dyDescent="0.2">
      <c r="E2298" s="34"/>
    </row>
    <row r="2299" spans="5:5" x14ac:dyDescent="0.2">
      <c r="E2299" s="34"/>
    </row>
    <row r="2300" spans="5:5" x14ac:dyDescent="0.2">
      <c r="E2300" s="34"/>
    </row>
    <row r="2301" spans="5:5" x14ac:dyDescent="0.2">
      <c r="E2301" s="34"/>
    </row>
    <row r="2302" spans="5:5" x14ac:dyDescent="0.2">
      <c r="E2302" s="34"/>
    </row>
    <row r="2303" spans="5:5" x14ac:dyDescent="0.2">
      <c r="E2303" s="34"/>
    </row>
    <row r="2304" spans="5:5" x14ac:dyDescent="0.2">
      <c r="E2304" s="34"/>
    </row>
    <row r="2305" spans="5:5" x14ac:dyDescent="0.2">
      <c r="E2305" s="34"/>
    </row>
    <row r="2306" spans="5:5" x14ac:dyDescent="0.2">
      <c r="E2306" s="34"/>
    </row>
    <row r="2307" spans="5:5" x14ac:dyDescent="0.2">
      <c r="E2307" s="34"/>
    </row>
    <row r="2308" spans="5:5" x14ac:dyDescent="0.2">
      <c r="E2308" s="34"/>
    </row>
    <row r="2309" spans="5:5" x14ac:dyDescent="0.2">
      <c r="E2309" s="34"/>
    </row>
    <row r="2310" spans="5:5" x14ac:dyDescent="0.2">
      <c r="E2310" s="34"/>
    </row>
    <row r="2311" spans="5:5" x14ac:dyDescent="0.2">
      <c r="E2311" s="34"/>
    </row>
    <row r="2312" spans="5:5" x14ac:dyDescent="0.2">
      <c r="E2312" s="34"/>
    </row>
    <row r="2313" spans="5:5" x14ac:dyDescent="0.2">
      <c r="E2313" s="34"/>
    </row>
    <row r="2314" spans="5:5" x14ac:dyDescent="0.2">
      <c r="E2314" s="34"/>
    </row>
    <row r="2315" spans="5:5" x14ac:dyDescent="0.2">
      <c r="E2315" s="34"/>
    </row>
    <row r="2316" spans="5:5" x14ac:dyDescent="0.2">
      <c r="E2316" s="34"/>
    </row>
    <row r="2317" spans="5:5" x14ac:dyDescent="0.2">
      <c r="E2317" s="34"/>
    </row>
    <row r="2318" spans="5:5" x14ac:dyDescent="0.2">
      <c r="E2318" s="34"/>
    </row>
    <row r="2319" spans="5:5" x14ac:dyDescent="0.2">
      <c r="E2319" s="34"/>
    </row>
    <row r="2320" spans="5:5" x14ac:dyDescent="0.2">
      <c r="E2320" s="34"/>
    </row>
    <row r="2321" spans="5:5" x14ac:dyDescent="0.2">
      <c r="E2321" s="34"/>
    </row>
    <row r="2322" spans="5:5" x14ac:dyDescent="0.2">
      <c r="E2322" s="34"/>
    </row>
    <row r="2323" spans="5:5" x14ac:dyDescent="0.2">
      <c r="E2323" s="34"/>
    </row>
    <row r="2324" spans="5:5" x14ac:dyDescent="0.2">
      <c r="E2324" s="34"/>
    </row>
    <row r="2325" spans="5:5" x14ac:dyDescent="0.2">
      <c r="E2325" s="34"/>
    </row>
    <row r="2326" spans="5:5" x14ac:dyDescent="0.2">
      <c r="E2326" s="34"/>
    </row>
    <row r="2327" spans="5:5" x14ac:dyDescent="0.2">
      <c r="E2327" s="34"/>
    </row>
    <row r="2328" spans="5:5" x14ac:dyDescent="0.2">
      <c r="E2328" s="34"/>
    </row>
    <row r="2329" spans="5:5" x14ac:dyDescent="0.2">
      <c r="E2329" s="34"/>
    </row>
    <row r="2330" spans="5:5" x14ac:dyDescent="0.2">
      <c r="E2330" s="34"/>
    </row>
    <row r="2331" spans="5:5" x14ac:dyDescent="0.2">
      <c r="E2331" s="34"/>
    </row>
    <row r="2332" spans="5:5" x14ac:dyDescent="0.2">
      <c r="E2332" s="34"/>
    </row>
    <row r="2333" spans="5:5" x14ac:dyDescent="0.2">
      <c r="E2333" s="34"/>
    </row>
    <row r="2334" spans="5:5" x14ac:dyDescent="0.2">
      <c r="E2334" s="34"/>
    </row>
    <row r="2335" spans="5:5" x14ac:dyDescent="0.2">
      <c r="E2335" s="34"/>
    </row>
    <row r="2336" spans="5:5" x14ac:dyDescent="0.2">
      <c r="E2336" s="34"/>
    </row>
    <row r="2337" spans="5:5" x14ac:dyDescent="0.2">
      <c r="E2337" s="34"/>
    </row>
    <row r="2338" spans="5:5" x14ac:dyDescent="0.2">
      <c r="E2338" s="34"/>
    </row>
    <row r="2339" spans="5:5" x14ac:dyDescent="0.2">
      <c r="E2339" s="34"/>
    </row>
    <row r="2340" spans="5:5" x14ac:dyDescent="0.2">
      <c r="E2340" s="34"/>
    </row>
    <row r="2341" spans="5:5" x14ac:dyDescent="0.2">
      <c r="E2341" s="34"/>
    </row>
    <row r="2342" spans="5:5" x14ac:dyDescent="0.2">
      <c r="E2342" s="34"/>
    </row>
    <row r="2343" spans="5:5" x14ac:dyDescent="0.2">
      <c r="E2343" s="34"/>
    </row>
    <row r="2344" spans="5:5" x14ac:dyDescent="0.2">
      <c r="E2344" s="34"/>
    </row>
    <row r="2345" spans="5:5" x14ac:dyDescent="0.2">
      <c r="E2345" s="34"/>
    </row>
    <row r="2346" spans="5:5" x14ac:dyDescent="0.2">
      <c r="E2346" s="34"/>
    </row>
    <row r="2347" spans="5:5" x14ac:dyDescent="0.2">
      <c r="E2347" s="34"/>
    </row>
    <row r="2348" spans="5:5" x14ac:dyDescent="0.2">
      <c r="E2348" s="34"/>
    </row>
    <row r="2349" spans="5:5" x14ac:dyDescent="0.2">
      <c r="E2349" s="34"/>
    </row>
    <row r="2350" spans="5:5" x14ac:dyDescent="0.2">
      <c r="E2350" s="34"/>
    </row>
    <row r="2351" spans="5:5" x14ac:dyDescent="0.2">
      <c r="E2351" s="34"/>
    </row>
    <row r="2352" spans="5:5" x14ac:dyDescent="0.2">
      <c r="E2352" s="34"/>
    </row>
    <row r="2353" spans="5:5" x14ac:dyDescent="0.2">
      <c r="E2353" s="34"/>
    </row>
    <row r="2354" spans="5:5" x14ac:dyDescent="0.2">
      <c r="E2354" s="34"/>
    </row>
    <row r="2355" spans="5:5" x14ac:dyDescent="0.2">
      <c r="E2355" s="34"/>
    </row>
    <row r="2356" spans="5:5" x14ac:dyDescent="0.2">
      <c r="E2356" s="34"/>
    </row>
    <row r="2357" spans="5:5" x14ac:dyDescent="0.2">
      <c r="E2357" s="34"/>
    </row>
    <row r="2358" spans="5:5" x14ac:dyDescent="0.2">
      <c r="E2358" s="34"/>
    </row>
    <row r="2359" spans="5:5" x14ac:dyDescent="0.2">
      <c r="E2359" s="34"/>
    </row>
    <row r="2360" spans="5:5" x14ac:dyDescent="0.2">
      <c r="E2360" s="34"/>
    </row>
    <row r="2361" spans="5:5" x14ac:dyDescent="0.2">
      <c r="E2361" s="34"/>
    </row>
    <row r="2362" spans="5:5" x14ac:dyDescent="0.2">
      <c r="E2362" s="34"/>
    </row>
    <row r="2363" spans="5:5" x14ac:dyDescent="0.2">
      <c r="E2363" s="34"/>
    </row>
    <row r="2364" spans="5:5" x14ac:dyDescent="0.2">
      <c r="E2364" s="34"/>
    </row>
    <row r="2365" spans="5:5" x14ac:dyDescent="0.2">
      <c r="E2365" s="34"/>
    </row>
    <row r="2366" spans="5:5" x14ac:dyDescent="0.2">
      <c r="E2366" s="34"/>
    </row>
    <row r="2367" spans="5:5" x14ac:dyDescent="0.2">
      <c r="E2367" s="34"/>
    </row>
    <row r="2368" spans="5:5" x14ac:dyDescent="0.2">
      <c r="E2368" s="34"/>
    </row>
    <row r="2369" spans="5:5" x14ac:dyDescent="0.2">
      <c r="E2369" s="34"/>
    </row>
    <row r="2370" spans="5:5" x14ac:dyDescent="0.2">
      <c r="E2370" s="34"/>
    </row>
    <row r="2371" spans="5:5" x14ac:dyDescent="0.2">
      <c r="E2371" s="34"/>
    </row>
    <row r="2372" spans="5:5" x14ac:dyDescent="0.2">
      <c r="E2372" s="34"/>
    </row>
    <row r="2373" spans="5:5" x14ac:dyDescent="0.2">
      <c r="E2373" s="34"/>
    </row>
    <row r="2374" spans="5:5" x14ac:dyDescent="0.2">
      <c r="E2374" s="34"/>
    </row>
    <row r="2375" spans="5:5" x14ac:dyDescent="0.2">
      <c r="E2375" s="34"/>
    </row>
    <row r="2376" spans="5:5" x14ac:dyDescent="0.2">
      <c r="E2376" s="34"/>
    </row>
    <row r="2377" spans="5:5" x14ac:dyDescent="0.2">
      <c r="E2377" s="34"/>
    </row>
    <row r="2378" spans="5:5" x14ac:dyDescent="0.2">
      <c r="E2378" s="34"/>
    </row>
    <row r="2379" spans="5:5" x14ac:dyDescent="0.2">
      <c r="E2379" s="34"/>
    </row>
    <row r="2380" spans="5:5" x14ac:dyDescent="0.2">
      <c r="E2380" s="34"/>
    </row>
    <row r="2381" spans="5:5" x14ac:dyDescent="0.2">
      <c r="E2381" s="34"/>
    </row>
    <row r="2382" spans="5:5" x14ac:dyDescent="0.2">
      <c r="E2382" s="34"/>
    </row>
    <row r="2383" spans="5:5" x14ac:dyDescent="0.2">
      <c r="E2383" s="34"/>
    </row>
    <row r="2384" spans="5:5" x14ac:dyDescent="0.2">
      <c r="E2384" s="34"/>
    </row>
    <row r="2385" spans="5:5" x14ac:dyDescent="0.2">
      <c r="E2385" s="34"/>
    </row>
    <row r="2386" spans="5:5" x14ac:dyDescent="0.2">
      <c r="E2386" s="34"/>
    </row>
    <row r="2387" spans="5:5" x14ac:dyDescent="0.2">
      <c r="E2387" s="34"/>
    </row>
    <row r="2388" spans="5:5" x14ac:dyDescent="0.2">
      <c r="E2388" s="34"/>
    </row>
    <row r="2389" spans="5:5" x14ac:dyDescent="0.2">
      <c r="E2389" s="34"/>
    </row>
    <row r="2390" spans="5:5" x14ac:dyDescent="0.2">
      <c r="E2390" s="34"/>
    </row>
    <row r="2391" spans="5:5" x14ac:dyDescent="0.2">
      <c r="E2391" s="34"/>
    </row>
    <row r="2392" spans="5:5" x14ac:dyDescent="0.2">
      <c r="E2392" s="34"/>
    </row>
    <row r="2393" spans="5:5" x14ac:dyDescent="0.2">
      <c r="E2393" s="34"/>
    </row>
    <row r="2394" spans="5:5" x14ac:dyDescent="0.2">
      <c r="E2394" s="34"/>
    </row>
    <row r="2395" spans="5:5" x14ac:dyDescent="0.2">
      <c r="E2395" s="34"/>
    </row>
    <row r="2396" spans="5:5" x14ac:dyDescent="0.2">
      <c r="E2396" s="34"/>
    </row>
    <row r="2397" spans="5:5" x14ac:dyDescent="0.2">
      <c r="E2397" s="34"/>
    </row>
    <row r="2398" spans="5:5" x14ac:dyDescent="0.2">
      <c r="E2398" s="34"/>
    </row>
    <row r="2399" spans="5:5" x14ac:dyDescent="0.2">
      <c r="E2399" s="34"/>
    </row>
    <row r="2400" spans="5:5" x14ac:dyDescent="0.2">
      <c r="E2400" s="34"/>
    </row>
    <row r="2401" spans="5:5" x14ac:dyDescent="0.2">
      <c r="E2401" s="34"/>
    </row>
    <row r="2402" spans="5:5" x14ac:dyDescent="0.2">
      <c r="E2402" s="34"/>
    </row>
    <row r="2403" spans="5:5" x14ac:dyDescent="0.2">
      <c r="E2403" s="34"/>
    </row>
    <row r="2404" spans="5:5" x14ac:dyDescent="0.2">
      <c r="E2404" s="34"/>
    </row>
    <row r="2405" spans="5:5" x14ac:dyDescent="0.2">
      <c r="E2405" s="34"/>
    </row>
    <row r="2406" spans="5:5" x14ac:dyDescent="0.2">
      <c r="E2406" s="34"/>
    </row>
    <row r="2407" spans="5:5" x14ac:dyDescent="0.2">
      <c r="E2407" s="34"/>
    </row>
    <row r="2408" spans="5:5" x14ac:dyDescent="0.2">
      <c r="E2408" s="34"/>
    </row>
    <row r="2409" spans="5:5" x14ac:dyDescent="0.2">
      <c r="E2409" s="34"/>
    </row>
    <row r="2410" spans="5:5" x14ac:dyDescent="0.2">
      <c r="E2410" s="34"/>
    </row>
    <row r="2411" spans="5:5" x14ac:dyDescent="0.2">
      <c r="E2411" s="34"/>
    </row>
    <row r="2412" spans="5:5" x14ac:dyDescent="0.2">
      <c r="E2412" s="34"/>
    </row>
    <row r="2413" spans="5:5" x14ac:dyDescent="0.2">
      <c r="E2413" s="34"/>
    </row>
    <row r="2414" spans="5:5" x14ac:dyDescent="0.2">
      <c r="E2414" s="34"/>
    </row>
    <row r="2415" spans="5:5" x14ac:dyDescent="0.2">
      <c r="E2415" s="34"/>
    </row>
    <row r="2416" spans="5:5" x14ac:dyDescent="0.2">
      <c r="E2416" s="34"/>
    </row>
    <row r="2417" spans="5:5" x14ac:dyDescent="0.2">
      <c r="E2417" s="34"/>
    </row>
    <row r="2418" spans="5:5" x14ac:dyDescent="0.2">
      <c r="E2418" s="34"/>
    </row>
    <row r="2419" spans="5:5" x14ac:dyDescent="0.2">
      <c r="E2419" s="34"/>
    </row>
    <row r="2420" spans="5:5" x14ac:dyDescent="0.2">
      <c r="E2420" s="34"/>
    </row>
    <row r="2421" spans="5:5" x14ac:dyDescent="0.2">
      <c r="E2421" s="34"/>
    </row>
    <row r="2422" spans="5:5" x14ac:dyDescent="0.2">
      <c r="E2422" s="34"/>
    </row>
    <row r="2423" spans="5:5" x14ac:dyDescent="0.2">
      <c r="E2423" s="34"/>
    </row>
    <row r="2424" spans="5:5" x14ac:dyDescent="0.2">
      <c r="E2424" s="34"/>
    </row>
    <row r="2425" spans="5:5" x14ac:dyDescent="0.2">
      <c r="E2425" s="34"/>
    </row>
    <row r="2426" spans="5:5" x14ac:dyDescent="0.2">
      <c r="E2426" s="34"/>
    </row>
    <row r="2427" spans="5:5" x14ac:dyDescent="0.2">
      <c r="E2427" s="34"/>
    </row>
    <row r="2428" spans="5:5" x14ac:dyDescent="0.2">
      <c r="E2428" s="34"/>
    </row>
    <row r="2429" spans="5:5" x14ac:dyDescent="0.2">
      <c r="E2429" s="34"/>
    </row>
    <row r="2430" spans="5:5" x14ac:dyDescent="0.2">
      <c r="E2430" s="34"/>
    </row>
    <row r="2431" spans="5:5" x14ac:dyDescent="0.2">
      <c r="E2431" s="34"/>
    </row>
    <row r="2432" spans="5:5" x14ac:dyDescent="0.2">
      <c r="E2432" s="34"/>
    </row>
    <row r="2433" spans="5:5" x14ac:dyDescent="0.2">
      <c r="E2433" s="34"/>
    </row>
    <row r="2434" spans="5:5" x14ac:dyDescent="0.2">
      <c r="E2434" s="34"/>
    </row>
    <row r="2435" spans="5:5" x14ac:dyDescent="0.2">
      <c r="E2435" s="34"/>
    </row>
    <row r="2436" spans="5:5" x14ac:dyDescent="0.2">
      <c r="E2436" s="34"/>
    </row>
    <row r="2437" spans="5:5" x14ac:dyDescent="0.2">
      <c r="E2437" s="34"/>
    </row>
    <row r="2438" spans="5:5" x14ac:dyDescent="0.2">
      <c r="E2438" s="34"/>
    </row>
    <row r="2439" spans="5:5" x14ac:dyDescent="0.2">
      <c r="E2439" s="34"/>
    </row>
    <row r="2440" spans="5:5" x14ac:dyDescent="0.2">
      <c r="E2440" s="34"/>
    </row>
    <row r="2441" spans="5:5" x14ac:dyDescent="0.2">
      <c r="E2441" s="34"/>
    </row>
    <row r="2442" spans="5:5" x14ac:dyDescent="0.2">
      <c r="E2442" s="34"/>
    </row>
    <row r="2443" spans="5:5" x14ac:dyDescent="0.2">
      <c r="E2443" s="34"/>
    </row>
    <row r="2444" spans="5:5" x14ac:dyDescent="0.2">
      <c r="E2444" s="34"/>
    </row>
    <row r="2445" spans="5:5" x14ac:dyDescent="0.2">
      <c r="E2445" s="34"/>
    </row>
    <row r="2446" spans="5:5" x14ac:dyDescent="0.2">
      <c r="E2446" s="34"/>
    </row>
    <row r="2447" spans="5:5" x14ac:dyDescent="0.2">
      <c r="E2447" s="34"/>
    </row>
    <row r="2448" spans="5:5" x14ac:dyDescent="0.2">
      <c r="E2448" s="34"/>
    </row>
    <row r="2449" spans="5:5" x14ac:dyDescent="0.2">
      <c r="E2449" s="34"/>
    </row>
    <row r="2450" spans="5:5" x14ac:dyDescent="0.2">
      <c r="E2450" s="34"/>
    </row>
    <row r="2451" spans="5:5" x14ac:dyDescent="0.2">
      <c r="E2451" s="34"/>
    </row>
    <row r="2452" spans="5:5" x14ac:dyDescent="0.2">
      <c r="E2452" s="34"/>
    </row>
    <row r="2453" spans="5:5" x14ac:dyDescent="0.2">
      <c r="E2453" s="34"/>
    </row>
    <row r="2454" spans="5:5" x14ac:dyDescent="0.2">
      <c r="E2454" s="34"/>
    </row>
    <row r="2455" spans="5:5" x14ac:dyDescent="0.2">
      <c r="E2455" s="34"/>
    </row>
    <row r="2456" spans="5:5" x14ac:dyDescent="0.2">
      <c r="E2456" s="34"/>
    </row>
    <row r="2457" spans="5:5" x14ac:dyDescent="0.2">
      <c r="E2457" s="34"/>
    </row>
    <row r="2458" spans="5:5" x14ac:dyDescent="0.2">
      <c r="E2458" s="34"/>
    </row>
    <row r="2459" spans="5:5" x14ac:dyDescent="0.2">
      <c r="E2459" s="34"/>
    </row>
    <row r="2460" spans="5:5" x14ac:dyDescent="0.2">
      <c r="E2460" s="34"/>
    </row>
    <row r="2461" spans="5:5" x14ac:dyDescent="0.2">
      <c r="E2461" s="34"/>
    </row>
    <row r="2462" spans="5:5" x14ac:dyDescent="0.2">
      <c r="E2462" s="34"/>
    </row>
    <row r="2463" spans="5:5" x14ac:dyDescent="0.2">
      <c r="E2463" s="34"/>
    </row>
    <row r="2464" spans="5:5" x14ac:dyDescent="0.2">
      <c r="E2464" s="34"/>
    </row>
    <row r="2465" spans="5:5" x14ac:dyDescent="0.2">
      <c r="E2465" s="34"/>
    </row>
    <row r="2466" spans="5:5" x14ac:dyDescent="0.2">
      <c r="E2466" s="34"/>
    </row>
    <row r="2467" spans="5:5" x14ac:dyDescent="0.2">
      <c r="E2467" s="34"/>
    </row>
    <row r="2468" spans="5:5" x14ac:dyDescent="0.2">
      <c r="E2468" s="34"/>
    </row>
    <row r="2469" spans="5:5" x14ac:dyDescent="0.2">
      <c r="E2469" s="34"/>
    </row>
    <row r="2470" spans="5:5" x14ac:dyDescent="0.2">
      <c r="E2470" s="34"/>
    </row>
    <row r="2471" spans="5:5" x14ac:dyDescent="0.2">
      <c r="E2471" s="34"/>
    </row>
    <row r="2472" spans="5:5" x14ac:dyDescent="0.2">
      <c r="E2472" s="34"/>
    </row>
    <row r="2473" spans="5:5" x14ac:dyDescent="0.2">
      <c r="E2473" s="34"/>
    </row>
    <row r="2474" spans="5:5" x14ac:dyDescent="0.2">
      <c r="E2474" s="34"/>
    </row>
    <row r="2475" spans="5:5" x14ac:dyDescent="0.2">
      <c r="E2475" s="34"/>
    </row>
    <row r="2476" spans="5:5" x14ac:dyDescent="0.2">
      <c r="E2476" s="34"/>
    </row>
    <row r="2477" spans="5:5" x14ac:dyDescent="0.2">
      <c r="E2477" s="34"/>
    </row>
    <row r="2478" spans="5:5" x14ac:dyDescent="0.2">
      <c r="E2478" s="34"/>
    </row>
    <row r="2479" spans="5:5" x14ac:dyDescent="0.2">
      <c r="E2479" s="34"/>
    </row>
    <row r="2480" spans="5:5" x14ac:dyDescent="0.2">
      <c r="E2480" s="34"/>
    </row>
    <row r="2481" spans="5:5" x14ac:dyDescent="0.2">
      <c r="E2481" s="34"/>
    </row>
    <row r="2482" spans="5:5" x14ac:dyDescent="0.2">
      <c r="E2482" s="34"/>
    </row>
    <row r="2483" spans="5:5" x14ac:dyDescent="0.2">
      <c r="E2483" s="34"/>
    </row>
    <row r="2484" spans="5:5" x14ac:dyDescent="0.2">
      <c r="E2484" s="34"/>
    </row>
    <row r="2485" spans="5:5" x14ac:dyDescent="0.2">
      <c r="E2485" s="34"/>
    </row>
    <row r="2486" spans="5:5" x14ac:dyDescent="0.2">
      <c r="E2486" s="34"/>
    </row>
    <row r="2487" spans="5:5" x14ac:dyDescent="0.2">
      <c r="E2487" s="34"/>
    </row>
    <row r="2488" spans="5:5" x14ac:dyDescent="0.2">
      <c r="E2488" s="34"/>
    </row>
    <row r="2489" spans="5:5" x14ac:dyDescent="0.2">
      <c r="E2489" s="34"/>
    </row>
    <row r="2490" spans="5:5" x14ac:dyDescent="0.2">
      <c r="E2490" s="34"/>
    </row>
    <row r="2491" spans="5:5" x14ac:dyDescent="0.2">
      <c r="E2491" s="34"/>
    </row>
    <row r="2492" spans="5:5" x14ac:dyDescent="0.2">
      <c r="E2492" s="34"/>
    </row>
    <row r="2493" spans="5:5" x14ac:dyDescent="0.2">
      <c r="E2493" s="34"/>
    </row>
    <row r="2494" spans="5:5" x14ac:dyDescent="0.2">
      <c r="E2494" s="34"/>
    </row>
    <row r="2495" spans="5:5" x14ac:dyDescent="0.2">
      <c r="E2495" s="34"/>
    </row>
    <row r="2496" spans="5:5" x14ac:dyDescent="0.2">
      <c r="E2496" s="34"/>
    </row>
    <row r="2497" spans="5:5" x14ac:dyDescent="0.2">
      <c r="E2497" s="34"/>
    </row>
    <row r="2498" spans="5:5" x14ac:dyDescent="0.2">
      <c r="E2498" s="34"/>
    </row>
    <row r="2499" spans="5:5" x14ac:dyDescent="0.2">
      <c r="E2499" s="34"/>
    </row>
    <row r="2500" spans="5:5" x14ac:dyDescent="0.2">
      <c r="E2500" s="34"/>
    </row>
    <row r="2501" spans="5:5" x14ac:dyDescent="0.2">
      <c r="E2501" s="34"/>
    </row>
    <row r="2502" spans="5:5" x14ac:dyDescent="0.2">
      <c r="E2502" s="34"/>
    </row>
    <row r="2503" spans="5:5" x14ac:dyDescent="0.2">
      <c r="E2503" s="34"/>
    </row>
    <row r="2504" spans="5:5" x14ac:dyDescent="0.2">
      <c r="E2504" s="34"/>
    </row>
    <row r="2505" spans="5:5" x14ac:dyDescent="0.2">
      <c r="E2505" s="34"/>
    </row>
    <row r="2506" spans="5:5" x14ac:dyDescent="0.2">
      <c r="E2506" s="34"/>
    </row>
    <row r="2507" spans="5:5" x14ac:dyDescent="0.2">
      <c r="E2507" s="34"/>
    </row>
    <row r="2508" spans="5:5" x14ac:dyDescent="0.2">
      <c r="E2508" s="34"/>
    </row>
    <row r="2509" spans="5:5" x14ac:dyDescent="0.2">
      <c r="E2509" s="34"/>
    </row>
    <row r="2510" spans="5:5" x14ac:dyDescent="0.2">
      <c r="E2510" s="34"/>
    </row>
    <row r="2511" spans="5:5" x14ac:dyDescent="0.2">
      <c r="E2511" s="34"/>
    </row>
    <row r="2512" spans="5:5" x14ac:dyDescent="0.2">
      <c r="E2512" s="34"/>
    </row>
    <row r="2513" spans="5:5" x14ac:dyDescent="0.2">
      <c r="E2513" s="34"/>
    </row>
    <row r="2514" spans="5:5" x14ac:dyDescent="0.2">
      <c r="E2514" s="34"/>
    </row>
    <row r="2515" spans="5:5" x14ac:dyDescent="0.2">
      <c r="E2515" s="34"/>
    </row>
    <row r="2516" spans="5:5" x14ac:dyDescent="0.2">
      <c r="E2516" s="34"/>
    </row>
    <row r="2517" spans="5:5" x14ac:dyDescent="0.2">
      <c r="E2517" s="34"/>
    </row>
    <row r="2518" spans="5:5" x14ac:dyDescent="0.2">
      <c r="E2518" s="34"/>
    </row>
    <row r="2519" spans="5:5" x14ac:dyDescent="0.2">
      <c r="E2519" s="34"/>
    </row>
    <row r="2520" spans="5:5" x14ac:dyDescent="0.2">
      <c r="E2520" s="34"/>
    </row>
    <row r="2521" spans="5:5" x14ac:dyDescent="0.2">
      <c r="E2521" s="34"/>
    </row>
    <row r="2522" spans="5:5" x14ac:dyDescent="0.2">
      <c r="E2522" s="34"/>
    </row>
    <row r="2523" spans="5:5" x14ac:dyDescent="0.2">
      <c r="E2523" s="34"/>
    </row>
    <row r="2524" spans="5:5" x14ac:dyDescent="0.2">
      <c r="E2524" s="34"/>
    </row>
    <row r="2525" spans="5:5" x14ac:dyDescent="0.2">
      <c r="E2525" s="34"/>
    </row>
    <row r="2526" spans="5:5" x14ac:dyDescent="0.2">
      <c r="E2526" s="34"/>
    </row>
    <row r="2527" spans="5:5" x14ac:dyDescent="0.2">
      <c r="E2527" s="34"/>
    </row>
    <row r="2528" spans="5:5" x14ac:dyDescent="0.2">
      <c r="E2528" s="34"/>
    </row>
    <row r="2529" spans="5:5" x14ac:dyDescent="0.2">
      <c r="E2529" s="34"/>
    </row>
    <row r="2530" spans="5:5" x14ac:dyDescent="0.2">
      <c r="E2530" s="34"/>
    </row>
    <row r="2531" spans="5:5" x14ac:dyDescent="0.2">
      <c r="E2531" s="34"/>
    </row>
    <row r="2532" spans="5:5" x14ac:dyDescent="0.2">
      <c r="E2532" s="34"/>
    </row>
    <row r="2533" spans="5:5" x14ac:dyDescent="0.2">
      <c r="E2533" s="34"/>
    </row>
    <row r="2534" spans="5:5" x14ac:dyDescent="0.2">
      <c r="E2534" s="34"/>
    </row>
    <row r="2535" spans="5:5" x14ac:dyDescent="0.2">
      <c r="E2535" s="34"/>
    </row>
    <row r="2536" spans="5:5" x14ac:dyDescent="0.2">
      <c r="E2536" s="34"/>
    </row>
    <row r="2537" spans="5:5" x14ac:dyDescent="0.2">
      <c r="E2537" s="34"/>
    </row>
    <row r="2538" spans="5:5" x14ac:dyDescent="0.2">
      <c r="E2538" s="34"/>
    </row>
    <row r="2539" spans="5:5" x14ac:dyDescent="0.2">
      <c r="E2539" s="34"/>
    </row>
    <row r="2540" spans="5:5" x14ac:dyDescent="0.2">
      <c r="E2540" s="34"/>
    </row>
    <row r="2541" spans="5:5" x14ac:dyDescent="0.2">
      <c r="E2541" s="34"/>
    </row>
    <row r="2542" spans="5:5" x14ac:dyDescent="0.2">
      <c r="E2542" s="34"/>
    </row>
    <row r="2543" spans="5:5" x14ac:dyDescent="0.2">
      <c r="E2543" s="34"/>
    </row>
    <row r="2544" spans="5:5" x14ac:dyDescent="0.2">
      <c r="E2544" s="34"/>
    </row>
    <row r="2545" spans="5:5" x14ac:dyDescent="0.2">
      <c r="E2545" s="34"/>
    </row>
    <row r="2546" spans="5:5" x14ac:dyDescent="0.2">
      <c r="E2546" s="34"/>
    </row>
    <row r="2547" spans="5:5" x14ac:dyDescent="0.2">
      <c r="E2547" s="34"/>
    </row>
    <row r="2548" spans="5:5" x14ac:dyDescent="0.2">
      <c r="E2548" s="34"/>
    </row>
    <row r="2549" spans="5:5" x14ac:dyDescent="0.2">
      <c r="E2549" s="34"/>
    </row>
    <row r="2550" spans="5:5" x14ac:dyDescent="0.2">
      <c r="E2550" s="34"/>
    </row>
    <row r="2551" spans="5:5" x14ac:dyDescent="0.2">
      <c r="E2551" s="34"/>
    </row>
    <row r="2552" spans="5:5" x14ac:dyDescent="0.2">
      <c r="E2552" s="34"/>
    </row>
    <row r="2553" spans="5:5" x14ac:dyDescent="0.2">
      <c r="E2553" s="34"/>
    </row>
    <row r="2554" spans="5:5" x14ac:dyDescent="0.2">
      <c r="E2554" s="34"/>
    </row>
    <row r="2555" spans="5:5" x14ac:dyDescent="0.2">
      <c r="E2555" s="34"/>
    </row>
    <row r="2556" spans="5:5" x14ac:dyDescent="0.2">
      <c r="E2556" s="34"/>
    </row>
    <row r="2557" spans="5:5" x14ac:dyDescent="0.2">
      <c r="E2557" s="34"/>
    </row>
    <row r="2558" spans="5:5" x14ac:dyDescent="0.2">
      <c r="E2558" s="34"/>
    </row>
    <row r="2559" spans="5:5" x14ac:dyDescent="0.2">
      <c r="E2559" s="34"/>
    </row>
    <row r="2560" spans="5:5" x14ac:dyDescent="0.2">
      <c r="E2560" s="34"/>
    </row>
    <row r="2561" spans="5:5" x14ac:dyDescent="0.2">
      <c r="E2561" s="34"/>
    </row>
    <row r="2562" spans="5:5" x14ac:dyDescent="0.2">
      <c r="E2562" s="34"/>
    </row>
    <row r="2563" spans="5:5" x14ac:dyDescent="0.2">
      <c r="E2563" s="34"/>
    </row>
    <row r="2564" spans="5:5" x14ac:dyDescent="0.2">
      <c r="E2564" s="34"/>
    </row>
    <row r="2565" spans="5:5" x14ac:dyDescent="0.2">
      <c r="E2565" s="34"/>
    </row>
    <row r="2566" spans="5:5" x14ac:dyDescent="0.2">
      <c r="E2566" s="34"/>
    </row>
    <row r="2567" spans="5:5" x14ac:dyDescent="0.2">
      <c r="E2567" s="34"/>
    </row>
    <row r="2568" spans="5:5" x14ac:dyDescent="0.2">
      <c r="E2568" s="34"/>
    </row>
    <row r="2569" spans="5:5" x14ac:dyDescent="0.2">
      <c r="E2569" s="34"/>
    </row>
    <row r="2570" spans="5:5" x14ac:dyDescent="0.2">
      <c r="E2570" s="34"/>
    </row>
    <row r="2571" spans="5:5" x14ac:dyDescent="0.2">
      <c r="E2571" s="34"/>
    </row>
    <row r="2572" spans="5:5" x14ac:dyDescent="0.2">
      <c r="E2572" s="34"/>
    </row>
    <row r="2573" spans="5:5" x14ac:dyDescent="0.2">
      <c r="E2573" s="34"/>
    </row>
    <row r="2574" spans="5:5" x14ac:dyDescent="0.2">
      <c r="E2574" s="34"/>
    </row>
    <row r="2575" spans="5:5" x14ac:dyDescent="0.2">
      <c r="E2575" s="34"/>
    </row>
    <row r="2576" spans="5:5" x14ac:dyDescent="0.2">
      <c r="E2576" s="34"/>
    </row>
    <row r="2577" spans="5:5" x14ac:dyDescent="0.2">
      <c r="E2577" s="34"/>
    </row>
    <row r="2578" spans="5:5" x14ac:dyDescent="0.2">
      <c r="E2578" s="34"/>
    </row>
    <row r="2579" spans="5:5" x14ac:dyDescent="0.2">
      <c r="E2579" s="34"/>
    </row>
    <row r="2580" spans="5:5" x14ac:dyDescent="0.2">
      <c r="E2580" s="34"/>
    </row>
    <row r="2581" spans="5:5" x14ac:dyDescent="0.2">
      <c r="E2581" s="34"/>
    </row>
    <row r="2582" spans="5:5" x14ac:dyDescent="0.2">
      <c r="E2582" s="34"/>
    </row>
    <row r="2583" spans="5:5" x14ac:dyDescent="0.2">
      <c r="E2583" s="34"/>
    </row>
    <row r="2584" spans="5:5" x14ac:dyDescent="0.2">
      <c r="E2584" s="34"/>
    </row>
    <row r="2585" spans="5:5" x14ac:dyDescent="0.2">
      <c r="E2585" s="34"/>
    </row>
    <row r="2586" spans="5:5" x14ac:dyDescent="0.2">
      <c r="E2586" s="34"/>
    </row>
    <row r="2587" spans="5:5" x14ac:dyDescent="0.2">
      <c r="E2587" s="34"/>
    </row>
    <row r="2588" spans="5:5" x14ac:dyDescent="0.2">
      <c r="E2588" s="34"/>
    </row>
    <row r="2589" spans="5:5" x14ac:dyDescent="0.2">
      <c r="E2589" s="34"/>
    </row>
    <row r="2590" spans="5:5" x14ac:dyDescent="0.2">
      <c r="E2590" s="34"/>
    </row>
    <row r="2591" spans="5:5" x14ac:dyDescent="0.2">
      <c r="E2591" s="34"/>
    </row>
    <row r="2592" spans="5:5" x14ac:dyDescent="0.2">
      <c r="E2592" s="34"/>
    </row>
    <row r="2593" spans="5:5" x14ac:dyDescent="0.2">
      <c r="E2593" s="34"/>
    </row>
    <row r="2594" spans="5:5" x14ac:dyDescent="0.2">
      <c r="E2594" s="34"/>
    </row>
    <row r="2595" spans="5:5" x14ac:dyDescent="0.2">
      <c r="E2595" s="34"/>
    </row>
    <row r="2596" spans="5:5" x14ac:dyDescent="0.2">
      <c r="E2596" s="34"/>
    </row>
    <row r="2597" spans="5:5" x14ac:dyDescent="0.2">
      <c r="E2597" s="34"/>
    </row>
    <row r="2598" spans="5:5" x14ac:dyDescent="0.2">
      <c r="E2598" s="34"/>
    </row>
    <row r="2599" spans="5:5" x14ac:dyDescent="0.2">
      <c r="E2599" s="34"/>
    </row>
    <row r="2600" spans="5:5" x14ac:dyDescent="0.2">
      <c r="E2600" s="34"/>
    </row>
    <row r="2601" spans="5:5" x14ac:dyDescent="0.2">
      <c r="E2601" s="34"/>
    </row>
    <row r="2602" spans="5:5" x14ac:dyDescent="0.2">
      <c r="E2602" s="34"/>
    </row>
    <row r="2603" spans="5:5" x14ac:dyDescent="0.2">
      <c r="E2603" s="34"/>
    </row>
    <row r="2604" spans="5:5" x14ac:dyDescent="0.2">
      <c r="E2604" s="34"/>
    </row>
    <row r="2605" spans="5:5" x14ac:dyDescent="0.2">
      <c r="E2605" s="34"/>
    </row>
    <row r="2606" spans="5:5" x14ac:dyDescent="0.2">
      <c r="E2606" s="34"/>
    </row>
    <row r="2607" spans="5:5" x14ac:dyDescent="0.2">
      <c r="E2607" s="34"/>
    </row>
    <row r="2608" spans="5:5" x14ac:dyDescent="0.2">
      <c r="E2608" s="34"/>
    </row>
    <row r="2609" spans="5:5" x14ac:dyDescent="0.2">
      <c r="E2609" s="34"/>
    </row>
    <row r="2610" spans="5:5" x14ac:dyDescent="0.2">
      <c r="E2610" s="34"/>
    </row>
    <row r="2611" spans="5:5" x14ac:dyDescent="0.2">
      <c r="E2611" s="34"/>
    </row>
    <row r="2612" spans="5:5" x14ac:dyDescent="0.2">
      <c r="E2612" s="34"/>
    </row>
    <row r="2613" spans="5:5" x14ac:dyDescent="0.2">
      <c r="E2613" s="34"/>
    </row>
    <row r="2614" spans="5:5" x14ac:dyDescent="0.2">
      <c r="E2614" s="34"/>
    </row>
    <row r="2615" spans="5:5" x14ac:dyDescent="0.2">
      <c r="E2615" s="34"/>
    </row>
    <row r="2616" spans="5:5" x14ac:dyDescent="0.2">
      <c r="E2616" s="34"/>
    </row>
    <row r="2617" spans="5:5" x14ac:dyDescent="0.2">
      <c r="E2617" s="34"/>
    </row>
    <row r="2618" spans="5:5" x14ac:dyDescent="0.2">
      <c r="E2618" s="34"/>
    </row>
    <row r="2619" spans="5:5" x14ac:dyDescent="0.2">
      <c r="E2619" s="34"/>
    </row>
    <row r="2620" spans="5:5" x14ac:dyDescent="0.2">
      <c r="E2620" s="34"/>
    </row>
    <row r="2621" spans="5:5" x14ac:dyDescent="0.2">
      <c r="E2621" s="34"/>
    </row>
    <row r="2622" spans="5:5" x14ac:dyDescent="0.2">
      <c r="E2622" s="34"/>
    </row>
    <row r="2623" spans="5:5" x14ac:dyDescent="0.2">
      <c r="E2623" s="34"/>
    </row>
    <row r="2624" spans="5:5" x14ac:dyDescent="0.2">
      <c r="E2624" s="34"/>
    </row>
    <row r="2625" spans="5:5" x14ac:dyDescent="0.2">
      <c r="E2625" s="34"/>
    </row>
    <row r="2626" spans="5:5" x14ac:dyDescent="0.2">
      <c r="E2626" s="34"/>
    </row>
    <row r="2627" spans="5:5" x14ac:dyDescent="0.2">
      <c r="E2627" s="34"/>
    </row>
    <row r="2628" spans="5:5" x14ac:dyDescent="0.2">
      <c r="E2628" s="34"/>
    </row>
    <row r="2629" spans="5:5" x14ac:dyDescent="0.2">
      <c r="E2629" s="34"/>
    </row>
    <row r="2630" spans="5:5" x14ac:dyDescent="0.2">
      <c r="E2630" s="34"/>
    </row>
    <row r="2631" spans="5:5" x14ac:dyDescent="0.2">
      <c r="E2631" s="34"/>
    </row>
    <row r="2632" spans="5:5" x14ac:dyDescent="0.2">
      <c r="E2632" s="34"/>
    </row>
    <row r="2633" spans="5:5" x14ac:dyDescent="0.2">
      <c r="E2633" s="34"/>
    </row>
    <row r="2634" spans="5:5" x14ac:dyDescent="0.2">
      <c r="E2634" s="34"/>
    </row>
    <row r="2635" spans="5:5" x14ac:dyDescent="0.2">
      <c r="E2635" s="34"/>
    </row>
    <row r="2636" spans="5:5" x14ac:dyDescent="0.2">
      <c r="E2636" s="34"/>
    </row>
    <row r="2637" spans="5:5" x14ac:dyDescent="0.2">
      <c r="E2637" s="34"/>
    </row>
    <row r="2638" spans="5:5" x14ac:dyDescent="0.2">
      <c r="E2638" s="34"/>
    </row>
    <row r="2639" spans="5:5" x14ac:dyDescent="0.2">
      <c r="E2639" s="34"/>
    </row>
    <row r="2640" spans="5:5" x14ac:dyDescent="0.2">
      <c r="E2640" s="34"/>
    </row>
    <row r="2641" spans="5:5" x14ac:dyDescent="0.2">
      <c r="E2641" s="34"/>
    </row>
    <row r="2642" spans="5:5" x14ac:dyDescent="0.2">
      <c r="E2642" s="34"/>
    </row>
    <row r="2643" spans="5:5" x14ac:dyDescent="0.2">
      <c r="E2643" s="34"/>
    </row>
    <row r="2644" spans="5:5" x14ac:dyDescent="0.2">
      <c r="E2644" s="34"/>
    </row>
    <row r="2645" spans="5:5" x14ac:dyDescent="0.2">
      <c r="E2645" s="34"/>
    </row>
    <row r="2646" spans="5:5" x14ac:dyDescent="0.2">
      <c r="E2646" s="34"/>
    </row>
    <row r="2647" spans="5:5" x14ac:dyDescent="0.2">
      <c r="E2647" s="34"/>
    </row>
    <row r="2648" spans="5:5" x14ac:dyDescent="0.2">
      <c r="E2648" s="34"/>
    </row>
    <row r="2649" spans="5:5" x14ac:dyDescent="0.2">
      <c r="E2649" s="34"/>
    </row>
    <row r="2650" spans="5:5" x14ac:dyDescent="0.2">
      <c r="E2650" s="34"/>
    </row>
    <row r="2651" spans="5:5" x14ac:dyDescent="0.2">
      <c r="E2651" s="34"/>
    </row>
    <row r="2652" spans="5:5" x14ac:dyDescent="0.2">
      <c r="E2652" s="34"/>
    </row>
    <row r="2653" spans="5:5" x14ac:dyDescent="0.2">
      <c r="E2653" s="34"/>
    </row>
    <row r="2654" spans="5:5" x14ac:dyDescent="0.2">
      <c r="E2654" s="34"/>
    </row>
    <row r="2655" spans="5:5" x14ac:dyDescent="0.2">
      <c r="E2655" s="34"/>
    </row>
    <row r="2656" spans="5:5" x14ac:dyDescent="0.2">
      <c r="E2656" s="34"/>
    </row>
    <row r="2657" spans="5:5" x14ac:dyDescent="0.2">
      <c r="E2657" s="34"/>
    </row>
    <row r="2658" spans="5:5" x14ac:dyDescent="0.2">
      <c r="E2658" s="34"/>
    </row>
    <row r="2659" spans="5:5" x14ac:dyDescent="0.2">
      <c r="E2659" s="34"/>
    </row>
    <row r="2660" spans="5:5" x14ac:dyDescent="0.2">
      <c r="E2660" s="34"/>
    </row>
    <row r="2661" spans="5:5" x14ac:dyDescent="0.2">
      <c r="E2661" s="34"/>
    </row>
    <row r="2662" spans="5:5" x14ac:dyDescent="0.2">
      <c r="E2662" s="34"/>
    </row>
    <row r="2663" spans="5:5" x14ac:dyDescent="0.2">
      <c r="E2663" s="34"/>
    </row>
    <row r="2664" spans="5:5" x14ac:dyDescent="0.2">
      <c r="E2664" s="34"/>
    </row>
    <row r="2665" spans="5:5" x14ac:dyDescent="0.2">
      <c r="E2665" s="34"/>
    </row>
    <row r="2666" spans="5:5" x14ac:dyDescent="0.2">
      <c r="E2666" s="34"/>
    </row>
    <row r="2667" spans="5:5" x14ac:dyDescent="0.2">
      <c r="E2667" s="34"/>
    </row>
    <row r="2668" spans="5:5" x14ac:dyDescent="0.2">
      <c r="E2668" s="34"/>
    </row>
    <row r="2669" spans="5:5" x14ac:dyDescent="0.2">
      <c r="E2669" s="34"/>
    </row>
    <row r="2670" spans="5:5" x14ac:dyDescent="0.2">
      <c r="E2670" s="34"/>
    </row>
    <row r="2671" spans="5:5" x14ac:dyDescent="0.2">
      <c r="E2671" s="34"/>
    </row>
    <row r="2672" spans="5:5" x14ac:dyDescent="0.2">
      <c r="E2672" s="34"/>
    </row>
    <row r="2673" spans="5:5" x14ac:dyDescent="0.2">
      <c r="E2673" s="34"/>
    </row>
    <row r="2674" spans="5:5" x14ac:dyDescent="0.2">
      <c r="E2674" s="34"/>
    </row>
    <row r="2675" spans="5:5" x14ac:dyDescent="0.2">
      <c r="E2675" s="34"/>
    </row>
    <row r="2676" spans="5:5" x14ac:dyDescent="0.2">
      <c r="E2676" s="34"/>
    </row>
    <row r="2677" spans="5:5" x14ac:dyDescent="0.2">
      <c r="E2677" s="34"/>
    </row>
    <row r="2678" spans="5:5" x14ac:dyDescent="0.2">
      <c r="E2678" s="34"/>
    </row>
    <row r="2679" spans="5:5" x14ac:dyDescent="0.2">
      <c r="E2679" s="34"/>
    </row>
    <row r="2680" spans="5:5" x14ac:dyDescent="0.2">
      <c r="E2680" s="34"/>
    </row>
    <row r="2681" spans="5:5" x14ac:dyDescent="0.2">
      <c r="E2681" s="34"/>
    </row>
    <row r="2682" spans="5:5" x14ac:dyDescent="0.2">
      <c r="E2682" s="34"/>
    </row>
    <row r="2683" spans="5:5" x14ac:dyDescent="0.2">
      <c r="E2683" s="34"/>
    </row>
    <row r="2684" spans="5:5" x14ac:dyDescent="0.2">
      <c r="E2684" s="34"/>
    </row>
    <row r="2685" spans="5:5" x14ac:dyDescent="0.2">
      <c r="E2685" s="34"/>
    </row>
    <row r="2686" spans="5:5" x14ac:dyDescent="0.2">
      <c r="E2686" s="34"/>
    </row>
    <row r="2687" spans="5:5" x14ac:dyDescent="0.2">
      <c r="E2687" s="34"/>
    </row>
    <row r="2688" spans="5:5" x14ac:dyDescent="0.2">
      <c r="E2688" s="34"/>
    </row>
    <row r="2689" spans="5:5" x14ac:dyDescent="0.2">
      <c r="E2689" s="34"/>
    </row>
    <row r="2690" spans="5:5" x14ac:dyDescent="0.2">
      <c r="E2690" s="34"/>
    </row>
    <row r="2691" spans="5:5" x14ac:dyDescent="0.2">
      <c r="E2691" s="34"/>
    </row>
    <row r="2692" spans="5:5" x14ac:dyDescent="0.2">
      <c r="E2692" s="34"/>
    </row>
    <row r="2693" spans="5:5" x14ac:dyDescent="0.2">
      <c r="E2693" s="34"/>
    </row>
    <row r="2694" spans="5:5" x14ac:dyDescent="0.2">
      <c r="E2694" s="34"/>
    </row>
    <row r="2695" spans="5:5" x14ac:dyDescent="0.2">
      <c r="E2695" s="34"/>
    </row>
    <row r="2696" spans="5:5" x14ac:dyDescent="0.2">
      <c r="E2696" s="34"/>
    </row>
    <row r="2697" spans="5:5" x14ac:dyDescent="0.2">
      <c r="E2697" s="34"/>
    </row>
    <row r="2698" spans="5:5" x14ac:dyDescent="0.2">
      <c r="E2698" s="34"/>
    </row>
    <row r="2699" spans="5:5" x14ac:dyDescent="0.2">
      <c r="E2699" s="34"/>
    </row>
    <row r="2700" spans="5:5" x14ac:dyDescent="0.2">
      <c r="E2700" s="34"/>
    </row>
    <row r="2701" spans="5:5" x14ac:dyDescent="0.2">
      <c r="E2701" s="34"/>
    </row>
    <row r="2702" spans="5:5" x14ac:dyDescent="0.2">
      <c r="E2702" s="34"/>
    </row>
    <row r="2703" spans="5:5" x14ac:dyDescent="0.2">
      <c r="E2703" s="34"/>
    </row>
    <row r="2704" spans="5:5" x14ac:dyDescent="0.2">
      <c r="E2704" s="34"/>
    </row>
    <row r="2705" spans="5:5" x14ac:dyDescent="0.2">
      <c r="E2705" s="34"/>
    </row>
    <row r="2706" spans="5:5" x14ac:dyDescent="0.2">
      <c r="E2706" s="34"/>
    </row>
    <row r="2707" spans="5:5" x14ac:dyDescent="0.2">
      <c r="E2707" s="34"/>
    </row>
    <row r="2708" spans="5:5" x14ac:dyDescent="0.2">
      <c r="E2708" s="34"/>
    </row>
    <row r="2709" spans="5:5" x14ac:dyDescent="0.2">
      <c r="E2709" s="34"/>
    </row>
    <row r="2710" spans="5:5" x14ac:dyDescent="0.2">
      <c r="E2710" s="34"/>
    </row>
    <row r="2711" spans="5:5" x14ac:dyDescent="0.2">
      <c r="E2711" s="34"/>
    </row>
    <row r="2712" spans="5:5" x14ac:dyDescent="0.2">
      <c r="E2712" s="34"/>
    </row>
    <row r="2713" spans="5:5" x14ac:dyDescent="0.2">
      <c r="E2713" s="34"/>
    </row>
    <row r="2714" spans="5:5" x14ac:dyDescent="0.2">
      <c r="E2714" s="34"/>
    </row>
    <row r="2715" spans="5:5" x14ac:dyDescent="0.2">
      <c r="E2715" s="34"/>
    </row>
    <row r="2716" spans="5:5" x14ac:dyDescent="0.2">
      <c r="E2716" s="34"/>
    </row>
    <row r="2717" spans="5:5" x14ac:dyDescent="0.2">
      <c r="E2717" s="34"/>
    </row>
    <row r="2718" spans="5:5" x14ac:dyDescent="0.2">
      <c r="E2718" s="34"/>
    </row>
    <row r="2719" spans="5:5" x14ac:dyDescent="0.2">
      <c r="E2719" s="34"/>
    </row>
    <row r="2720" spans="5:5" x14ac:dyDescent="0.2">
      <c r="E2720" s="34"/>
    </row>
    <row r="2721" spans="5:5" x14ac:dyDescent="0.2">
      <c r="E2721" s="34"/>
    </row>
    <row r="2722" spans="5:5" x14ac:dyDescent="0.2">
      <c r="E2722" s="34"/>
    </row>
    <row r="2723" spans="5:5" x14ac:dyDescent="0.2">
      <c r="E2723" s="34"/>
    </row>
    <row r="2724" spans="5:5" x14ac:dyDescent="0.2">
      <c r="E2724" s="34"/>
    </row>
    <row r="2725" spans="5:5" x14ac:dyDescent="0.2">
      <c r="E2725" s="34"/>
    </row>
    <row r="2726" spans="5:5" x14ac:dyDescent="0.2">
      <c r="E2726" s="34"/>
    </row>
    <row r="2727" spans="5:5" x14ac:dyDescent="0.2">
      <c r="E2727" s="34"/>
    </row>
    <row r="2728" spans="5:5" x14ac:dyDescent="0.2">
      <c r="E2728" s="34"/>
    </row>
    <row r="2729" spans="5:5" x14ac:dyDescent="0.2">
      <c r="E2729" s="34"/>
    </row>
    <row r="2730" spans="5:5" x14ac:dyDescent="0.2">
      <c r="E2730" s="34"/>
    </row>
    <row r="2731" spans="5:5" x14ac:dyDescent="0.2">
      <c r="E2731" s="34"/>
    </row>
    <row r="2732" spans="5:5" x14ac:dyDescent="0.2">
      <c r="E2732" s="34"/>
    </row>
    <row r="2733" spans="5:5" x14ac:dyDescent="0.2">
      <c r="E2733" s="34"/>
    </row>
    <row r="2734" spans="5:5" x14ac:dyDescent="0.2">
      <c r="E2734" s="34"/>
    </row>
    <row r="2735" spans="5:5" x14ac:dyDescent="0.2">
      <c r="E2735" s="34"/>
    </row>
    <row r="2736" spans="5:5" x14ac:dyDescent="0.2">
      <c r="E2736" s="34"/>
    </row>
    <row r="2737" spans="5:5" x14ac:dyDescent="0.2">
      <c r="E2737" s="34"/>
    </row>
    <row r="2738" spans="5:5" x14ac:dyDescent="0.2">
      <c r="E2738" s="34"/>
    </row>
    <row r="2739" spans="5:5" x14ac:dyDescent="0.2">
      <c r="E2739" s="34"/>
    </row>
    <row r="2740" spans="5:5" x14ac:dyDescent="0.2">
      <c r="E2740" s="34"/>
    </row>
    <row r="2741" spans="5:5" x14ac:dyDescent="0.2">
      <c r="E2741" s="34"/>
    </row>
    <row r="2742" spans="5:5" x14ac:dyDescent="0.2">
      <c r="E2742" s="34"/>
    </row>
    <row r="2743" spans="5:5" x14ac:dyDescent="0.2">
      <c r="E2743" s="34"/>
    </row>
    <row r="2744" spans="5:5" x14ac:dyDescent="0.2">
      <c r="E2744" s="34"/>
    </row>
    <row r="2745" spans="5:5" x14ac:dyDescent="0.2">
      <c r="E2745" s="34"/>
    </row>
    <row r="2746" spans="5:5" x14ac:dyDescent="0.2">
      <c r="E2746" s="34"/>
    </row>
    <row r="2747" spans="5:5" x14ac:dyDescent="0.2">
      <c r="E2747" s="34"/>
    </row>
    <row r="2748" spans="5:5" x14ac:dyDescent="0.2">
      <c r="E2748" s="34"/>
    </row>
    <row r="2749" spans="5:5" x14ac:dyDescent="0.2">
      <c r="E2749" s="34"/>
    </row>
    <row r="2750" spans="5:5" x14ac:dyDescent="0.2">
      <c r="E2750" s="34"/>
    </row>
    <row r="2751" spans="5:5" x14ac:dyDescent="0.2">
      <c r="E2751" s="34"/>
    </row>
    <row r="2752" spans="5:5" x14ac:dyDescent="0.2">
      <c r="E2752" s="34"/>
    </row>
    <row r="2753" spans="5:5" x14ac:dyDescent="0.2">
      <c r="E2753" s="34"/>
    </row>
    <row r="2754" spans="5:5" x14ac:dyDescent="0.2">
      <c r="E2754" s="34"/>
    </row>
    <row r="2755" spans="5:5" x14ac:dyDescent="0.2">
      <c r="E2755" s="34"/>
    </row>
    <row r="2756" spans="5:5" x14ac:dyDescent="0.2">
      <c r="E2756" s="34"/>
    </row>
    <row r="2757" spans="5:5" x14ac:dyDescent="0.2">
      <c r="E2757" s="34"/>
    </row>
    <row r="2758" spans="5:5" x14ac:dyDescent="0.2">
      <c r="E2758" s="34"/>
    </row>
    <row r="2759" spans="5:5" x14ac:dyDescent="0.2">
      <c r="E2759" s="34"/>
    </row>
    <row r="2760" spans="5:5" x14ac:dyDescent="0.2">
      <c r="E2760" s="34"/>
    </row>
    <row r="2761" spans="5:5" x14ac:dyDescent="0.2">
      <c r="E2761" s="34"/>
    </row>
    <row r="2762" spans="5:5" x14ac:dyDescent="0.2">
      <c r="E2762" s="34"/>
    </row>
    <row r="2763" spans="5:5" x14ac:dyDescent="0.2">
      <c r="E2763" s="34"/>
    </row>
    <row r="2764" spans="5:5" x14ac:dyDescent="0.2">
      <c r="E2764" s="34"/>
    </row>
    <row r="2765" spans="5:5" x14ac:dyDescent="0.2">
      <c r="E2765" s="34"/>
    </row>
    <row r="2766" spans="5:5" x14ac:dyDescent="0.2">
      <c r="E2766" s="34"/>
    </row>
    <row r="2767" spans="5:5" x14ac:dyDescent="0.2">
      <c r="E2767" s="34"/>
    </row>
    <row r="2768" spans="5:5" x14ac:dyDescent="0.2">
      <c r="E2768" s="34"/>
    </row>
    <row r="2769" spans="5:5" x14ac:dyDescent="0.2">
      <c r="E2769" s="34"/>
    </row>
    <row r="2770" spans="5:5" x14ac:dyDescent="0.2">
      <c r="E2770" s="34"/>
    </row>
    <row r="2771" spans="5:5" x14ac:dyDescent="0.2">
      <c r="E2771" s="34"/>
    </row>
    <row r="2772" spans="5:5" x14ac:dyDescent="0.2">
      <c r="E2772" s="34"/>
    </row>
    <row r="2773" spans="5:5" x14ac:dyDescent="0.2">
      <c r="E2773" s="34"/>
    </row>
    <row r="2774" spans="5:5" x14ac:dyDescent="0.2">
      <c r="E2774" s="34"/>
    </row>
    <row r="2775" spans="5:5" x14ac:dyDescent="0.2">
      <c r="E2775" s="34"/>
    </row>
    <row r="2776" spans="5:5" x14ac:dyDescent="0.2">
      <c r="E2776" s="34"/>
    </row>
    <row r="2777" spans="5:5" x14ac:dyDescent="0.2">
      <c r="E2777" s="34"/>
    </row>
    <row r="2778" spans="5:5" x14ac:dyDescent="0.2">
      <c r="E2778" s="34"/>
    </row>
    <row r="2779" spans="5:5" x14ac:dyDescent="0.2">
      <c r="E2779" s="34"/>
    </row>
    <row r="2780" spans="5:5" x14ac:dyDescent="0.2">
      <c r="E2780" s="34"/>
    </row>
    <row r="2781" spans="5:5" x14ac:dyDescent="0.2">
      <c r="E2781" s="34"/>
    </row>
    <row r="2782" spans="5:5" x14ac:dyDescent="0.2">
      <c r="E2782" s="34"/>
    </row>
    <row r="2783" spans="5:5" x14ac:dyDescent="0.2">
      <c r="E2783" s="34"/>
    </row>
    <row r="2784" spans="5:5" x14ac:dyDescent="0.2">
      <c r="E2784" s="34"/>
    </row>
    <row r="2785" spans="5:5" x14ac:dyDescent="0.2">
      <c r="E2785" s="34"/>
    </row>
    <row r="2786" spans="5:5" x14ac:dyDescent="0.2">
      <c r="E2786" s="34"/>
    </row>
    <row r="2787" spans="5:5" x14ac:dyDescent="0.2">
      <c r="E2787" s="34"/>
    </row>
    <row r="2788" spans="5:5" x14ac:dyDescent="0.2">
      <c r="E2788" s="34"/>
    </row>
    <row r="2789" spans="5:5" x14ac:dyDescent="0.2">
      <c r="E2789" s="34"/>
    </row>
    <row r="2790" spans="5:5" x14ac:dyDescent="0.2">
      <c r="E2790" s="34"/>
    </row>
    <row r="2791" spans="5:5" x14ac:dyDescent="0.2">
      <c r="E2791" s="34"/>
    </row>
    <row r="2792" spans="5:5" x14ac:dyDescent="0.2">
      <c r="E2792" s="34"/>
    </row>
    <row r="2793" spans="5:5" x14ac:dyDescent="0.2">
      <c r="E2793" s="34"/>
    </row>
    <row r="2794" spans="5:5" x14ac:dyDescent="0.2">
      <c r="E2794" s="34"/>
    </row>
    <row r="2795" spans="5:5" x14ac:dyDescent="0.2">
      <c r="E2795" s="34"/>
    </row>
    <row r="2796" spans="5:5" x14ac:dyDescent="0.2">
      <c r="E2796" s="34"/>
    </row>
    <row r="2797" spans="5:5" x14ac:dyDescent="0.2">
      <c r="E2797" s="34"/>
    </row>
    <row r="2798" spans="5:5" x14ac:dyDescent="0.2">
      <c r="E2798" s="34"/>
    </row>
    <row r="2799" spans="5:5" x14ac:dyDescent="0.2">
      <c r="E2799" s="34"/>
    </row>
    <row r="2800" spans="5:5" x14ac:dyDescent="0.2">
      <c r="E2800" s="34"/>
    </row>
    <row r="2801" spans="5:5" x14ac:dyDescent="0.2">
      <c r="E2801" s="34"/>
    </row>
    <row r="2802" spans="5:5" x14ac:dyDescent="0.2">
      <c r="E2802" s="34"/>
    </row>
    <row r="2803" spans="5:5" x14ac:dyDescent="0.2">
      <c r="E2803" s="34"/>
    </row>
    <row r="2804" spans="5:5" x14ac:dyDescent="0.2">
      <c r="E2804" s="34"/>
    </row>
    <row r="2805" spans="5:5" x14ac:dyDescent="0.2">
      <c r="E2805" s="34"/>
    </row>
    <row r="2806" spans="5:5" x14ac:dyDescent="0.2">
      <c r="E2806" s="34"/>
    </row>
    <row r="2807" spans="5:5" x14ac:dyDescent="0.2">
      <c r="E2807" s="34"/>
    </row>
    <row r="2808" spans="5:5" x14ac:dyDescent="0.2">
      <c r="E2808" s="34"/>
    </row>
    <row r="2809" spans="5:5" x14ac:dyDescent="0.2">
      <c r="E2809" s="34"/>
    </row>
    <row r="2810" spans="5:5" x14ac:dyDescent="0.2">
      <c r="E2810" s="34"/>
    </row>
    <row r="2811" spans="5:5" x14ac:dyDescent="0.2">
      <c r="E2811" s="34"/>
    </row>
    <row r="2812" spans="5:5" x14ac:dyDescent="0.2">
      <c r="E2812" s="34"/>
    </row>
    <row r="2813" spans="5:5" x14ac:dyDescent="0.2">
      <c r="E2813" s="34"/>
    </row>
    <row r="2814" spans="5:5" x14ac:dyDescent="0.2">
      <c r="E2814" s="34"/>
    </row>
    <row r="2815" spans="5:5" x14ac:dyDescent="0.2">
      <c r="E2815" s="34"/>
    </row>
    <row r="2816" spans="5:5" x14ac:dyDescent="0.2">
      <c r="E2816" s="34"/>
    </row>
    <row r="2817" spans="5:5" x14ac:dyDescent="0.2">
      <c r="E2817" s="34"/>
    </row>
    <row r="2818" spans="5:5" x14ac:dyDescent="0.2">
      <c r="E2818" s="34"/>
    </row>
    <row r="2819" spans="5:5" x14ac:dyDescent="0.2">
      <c r="E2819" s="34"/>
    </row>
    <row r="2820" spans="5:5" x14ac:dyDescent="0.2">
      <c r="E2820" s="34"/>
    </row>
    <row r="2821" spans="5:5" x14ac:dyDescent="0.2">
      <c r="E2821" s="34"/>
    </row>
    <row r="2822" spans="5:5" x14ac:dyDescent="0.2">
      <c r="E2822" s="34"/>
    </row>
    <row r="2823" spans="5:5" x14ac:dyDescent="0.2">
      <c r="E2823" s="34"/>
    </row>
    <row r="2824" spans="5:5" x14ac:dyDescent="0.2">
      <c r="E2824" s="34"/>
    </row>
    <row r="2825" spans="5:5" x14ac:dyDescent="0.2">
      <c r="E2825" s="34"/>
    </row>
    <row r="2826" spans="5:5" x14ac:dyDescent="0.2">
      <c r="E2826" s="34"/>
    </row>
    <row r="2827" spans="5:5" x14ac:dyDescent="0.2">
      <c r="E2827" s="34"/>
    </row>
    <row r="2828" spans="5:5" x14ac:dyDescent="0.2">
      <c r="E2828" s="34"/>
    </row>
    <row r="2829" spans="5:5" x14ac:dyDescent="0.2">
      <c r="E2829" s="34"/>
    </row>
    <row r="2830" spans="5:5" x14ac:dyDescent="0.2">
      <c r="E2830" s="34"/>
    </row>
    <row r="2831" spans="5:5" x14ac:dyDescent="0.2">
      <c r="E2831" s="34"/>
    </row>
    <row r="2832" spans="5:5" x14ac:dyDescent="0.2">
      <c r="E2832" s="34"/>
    </row>
    <row r="2833" spans="5:5" x14ac:dyDescent="0.2">
      <c r="E2833" s="34"/>
    </row>
    <row r="2834" spans="5:5" x14ac:dyDescent="0.2">
      <c r="E2834" s="34"/>
    </row>
    <row r="2835" spans="5:5" x14ac:dyDescent="0.2">
      <c r="E2835" s="34"/>
    </row>
    <row r="2836" spans="5:5" x14ac:dyDescent="0.2">
      <c r="E2836" s="34"/>
    </row>
    <row r="2837" spans="5:5" x14ac:dyDescent="0.2">
      <c r="E2837" s="34"/>
    </row>
    <row r="2838" spans="5:5" x14ac:dyDescent="0.2">
      <c r="E2838" s="34"/>
    </row>
    <row r="2839" spans="5:5" x14ac:dyDescent="0.2">
      <c r="E2839" s="34"/>
    </row>
    <row r="2840" spans="5:5" x14ac:dyDescent="0.2">
      <c r="E2840" s="34"/>
    </row>
    <row r="2841" spans="5:5" x14ac:dyDescent="0.2">
      <c r="E2841" s="34"/>
    </row>
    <row r="2842" spans="5:5" x14ac:dyDescent="0.2">
      <c r="E2842" s="34"/>
    </row>
    <row r="2843" spans="5:5" x14ac:dyDescent="0.2">
      <c r="E2843" s="34"/>
    </row>
    <row r="2844" spans="5:5" x14ac:dyDescent="0.2">
      <c r="E2844" s="34"/>
    </row>
    <row r="2845" spans="5:5" x14ac:dyDescent="0.2">
      <c r="E2845" s="34"/>
    </row>
    <row r="2846" spans="5:5" x14ac:dyDescent="0.2">
      <c r="E2846" s="34"/>
    </row>
    <row r="2847" spans="5:5" x14ac:dyDescent="0.2">
      <c r="E2847" s="34"/>
    </row>
    <row r="2848" spans="5:5" x14ac:dyDescent="0.2">
      <c r="E2848" s="34"/>
    </row>
    <row r="2849" spans="5:5" x14ac:dyDescent="0.2">
      <c r="E2849" s="34"/>
    </row>
    <row r="2850" spans="5:5" x14ac:dyDescent="0.2">
      <c r="E2850" s="34"/>
    </row>
    <row r="2851" spans="5:5" x14ac:dyDescent="0.2">
      <c r="E2851" s="34"/>
    </row>
    <row r="2852" spans="5:5" x14ac:dyDescent="0.2">
      <c r="E2852" s="34"/>
    </row>
    <row r="2853" spans="5:5" x14ac:dyDescent="0.2">
      <c r="E2853" s="34"/>
    </row>
    <row r="2854" spans="5:5" x14ac:dyDescent="0.2">
      <c r="E2854" s="34"/>
    </row>
    <row r="2855" spans="5:5" x14ac:dyDescent="0.2">
      <c r="E2855" s="34"/>
    </row>
  </sheetData>
  <mergeCells count="6">
    <mergeCell ref="G6:H6"/>
    <mergeCell ref="G8:H8"/>
    <mergeCell ref="A3:H3"/>
    <mergeCell ref="A2:H2"/>
    <mergeCell ref="G4:H4"/>
    <mergeCell ref="G5:H5"/>
  </mergeCells>
  <printOptions horizontalCentered="1"/>
  <pageMargins left="0.5" right="0.5" top="0.5" bottom="0.5" header="0.5" footer="0.5"/>
  <pageSetup scale="71" fitToHeight="7" orientation="portrait" r:id="rId1"/>
  <headerFooter alignWithMargins="0">
    <oddHeader>&amp;CATTACHMENT A</oddHeader>
    <oddFooter>&amp;L&amp;F&amp;C&amp;A&amp;RSDGE ---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Residential</vt:lpstr>
      <vt:lpstr>Small Commercial</vt:lpstr>
      <vt:lpstr>Medium-Large Commercial (AB265)</vt:lpstr>
      <vt:lpstr>Street Lighting</vt:lpstr>
      <vt:lpstr>'Medium-Large Commercial (AB265)'!Print_Area</vt:lpstr>
      <vt:lpstr>Residential!Print_Area</vt:lpstr>
      <vt:lpstr>'Small Commercial'!Print_Area</vt:lpstr>
      <vt:lpstr>'Street Lighting'!Print_Area</vt:lpstr>
    </vt:vector>
  </TitlesOfParts>
  <Company>CPUC  Energy Division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Ramirez</dc:creator>
  <cp:lastModifiedBy>Jan Havlíček</cp:lastModifiedBy>
  <cp:lastPrinted>2001-05-18T22:11:20Z</cp:lastPrinted>
  <dcterms:created xsi:type="dcterms:W3CDTF">2001-03-26T07:54:06Z</dcterms:created>
  <dcterms:modified xsi:type="dcterms:W3CDTF">2023-09-19T16:10:14Z</dcterms:modified>
</cp:coreProperties>
</file>