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58A439-299C-4F80-A50B-8F4846E22D9D}" xr6:coauthVersionLast="47" xr6:coauthVersionMax="47" xr10:uidLastSave="{00000000-0000-0000-0000-000000000000}"/>
  <bookViews>
    <workbookView xWindow="-120" yWindow="-120" windowWidth="38640" windowHeight="15720"/>
  </bookViews>
  <sheets>
    <sheet name="Dispute Summary " sheetId="8" r:id="rId1"/>
    <sheet name="Executive Claim Summary - 20 %" sheetId="4" r:id="rId2"/>
    <sheet name="Executive Claim Summary - 25%" sheetId="6" r:id="rId3"/>
    <sheet name="Executive Claim Summary - 30%" sheetId="7" r:id="rId4"/>
    <sheet name="One Cent Surcharge" sheetId="9" r:id="rId5"/>
    <sheet name="Financial Swap" sheetId="10" r:id="rId6"/>
    <sheet name="Chart" sheetId="11" r:id="rId7"/>
    <sheet name="Portland - Executive Claim Suma" sheetId="5" r:id="rId8"/>
    <sheet name="Executive Summary" sheetId="12" r:id="rId9"/>
    <sheet name="Legal Entity Summary" sheetId="14" r:id="rId10"/>
    <sheet name="Detail by Transaction Type" sheetId="13" r:id="rId11"/>
  </sheets>
  <externalReferences>
    <externalReference r:id="rId12"/>
  </externalReferences>
  <definedNames>
    <definedName name="_xlnm.Print_Area" localSheetId="1">'Executive Claim Summary - 20 %'!$A$1:$R$51</definedName>
    <definedName name="_xlnm.Print_Area" localSheetId="2">'Executive Claim Summary - 25%'!$A$1:$R$52</definedName>
    <definedName name="_xlnm.Print_Area" localSheetId="3">'Executive Claim Summary - 30%'!$A$1:$R$51</definedName>
    <definedName name="_xlnm.Print_Area" localSheetId="8">'Executive Summary'!$H$1:$N$36</definedName>
    <definedName name="_xlnm.Print_Area" localSheetId="7">'Portland - Executive Claim Suma'!$A$1:$R$51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3" l="1"/>
  <c r="C10" i="13"/>
  <c r="B11" i="13"/>
  <c r="C11" i="13"/>
  <c r="B17" i="13"/>
  <c r="C17" i="13"/>
  <c r="C20" i="13"/>
  <c r="C21" i="13"/>
  <c r="C22" i="13"/>
  <c r="C23" i="13"/>
  <c r="B24" i="13"/>
  <c r="C24" i="13"/>
  <c r="B35" i="13"/>
  <c r="C35" i="13"/>
  <c r="B37" i="13"/>
  <c r="C37" i="13"/>
  <c r="B40" i="13"/>
  <c r="C40" i="13"/>
  <c r="B45" i="13"/>
  <c r="C45" i="13"/>
  <c r="B49" i="13"/>
  <c r="C49" i="13"/>
  <c r="B60" i="13"/>
  <c r="C60" i="13"/>
  <c r="B65" i="13"/>
  <c r="C65" i="13"/>
  <c r="B74" i="13"/>
  <c r="C74" i="13"/>
  <c r="B82" i="13"/>
  <c r="C82" i="13"/>
  <c r="B84" i="13"/>
  <c r="C84" i="13"/>
  <c r="B89" i="13"/>
  <c r="C89" i="13"/>
  <c r="B94" i="13"/>
  <c r="C94" i="13"/>
  <c r="B98" i="13"/>
  <c r="C98" i="13"/>
  <c r="B100" i="13"/>
  <c r="C100" i="13"/>
  <c r="B102" i="13"/>
  <c r="C102" i="13"/>
  <c r="C11" i="8"/>
  <c r="D11" i="8"/>
  <c r="E11" i="8"/>
  <c r="C12" i="8"/>
  <c r="D12" i="8"/>
  <c r="E12" i="8"/>
  <c r="C13" i="8"/>
  <c r="D13" i="8"/>
  <c r="E13" i="8"/>
  <c r="C15" i="8"/>
  <c r="D15" i="8"/>
  <c r="E15" i="8"/>
  <c r="C16" i="8"/>
  <c r="D16" i="8"/>
  <c r="E16" i="8"/>
  <c r="C17" i="8"/>
  <c r="D17" i="8"/>
  <c r="E17" i="8"/>
  <c r="E26" i="8"/>
  <c r="E27" i="8"/>
  <c r="E35" i="8"/>
  <c r="E36" i="8"/>
  <c r="E37" i="8"/>
  <c r="U10" i="4"/>
  <c r="V10" i="4"/>
  <c r="U11" i="4"/>
  <c r="D12" i="4"/>
  <c r="H12" i="4"/>
  <c r="J12" i="4"/>
  <c r="N12" i="4"/>
  <c r="P12" i="4"/>
  <c r="R12" i="4"/>
  <c r="R13" i="4"/>
  <c r="U13" i="4"/>
  <c r="R14" i="4"/>
  <c r="R15" i="4"/>
  <c r="U15" i="4"/>
  <c r="R16" i="4"/>
  <c r="D17" i="4"/>
  <c r="F17" i="4"/>
  <c r="H17" i="4"/>
  <c r="J17" i="4"/>
  <c r="L17" i="4"/>
  <c r="N17" i="4"/>
  <c r="P17" i="4"/>
  <c r="R17" i="4"/>
  <c r="F18" i="4"/>
  <c r="H18" i="4"/>
  <c r="J18" i="4"/>
  <c r="P18" i="4"/>
  <c r="R18" i="4"/>
  <c r="U18" i="4"/>
  <c r="V18" i="4"/>
  <c r="W18" i="4"/>
  <c r="R19" i="4"/>
  <c r="R20" i="4"/>
  <c r="J21" i="4"/>
  <c r="N21" i="4"/>
  <c r="P21" i="4"/>
  <c r="R21" i="4"/>
  <c r="B22" i="4"/>
  <c r="F22" i="4"/>
  <c r="H22" i="4"/>
  <c r="J22" i="4"/>
  <c r="N22" i="4"/>
  <c r="P22" i="4"/>
  <c r="R22" i="4"/>
  <c r="R23" i="4"/>
  <c r="J24" i="4"/>
  <c r="N24" i="4"/>
  <c r="P24" i="4"/>
  <c r="R24" i="4"/>
  <c r="H25" i="4"/>
  <c r="J25" i="4"/>
  <c r="N25" i="4"/>
  <c r="P25" i="4"/>
  <c r="R25" i="4"/>
  <c r="U25" i="4"/>
  <c r="W25" i="4"/>
  <c r="Y25" i="4"/>
  <c r="B27" i="4"/>
  <c r="D27" i="4"/>
  <c r="F27" i="4"/>
  <c r="H27" i="4"/>
  <c r="J27" i="4"/>
  <c r="L27" i="4"/>
  <c r="N27" i="4"/>
  <c r="P27" i="4"/>
  <c r="R27" i="4"/>
  <c r="R29" i="4"/>
  <c r="X30" i="4"/>
  <c r="Y30" i="4"/>
  <c r="X32" i="4"/>
  <c r="X33" i="4"/>
  <c r="Y33" i="4"/>
  <c r="W34" i="4"/>
  <c r="X35" i="4"/>
  <c r="L42" i="4"/>
  <c r="B48" i="4"/>
  <c r="B49" i="4"/>
  <c r="U10" i="6"/>
  <c r="V10" i="6"/>
  <c r="U11" i="6"/>
  <c r="D12" i="6"/>
  <c r="H12" i="6"/>
  <c r="J12" i="6"/>
  <c r="N12" i="6"/>
  <c r="P12" i="6"/>
  <c r="R12" i="6"/>
  <c r="R13" i="6"/>
  <c r="U13" i="6"/>
  <c r="R14" i="6"/>
  <c r="R15" i="6"/>
  <c r="U15" i="6"/>
  <c r="R16" i="6"/>
  <c r="D17" i="6"/>
  <c r="F17" i="6"/>
  <c r="H17" i="6"/>
  <c r="J17" i="6"/>
  <c r="L17" i="6"/>
  <c r="N17" i="6"/>
  <c r="P17" i="6"/>
  <c r="R17" i="6"/>
  <c r="F18" i="6"/>
  <c r="H18" i="6"/>
  <c r="J18" i="6"/>
  <c r="P18" i="6"/>
  <c r="R18" i="6"/>
  <c r="U18" i="6"/>
  <c r="V18" i="6"/>
  <c r="W18" i="6"/>
  <c r="R19" i="6"/>
  <c r="R20" i="6"/>
  <c r="J21" i="6"/>
  <c r="N21" i="6"/>
  <c r="P21" i="6"/>
  <c r="R21" i="6"/>
  <c r="B22" i="6"/>
  <c r="F22" i="6"/>
  <c r="H22" i="6"/>
  <c r="J22" i="6"/>
  <c r="N22" i="6"/>
  <c r="P22" i="6"/>
  <c r="R22" i="6"/>
  <c r="R23" i="6"/>
  <c r="J24" i="6"/>
  <c r="N24" i="6"/>
  <c r="P24" i="6"/>
  <c r="R24" i="6"/>
  <c r="H25" i="6"/>
  <c r="J25" i="6"/>
  <c r="N25" i="6"/>
  <c r="P25" i="6"/>
  <c r="R25" i="6"/>
  <c r="U25" i="6"/>
  <c r="W25" i="6"/>
  <c r="Y25" i="6"/>
  <c r="B27" i="6"/>
  <c r="D27" i="6"/>
  <c r="F27" i="6"/>
  <c r="H27" i="6"/>
  <c r="J27" i="6"/>
  <c r="L27" i="6"/>
  <c r="N27" i="6"/>
  <c r="P27" i="6"/>
  <c r="R27" i="6"/>
  <c r="R29" i="6"/>
  <c r="X30" i="6"/>
  <c r="Y30" i="6"/>
  <c r="X32" i="6"/>
  <c r="X33" i="6"/>
  <c r="Y33" i="6"/>
  <c r="W34" i="6"/>
  <c r="X35" i="6"/>
  <c r="L42" i="6"/>
  <c r="B48" i="6"/>
  <c r="B49" i="6"/>
  <c r="U10" i="7"/>
  <c r="V10" i="7"/>
  <c r="U11" i="7"/>
  <c r="D12" i="7"/>
  <c r="H12" i="7"/>
  <c r="J12" i="7"/>
  <c r="N12" i="7"/>
  <c r="P12" i="7"/>
  <c r="R12" i="7"/>
  <c r="R13" i="7"/>
  <c r="U13" i="7"/>
  <c r="R14" i="7"/>
  <c r="R15" i="7"/>
  <c r="U15" i="7"/>
  <c r="R16" i="7"/>
  <c r="D17" i="7"/>
  <c r="F17" i="7"/>
  <c r="H17" i="7"/>
  <c r="J17" i="7"/>
  <c r="L17" i="7"/>
  <c r="N17" i="7"/>
  <c r="P17" i="7"/>
  <c r="R17" i="7"/>
  <c r="F18" i="7"/>
  <c r="H18" i="7"/>
  <c r="J18" i="7"/>
  <c r="P18" i="7"/>
  <c r="R18" i="7"/>
  <c r="U18" i="7"/>
  <c r="V18" i="7"/>
  <c r="W18" i="7"/>
  <c r="R19" i="7"/>
  <c r="R20" i="7"/>
  <c r="J21" i="7"/>
  <c r="N21" i="7"/>
  <c r="P21" i="7"/>
  <c r="R21" i="7"/>
  <c r="B22" i="7"/>
  <c r="F22" i="7"/>
  <c r="H22" i="7"/>
  <c r="J22" i="7"/>
  <c r="N22" i="7"/>
  <c r="P22" i="7"/>
  <c r="R22" i="7"/>
  <c r="R23" i="7"/>
  <c r="J24" i="7"/>
  <c r="N24" i="7"/>
  <c r="P24" i="7"/>
  <c r="R24" i="7"/>
  <c r="H25" i="7"/>
  <c r="J25" i="7"/>
  <c r="N25" i="7"/>
  <c r="P25" i="7"/>
  <c r="R25" i="7"/>
  <c r="U25" i="7"/>
  <c r="W25" i="7"/>
  <c r="Y25" i="7"/>
  <c r="B27" i="7"/>
  <c r="D27" i="7"/>
  <c r="F27" i="7"/>
  <c r="H27" i="7"/>
  <c r="J27" i="7"/>
  <c r="L27" i="7"/>
  <c r="N27" i="7"/>
  <c r="P27" i="7"/>
  <c r="R27" i="7"/>
  <c r="R29" i="7"/>
  <c r="X30" i="7"/>
  <c r="Y30" i="7"/>
  <c r="X32" i="7"/>
  <c r="X33" i="7"/>
  <c r="Y33" i="7"/>
  <c r="W34" i="7"/>
  <c r="X35" i="7"/>
  <c r="L42" i="7"/>
  <c r="B48" i="7"/>
  <c r="B49" i="7"/>
  <c r="B9" i="12"/>
  <c r="D9" i="12"/>
  <c r="E9" i="12"/>
  <c r="F9" i="12"/>
  <c r="I9" i="12"/>
  <c r="K9" i="12"/>
  <c r="L9" i="12"/>
  <c r="M9" i="12"/>
  <c r="B10" i="12"/>
  <c r="D10" i="12"/>
  <c r="E10" i="12"/>
  <c r="F10" i="12"/>
  <c r="I10" i="12"/>
  <c r="K10" i="12"/>
  <c r="L10" i="12"/>
  <c r="M10" i="12"/>
  <c r="B11" i="12"/>
  <c r="D11" i="12"/>
  <c r="E11" i="12"/>
  <c r="F11" i="12"/>
  <c r="I11" i="12"/>
  <c r="K11" i="12"/>
  <c r="L11" i="12"/>
  <c r="B12" i="12"/>
  <c r="D12" i="12"/>
  <c r="E12" i="12"/>
  <c r="F12" i="12"/>
  <c r="I12" i="12"/>
  <c r="K12" i="12"/>
  <c r="L12" i="12"/>
  <c r="M12" i="12"/>
  <c r="B13" i="12"/>
  <c r="D13" i="12"/>
  <c r="E13" i="12"/>
  <c r="F13" i="12"/>
  <c r="I13" i="12"/>
  <c r="K13" i="12"/>
  <c r="L13" i="12"/>
  <c r="B14" i="12"/>
  <c r="C14" i="12"/>
  <c r="D14" i="12"/>
  <c r="E14" i="12"/>
  <c r="F14" i="12"/>
  <c r="I14" i="12"/>
  <c r="J14" i="12"/>
  <c r="K14" i="12"/>
  <c r="L14" i="12"/>
  <c r="M14" i="12"/>
  <c r="B15" i="12"/>
  <c r="C15" i="12"/>
  <c r="D15" i="12"/>
  <c r="E15" i="12"/>
  <c r="F15" i="12"/>
  <c r="I15" i="12"/>
  <c r="J15" i="12"/>
  <c r="K15" i="12"/>
  <c r="L15" i="12"/>
  <c r="M15" i="12"/>
  <c r="C19" i="12"/>
  <c r="D19" i="12"/>
  <c r="F19" i="12"/>
  <c r="J19" i="12"/>
  <c r="K19" i="12"/>
  <c r="L19" i="12"/>
  <c r="M19" i="12"/>
  <c r="B22" i="12"/>
  <c r="C22" i="12"/>
  <c r="D22" i="12"/>
  <c r="E22" i="12"/>
  <c r="F22" i="12"/>
  <c r="I22" i="12"/>
  <c r="J22" i="12"/>
  <c r="K22" i="12"/>
  <c r="L22" i="12"/>
  <c r="M22" i="12"/>
  <c r="M25" i="12"/>
  <c r="M29" i="12"/>
  <c r="M30" i="12"/>
  <c r="B31" i="12"/>
  <c r="M31" i="12"/>
  <c r="B32" i="12"/>
  <c r="B33" i="12"/>
  <c r="M33" i="12"/>
  <c r="M35" i="12"/>
  <c r="C11" i="10"/>
  <c r="D11" i="10"/>
  <c r="E11" i="10"/>
  <c r="F11" i="10"/>
  <c r="G11" i="10"/>
  <c r="C15" i="10"/>
  <c r="D15" i="10"/>
  <c r="E15" i="10"/>
  <c r="F15" i="10"/>
  <c r="G15" i="10"/>
  <c r="C19" i="10"/>
  <c r="D19" i="10"/>
  <c r="E19" i="10"/>
  <c r="F19" i="10"/>
  <c r="G19" i="10"/>
  <c r="H24" i="10"/>
  <c r="H25" i="10"/>
  <c r="C26" i="10"/>
  <c r="D26" i="10"/>
  <c r="E26" i="10"/>
  <c r="F26" i="10"/>
  <c r="G26" i="10"/>
  <c r="H26" i="10"/>
  <c r="C28" i="10"/>
  <c r="D28" i="10"/>
  <c r="E28" i="10"/>
  <c r="F28" i="10"/>
  <c r="G28" i="10"/>
  <c r="C32" i="10"/>
  <c r="D32" i="10"/>
  <c r="E32" i="10"/>
  <c r="F32" i="10"/>
  <c r="G32" i="10"/>
  <c r="H32" i="10"/>
  <c r="C34" i="10"/>
  <c r="D34" i="10"/>
  <c r="E34" i="10"/>
  <c r="F34" i="10"/>
  <c r="G34" i="10"/>
  <c r="C38" i="10"/>
  <c r="D38" i="10"/>
  <c r="E38" i="10"/>
  <c r="F38" i="10"/>
  <c r="G38" i="10"/>
  <c r="H38" i="10"/>
  <c r="C40" i="10"/>
  <c r="D40" i="10"/>
  <c r="E40" i="10"/>
  <c r="F40" i="10"/>
  <c r="G40" i="10"/>
  <c r="C44" i="10"/>
  <c r="D44" i="10"/>
  <c r="E44" i="10"/>
  <c r="F44" i="10"/>
  <c r="G44" i="10"/>
  <c r="H44" i="10"/>
  <c r="B51" i="10"/>
  <c r="C51" i="10"/>
  <c r="D51" i="10"/>
  <c r="E51" i="10"/>
  <c r="F51" i="10"/>
  <c r="G51" i="10"/>
  <c r="H51" i="10"/>
  <c r="I51" i="10"/>
  <c r="B57" i="10"/>
  <c r="C57" i="10"/>
  <c r="D57" i="10"/>
  <c r="E57" i="10"/>
  <c r="F57" i="10"/>
  <c r="G57" i="10"/>
  <c r="H57" i="10"/>
  <c r="I57" i="10"/>
  <c r="B8" i="14"/>
  <c r="C8" i="14"/>
  <c r="B9" i="14"/>
  <c r="C9" i="14"/>
  <c r="B14" i="14"/>
  <c r="C14" i="14"/>
  <c r="C16" i="14"/>
  <c r="B18" i="14"/>
  <c r="C18" i="14"/>
  <c r="B22" i="14"/>
  <c r="C22" i="14"/>
  <c r="B26" i="14"/>
  <c r="B27" i="14"/>
  <c r="B28" i="14"/>
  <c r="C28" i="14"/>
  <c r="B30" i="14"/>
  <c r="B31" i="14"/>
  <c r="B32" i="14"/>
  <c r="C32" i="14"/>
  <c r="A34" i="14"/>
  <c r="B34" i="14"/>
  <c r="C34" i="14"/>
  <c r="B37" i="14"/>
  <c r="A38" i="14"/>
  <c r="B38" i="14"/>
  <c r="C38" i="14"/>
  <c r="A40" i="14"/>
  <c r="B41" i="14"/>
  <c r="B42" i="14"/>
  <c r="A43" i="14"/>
  <c r="B43" i="14"/>
  <c r="C43" i="14"/>
  <c r="B45" i="14"/>
  <c r="C45" i="14"/>
  <c r="I11" i="9"/>
  <c r="I12" i="9"/>
  <c r="B13" i="9"/>
  <c r="C13" i="9"/>
  <c r="D13" i="9"/>
  <c r="E13" i="9"/>
  <c r="F13" i="9"/>
  <c r="G13" i="9"/>
  <c r="H13" i="9"/>
  <c r="I13" i="9"/>
  <c r="B18" i="9"/>
  <c r="C18" i="9"/>
  <c r="D18" i="9"/>
  <c r="E18" i="9"/>
  <c r="F18" i="9"/>
  <c r="G18" i="9"/>
  <c r="H18" i="9"/>
  <c r="I18" i="9"/>
  <c r="B19" i="9"/>
  <c r="C19" i="9"/>
  <c r="D19" i="9"/>
  <c r="E19" i="9"/>
  <c r="F19" i="9"/>
  <c r="G19" i="9"/>
  <c r="H19" i="9"/>
  <c r="I19" i="9"/>
  <c r="B20" i="9"/>
  <c r="C20" i="9"/>
  <c r="D20" i="9"/>
  <c r="E20" i="9"/>
  <c r="F20" i="9"/>
  <c r="G20" i="9"/>
  <c r="H20" i="9"/>
  <c r="I20" i="9"/>
  <c r="B28" i="9"/>
  <c r="C28" i="9"/>
  <c r="D28" i="9"/>
  <c r="E28" i="9"/>
  <c r="F28" i="9"/>
  <c r="G28" i="9"/>
  <c r="H28" i="9"/>
  <c r="I28" i="9"/>
  <c r="B32" i="9"/>
  <c r="C32" i="9"/>
  <c r="D32" i="9"/>
  <c r="E32" i="9"/>
  <c r="F32" i="9"/>
  <c r="G32" i="9"/>
  <c r="H32" i="9"/>
  <c r="I32" i="9"/>
  <c r="V11" i="5"/>
  <c r="X11" i="5"/>
  <c r="D12" i="5"/>
  <c r="F12" i="5"/>
  <c r="H12" i="5"/>
  <c r="J12" i="5"/>
  <c r="N12" i="5"/>
  <c r="P12" i="5"/>
  <c r="R12" i="5"/>
  <c r="B14" i="5"/>
  <c r="D14" i="5"/>
  <c r="F14" i="5"/>
  <c r="H14" i="5"/>
  <c r="J14" i="5"/>
  <c r="L14" i="5"/>
  <c r="N14" i="5"/>
  <c r="P14" i="5"/>
  <c r="R14" i="5"/>
  <c r="R16" i="5"/>
  <c r="Z18" i="5"/>
  <c r="W21" i="5"/>
  <c r="W22" i="5"/>
  <c r="W23" i="5"/>
  <c r="W24" i="5"/>
  <c r="V26" i="5"/>
  <c r="W26" i="5"/>
  <c r="Y26" i="5"/>
</calcChain>
</file>

<file path=xl/sharedStrings.xml><?xml version="1.0" encoding="utf-8"?>
<sst xmlns="http://schemas.openxmlformats.org/spreadsheetml/2006/main" count="617" uniqueCount="264">
  <si>
    <t xml:space="preserve">Booked </t>
  </si>
  <si>
    <t>Reserves</t>
  </si>
  <si>
    <t>EES/EEMC</t>
  </si>
  <si>
    <t>EPMI</t>
  </si>
  <si>
    <t>(Thousands of Dollars)</t>
  </si>
  <si>
    <t>January, 2001</t>
  </si>
  <si>
    <t>February, 2001</t>
  </si>
  <si>
    <t>October, 2000</t>
  </si>
  <si>
    <t>November, 2000</t>
  </si>
  <si>
    <t>December, 2000</t>
  </si>
  <si>
    <t>Enron Canada Corp</t>
  </si>
  <si>
    <t xml:space="preserve"> </t>
  </si>
  <si>
    <t xml:space="preserve">  US Gas Agreement</t>
  </si>
  <si>
    <t>Cumulative Unpaid Credit Balances</t>
  </si>
  <si>
    <t>CALPX &amp; CALISO</t>
  </si>
  <si>
    <t>Trading Contracts</t>
  </si>
  <si>
    <t xml:space="preserve">Portland General </t>
  </si>
  <si>
    <t>Pacific Gas &amp; Electric</t>
  </si>
  <si>
    <t xml:space="preserve">Possible </t>
  </si>
  <si>
    <t>Claim</t>
  </si>
  <si>
    <t>(Proof of Claim Amount is $403,949)</t>
  </si>
  <si>
    <t xml:space="preserve">Adjustments </t>
  </si>
  <si>
    <t xml:space="preserve">Description of Claim </t>
  </si>
  <si>
    <t xml:space="preserve">Net Purchases and Sales </t>
  </si>
  <si>
    <t xml:space="preserve">Enron North America </t>
  </si>
  <si>
    <t xml:space="preserve">FERC </t>
  </si>
  <si>
    <t>Refund</t>
  </si>
  <si>
    <t>Cumulative - FERC Refund</t>
  </si>
  <si>
    <t>Net ISO- PX - FERC Refund</t>
  </si>
  <si>
    <t>Split Trading Contract Differences</t>
  </si>
  <si>
    <t>Allocation of ISO - PX</t>
  </si>
  <si>
    <t>Proposed</t>
  </si>
  <si>
    <t xml:space="preserve">Reserves </t>
  </si>
  <si>
    <t>FERC Refund Assumption applied to:</t>
  </si>
  <si>
    <t xml:space="preserve">  Cumulative Unpaid Credit Balance</t>
  </si>
  <si>
    <t xml:space="preserve">  Net CALISO and CALPX purchases/sales</t>
  </si>
  <si>
    <t>FERC Refund:</t>
  </si>
  <si>
    <t>Assumptions</t>
  </si>
  <si>
    <t>Possible Adjustments:</t>
  </si>
  <si>
    <t xml:space="preserve">Confidential for Settlement Discussions Only </t>
  </si>
  <si>
    <t xml:space="preserve">Claim Summary </t>
  </si>
  <si>
    <t xml:space="preserve">Underscheduling penalty </t>
  </si>
  <si>
    <t xml:space="preserve">Total </t>
  </si>
  <si>
    <t>Adjustments</t>
  </si>
  <si>
    <t xml:space="preserve">Claim </t>
  </si>
  <si>
    <t>(a)</t>
  </si>
  <si>
    <t>(b)</t>
  </si>
  <si>
    <t>(c)</t>
  </si>
  <si>
    <t>(d)</t>
  </si>
  <si>
    <t>(e)</t>
  </si>
  <si>
    <t>(f)</t>
  </si>
  <si>
    <t>(g)</t>
  </si>
  <si>
    <t>(a) + (d)</t>
  </si>
  <si>
    <t>(b) + (c)</t>
  </si>
  <si>
    <t xml:space="preserve">Net Booked </t>
  </si>
  <si>
    <t>(a) - (f)</t>
  </si>
  <si>
    <t xml:space="preserve">Net P &amp; L </t>
  </si>
  <si>
    <t xml:space="preserve">Impact </t>
  </si>
  <si>
    <t>(h)</t>
  </si>
  <si>
    <t xml:space="preserve">  Master ISDA Agreement</t>
  </si>
  <si>
    <t xml:space="preserve">(1)   FERC Refund % Estimated to be </t>
  </si>
  <si>
    <t xml:space="preserve">      Ranged from a high in October 00 of 54% to low in December of 5%</t>
  </si>
  <si>
    <t>(2)   CALISO and CALPX Allocated 67% to PG&amp;E and 33% to SCE</t>
  </si>
  <si>
    <t>(3)   Underscheduling Claim - 100% of amounts accrued after January 17th</t>
  </si>
  <si>
    <t>(5)   ENA Master ISDA -  PG&amp;E's estinate if MTM is $63.0MM while Enron's is $74.190MM</t>
  </si>
  <si>
    <t>(4)   EPMI MPA - PG&amp;E's estimate of MTM is $125MM while Enron's is $86.113MM</t>
  </si>
  <si>
    <t xml:space="preserve">     Difference Split Equally </t>
  </si>
  <si>
    <t xml:space="preserve">Underscheduling Claim* </t>
  </si>
  <si>
    <t xml:space="preserve">Letters of Credit </t>
  </si>
  <si>
    <t xml:space="preserve">Letters of Credit with CALPX - </t>
  </si>
  <si>
    <t>Being rolled month to month</t>
  </si>
  <si>
    <t>Balance as of April, 2001</t>
  </si>
  <si>
    <t>Reconciliation of Variance</t>
  </si>
  <si>
    <t>FERC Refund</t>
  </si>
  <si>
    <t xml:space="preserve">Allocation Calculation </t>
  </si>
  <si>
    <t>(2)   CALISO and CALPX Allocated 71.5% to PG&amp;E and 28.5% to SCE</t>
  </si>
  <si>
    <t>All expire on 11/30/01</t>
  </si>
  <si>
    <t xml:space="preserve">Letters of Credit with PG&amp;E </t>
  </si>
  <si>
    <t xml:space="preserve">(1)   FERC Refund % Estimated to be around 22%. </t>
  </si>
  <si>
    <t xml:space="preserve">      Assumed 12% in above estimate, due to significant differences in the</t>
  </si>
  <si>
    <t xml:space="preserve">         level of activity each month. </t>
  </si>
  <si>
    <t>This amount will be allocated to the CALPX and  SCE.</t>
  </si>
  <si>
    <t>*Due to the uncertainty of the claim, this amount is currently not recorded as a receivalbe.</t>
  </si>
  <si>
    <t xml:space="preserve">       22% total Direct Access Energy Credits </t>
  </si>
  <si>
    <t xml:space="preserve">       Ranged from a high in October 00 of 54% to low in December of 5%</t>
  </si>
  <si>
    <t xml:space="preserve">SCE </t>
  </si>
  <si>
    <t xml:space="preserve">CALPX </t>
  </si>
  <si>
    <t xml:space="preserve">       Assumed 20% in above estimate</t>
  </si>
  <si>
    <t>Remaining</t>
  </si>
  <si>
    <t xml:space="preserve">Required </t>
  </si>
  <si>
    <t>(e) - (g) - (h)</t>
  </si>
  <si>
    <t>(i)</t>
  </si>
  <si>
    <t>This amount is allocated to the PX and SCE as follows:</t>
  </si>
  <si>
    <t>FERC Refund = 20%</t>
  </si>
  <si>
    <t>FERC Refund = 25%</t>
  </si>
  <si>
    <t xml:space="preserve">       Assumed 25% in above estimate</t>
  </si>
  <si>
    <t>FERC Refund = 30%</t>
  </si>
  <si>
    <t xml:space="preserve">       Assumed 30% in above estimate</t>
  </si>
  <si>
    <t xml:space="preserve">Privileged and Confidential </t>
  </si>
  <si>
    <t>PG&amp;E /Enron</t>
  </si>
  <si>
    <t>Issues:</t>
  </si>
  <si>
    <t>One Cent Surcharge</t>
  </si>
  <si>
    <t>Issue:</t>
  </si>
  <si>
    <t>The Direct Access Energy Credit in May, June, July, August and September appears low</t>
  </si>
  <si>
    <t>How are DWR purchases being treated?</t>
  </si>
  <si>
    <t xml:space="preserve">Proof Of Claim </t>
  </si>
  <si>
    <t>20% FERC</t>
  </si>
  <si>
    <t>25% FERC</t>
  </si>
  <si>
    <t>30% FERC</t>
  </si>
  <si>
    <t>Proposed Claim</t>
  </si>
  <si>
    <t>Booked Claim</t>
  </si>
  <si>
    <t>Less:  New Required Reserves</t>
  </si>
  <si>
    <t xml:space="preserve">Add:  Re- Allocated Receivables </t>
  </si>
  <si>
    <t>P&amp;L Calculation:</t>
  </si>
  <si>
    <t xml:space="preserve"> Total P&amp;L Impact</t>
  </si>
  <si>
    <t xml:space="preserve">Settlement Proposal Summary </t>
  </si>
  <si>
    <t>1 Cent Surcharge</t>
  </si>
  <si>
    <t>Direct Access Accounts</t>
  </si>
  <si>
    <t>Volumes/kWh</t>
  </si>
  <si>
    <t>By Month</t>
  </si>
  <si>
    <t>Total</t>
  </si>
  <si>
    <t>Total Volumes</t>
  </si>
  <si>
    <t xml:space="preserve"> IBM</t>
  </si>
  <si>
    <t>Other Volumes</t>
  </si>
  <si>
    <t xml:space="preserve">   Total </t>
  </si>
  <si>
    <t>Surcharge</t>
  </si>
  <si>
    <t>Disputed Charges</t>
  </si>
  <si>
    <t>IBM</t>
  </si>
  <si>
    <t xml:space="preserve">Other </t>
  </si>
  <si>
    <t xml:space="preserve">   Total</t>
  </si>
  <si>
    <t>Estimate from November, 2001 - December,  2002</t>
  </si>
  <si>
    <t>Estimate from April, 01 - October, 2001</t>
  </si>
  <si>
    <t>Other Accounts*</t>
  </si>
  <si>
    <t>* Volumes for Other Accounts are estimated based on January 01 Loads.   PG&amp;E billing is significantly behind for August, September and October activity.</t>
  </si>
  <si>
    <t>May-02 - Dec-02</t>
  </si>
  <si>
    <t xml:space="preserve">Forecast Volumes </t>
  </si>
  <si>
    <t>FERC Refund - Impact on Cumulative unpaid credit balance, CALPX and CALISO receivables</t>
  </si>
  <si>
    <t xml:space="preserve">Pass through esposures - CALISO and CALPX </t>
  </si>
  <si>
    <t xml:space="preserve">Termination Amounts - Trading Contracts </t>
  </si>
  <si>
    <t>Methodology (and inputs) for Calculation of  the Direct Access Energy Credit from January 17th through March 31, 2002</t>
  </si>
  <si>
    <t xml:space="preserve">Regulatory Exposure - What will ultimately get approved? </t>
  </si>
  <si>
    <t>Enron's position - Direct Access load is exempted from payment of the one cent surchage as of 3/27/01.</t>
  </si>
  <si>
    <t>Financial Swap</t>
  </si>
  <si>
    <t xml:space="preserve">Direct Access Energy Credits </t>
  </si>
  <si>
    <t>IBM Volumes</t>
  </si>
  <si>
    <t xml:space="preserve">  Average</t>
  </si>
  <si>
    <t>DA Energy Credit</t>
  </si>
  <si>
    <t>Volumes</t>
  </si>
  <si>
    <t>IBM - Net Charges</t>
  </si>
  <si>
    <t>Net Bill = 0</t>
  </si>
  <si>
    <t xml:space="preserve">Swap Delta </t>
  </si>
  <si>
    <t>Swap Price = $34</t>
  </si>
  <si>
    <t>Swap Price  = $40</t>
  </si>
  <si>
    <t xml:space="preserve">Financial Swap </t>
  </si>
  <si>
    <t>If Direct Access Energy Credit = $34</t>
  </si>
  <si>
    <t>If Direct Access Energy Credit = $40</t>
  </si>
  <si>
    <t>If Direct Access Energy Credit = $50</t>
  </si>
  <si>
    <t>Effective Date April, 01- August, 01</t>
  </si>
  <si>
    <t>Portland General Electric</t>
  </si>
  <si>
    <t>Should Portland General be included as part of the settlement</t>
  </si>
  <si>
    <t xml:space="preserve">D A Energy Credit </t>
  </si>
  <si>
    <t>Swap Price</t>
  </si>
  <si>
    <t xml:space="preserve"> Value - Traded</t>
  </si>
  <si>
    <t>Swap Price = $54</t>
  </si>
  <si>
    <t xml:space="preserve">Swap Settlement </t>
  </si>
  <si>
    <t>If DA Energy Credit  = $80 and Swap Price is $54</t>
  </si>
  <si>
    <t xml:space="preserve">Estimated T &amp; D Cost </t>
  </si>
  <si>
    <t xml:space="preserve">Privileged &amp; Confidential </t>
  </si>
  <si>
    <t>Minimum - Swap Price</t>
  </si>
  <si>
    <t xml:space="preserve">Pacific Gas &amp; Electric </t>
  </si>
  <si>
    <t>Summary</t>
  </si>
  <si>
    <t xml:space="preserve">Confidential for Settlement Purposes Only </t>
  </si>
  <si>
    <t>Amount</t>
  </si>
  <si>
    <t>MPA</t>
  </si>
  <si>
    <t>Rec</t>
  </si>
  <si>
    <t>Net</t>
  </si>
  <si>
    <t>REC Bal</t>
  </si>
  <si>
    <t>PG&amp;E' s</t>
  </si>
  <si>
    <t>Enron Legal Entity</t>
  </si>
  <si>
    <t>Claimed</t>
  </si>
  <si>
    <t>Offsets</t>
  </si>
  <si>
    <t>Balance</t>
  </si>
  <si>
    <t>w/FERC Refund</t>
  </si>
  <si>
    <t>Offer</t>
  </si>
  <si>
    <t>Receivables</t>
  </si>
  <si>
    <t>EPMI (CALISO &amp; CALPX</t>
  </si>
  <si>
    <t>EPMI (MPA)</t>
  </si>
  <si>
    <t>Portland General Electric Company</t>
  </si>
  <si>
    <t>Enron North America Corporation</t>
  </si>
  <si>
    <t>Payables</t>
  </si>
  <si>
    <t xml:space="preserve">Grand Total </t>
  </si>
  <si>
    <t xml:space="preserve">Summary of Discussions </t>
  </si>
  <si>
    <t>Enron Quotes</t>
  </si>
  <si>
    <t>PG&amp; E Quotes</t>
  </si>
  <si>
    <t>Valuation Difference</t>
  </si>
  <si>
    <t>Amounts Due Enron:</t>
  </si>
  <si>
    <t>EPMI (MPA) Termination Payment</t>
  </si>
  <si>
    <t>86 - 102</t>
  </si>
  <si>
    <t>125 - 140</t>
  </si>
  <si>
    <t>Schedule Of Differences</t>
  </si>
  <si>
    <t>Amounts Due PG&amp;E:</t>
  </si>
  <si>
    <t xml:space="preserve">Gas Transactions </t>
  </si>
  <si>
    <t>Master ISDA Agreement</t>
  </si>
  <si>
    <t xml:space="preserve">  Canadian Gas Transactions</t>
  </si>
  <si>
    <t>Underscheduling Claim</t>
  </si>
  <si>
    <t xml:space="preserve">    Total Gas</t>
  </si>
  <si>
    <t xml:space="preserve">   Total Difference</t>
  </si>
  <si>
    <t>Description</t>
  </si>
  <si>
    <t xml:space="preserve">Gross </t>
  </si>
  <si>
    <t xml:space="preserve">Receivable </t>
  </si>
  <si>
    <t>Cumulative Unpaid Credit Balance</t>
  </si>
  <si>
    <t xml:space="preserve">  EES</t>
  </si>
  <si>
    <t xml:space="preserve">  EEMC</t>
  </si>
  <si>
    <t xml:space="preserve">Total EES/EEMC </t>
  </si>
  <si>
    <t>CALISO</t>
  </si>
  <si>
    <t xml:space="preserve">November, 2000  - Sales to ISO </t>
  </si>
  <si>
    <t>February, 2001 - Allocation of Defaults</t>
  </si>
  <si>
    <t>CALISO - Underscheduling*</t>
  </si>
  <si>
    <t>March, 2001</t>
  </si>
  <si>
    <t>April, 2001</t>
  </si>
  <si>
    <t>*This underscheduling receivable is not been booked and has not been taken to earnings</t>
  </si>
  <si>
    <t>CALPX</t>
  </si>
  <si>
    <t xml:space="preserve">Dec 00 Day Ahead/Day of Billing </t>
  </si>
  <si>
    <t>Payment Jan 18th</t>
  </si>
  <si>
    <t>Payment Jan 30th</t>
  </si>
  <si>
    <t>Nov RT Final billing dated Feb 15th</t>
  </si>
  <si>
    <t>Feb RT P billing dated 4/27</t>
  </si>
  <si>
    <t>Jan DA DO billing dated 5/15</t>
  </si>
  <si>
    <t xml:space="preserve">Jan CTS billing dated 5/15 </t>
  </si>
  <si>
    <t>Feb CTS billing dated 5/15</t>
  </si>
  <si>
    <t xml:space="preserve">    Sub Total</t>
  </si>
  <si>
    <t xml:space="preserve">Transfer To/From Collateral </t>
  </si>
  <si>
    <t>Mar RT P billing dated 6/15</t>
  </si>
  <si>
    <t>Commandeering Claim</t>
  </si>
  <si>
    <t xml:space="preserve">Loss of Collateral - With CalPX </t>
  </si>
  <si>
    <t xml:space="preserve">   Total Collateral - 133,777</t>
  </si>
  <si>
    <t>Total EPMI (CALISO  &amp;CALPX)</t>
  </si>
  <si>
    <t>MPA - Power Sales</t>
  </si>
  <si>
    <t>Total EPMI (Power Sales)</t>
  </si>
  <si>
    <t>Sales:</t>
  </si>
  <si>
    <t xml:space="preserve">  Net Sales </t>
  </si>
  <si>
    <t>Purchases/Payments:</t>
  </si>
  <si>
    <t>Netting &amp; Payments</t>
  </si>
  <si>
    <t xml:space="preserve">   Net Purchases</t>
  </si>
  <si>
    <t xml:space="preserve">   Net Sales</t>
  </si>
  <si>
    <t xml:space="preserve">  Net Purchases</t>
  </si>
  <si>
    <t xml:space="preserve">Total Portland General </t>
  </si>
  <si>
    <t>11 Canadian Gas Transactions</t>
  </si>
  <si>
    <t>Termination Payments</t>
  </si>
  <si>
    <t>Total Enron Canada Corp</t>
  </si>
  <si>
    <t>US Gas Agreement</t>
  </si>
  <si>
    <t>Us Gas - Termination Payment</t>
  </si>
  <si>
    <t xml:space="preserve">  Total Us Gas</t>
  </si>
  <si>
    <t>Master ISDA - Termination Payment</t>
  </si>
  <si>
    <t xml:space="preserve">  Total Master ISDA</t>
  </si>
  <si>
    <t>Total North America Corporation</t>
  </si>
  <si>
    <t>EPMI (CALISO &amp; CALPX)</t>
  </si>
  <si>
    <t>CALISO - Underscheduling</t>
  </si>
  <si>
    <t>Total EPMI (CALISO &amp; CALPX)</t>
  </si>
  <si>
    <t>Sales - October through February, 2001</t>
  </si>
  <si>
    <t>Purchases/Payments</t>
  </si>
  <si>
    <t>Sales - October through January, 2001</t>
  </si>
  <si>
    <t>Canadian Gas Transactions</t>
  </si>
  <si>
    <t xml:space="preserve">Total Receivable Claim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</si>
</sst>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5" formatCode="_(* #,##0_);_(* \(#,##0\);_(* &quot;-&quot;??_);_(@_)"/>
    <numFmt numFmtId="169" formatCode="0.000"/>
    <numFmt numFmtId="171" formatCode="0.00000"/>
    <numFmt numFmtId="173" formatCode="&quot;$&quot;#,##0"/>
    <numFmt numFmtId="174" formatCode="&quot;$&quot;#,##0.00"/>
    <numFmt numFmtId="177" formatCode="#,##0.000"/>
    <numFmt numFmtId="178" formatCode="_(* #,##0.00000_);_(* \(#,##0.00000\);_(* &quot;-&quot;??_);_(@_)"/>
    <numFmt numFmtId="184" formatCode="0.00000_);\(0.00000\)"/>
  </numFmts>
  <fonts count="14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8"/>
      <color indexed="8"/>
      <name val="Arial"/>
      <family val="2"/>
    </font>
    <font>
      <b/>
      <sz val="7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9">
    <xf numFmtId="0" fontId="0" fillId="0" borderId="0" xfId="0"/>
    <xf numFmtId="0" fontId="3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7" fillId="0" borderId="0" xfId="0" applyFont="1"/>
    <xf numFmtId="3" fontId="5" fillId="0" borderId="0" xfId="0" applyNumberFormat="1" applyFont="1"/>
    <xf numFmtId="3" fontId="5" fillId="0" borderId="0" xfId="0" applyNumberFormat="1" applyFont="1" applyFill="1" applyBorder="1"/>
    <xf numFmtId="3" fontId="7" fillId="0" borderId="2" xfId="0" applyNumberFormat="1" applyFont="1" applyBorder="1"/>
    <xf numFmtId="3" fontId="7" fillId="0" borderId="0" xfId="0" applyNumberFormat="1" applyFont="1" applyBorder="1"/>
    <xf numFmtId="169" fontId="0" fillId="0" borderId="0" xfId="0" applyNumberFormat="1"/>
    <xf numFmtId="3" fontId="5" fillId="0" borderId="1" xfId="0" applyNumberFormat="1" applyFont="1" applyFill="1" applyBorder="1"/>
    <xf numFmtId="3" fontId="0" fillId="0" borderId="0" xfId="0" applyNumberFormat="1"/>
    <xf numFmtId="0" fontId="8" fillId="0" borderId="0" xfId="0" applyFont="1"/>
    <xf numFmtId="0" fontId="3" fillId="0" borderId="0" xfId="0" applyFont="1" applyAlignment="1">
      <alignment horizontal="left"/>
    </xf>
    <xf numFmtId="9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0" xfId="0" applyNumberFormat="1"/>
    <xf numFmtId="171" fontId="0" fillId="0" borderId="0" xfId="0" applyNumberFormat="1"/>
    <xf numFmtId="17" fontId="0" fillId="0" borderId="0" xfId="0" applyNumberFormat="1"/>
    <xf numFmtId="37" fontId="0" fillId="0" borderId="0" xfId="0" applyNumberFormat="1"/>
    <xf numFmtId="0" fontId="9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0" fillId="0" borderId="2" xfId="0" applyNumberFormat="1" applyBorder="1"/>
    <xf numFmtId="1" fontId="0" fillId="0" borderId="1" xfId="0" applyNumberFormat="1" applyBorder="1"/>
    <xf numFmtId="169" fontId="0" fillId="0" borderId="1" xfId="0" applyNumberFormat="1" applyBorder="1"/>
    <xf numFmtId="37" fontId="0" fillId="0" borderId="0" xfId="0" applyNumberFormat="1" applyBorder="1"/>
    <xf numFmtId="0" fontId="0" fillId="0" borderId="0" xfId="0" applyFill="1"/>
    <xf numFmtId="37" fontId="3" fillId="0" borderId="0" xfId="0" applyNumberFormat="1" applyFont="1"/>
    <xf numFmtId="37" fontId="3" fillId="0" borderId="2" xfId="0" applyNumberFormat="1" applyFont="1" applyBorder="1"/>
    <xf numFmtId="17" fontId="5" fillId="0" borderId="0" xfId="0" applyNumberFormat="1" applyFont="1"/>
    <xf numFmtId="1" fontId="5" fillId="0" borderId="0" xfId="0" applyNumberFormat="1" applyFont="1"/>
    <xf numFmtId="169" fontId="5" fillId="0" borderId="0" xfId="0" applyNumberFormat="1" applyFont="1"/>
    <xf numFmtId="171" fontId="5" fillId="0" borderId="0" xfId="0" applyNumberFormat="1" applyFont="1"/>
    <xf numFmtId="1" fontId="5" fillId="0" borderId="1" xfId="0" applyNumberFormat="1" applyFont="1" applyBorder="1"/>
    <xf numFmtId="169" fontId="5" fillId="0" borderId="1" xfId="0" applyNumberFormat="1" applyFont="1" applyBorder="1"/>
    <xf numFmtId="0" fontId="0" fillId="0" borderId="0" xfId="0" applyFill="1" applyBorder="1"/>
    <xf numFmtId="37" fontId="5" fillId="0" borderId="0" xfId="0" applyNumberFormat="1" applyFont="1"/>
    <xf numFmtId="37" fontId="3" fillId="0" borderId="0" xfId="0" applyNumberFormat="1" applyFont="1" applyBorder="1"/>
    <xf numFmtId="37" fontId="0" fillId="2" borderId="0" xfId="0" applyNumberFormat="1" applyFill="1"/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right"/>
    </xf>
    <xf numFmtId="1" fontId="0" fillId="2" borderId="0" xfId="0" applyNumberFormat="1" applyFill="1"/>
    <xf numFmtId="1" fontId="0" fillId="2" borderId="0" xfId="0" applyNumberFormat="1" applyFill="1" applyBorder="1"/>
    <xf numFmtId="37" fontId="0" fillId="2" borderId="0" xfId="0" applyNumberFormat="1" applyFill="1" applyBorder="1"/>
    <xf numFmtId="0" fontId="7" fillId="0" borderId="3" xfId="0" applyFont="1" applyBorder="1"/>
    <xf numFmtId="0" fontId="7" fillId="0" borderId="0" xfId="0" applyFont="1" applyBorder="1"/>
    <xf numFmtId="0" fontId="7" fillId="0" borderId="4" xfId="0" applyFont="1" applyBorder="1"/>
    <xf numFmtId="0" fontId="3" fillId="0" borderId="0" xfId="0" applyFont="1" applyBorder="1"/>
    <xf numFmtId="0" fontId="5" fillId="0" borderId="0" xfId="0" applyFont="1" applyBorder="1"/>
    <xf numFmtId="174" fontId="7" fillId="0" borderId="0" xfId="0" applyNumberFormat="1" applyFont="1" applyBorder="1"/>
    <xf numFmtId="0" fontId="4" fillId="0" borderId="0" xfId="0" applyFont="1" applyBorder="1"/>
    <xf numFmtId="174" fontId="7" fillId="0" borderId="0" xfId="1" applyNumberFormat="1" applyFont="1" applyBorder="1"/>
    <xf numFmtId="173" fontId="7" fillId="0" borderId="0" xfId="0" applyNumberFormat="1" applyFont="1" applyBorder="1"/>
    <xf numFmtId="3" fontId="3" fillId="0" borderId="0" xfId="1" applyNumberFormat="1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3" borderId="5" xfId="0" applyFont="1" applyFill="1" applyBorder="1"/>
    <xf numFmtId="165" fontId="7" fillId="0" borderId="2" xfId="1" applyNumberFormat="1" applyFont="1" applyBorder="1" applyAlignment="1">
      <alignment horizontal="left" indent="1"/>
    </xf>
    <xf numFmtId="17" fontId="7" fillId="3" borderId="6" xfId="0" applyNumberFormat="1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0" borderId="0" xfId="0" applyFont="1" applyFill="1" applyBorder="1"/>
    <xf numFmtId="17" fontId="7" fillId="0" borderId="0" xfId="0" applyNumberFormat="1" applyFont="1" applyFill="1" applyBorder="1" applyAlignment="1">
      <alignment horizontal="left"/>
    </xf>
    <xf numFmtId="16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165" fontId="7" fillId="0" borderId="8" xfId="1" applyNumberFormat="1" applyFont="1" applyBorder="1"/>
    <xf numFmtId="165" fontId="7" fillId="0" borderId="9" xfId="1" applyNumberFormat="1" applyFont="1" applyBorder="1"/>
    <xf numFmtId="3" fontId="11" fillId="0" borderId="0" xfId="0" applyNumberFormat="1" applyFont="1" applyFill="1" applyBorder="1" applyAlignment="1">
      <alignment horizontal="right" wrapText="1"/>
    </xf>
    <xf numFmtId="165" fontId="7" fillId="0" borderId="10" xfId="1" applyNumberFormat="1" applyFont="1" applyFill="1" applyBorder="1" applyAlignment="1">
      <alignment horizontal="right"/>
    </xf>
    <xf numFmtId="165" fontId="7" fillId="0" borderId="11" xfId="0" applyNumberFormat="1" applyFont="1" applyBorder="1"/>
    <xf numFmtId="0" fontId="7" fillId="0" borderId="10" xfId="0" applyFont="1" applyBorder="1"/>
    <xf numFmtId="3" fontId="7" fillId="0" borderId="10" xfId="0" applyNumberFormat="1" applyFont="1" applyFill="1" applyBorder="1"/>
    <xf numFmtId="0" fontId="5" fillId="0" borderId="0" xfId="0" applyFont="1" applyFill="1"/>
    <xf numFmtId="0" fontId="4" fillId="0" borderId="0" xfId="0" applyFont="1" applyFill="1"/>
    <xf numFmtId="0" fontId="7" fillId="0" borderId="0" xfId="0" applyFont="1" applyFill="1"/>
    <xf numFmtId="3" fontId="7" fillId="0" borderId="9" xfId="1" applyNumberFormat="1" applyFont="1" applyFill="1" applyBorder="1" applyAlignment="1">
      <alignment horizontal="right"/>
    </xf>
    <xf numFmtId="3" fontId="7" fillId="0" borderId="8" xfId="1" applyNumberFormat="1" applyFont="1" applyBorder="1"/>
    <xf numFmtId="3" fontId="7" fillId="0" borderId="9" xfId="1" applyNumberFormat="1" applyFont="1" applyBorder="1"/>
    <xf numFmtId="3" fontId="7" fillId="0" borderId="12" xfId="1" applyNumberFormat="1" applyFont="1" applyFill="1" applyBorder="1" applyAlignment="1">
      <alignment horizontal="right"/>
    </xf>
    <xf numFmtId="3" fontId="7" fillId="0" borderId="4" xfId="1" applyNumberFormat="1" applyFont="1" applyBorder="1"/>
    <xf numFmtId="3" fontId="7" fillId="0" borderId="10" xfId="1" applyNumberFormat="1" applyFont="1" applyBorder="1"/>
    <xf numFmtId="3" fontId="11" fillId="0" borderId="10" xfId="0" applyNumberFormat="1" applyFont="1" applyFill="1" applyBorder="1" applyAlignment="1">
      <alignment horizontal="right" wrapText="1"/>
    </xf>
    <xf numFmtId="3" fontId="7" fillId="0" borderId="10" xfId="1" applyNumberFormat="1" applyFont="1" applyFill="1" applyBorder="1" applyAlignment="1">
      <alignment horizontal="right"/>
    </xf>
    <xf numFmtId="3" fontId="7" fillId="0" borderId="11" xfId="0" applyNumberFormat="1" applyFont="1" applyBorder="1"/>
    <xf numFmtId="3" fontId="7" fillId="0" borderId="13" xfId="0" applyNumberFormat="1" applyFont="1" applyBorder="1"/>
    <xf numFmtId="177" fontId="7" fillId="0" borderId="0" xfId="0" applyNumberFormat="1" applyFont="1"/>
    <xf numFmtId="3" fontId="7" fillId="0" borderId="9" xfId="0" applyNumberFormat="1" applyFont="1" applyBorder="1"/>
    <xf numFmtId="3" fontId="7" fillId="0" borderId="8" xfId="0" applyNumberFormat="1" applyFont="1" applyBorder="1"/>
    <xf numFmtId="3" fontId="7" fillId="0" borderId="10" xfId="0" applyNumberFormat="1" applyFont="1" applyBorder="1"/>
    <xf numFmtId="3" fontId="7" fillId="0" borderId="4" xfId="0" applyNumberFormat="1" applyFont="1" applyFill="1" applyBorder="1"/>
    <xf numFmtId="0" fontId="12" fillId="0" borderId="0" xfId="0" applyFont="1" applyFill="1"/>
    <xf numFmtId="0" fontId="8" fillId="0" borderId="0" xfId="0" applyFont="1" applyFill="1"/>
    <xf numFmtId="3" fontId="7" fillId="0" borderId="6" xfId="0" applyNumberFormat="1" applyFont="1" applyBorder="1"/>
    <xf numFmtId="3" fontId="3" fillId="0" borderId="0" xfId="0" applyNumberFormat="1" applyFont="1" applyBorder="1"/>
    <xf numFmtId="0" fontId="2" fillId="0" borderId="0" xfId="0" applyFont="1" applyBorder="1"/>
    <xf numFmtId="3" fontId="4" fillId="0" borderId="0" xfId="1" applyNumberFormat="1" applyFont="1" applyBorder="1"/>
    <xf numFmtId="0" fontId="7" fillId="3" borderId="5" xfId="0" applyFont="1" applyFill="1" applyBorder="1" applyAlignment="1">
      <alignment horizontal="center"/>
    </xf>
    <xf numFmtId="0" fontId="7" fillId="0" borderId="8" xfId="0" applyFont="1" applyBorder="1"/>
    <xf numFmtId="3" fontId="7" fillId="0" borderId="8" xfId="0" applyNumberFormat="1" applyFont="1" applyFill="1" applyBorder="1" applyAlignment="1">
      <alignment horizontal="right"/>
    </xf>
    <xf numFmtId="2" fontId="0" fillId="0" borderId="0" xfId="0" applyNumberFormat="1" applyFill="1"/>
    <xf numFmtId="0" fontId="7" fillId="0" borderId="14" xfId="0" applyFont="1" applyBorder="1"/>
    <xf numFmtId="0" fontId="7" fillId="0" borderId="14" xfId="0" applyFont="1" applyBorder="1" applyAlignment="1">
      <alignment horizontal="left"/>
    </xf>
    <xf numFmtId="0" fontId="0" fillId="0" borderId="14" xfId="0" applyBorder="1"/>
    <xf numFmtId="0" fontId="7" fillId="0" borderId="9" xfId="0" applyFont="1" applyFill="1" applyBorder="1"/>
    <xf numFmtId="165" fontId="7" fillId="0" borderId="15" xfId="1" applyNumberFormat="1" applyFont="1" applyFill="1" applyBorder="1" applyAlignment="1">
      <alignment horizontal="right"/>
    </xf>
    <xf numFmtId="165" fontId="7" fillId="0" borderId="8" xfId="1" applyNumberFormat="1" applyFont="1" applyFill="1" applyBorder="1" applyAlignment="1">
      <alignment horizontal="right"/>
    </xf>
    <xf numFmtId="0" fontId="7" fillId="0" borderId="16" xfId="0" applyFont="1" applyFill="1" applyBorder="1"/>
    <xf numFmtId="0" fontId="7" fillId="0" borderId="4" xfId="0" applyFont="1" applyFill="1" applyBorder="1"/>
    <xf numFmtId="3" fontId="11" fillId="0" borderId="4" xfId="0" applyNumberFormat="1" applyFont="1" applyFill="1" applyBorder="1" applyAlignment="1">
      <alignment horizontal="right" wrapText="1"/>
    </xf>
    <xf numFmtId="165" fontId="7" fillId="0" borderId="16" xfId="1" applyNumberFormat="1" applyFont="1" applyFill="1" applyBorder="1" applyAlignment="1">
      <alignment horizontal="right"/>
    </xf>
    <xf numFmtId="165" fontId="7" fillId="0" borderId="17" xfId="0" applyNumberFormat="1" applyFont="1" applyBorder="1"/>
    <xf numFmtId="178" fontId="7" fillId="0" borderId="0" xfId="0" applyNumberFormat="1" applyFont="1"/>
    <xf numFmtId="0" fontId="7" fillId="0" borderId="9" xfId="0" applyFont="1" applyBorder="1"/>
    <xf numFmtId="184" fontId="7" fillId="0" borderId="13" xfId="0" applyNumberFormat="1" applyFont="1" applyBorder="1"/>
    <xf numFmtId="0" fontId="7" fillId="3" borderId="8" xfId="0" applyFont="1" applyFill="1" applyBorder="1" applyAlignment="1">
      <alignment horizontal="center"/>
    </xf>
    <xf numFmtId="17" fontId="7" fillId="3" borderId="12" xfId="0" applyNumberFormat="1" applyFont="1" applyFill="1" applyBorder="1" applyAlignment="1">
      <alignment horizontal="center"/>
    </xf>
    <xf numFmtId="17" fontId="7" fillId="3" borderId="15" xfId="0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0" fillId="0" borderId="3" xfId="0" applyBorder="1"/>
    <xf numFmtId="0" fontId="7" fillId="0" borderId="3" xfId="0" applyFont="1" applyFill="1" applyBorder="1"/>
    <xf numFmtId="165" fontId="7" fillId="0" borderId="4" xfId="1" applyNumberFormat="1" applyFont="1" applyFill="1" applyBorder="1" applyAlignment="1">
      <alignment horizontal="right"/>
    </xf>
    <xf numFmtId="184" fontId="7" fillId="0" borderId="3" xfId="0" applyNumberFormat="1" applyFont="1" applyBorder="1"/>
    <xf numFmtId="184" fontId="0" fillId="0" borderId="3" xfId="0" applyNumberFormat="1" applyBorder="1"/>
    <xf numFmtId="184" fontId="7" fillId="0" borderId="4" xfId="0" applyNumberFormat="1" applyFont="1" applyFill="1" applyBorder="1" applyAlignment="1">
      <alignment horizontal="right"/>
    </xf>
    <xf numFmtId="184" fontId="7" fillId="0" borderId="3" xfId="0" applyNumberFormat="1" applyFont="1" applyFill="1" applyBorder="1"/>
    <xf numFmtId="184" fontId="7" fillId="0" borderId="4" xfId="0" applyNumberFormat="1" applyFont="1" applyFill="1" applyBorder="1"/>
    <xf numFmtId="184" fontId="7" fillId="0" borderId="14" xfId="0" applyNumberFormat="1" applyFont="1" applyBorder="1"/>
    <xf numFmtId="184" fontId="0" fillId="0" borderId="14" xfId="0" applyNumberFormat="1" applyBorder="1"/>
    <xf numFmtId="184" fontId="7" fillId="0" borderId="10" xfId="0" applyNumberFormat="1" applyFont="1" applyFill="1" applyBorder="1"/>
    <xf numFmtId="184" fontId="7" fillId="0" borderId="14" xfId="0" applyNumberFormat="1" applyFont="1" applyFill="1" applyBorder="1"/>
    <xf numFmtId="184" fontId="7" fillId="0" borderId="11" xfId="0" applyNumberFormat="1" applyFont="1" applyBorder="1"/>
    <xf numFmtId="184" fontId="4" fillId="0" borderId="14" xfId="0" applyNumberFormat="1" applyFont="1" applyFill="1" applyBorder="1"/>
    <xf numFmtId="37" fontId="7" fillId="0" borderId="11" xfId="0" applyNumberFormat="1" applyFont="1" applyBorder="1"/>
    <xf numFmtId="0" fontId="3" fillId="0" borderId="6" xfId="0" applyFont="1" applyBorder="1"/>
    <xf numFmtId="0" fontId="3" fillId="3" borderId="6" xfId="0" applyFont="1" applyFill="1" applyBorder="1"/>
    <xf numFmtId="37" fontId="5" fillId="0" borderId="0" xfId="0" applyNumberFormat="1" applyFont="1" applyBorder="1"/>
    <xf numFmtId="14" fontId="7" fillId="0" borderId="0" xfId="0" applyNumberFormat="1" applyFont="1" applyBorder="1" applyAlignment="1">
      <alignment horizontal="left"/>
    </xf>
    <xf numFmtId="9" fontId="3" fillId="0" borderId="0" xfId="0" applyNumberFormat="1" applyFont="1" applyBorder="1" applyAlignment="1">
      <alignment horizontal="center"/>
    </xf>
    <xf numFmtId="37" fontId="4" fillId="0" borderId="0" xfId="0" applyNumberFormat="1" applyFont="1" applyBorder="1"/>
    <xf numFmtId="0" fontId="2" fillId="0" borderId="0" xfId="0" applyFont="1" applyFill="1" applyBorder="1"/>
    <xf numFmtId="171" fontId="7" fillId="0" borderId="0" xfId="0" applyNumberFormat="1" applyFont="1"/>
    <xf numFmtId="165" fontId="7" fillId="0" borderId="2" xfId="0" applyNumberFormat="1" applyFont="1" applyBorder="1"/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3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1" fillId="0" borderId="0" xfId="1" applyNumberFormat="1"/>
    <xf numFmtId="165" fontId="0" fillId="0" borderId="0" xfId="0" applyNumberFormat="1"/>
    <xf numFmtId="165" fontId="1" fillId="0" borderId="1" xfId="1" applyNumberFormat="1" applyBorder="1"/>
    <xf numFmtId="165" fontId="0" fillId="0" borderId="1" xfId="0" applyNumberFormat="1" applyBorder="1"/>
    <xf numFmtId="165" fontId="1" fillId="0" borderId="0" xfId="1" applyNumberFormat="1" applyBorder="1"/>
    <xf numFmtId="165" fontId="0" fillId="0" borderId="2" xfId="0" applyNumberFormat="1" applyBorder="1"/>
    <xf numFmtId="165" fontId="0" fillId="0" borderId="0" xfId="0" applyNumberFormat="1" applyFill="1" applyBorder="1"/>
    <xf numFmtId="165" fontId="3" fillId="0" borderId="18" xfId="0" applyNumberFormat="1" applyFont="1" applyBorder="1"/>
    <xf numFmtId="0" fontId="4" fillId="0" borderId="0" xfId="0" applyFont="1"/>
    <xf numFmtId="165" fontId="3" fillId="0" borderId="2" xfId="1" applyNumberFormat="1" applyFont="1" applyBorder="1"/>
    <xf numFmtId="0" fontId="7" fillId="0" borderId="0" xfId="0" applyFont="1" applyAlignment="1">
      <alignment horizontal="center"/>
    </xf>
    <xf numFmtId="0" fontId="5" fillId="0" borderId="1" xfId="0" applyFont="1" applyBorder="1"/>
    <xf numFmtId="0" fontId="7" fillId="0" borderId="1" xfId="0" applyFont="1" applyBorder="1" applyAlignment="1">
      <alignment horizontal="center"/>
    </xf>
    <xf numFmtId="1" fontId="5" fillId="0" borderId="0" xfId="1" applyNumberFormat="1" applyFont="1" applyAlignment="1">
      <alignment horizontal="right"/>
    </xf>
    <xf numFmtId="1" fontId="5" fillId="0" borderId="0" xfId="1" applyNumberFormat="1" applyFont="1"/>
    <xf numFmtId="0" fontId="0" fillId="0" borderId="0" xfId="0" applyAlignment="1">
      <alignment horizontal="right"/>
    </xf>
    <xf numFmtId="3" fontId="5" fillId="0" borderId="0" xfId="1" applyNumberFormat="1" applyFont="1" applyAlignment="1">
      <alignment horizontal="right"/>
    </xf>
    <xf numFmtId="3" fontId="5" fillId="0" borderId="0" xfId="1" applyNumberFormat="1" applyFont="1"/>
    <xf numFmtId="43" fontId="1" fillId="0" borderId="0" xfId="1" applyAlignment="1">
      <alignment horizontal="right"/>
    </xf>
    <xf numFmtId="3" fontId="7" fillId="0" borderId="2" xfId="1" applyNumberFormat="1" applyFont="1" applyBorder="1"/>
    <xf numFmtId="17" fontId="5" fillId="0" borderId="0" xfId="0" applyNumberFormat="1" applyFont="1" applyAlignment="1">
      <alignment horizontal="left"/>
    </xf>
    <xf numFmtId="16" fontId="5" fillId="0" borderId="0" xfId="0" applyNumberFormat="1" applyFont="1" applyAlignment="1">
      <alignment horizontal="left"/>
    </xf>
    <xf numFmtId="3" fontId="5" fillId="0" borderId="1" xfId="1" applyNumberFormat="1" applyFont="1" applyBorder="1"/>
    <xf numFmtId="3" fontId="5" fillId="0" borderId="0" xfId="1" applyNumberFormat="1" applyFont="1" applyBorder="1"/>
    <xf numFmtId="3" fontId="5" fillId="0" borderId="1" xfId="0" applyNumberFormat="1" applyFont="1" applyBorder="1"/>
    <xf numFmtId="3" fontId="5" fillId="0" borderId="0" xfId="0" applyNumberFormat="1" applyFont="1" applyBorder="1"/>
    <xf numFmtId="3" fontId="7" fillId="0" borderId="2" xfId="0" applyNumberFormat="1" applyFont="1" applyFill="1" applyBorder="1"/>
    <xf numFmtId="16" fontId="7" fillId="0" borderId="0" xfId="0" applyNumberFormat="1" applyFont="1" applyAlignment="1">
      <alignment horizontal="left"/>
    </xf>
    <xf numFmtId="3" fontId="7" fillId="0" borderId="0" xfId="1" applyNumberFormat="1" applyFont="1" applyBorder="1"/>
    <xf numFmtId="0" fontId="5" fillId="0" borderId="0" xfId="0" applyFont="1" applyAlignment="1">
      <alignment horizontal="right"/>
    </xf>
    <xf numFmtId="3" fontId="7" fillId="0" borderId="0" xfId="0" applyNumberFormat="1" applyFont="1"/>
    <xf numFmtId="0" fontId="9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3" fontId="4" fillId="0" borderId="0" xfId="0" applyNumberFormat="1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Direct Access Energy Credits 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(Based on IBM Data)</a:t>
            </a:r>
          </a:p>
        </c:rich>
      </c:tx>
      <c:layout>
        <c:manualLayout>
          <c:xMode val="edge"/>
          <c:yMode val="edge"/>
          <c:x val="0.3722466960352423"/>
          <c:y val="2.72873194221508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700440528634359E-2"/>
          <c:y val="0.15569823434991975"/>
          <c:w val="0.87555066079295152"/>
          <c:h val="0.7062600321027287"/>
        </c:manualLayout>
      </c:layout>
      <c:barChart>
        <c:barDir val="col"/>
        <c:grouping val="clustered"/>
        <c:varyColors val="0"/>
        <c:ser>
          <c:idx val="0"/>
          <c:order val="0"/>
          <c:tx>
            <c:v>Rate/KwH</c:v>
          </c:tx>
          <c:spPr>
            <a:solidFill>
              <a:srgbClr val="9999FF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dLbls>
            <c:numFmt formatCode="0.00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'[1]IBM Analysis'!$B$6:$R$6</c:f>
              <c:numCache>
                <c:formatCode>General</c:formatCode>
                <c:ptCount val="17"/>
                <c:pt idx="0">
                  <c:v>36647</c:v>
                </c:pt>
                <c:pt idx="1">
                  <c:v>36678</c:v>
                </c:pt>
                <c:pt idx="2">
                  <c:v>36708</c:v>
                </c:pt>
                <c:pt idx="3">
                  <c:v>36739</c:v>
                </c:pt>
                <c:pt idx="4">
                  <c:v>36770</c:v>
                </c:pt>
                <c:pt idx="5">
                  <c:v>36800</c:v>
                </c:pt>
                <c:pt idx="6">
                  <c:v>36831</c:v>
                </c:pt>
                <c:pt idx="7">
                  <c:v>36861</c:v>
                </c:pt>
                <c:pt idx="8">
                  <c:v>36892</c:v>
                </c:pt>
                <c:pt idx="9">
                  <c:v>36923</c:v>
                </c:pt>
                <c:pt idx="10">
                  <c:v>36951</c:v>
                </c:pt>
                <c:pt idx="11">
                  <c:v>36982</c:v>
                </c:pt>
                <c:pt idx="12">
                  <c:v>37012</c:v>
                </c:pt>
                <c:pt idx="13">
                  <c:v>37043</c:v>
                </c:pt>
                <c:pt idx="14">
                  <c:v>37073</c:v>
                </c:pt>
                <c:pt idx="15">
                  <c:v>37104</c:v>
                </c:pt>
                <c:pt idx="16">
                  <c:v>37135</c:v>
                </c:pt>
              </c:numCache>
            </c:numRef>
          </c:cat>
          <c:val>
            <c:numRef>
              <c:f>'[1]IBM Analysis'!$B$34:$R$34</c:f>
              <c:numCache>
                <c:formatCode>General</c:formatCode>
                <c:ptCount val="17"/>
                <c:pt idx="0">
                  <c:v>5.4934011496628653E-2</c:v>
                </c:pt>
                <c:pt idx="1">
                  <c:v>0.10063699656880357</c:v>
                </c:pt>
                <c:pt idx="2">
                  <c:v>0.11560476199926362</c:v>
                </c:pt>
                <c:pt idx="3">
                  <c:v>0.17460724783503789</c:v>
                </c:pt>
                <c:pt idx="4">
                  <c:v>0.13532061094290218</c:v>
                </c:pt>
                <c:pt idx="5">
                  <c:v>0.13388881620700838</c:v>
                </c:pt>
                <c:pt idx="6">
                  <c:v>0.23662303816309022</c:v>
                </c:pt>
                <c:pt idx="7">
                  <c:v>0.29398242488493159</c:v>
                </c:pt>
                <c:pt idx="8">
                  <c:v>0.18297425540355514</c:v>
                </c:pt>
                <c:pt idx="9">
                  <c:v>0.19551635036860696</c:v>
                </c:pt>
                <c:pt idx="10">
                  <c:v>0.15942012420803692</c:v>
                </c:pt>
                <c:pt idx="11">
                  <c:v>0.10130955864412199</c:v>
                </c:pt>
                <c:pt idx="12">
                  <c:v>3.8048444805680842E-2</c:v>
                </c:pt>
                <c:pt idx="13">
                  <c:v>3.7206445230352589E-2</c:v>
                </c:pt>
                <c:pt idx="14">
                  <c:v>3.5072969555694972E-2</c:v>
                </c:pt>
                <c:pt idx="15">
                  <c:v>4.6039847270748079E-2</c:v>
                </c:pt>
                <c:pt idx="16">
                  <c:v>5.0218956462034808E-2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3-4F31-8229-94E0FF26B5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49801919"/>
        <c:axId val="1"/>
      </c:barChart>
      <c:dateAx>
        <c:axId val="1949801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779735682819382"/>
              <c:y val="0.9390048154093098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Rate/Kwh</a:t>
                </a:r>
              </a:p>
            </c:rich>
          </c:tx>
          <c:layout>
            <c:manualLayout>
              <c:xMode val="edge"/>
              <c:yMode val="edge"/>
              <c:x val="1.7621145374449341E-2"/>
              <c:y val="0.457463884430176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9801919"/>
        <c:crosses val="autoZero"/>
        <c:crossBetween val="between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9999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114300</xdr:colOff>
      <xdr:row>36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D131648-146B-9DEC-647D-C9AD31FC1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roposed%20Settlement%20Discussion%20Documents-%20PG&amp;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spute Summary"/>
      <sheetName val="CPUC Deposits"/>
      <sheetName val="1 Cent - Dispute"/>
      <sheetName val="IBM Chart"/>
      <sheetName val="Financial Swap - April Date"/>
      <sheetName val="CTC - Dispute"/>
      <sheetName val="FERC Refund (ISO Prices)"/>
      <sheetName val="FERC Refund"/>
      <sheetName val="Rate Per KWH"/>
      <sheetName val="IBM Analysis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>
        <row r="6">
          <cell r="B6">
            <v>36647</v>
          </cell>
          <cell r="C6">
            <v>36678</v>
          </cell>
          <cell r="D6">
            <v>36708</v>
          </cell>
          <cell r="E6">
            <v>36739</v>
          </cell>
          <cell r="F6">
            <v>36770</v>
          </cell>
          <cell r="G6">
            <v>36800</v>
          </cell>
          <cell r="H6">
            <v>36831</v>
          </cell>
          <cell r="I6">
            <v>36861</v>
          </cell>
          <cell r="J6">
            <v>36892</v>
          </cell>
          <cell r="K6">
            <v>36923</v>
          </cell>
          <cell r="L6">
            <v>36951</v>
          </cell>
          <cell r="M6">
            <v>36982</v>
          </cell>
          <cell r="N6">
            <v>37012</v>
          </cell>
          <cell r="O6">
            <v>37043</v>
          </cell>
          <cell r="P6">
            <v>37073</v>
          </cell>
          <cell r="Q6">
            <v>37104</v>
          </cell>
          <cell r="R6">
            <v>37135</v>
          </cell>
        </row>
        <row r="34">
          <cell r="B34">
            <v>5.4934011496628653E-2</v>
          </cell>
          <cell r="C34">
            <v>0.10063699656880357</v>
          </cell>
          <cell r="D34">
            <v>0.11560476199926362</v>
          </cell>
          <cell r="E34">
            <v>0.17460724783503789</v>
          </cell>
          <cell r="F34">
            <v>0.13532061094290218</v>
          </cell>
          <cell r="G34">
            <v>0.13388881620700838</v>
          </cell>
          <cell r="H34">
            <v>0.23662303816309022</v>
          </cell>
          <cell r="I34">
            <v>0.29398242488493159</v>
          </cell>
          <cell r="J34">
            <v>0.18297425540355514</v>
          </cell>
          <cell r="K34">
            <v>0.19551635036860696</v>
          </cell>
          <cell r="L34">
            <v>0.15942012420803692</v>
          </cell>
          <cell r="M34">
            <v>0.10130955864412199</v>
          </cell>
          <cell r="N34">
            <v>3.8048444805680842E-2</v>
          </cell>
          <cell r="O34">
            <v>3.7206445230352589E-2</v>
          </cell>
          <cell r="P34">
            <v>3.5072969555694972E-2</v>
          </cell>
          <cell r="Q34">
            <v>4.6039847270748079E-2</v>
          </cell>
          <cell r="R34">
            <v>5.0218956462034808E-2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8"/>
  <sheetViews>
    <sheetView tabSelected="1" workbookViewId="0">
      <selection activeCell="G53" sqref="G53"/>
    </sheetView>
  </sheetViews>
  <sheetFormatPr defaultRowHeight="12.75" x14ac:dyDescent="0.2"/>
  <cols>
    <col min="1" max="1" width="28.85546875" bestFit="1" customWidth="1"/>
    <col min="2" max="2" width="11.28515625" bestFit="1" customWidth="1"/>
    <col min="3" max="4" width="9.85546875" customWidth="1"/>
    <col min="5" max="5" width="10.85546875" bestFit="1" customWidth="1"/>
    <col min="7" max="7" width="12.5703125" bestFit="1" customWidth="1"/>
  </cols>
  <sheetData>
    <row r="1" spans="1:9" x14ac:dyDescent="0.2">
      <c r="A1" s="49" t="s">
        <v>98</v>
      </c>
      <c r="B1" s="49"/>
      <c r="C1" s="49"/>
      <c r="D1" s="51"/>
      <c r="E1" s="51"/>
      <c r="F1" s="51"/>
      <c r="G1" s="51"/>
      <c r="H1" s="51"/>
    </row>
    <row r="2" spans="1:9" x14ac:dyDescent="0.2">
      <c r="A2" s="140">
        <v>37202</v>
      </c>
      <c r="B2" s="51"/>
      <c r="C2" s="51"/>
      <c r="D2" s="51"/>
      <c r="E2" s="51"/>
      <c r="F2" s="51"/>
      <c r="G2" s="51"/>
      <c r="H2" s="51"/>
    </row>
    <row r="3" spans="1:9" ht="18" x14ac:dyDescent="0.25">
      <c r="A3" s="183" t="s">
        <v>99</v>
      </c>
      <c r="B3" s="183"/>
      <c r="C3" s="183"/>
      <c r="D3" s="183"/>
      <c r="E3" s="183"/>
      <c r="F3" s="183"/>
      <c r="G3" s="183"/>
      <c r="H3" s="183"/>
    </row>
    <row r="4" spans="1:9" ht="18" x14ac:dyDescent="0.25">
      <c r="A4" s="183" t="s">
        <v>115</v>
      </c>
      <c r="B4" s="183"/>
      <c r="C4" s="183"/>
      <c r="D4" s="183"/>
      <c r="E4" s="183"/>
      <c r="F4" s="183"/>
      <c r="G4" s="183"/>
      <c r="H4" s="183"/>
    </row>
    <row r="5" spans="1:9" x14ac:dyDescent="0.2">
      <c r="A5" s="184" t="s">
        <v>4</v>
      </c>
      <c r="B5" s="184"/>
      <c r="C5" s="184"/>
      <c r="D5" s="184"/>
      <c r="E5" s="184"/>
      <c r="F5" s="184"/>
      <c r="G5" s="184"/>
      <c r="H5" s="184"/>
      <c r="I5" s="5"/>
    </row>
    <row r="6" spans="1:9" x14ac:dyDescent="0.2">
      <c r="A6" s="6"/>
      <c r="B6" s="6"/>
      <c r="C6" s="6"/>
      <c r="D6" s="6"/>
      <c r="E6" s="6"/>
      <c r="F6" s="6"/>
      <c r="G6" s="6"/>
      <c r="H6" s="6"/>
      <c r="I6" s="5"/>
    </row>
    <row r="7" spans="1:9" ht="15.75" x14ac:dyDescent="0.25">
      <c r="A7" s="6"/>
      <c r="B7" s="6"/>
      <c r="C7" s="185"/>
      <c r="D7" s="185"/>
      <c r="E7" s="185"/>
      <c r="F7" s="6"/>
      <c r="G7" s="6"/>
      <c r="H7" s="6"/>
      <c r="I7" s="5"/>
    </row>
    <row r="8" spans="1:9" ht="15.75" x14ac:dyDescent="0.25">
      <c r="A8" s="98" t="s">
        <v>105</v>
      </c>
      <c r="B8" s="54"/>
      <c r="C8" s="141" t="s">
        <v>106</v>
      </c>
      <c r="D8" s="141" t="s">
        <v>107</v>
      </c>
      <c r="E8" s="141" t="s">
        <v>108</v>
      </c>
      <c r="F8" s="5"/>
      <c r="G8" s="5"/>
      <c r="H8" s="5"/>
    </row>
    <row r="9" spans="1:9" x14ac:dyDescent="0.2">
      <c r="A9" s="52"/>
      <c r="B9" s="54"/>
      <c r="C9" s="6" t="s">
        <v>26</v>
      </c>
      <c r="D9" s="6" t="s">
        <v>26</v>
      </c>
      <c r="E9" s="6" t="s">
        <v>26</v>
      </c>
      <c r="F9" s="5"/>
      <c r="G9" s="5"/>
      <c r="H9" s="5"/>
    </row>
    <row r="10" spans="1:9" x14ac:dyDescent="0.2">
      <c r="A10" s="54"/>
      <c r="B10" s="54"/>
      <c r="C10" s="54"/>
      <c r="D10" s="54"/>
      <c r="E10" s="54"/>
      <c r="F10" s="5"/>
      <c r="G10" s="5"/>
      <c r="H10" s="5"/>
    </row>
    <row r="11" spans="1:9" x14ac:dyDescent="0.2">
      <c r="A11" s="54" t="s">
        <v>109</v>
      </c>
      <c r="B11" s="54"/>
      <c r="C11" s="142">
        <f>'Executive Claim Summary - 20 %'!J27</f>
        <v>382340.53458064515</v>
      </c>
      <c r="D11" s="142">
        <f>'Executive Claim Summary - 25%'!J27</f>
        <v>360633.50508064515</v>
      </c>
      <c r="E11" s="142">
        <f>'Executive Claim Summary - 30%'!J27</f>
        <v>338926.47558064514</v>
      </c>
      <c r="F11" s="5"/>
      <c r="G11" s="5"/>
      <c r="H11" s="5"/>
    </row>
    <row r="12" spans="1:9" x14ac:dyDescent="0.2">
      <c r="A12" s="54" t="s">
        <v>110</v>
      </c>
      <c r="B12" s="54"/>
      <c r="C12" s="142">
        <f>'Executive Claim Summary - 30%'!N27</f>
        <v>199471</v>
      </c>
      <c r="D12" s="142">
        <f>'Executive Claim Summary - 30%'!N27</f>
        <v>199471</v>
      </c>
      <c r="E12" s="142">
        <f>'Executive Claim Summary - 30%'!N27</f>
        <v>199471</v>
      </c>
      <c r="F12" s="5"/>
      <c r="G12" s="5"/>
      <c r="H12" s="5"/>
    </row>
    <row r="13" spans="1:9" x14ac:dyDescent="0.2">
      <c r="A13" s="54"/>
      <c r="B13" s="54"/>
      <c r="C13" s="142">
        <f>C11-C12</f>
        <v>182869.53458064515</v>
      </c>
      <c r="D13" s="142">
        <f>D11-D12</f>
        <v>161162.50508064515</v>
      </c>
      <c r="E13" s="142">
        <f>E11-E12</f>
        <v>139455.47558064514</v>
      </c>
      <c r="F13" s="5"/>
      <c r="G13" s="5"/>
      <c r="H13" s="5"/>
    </row>
    <row r="14" spans="1:9" x14ac:dyDescent="0.2">
      <c r="A14" s="54" t="s">
        <v>113</v>
      </c>
      <c r="B14" s="54"/>
      <c r="C14" s="142"/>
      <c r="D14" s="142"/>
      <c r="E14" s="142"/>
      <c r="F14" s="5"/>
      <c r="G14" s="5"/>
      <c r="H14" s="5"/>
    </row>
    <row r="15" spans="1:9" x14ac:dyDescent="0.2">
      <c r="A15" s="54" t="s">
        <v>111</v>
      </c>
      <c r="B15" s="54"/>
      <c r="C15" s="142">
        <f>-'Executive Claim Summary - 20 %'!P27</f>
        <v>-57351.080187096784</v>
      </c>
      <c r="D15" s="142">
        <f>-'Executive Claim Summary - 25%'!P27</f>
        <v>-54095.025762096775</v>
      </c>
      <c r="E15" s="142">
        <f>-'Executive Claim Summary - 30%'!P27</f>
        <v>-50838.971337096766</v>
      </c>
      <c r="F15" s="5"/>
      <c r="G15" s="5"/>
      <c r="H15" s="5"/>
    </row>
    <row r="16" spans="1:9" x14ac:dyDescent="0.2">
      <c r="A16" s="54" t="s">
        <v>112</v>
      </c>
      <c r="B16" s="54"/>
      <c r="C16" s="142">
        <f>-'Executive Claim Summary - 20 %'!F17</f>
        <v>9780.2880000000005</v>
      </c>
      <c r="D16" s="142">
        <f>-'Executive Claim Summary - 25%'!F17</f>
        <v>9178.5674999999992</v>
      </c>
      <c r="E16" s="142">
        <f>-'Executive Claim Summary - 30%'!F17</f>
        <v>8576.8469999999998</v>
      </c>
      <c r="F16" s="5"/>
      <c r="G16" s="5"/>
      <c r="H16" s="5"/>
    </row>
    <row r="17" spans="1:9" x14ac:dyDescent="0.2">
      <c r="A17" s="51" t="s">
        <v>114</v>
      </c>
      <c r="B17" s="51"/>
      <c r="C17" s="40">
        <f>SUM(C13:C16)</f>
        <v>135298.74239354837</v>
      </c>
      <c r="D17" s="40">
        <f>SUM(D13:D16)</f>
        <v>116246.04681854838</v>
      </c>
      <c r="E17" s="40">
        <f>SUM(E13:E16)</f>
        <v>97193.351243548372</v>
      </c>
      <c r="F17" s="5"/>
      <c r="G17" s="5"/>
      <c r="H17" s="5"/>
    </row>
    <row r="18" spans="1:9" x14ac:dyDescent="0.2">
      <c r="A18" s="54"/>
      <c r="B18" s="54"/>
      <c r="C18" s="54"/>
      <c r="D18" s="142"/>
      <c r="E18" s="142"/>
      <c r="F18" s="5"/>
      <c r="G18" s="5"/>
      <c r="H18" s="5"/>
    </row>
    <row r="19" spans="1:9" x14ac:dyDescent="0.2">
      <c r="A19" s="49" t="s">
        <v>100</v>
      </c>
      <c r="B19" s="54"/>
      <c r="C19" s="54"/>
      <c r="D19" s="142"/>
      <c r="E19" s="142"/>
      <c r="F19" s="5"/>
      <c r="G19" s="5"/>
      <c r="H19" s="5"/>
    </row>
    <row r="20" spans="1:9" x14ac:dyDescent="0.2">
      <c r="A20" s="49" t="s">
        <v>136</v>
      </c>
      <c r="B20" s="54"/>
      <c r="C20" s="54"/>
      <c r="D20" s="142"/>
      <c r="E20" s="142"/>
      <c r="F20" s="5"/>
      <c r="G20" s="5"/>
      <c r="H20" s="5"/>
    </row>
    <row r="21" spans="1:9" x14ac:dyDescent="0.2">
      <c r="A21" s="49" t="s">
        <v>137</v>
      </c>
      <c r="B21" s="54"/>
      <c r="C21" s="54"/>
      <c r="D21" s="142"/>
      <c r="E21" s="142"/>
      <c r="F21" s="5"/>
      <c r="G21" s="5"/>
      <c r="H21" s="5"/>
    </row>
    <row r="22" spans="1:9" x14ac:dyDescent="0.2">
      <c r="A22" s="49" t="s">
        <v>138</v>
      </c>
      <c r="B22" s="54"/>
      <c r="C22" s="54"/>
      <c r="D22" s="54"/>
      <c r="E22" s="54"/>
      <c r="F22" s="5"/>
      <c r="G22" s="5"/>
      <c r="H22" s="5"/>
    </row>
    <row r="23" spans="1:9" x14ac:dyDescent="0.2">
      <c r="A23" s="49"/>
      <c r="B23" s="54"/>
      <c r="C23" s="54"/>
      <c r="D23" s="54"/>
      <c r="E23" s="54"/>
      <c r="F23" s="5"/>
      <c r="G23" s="5"/>
      <c r="H23" s="5"/>
    </row>
    <row r="24" spans="1:9" x14ac:dyDescent="0.2">
      <c r="A24" s="51"/>
      <c r="B24" s="51"/>
      <c r="C24" s="51"/>
      <c r="D24" s="51"/>
      <c r="E24" s="51"/>
      <c r="F24" s="49"/>
      <c r="G24" s="53"/>
      <c r="H24" s="49"/>
      <c r="I24" s="52"/>
    </row>
    <row r="25" spans="1:9" ht="15.75" x14ac:dyDescent="0.25">
      <c r="A25" s="98" t="s">
        <v>101</v>
      </c>
      <c r="B25" s="51"/>
      <c r="C25" s="51"/>
      <c r="D25" s="51"/>
      <c r="E25" s="97"/>
      <c r="F25" s="49"/>
      <c r="G25" s="53"/>
      <c r="H25" s="49"/>
      <c r="I25" s="52"/>
    </row>
    <row r="26" spans="1:9" x14ac:dyDescent="0.2">
      <c r="A26" s="54" t="s">
        <v>131</v>
      </c>
      <c r="B26" s="54"/>
      <c r="C26" s="54"/>
      <c r="D26" s="51"/>
      <c r="E26" s="99">
        <f>'One Cent Surcharge'!I20/1000</f>
        <v>15365.862230000001</v>
      </c>
      <c r="F26" s="56"/>
      <c r="G26" s="5"/>
      <c r="H26" s="5"/>
      <c r="I26" s="52"/>
    </row>
    <row r="27" spans="1:9" x14ac:dyDescent="0.2">
      <c r="A27" s="54" t="s">
        <v>130</v>
      </c>
      <c r="B27" s="51"/>
      <c r="C27" s="49"/>
      <c r="D27" s="49"/>
      <c r="E27" s="99">
        <f>'One Cent Surcharge'!I32/1000</f>
        <v>49567.730478091718</v>
      </c>
      <c r="F27" s="49"/>
      <c r="G27" s="55"/>
      <c r="H27" s="49"/>
      <c r="I27" s="52"/>
    </row>
    <row r="28" spans="1:9" x14ac:dyDescent="0.2">
      <c r="A28" s="54"/>
      <c r="B28" s="51"/>
      <c r="C28" s="49"/>
      <c r="D28" s="49"/>
      <c r="E28" s="57"/>
      <c r="F28" s="49"/>
      <c r="G28" s="55"/>
      <c r="H28" s="49"/>
      <c r="I28" s="52"/>
    </row>
    <row r="29" spans="1:9" x14ac:dyDescent="0.2">
      <c r="A29" s="49" t="s">
        <v>102</v>
      </c>
      <c r="B29" s="49"/>
      <c r="C29" s="49"/>
      <c r="D29" s="49"/>
      <c r="E29" s="11"/>
      <c r="F29" s="49"/>
      <c r="G29" s="55"/>
      <c r="H29" s="49"/>
      <c r="I29" s="52"/>
    </row>
    <row r="30" spans="1:9" x14ac:dyDescent="0.2">
      <c r="A30" s="49" t="s">
        <v>141</v>
      </c>
      <c r="B30" s="49"/>
      <c r="C30" s="49"/>
      <c r="D30" s="49"/>
      <c r="E30" s="11"/>
      <c r="F30" s="49"/>
      <c r="G30" s="55"/>
      <c r="H30" s="49"/>
      <c r="I30" s="52"/>
    </row>
    <row r="31" spans="1:9" x14ac:dyDescent="0.2">
      <c r="A31" s="49"/>
      <c r="B31" s="49"/>
      <c r="C31" s="49"/>
      <c r="D31" s="49"/>
      <c r="E31" s="49"/>
      <c r="F31" s="49"/>
      <c r="G31" s="53"/>
      <c r="H31" s="49"/>
      <c r="I31" s="52"/>
    </row>
    <row r="32" spans="1:9" x14ac:dyDescent="0.2">
      <c r="A32" s="49"/>
      <c r="B32" s="49"/>
      <c r="C32" s="49"/>
      <c r="D32" s="49"/>
      <c r="E32" s="49"/>
      <c r="F32" s="49"/>
      <c r="G32" s="53"/>
      <c r="H32" s="49"/>
      <c r="I32" s="52"/>
    </row>
    <row r="33" spans="1:9" ht="15.75" x14ac:dyDescent="0.25">
      <c r="A33" s="98" t="s">
        <v>153</v>
      </c>
      <c r="B33" s="49"/>
      <c r="C33" s="49"/>
      <c r="D33" s="49"/>
      <c r="E33" s="49"/>
      <c r="F33" s="49"/>
      <c r="G33" s="53"/>
      <c r="H33" s="49"/>
      <c r="I33" s="52"/>
    </row>
    <row r="34" spans="1:9" x14ac:dyDescent="0.2">
      <c r="A34" s="54" t="s">
        <v>157</v>
      </c>
      <c r="B34" s="54"/>
      <c r="C34" s="54"/>
      <c r="D34" s="54"/>
      <c r="E34" s="49"/>
      <c r="F34" s="49"/>
      <c r="G34" s="53"/>
      <c r="H34" s="49"/>
      <c r="I34" s="52"/>
    </row>
    <row r="35" spans="1:9" x14ac:dyDescent="0.2">
      <c r="A35" s="54" t="s">
        <v>154</v>
      </c>
      <c r="B35" s="54"/>
      <c r="C35" s="52"/>
      <c r="D35" s="52"/>
      <c r="E35" s="142">
        <f>'Financial Swap'!H32/1000</f>
        <v>-7434.4505971855906</v>
      </c>
      <c r="F35" s="49"/>
      <c r="G35" s="55"/>
      <c r="H35" s="49"/>
      <c r="I35" s="52"/>
    </row>
    <row r="36" spans="1:9" x14ac:dyDescent="0.2">
      <c r="A36" s="54" t="s">
        <v>155</v>
      </c>
      <c r="B36" s="54"/>
      <c r="C36" s="52"/>
      <c r="D36" s="52"/>
      <c r="E36" s="142">
        <f>'Financial Swap'!H38/1000</f>
        <v>-3578.4122491855915</v>
      </c>
      <c r="F36" s="49"/>
      <c r="G36" s="55"/>
      <c r="H36" s="49"/>
      <c r="I36" s="52"/>
    </row>
    <row r="37" spans="1:9" x14ac:dyDescent="0.2">
      <c r="A37" s="54" t="s">
        <v>156</v>
      </c>
      <c r="B37" s="54"/>
      <c r="C37" s="52"/>
      <c r="D37" s="52"/>
      <c r="E37" s="142">
        <f>'Financial Swap'!H44/1000</f>
        <v>5419.0105628144083</v>
      </c>
      <c r="F37" s="49"/>
      <c r="G37" s="55"/>
      <c r="H37" s="49"/>
      <c r="I37" s="52"/>
    </row>
    <row r="38" spans="1:9" x14ac:dyDescent="0.2">
      <c r="A38" s="52"/>
      <c r="B38" s="54"/>
      <c r="C38" s="52"/>
      <c r="D38" s="52"/>
      <c r="E38" s="139"/>
      <c r="F38" s="49"/>
      <c r="G38" s="55"/>
      <c r="H38" s="49"/>
      <c r="I38" s="52"/>
    </row>
    <row r="39" spans="1:9" x14ac:dyDescent="0.2">
      <c r="A39" s="49"/>
      <c r="B39" s="49"/>
      <c r="C39" s="49"/>
      <c r="D39" s="49"/>
      <c r="E39" s="49"/>
      <c r="F39" s="49"/>
      <c r="G39" s="53"/>
      <c r="H39" s="49"/>
      <c r="I39" s="52"/>
    </row>
    <row r="40" spans="1:9" x14ac:dyDescent="0.2">
      <c r="A40" s="49" t="s">
        <v>100</v>
      </c>
      <c r="B40" s="49"/>
      <c r="C40" s="49"/>
      <c r="D40" s="49"/>
      <c r="E40" s="49"/>
      <c r="F40" s="49"/>
      <c r="G40" s="53"/>
      <c r="H40" s="49"/>
      <c r="I40" s="52"/>
    </row>
    <row r="41" spans="1:9" x14ac:dyDescent="0.2">
      <c r="A41" s="49" t="s">
        <v>139</v>
      </c>
      <c r="B41" s="52"/>
      <c r="C41" s="52"/>
      <c r="D41" s="52"/>
      <c r="E41" s="52"/>
      <c r="F41" s="52"/>
      <c r="G41" s="52"/>
      <c r="H41" s="52"/>
      <c r="I41" s="52"/>
    </row>
    <row r="42" spans="1:9" x14ac:dyDescent="0.2">
      <c r="A42" s="49" t="s">
        <v>103</v>
      </c>
      <c r="B42" s="49"/>
      <c r="C42" s="49"/>
      <c r="D42" s="49"/>
      <c r="E42" s="52"/>
      <c r="F42" s="52"/>
      <c r="G42" s="52"/>
      <c r="H42" s="52"/>
      <c r="I42" s="52"/>
    </row>
    <row r="43" spans="1:9" x14ac:dyDescent="0.2">
      <c r="A43" s="49" t="s">
        <v>104</v>
      </c>
      <c r="B43" s="52"/>
      <c r="C43" s="52"/>
      <c r="D43" s="52"/>
      <c r="E43" s="52"/>
      <c r="F43" s="52"/>
      <c r="G43" s="52"/>
      <c r="H43" s="52"/>
      <c r="I43" s="52"/>
    </row>
    <row r="44" spans="1:9" x14ac:dyDescent="0.2">
      <c r="A44" s="49" t="s">
        <v>140</v>
      </c>
      <c r="B44" s="5"/>
      <c r="C44" s="5"/>
      <c r="D44" s="5"/>
      <c r="E44" s="5"/>
      <c r="F44" s="5"/>
      <c r="G44" s="5"/>
      <c r="H44" s="52"/>
      <c r="I44" s="52"/>
    </row>
    <row r="45" spans="1:9" x14ac:dyDescent="0.2">
      <c r="A45" s="5"/>
      <c r="B45" s="5"/>
      <c r="C45" s="5"/>
      <c r="D45" s="5"/>
      <c r="E45" s="5"/>
      <c r="F45" s="5"/>
      <c r="G45" s="5"/>
      <c r="H45" s="5"/>
      <c r="I45" s="5"/>
    </row>
    <row r="46" spans="1:9" x14ac:dyDescent="0.2">
      <c r="A46" s="5"/>
      <c r="B46" s="5"/>
      <c r="C46" s="5"/>
      <c r="D46" s="5"/>
      <c r="E46" s="5"/>
      <c r="F46" s="5"/>
      <c r="G46" s="5"/>
      <c r="H46" s="54"/>
      <c r="I46" s="5"/>
    </row>
    <row r="47" spans="1:9" ht="15.75" x14ac:dyDescent="0.25">
      <c r="A47" s="143" t="s">
        <v>158</v>
      </c>
      <c r="H47" s="5"/>
      <c r="I47" s="5"/>
    </row>
    <row r="48" spans="1:9" x14ac:dyDescent="0.2">
      <c r="A48" s="5"/>
      <c r="B48" s="5"/>
      <c r="C48" s="5"/>
      <c r="D48" s="5"/>
      <c r="E48" s="5"/>
      <c r="F48" s="5"/>
      <c r="G48" s="5"/>
      <c r="H48" s="51"/>
      <c r="I48" s="5"/>
    </row>
    <row r="49" spans="1:9" x14ac:dyDescent="0.2">
      <c r="A49" s="49" t="s">
        <v>102</v>
      </c>
      <c r="B49" s="49"/>
      <c r="C49" s="49"/>
      <c r="D49" s="49"/>
      <c r="E49" s="49"/>
      <c r="F49" s="5"/>
      <c r="G49" s="5"/>
      <c r="H49" s="5"/>
      <c r="I49" s="5"/>
    </row>
    <row r="50" spans="1:9" x14ac:dyDescent="0.2">
      <c r="A50" s="49" t="s">
        <v>159</v>
      </c>
      <c r="B50" s="5"/>
      <c r="C50" s="5"/>
      <c r="D50" s="5"/>
      <c r="E50" s="5"/>
      <c r="F50" s="5"/>
      <c r="G50" s="5"/>
      <c r="H50" s="54"/>
      <c r="I50" s="5"/>
    </row>
    <row r="51" spans="1:9" x14ac:dyDescent="0.2">
      <c r="A51" s="5"/>
      <c r="B51" s="5"/>
      <c r="C51" s="5"/>
      <c r="D51" s="5"/>
      <c r="E51" s="5"/>
      <c r="F51" s="5"/>
      <c r="G51" s="5"/>
      <c r="H51" s="5"/>
      <c r="I51" s="5"/>
    </row>
    <row r="52" spans="1:9" x14ac:dyDescent="0.2">
      <c r="A52" s="184">
        <v>1</v>
      </c>
      <c r="B52" s="184"/>
      <c r="C52" s="184"/>
      <c r="D52" s="184"/>
      <c r="E52" s="184"/>
      <c r="F52" s="184"/>
      <c r="G52" s="184"/>
      <c r="H52" s="5"/>
      <c r="I52" s="5"/>
    </row>
    <row r="53" spans="1:9" x14ac:dyDescent="0.2">
      <c r="A53" s="5"/>
      <c r="B53" s="5"/>
      <c r="C53" s="5"/>
      <c r="D53" s="5"/>
      <c r="E53" s="5"/>
      <c r="F53" s="5"/>
      <c r="G53" s="5"/>
      <c r="H53" s="5"/>
      <c r="I53" s="5"/>
    </row>
    <row r="54" spans="1:9" x14ac:dyDescent="0.2">
      <c r="A54" s="5"/>
      <c r="B54" s="5"/>
      <c r="C54" s="5"/>
      <c r="D54" s="5"/>
      <c r="E54" s="5"/>
      <c r="F54" s="5"/>
      <c r="G54" s="5"/>
      <c r="H54" s="5"/>
      <c r="I54" s="5"/>
    </row>
    <row r="55" spans="1:9" x14ac:dyDescent="0.2">
      <c r="A55" s="5"/>
      <c r="B55" s="5"/>
      <c r="C55" s="5"/>
      <c r="D55" s="5"/>
      <c r="E55" s="5"/>
      <c r="F55" s="5"/>
      <c r="G55" s="5"/>
      <c r="H55" s="5"/>
      <c r="I55" s="5"/>
    </row>
    <row r="56" spans="1:9" x14ac:dyDescent="0.2">
      <c r="A56" s="5"/>
      <c r="B56" s="5"/>
      <c r="C56" s="5"/>
      <c r="D56" s="5"/>
      <c r="E56" s="5"/>
      <c r="F56" s="5"/>
      <c r="G56" s="5"/>
      <c r="H56" s="5"/>
      <c r="I56" s="5"/>
    </row>
    <row r="57" spans="1:9" x14ac:dyDescent="0.2">
      <c r="A57" s="5"/>
      <c r="B57" s="5"/>
      <c r="C57" s="5"/>
      <c r="D57" s="5"/>
      <c r="E57" s="5"/>
      <c r="F57" s="5"/>
      <c r="G57" s="5"/>
      <c r="H57" s="5"/>
      <c r="I57" s="5"/>
    </row>
    <row r="58" spans="1:9" x14ac:dyDescent="0.2">
      <c r="A58" s="5"/>
      <c r="B58" s="5"/>
      <c r="C58" s="5"/>
      <c r="D58" s="5"/>
      <c r="E58" s="5"/>
      <c r="F58" s="5"/>
      <c r="G58" s="5"/>
      <c r="H58" s="5"/>
      <c r="I58" s="5"/>
    </row>
    <row r="59" spans="1:9" x14ac:dyDescent="0.2">
      <c r="A59" s="5"/>
      <c r="B59" s="5"/>
      <c r="C59" s="5"/>
      <c r="D59" s="5"/>
      <c r="E59" s="5"/>
      <c r="F59" s="5"/>
      <c r="G59" s="5"/>
      <c r="H59" s="5"/>
      <c r="I59" s="5"/>
    </row>
    <row r="60" spans="1:9" x14ac:dyDescent="0.2">
      <c r="A60" s="5"/>
      <c r="B60" s="5"/>
      <c r="C60" s="5"/>
      <c r="D60" s="5"/>
      <c r="E60" s="5"/>
      <c r="F60" s="5"/>
      <c r="G60" s="5"/>
      <c r="H60" s="5"/>
      <c r="I60" s="5"/>
    </row>
    <row r="61" spans="1:9" x14ac:dyDescent="0.2">
      <c r="A61" s="5"/>
      <c r="B61" s="5"/>
      <c r="C61" s="5"/>
      <c r="D61" s="5"/>
      <c r="E61" s="5"/>
      <c r="F61" s="5"/>
      <c r="G61" s="5"/>
      <c r="H61" s="5"/>
      <c r="I61" s="5"/>
    </row>
    <row r="62" spans="1:9" x14ac:dyDescent="0.2">
      <c r="A62" s="5"/>
      <c r="B62" s="5"/>
      <c r="C62" s="5"/>
      <c r="D62" s="5"/>
      <c r="E62" s="5"/>
      <c r="F62" s="5"/>
      <c r="G62" s="5"/>
      <c r="H62" s="5"/>
      <c r="I62" s="5"/>
    </row>
    <row r="63" spans="1:9" x14ac:dyDescent="0.2">
      <c r="A63" s="5"/>
      <c r="B63" s="5"/>
      <c r="C63" s="5"/>
      <c r="D63" s="5"/>
      <c r="E63" s="5"/>
      <c r="F63" s="5"/>
      <c r="G63" s="5"/>
      <c r="H63" s="5"/>
      <c r="I63" s="5"/>
    </row>
    <row r="64" spans="1:9" x14ac:dyDescent="0.2">
      <c r="A64" s="5"/>
      <c r="B64" s="5"/>
      <c r="C64" s="5"/>
      <c r="D64" s="5"/>
      <c r="E64" s="5"/>
      <c r="F64" s="5"/>
      <c r="G64" s="5"/>
      <c r="H64" s="5"/>
      <c r="I64" s="5"/>
    </row>
    <row r="65" spans="1:9" x14ac:dyDescent="0.2">
      <c r="A65" s="5"/>
      <c r="B65" s="5"/>
      <c r="C65" s="5"/>
      <c r="D65" s="5"/>
      <c r="E65" s="5"/>
      <c r="F65" s="5"/>
      <c r="G65" s="5"/>
      <c r="H65" s="5"/>
      <c r="I65" s="5"/>
    </row>
    <row r="66" spans="1:9" x14ac:dyDescent="0.2">
      <c r="A66" s="5"/>
      <c r="B66" s="5"/>
      <c r="C66" s="5"/>
      <c r="D66" s="5"/>
      <c r="E66" s="5"/>
      <c r="F66" s="5"/>
      <c r="G66" s="5"/>
      <c r="H66" s="5"/>
      <c r="I66" s="5"/>
    </row>
    <row r="67" spans="1:9" x14ac:dyDescent="0.2">
      <c r="A67" s="5"/>
      <c r="B67" s="5"/>
      <c r="C67" s="5"/>
      <c r="D67" s="5"/>
      <c r="E67" s="5"/>
      <c r="F67" s="5"/>
      <c r="G67" s="5"/>
      <c r="H67" s="5"/>
      <c r="I67" s="5"/>
    </row>
    <row r="68" spans="1:9" x14ac:dyDescent="0.2">
      <c r="A68" s="5"/>
      <c r="B68" s="5"/>
      <c r="C68" s="5"/>
      <c r="D68" s="5"/>
      <c r="E68" s="5"/>
      <c r="F68" s="5"/>
      <c r="G68" s="5"/>
      <c r="H68" s="5"/>
      <c r="I68" s="5"/>
    </row>
    <row r="69" spans="1:9" x14ac:dyDescent="0.2">
      <c r="A69" s="5"/>
      <c r="B69" s="5"/>
      <c r="C69" s="5"/>
      <c r="D69" s="5"/>
      <c r="E69" s="5"/>
      <c r="F69" s="5"/>
      <c r="G69" s="5"/>
      <c r="H69" s="5"/>
      <c r="I69" s="5"/>
    </row>
    <row r="70" spans="1:9" x14ac:dyDescent="0.2">
      <c r="A70" s="5"/>
      <c r="B70" s="5"/>
      <c r="C70" s="5"/>
      <c r="D70" s="5"/>
      <c r="E70" s="5"/>
      <c r="F70" s="5"/>
      <c r="G70" s="5"/>
      <c r="H70" s="5"/>
    </row>
    <row r="71" spans="1:9" x14ac:dyDescent="0.2">
      <c r="A71" s="5"/>
      <c r="B71" s="5"/>
      <c r="C71" s="5"/>
      <c r="D71" s="5"/>
      <c r="E71" s="5"/>
      <c r="F71" s="5"/>
      <c r="G71" s="5"/>
      <c r="H71" s="5"/>
    </row>
    <row r="72" spans="1:9" x14ac:dyDescent="0.2">
      <c r="A72" s="5"/>
      <c r="B72" s="5"/>
      <c r="C72" s="5"/>
      <c r="D72" s="5"/>
      <c r="E72" s="5"/>
      <c r="F72" s="5"/>
      <c r="G72" s="5"/>
      <c r="H72" s="5"/>
    </row>
    <row r="73" spans="1:9" x14ac:dyDescent="0.2">
      <c r="A73" s="5"/>
      <c r="B73" s="5"/>
      <c r="C73" s="5"/>
      <c r="D73" s="5"/>
      <c r="E73" s="5"/>
      <c r="F73" s="5"/>
      <c r="G73" s="5"/>
      <c r="H73" s="5"/>
    </row>
    <row r="74" spans="1:9" x14ac:dyDescent="0.2">
      <c r="A74" s="5"/>
      <c r="B74" s="5"/>
      <c r="C74" s="5"/>
      <c r="D74" s="5"/>
      <c r="E74" s="5"/>
      <c r="F74" s="5"/>
      <c r="G74" s="5"/>
      <c r="H74" s="5"/>
    </row>
    <row r="75" spans="1:9" x14ac:dyDescent="0.2">
      <c r="A75" s="5"/>
      <c r="B75" s="5"/>
      <c r="C75" s="5"/>
      <c r="D75" s="5"/>
      <c r="E75" s="5"/>
      <c r="F75" s="5"/>
      <c r="G75" s="5"/>
      <c r="H75" s="5"/>
    </row>
    <row r="76" spans="1:9" x14ac:dyDescent="0.2">
      <c r="A76" s="5"/>
      <c r="B76" s="5"/>
      <c r="C76" s="5"/>
      <c r="D76" s="5"/>
      <c r="E76" s="5"/>
      <c r="F76" s="5"/>
      <c r="G76" s="5"/>
      <c r="H76" s="5"/>
    </row>
    <row r="77" spans="1:9" x14ac:dyDescent="0.2">
      <c r="A77" s="5"/>
      <c r="B77" s="5"/>
      <c r="C77" s="5"/>
      <c r="D77" s="5"/>
      <c r="E77" s="5"/>
      <c r="F77" s="5"/>
      <c r="G77" s="5"/>
      <c r="H77" s="5"/>
    </row>
    <row r="78" spans="1:9" x14ac:dyDescent="0.2">
      <c r="A78" s="5"/>
      <c r="B78" s="5"/>
      <c r="C78" s="5"/>
      <c r="D78" s="5"/>
      <c r="E78" s="5"/>
      <c r="F78" s="5"/>
      <c r="G78" s="5"/>
      <c r="H78" s="5"/>
    </row>
    <row r="79" spans="1:9" x14ac:dyDescent="0.2">
      <c r="A79" s="5"/>
      <c r="B79" s="5"/>
      <c r="C79" s="5"/>
      <c r="D79" s="5"/>
      <c r="E79" s="5"/>
      <c r="F79" s="5"/>
      <c r="G79" s="5"/>
      <c r="H79" s="5"/>
    </row>
    <row r="80" spans="1:9" x14ac:dyDescent="0.2">
      <c r="A80" s="5"/>
      <c r="B80" s="5"/>
      <c r="C80" s="5"/>
      <c r="D80" s="5"/>
      <c r="E80" s="5"/>
      <c r="F80" s="5"/>
      <c r="G80" s="5"/>
      <c r="H80" s="5"/>
    </row>
    <row r="81" spans="1:8" x14ac:dyDescent="0.2">
      <c r="A81" s="5"/>
      <c r="B81" s="5"/>
      <c r="C81" s="5"/>
      <c r="D81" s="5"/>
      <c r="E81" s="5"/>
      <c r="F81" s="5"/>
      <c r="G81" s="5"/>
      <c r="H81" s="5"/>
    </row>
    <row r="82" spans="1:8" x14ac:dyDescent="0.2">
      <c r="A82" s="5"/>
      <c r="B82" s="5"/>
      <c r="C82" s="5"/>
      <c r="D82" s="5"/>
      <c r="E82" s="5"/>
      <c r="F82" s="5"/>
      <c r="G82" s="5"/>
      <c r="H82" s="5"/>
    </row>
    <row r="83" spans="1:8" x14ac:dyDescent="0.2">
      <c r="A83" s="5"/>
      <c r="B83" s="5"/>
      <c r="C83" s="5"/>
      <c r="D83" s="5"/>
      <c r="E83" s="5"/>
      <c r="F83" s="5"/>
      <c r="G83" s="5"/>
      <c r="H83" s="5"/>
    </row>
    <row r="84" spans="1:8" x14ac:dyDescent="0.2">
      <c r="A84" s="5"/>
      <c r="B84" s="5"/>
      <c r="C84" s="5"/>
      <c r="D84" s="5"/>
      <c r="E84" s="5"/>
      <c r="F84" s="5"/>
      <c r="G84" s="5"/>
      <c r="H84" s="5"/>
    </row>
    <row r="85" spans="1:8" x14ac:dyDescent="0.2">
      <c r="A85" s="5"/>
      <c r="B85" s="5"/>
      <c r="C85" s="5"/>
      <c r="D85" s="5"/>
      <c r="E85" s="5"/>
      <c r="F85" s="5"/>
      <c r="G85" s="5"/>
      <c r="H85" s="5"/>
    </row>
    <row r="86" spans="1:8" x14ac:dyDescent="0.2">
      <c r="A86" s="5"/>
      <c r="B86" s="5"/>
      <c r="C86" s="5"/>
      <c r="D86" s="5"/>
      <c r="E86" s="5"/>
      <c r="F86" s="5"/>
      <c r="G86" s="5"/>
      <c r="H86" s="5"/>
    </row>
    <row r="87" spans="1:8" x14ac:dyDescent="0.2">
      <c r="A87" s="5"/>
      <c r="B87" s="5"/>
      <c r="C87" s="5"/>
      <c r="D87" s="5"/>
      <c r="E87" s="5"/>
      <c r="F87" s="5"/>
      <c r="G87" s="5"/>
      <c r="H87" s="5"/>
    </row>
    <row r="88" spans="1:8" x14ac:dyDescent="0.2">
      <c r="A88" s="5"/>
      <c r="B88" s="5"/>
      <c r="C88" s="5"/>
      <c r="D88" s="5"/>
      <c r="E88" s="5"/>
      <c r="F88" s="5"/>
      <c r="G88" s="5"/>
      <c r="H88" s="5"/>
    </row>
    <row r="89" spans="1:8" x14ac:dyDescent="0.2">
      <c r="A89" s="5"/>
      <c r="B89" s="5"/>
      <c r="C89" s="5"/>
      <c r="D89" s="5"/>
      <c r="E89" s="5"/>
      <c r="F89" s="5"/>
      <c r="G89" s="5"/>
      <c r="H89" s="5"/>
    </row>
    <row r="90" spans="1:8" x14ac:dyDescent="0.2">
      <c r="A90" s="5"/>
      <c r="B90" s="5"/>
      <c r="C90" s="5"/>
      <c r="D90" s="5"/>
      <c r="E90" s="5"/>
      <c r="F90" s="5"/>
      <c r="G90" s="5"/>
      <c r="H90" s="5"/>
    </row>
    <row r="91" spans="1:8" x14ac:dyDescent="0.2">
      <c r="A91" s="5"/>
      <c r="B91" s="5"/>
      <c r="C91" s="5"/>
      <c r="D91" s="5"/>
      <c r="E91" s="5"/>
      <c r="F91" s="5"/>
      <c r="G91" s="5"/>
      <c r="H91" s="5"/>
    </row>
    <row r="92" spans="1:8" x14ac:dyDescent="0.2">
      <c r="A92" s="5"/>
      <c r="B92" s="5"/>
      <c r="C92" s="5"/>
      <c r="D92" s="5"/>
      <c r="E92" s="5"/>
      <c r="F92" s="5"/>
      <c r="G92" s="5"/>
      <c r="H92" s="5"/>
    </row>
    <row r="93" spans="1:8" x14ac:dyDescent="0.2">
      <c r="A93" s="5"/>
      <c r="B93" s="5"/>
      <c r="C93" s="5"/>
      <c r="D93" s="5"/>
      <c r="E93" s="5"/>
      <c r="F93" s="5"/>
      <c r="G93" s="5"/>
      <c r="H93" s="5"/>
    </row>
    <row r="94" spans="1:8" x14ac:dyDescent="0.2">
      <c r="A94" s="5"/>
      <c r="B94" s="5"/>
      <c r="C94" s="5"/>
      <c r="D94" s="5"/>
      <c r="E94" s="5"/>
      <c r="F94" s="5"/>
      <c r="G94" s="5"/>
      <c r="H94" s="5"/>
    </row>
    <row r="95" spans="1:8" x14ac:dyDescent="0.2">
      <c r="A95" s="5"/>
      <c r="B95" s="5"/>
      <c r="C95" s="5"/>
      <c r="D95" s="5"/>
      <c r="E95" s="5"/>
      <c r="F95" s="5"/>
      <c r="G95" s="5"/>
      <c r="H95" s="5"/>
    </row>
    <row r="96" spans="1:8" x14ac:dyDescent="0.2">
      <c r="A96" s="5"/>
      <c r="B96" s="5"/>
      <c r="C96" s="5"/>
      <c r="D96" s="5"/>
      <c r="E96" s="5"/>
      <c r="F96" s="5"/>
      <c r="G96" s="5"/>
      <c r="H96" s="5"/>
    </row>
    <row r="97" spans="1:8" x14ac:dyDescent="0.2">
      <c r="A97" s="5"/>
      <c r="B97" s="5"/>
      <c r="C97" s="5"/>
      <c r="D97" s="5"/>
      <c r="E97" s="5"/>
      <c r="F97" s="5"/>
      <c r="G97" s="5"/>
      <c r="H97" s="5"/>
    </row>
    <row r="98" spans="1:8" x14ac:dyDescent="0.2">
      <c r="A98" s="5"/>
      <c r="B98" s="5"/>
      <c r="C98" s="5"/>
      <c r="D98" s="5"/>
      <c r="E98" s="5"/>
      <c r="F98" s="5"/>
      <c r="G98" s="5"/>
      <c r="H98" s="5"/>
    </row>
    <row r="99" spans="1:8" x14ac:dyDescent="0.2">
      <c r="A99" s="5"/>
      <c r="B99" s="5"/>
      <c r="C99" s="5"/>
      <c r="D99" s="5"/>
      <c r="E99" s="5"/>
      <c r="F99" s="5"/>
      <c r="G99" s="5"/>
      <c r="H99" s="5"/>
    </row>
    <row r="100" spans="1:8" x14ac:dyDescent="0.2">
      <c r="A100" s="5"/>
      <c r="B100" s="5"/>
      <c r="C100" s="5"/>
      <c r="D100" s="5"/>
      <c r="E100" s="5"/>
      <c r="F100" s="5"/>
      <c r="G100" s="5"/>
      <c r="H100" s="5"/>
    </row>
    <row r="101" spans="1:8" x14ac:dyDescent="0.2">
      <c r="A101" s="5"/>
      <c r="B101" s="5"/>
      <c r="C101" s="5"/>
      <c r="D101" s="5"/>
      <c r="E101" s="5"/>
      <c r="F101" s="5"/>
      <c r="G101" s="5"/>
      <c r="H101" s="5"/>
    </row>
    <row r="102" spans="1:8" x14ac:dyDescent="0.2">
      <c r="A102" s="5"/>
      <c r="B102" s="5"/>
      <c r="C102" s="5"/>
      <c r="D102" s="5"/>
      <c r="E102" s="5"/>
      <c r="F102" s="5"/>
      <c r="G102" s="5"/>
      <c r="H102" s="5"/>
    </row>
    <row r="103" spans="1:8" x14ac:dyDescent="0.2">
      <c r="A103" s="5"/>
      <c r="B103" s="5"/>
      <c r="C103" s="5"/>
      <c r="D103" s="5"/>
      <c r="E103" s="5"/>
      <c r="F103" s="5"/>
      <c r="G103" s="5"/>
      <c r="H103" s="5"/>
    </row>
    <row r="104" spans="1:8" x14ac:dyDescent="0.2">
      <c r="A104" s="5"/>
      <c r="B104" s="5"/>
      <c r="C104" s="5"/>
      <c r="D104" s="5"/>
      <c r="E104" s="5"/>
      <c r="F104" s="5"/>
      <c r="G104" s="5"/>
      <c r="H104" s="5"/>
    </row>
    <row r="105" spans="1:8" x14ac:dyDescent="0.2">
      <c r="A105" s="5"/>
      <c r="B105" s="5"/>
      <c r="C105" s="5"/>
      <c r="D105" s="5"/>
      <c r="E105" s="5"/>
      <c r="F105" s="5"/>
      <c r="G105" s="5"/>
      <c r="H105" s="5"/>
    </row>
    <row r="106" spans="1:8" x14ac:dyDescent="0.2">
      <c r="A106" s="5"/>
      <c r="B106" s="5"/>
      <c r="C106" s="5"/>
      <c r="D106" s="5"/>
      <c r="E106" s="5"/>
      <c r="F106" s="5"/>
      <c r="G106" s="5"/>
      <c r="H106" s="5"/>
    </row>
    <row r="107" spans="1:8" x14ac:dyDescent="0.2">
      <c r="A107" s="5"/>
      <c r="B107" s="5"/>
      <c r="C107" s="5"/>
      <c r="D107" s="5"/>
      <c r="E107" s="5"/>
      <c r="F107" s="5"/>
      <c r="G107" s="5"/>
      <c r="H107" s="5"/>
    </row>
    <row r="108" spans="1:8" x14ac:dyDescent="0.2">
      <c r="A108" s="5"/>
      <c r="B108" s="5"/>
      <c r="C108" s="5"/>
      <c r="D108" s="5"/>
      <c r="E108" s="5"/>
      <c r="F108" s="5"/>
      <c r="G108" s="5"/>
      <c r="H108" s="5"/>
    </row>
    <row r="109" spans="1:8" x14ac:dyDescent="0.2">
      <c r="A109" s="5"/>
      <c r="B109" s="5"/>
      <c r="C109" s="5"/>
      <c r="D109" s="5"/>
      <c r="E109" s="5"/>
      <c r="F109" s="5"/>
      <c r="G109" s="5"/>
      <c r="H109" s="5"/>
    </row>
    <row r="110" spans="1:8" x14ac:dyDescent="0.2">
      <c r="A110" s="5"/>
      <c r="B110" s="5"/>
      <c r="C110" s="5"/>
      <c r="D110" s="5"/>
      <c r="E110" s="5"/>
      <c r="F110" s="5"/>
      <c r="G110" s="5"/>
      <c r="H110" s="5"/>
    </row>
    <row r="111" spans="1:8" x14ac:dyDescent="0.2">
      <c r="A111" s="5"/>
      <c r="B111" s="5"/>
      <c r="C111" s="5"/>
      <c r="D111" s="5"/>
      <c r="E111" s="5"/>
      <c r="F111" s="5"/>
      <c r="G111" s="5"/>
      <c r="H111" s="5"/>
    </row>
    <row r="112" spans="1:8" x14ac:dyDescent="0.2">
      <c r="A112" s="5"/>
      <c r="B112" s="5"/>
      <c r="C112" s="5"/>
      <c r="D112" s="5"/>
      <c r="E112" s="5"/>
      <c r="F112" s="5"/>
      <c r="G112" s="5"/>
      <c r="H112" s="5"/>
    </row>
    <row r="113" spans="1:8" x14ac:dyDescent="0.2">
      <c r="A113" s="5"/>
      <c r="B113" s="5"/>
      <c r="C113" s="5"/>
      <c r="D113" s="5"/>
      <c r="E113" s="5"/>
      <c r="F113" s="5"/>
      <c r="G113" s="5"/>
      <c r="H113" s="5"/>
    </row>
    <row r="114" spans="1:8" x14ac:dyDescent="0.2">
      <c r="A114" s="5"/>
      <c r="B114" s="5"/>
      <c r="C114" s="5"/>
      <c r="D114" s="5"/>
      <c r="E114" s="5"/>
      <c r="F114" s="5"/>
      <c r="G114" s="5"/>
      <c r="H114" s="5"/>
    </row>
    <row r="115" spans="1:8" x14ac:dyDescent="0.2">
      <c r="A115" s="5"/>
      <c r="B115" s="5"/>
      <c r="C115" s="5"/>
      <c r="D115" s="5"/>
      <c r="E115" s="5"/>
      <c r="F115" s="5"/>
      <c r="G115" s="5"/>
      <c r="H115" s="5"/>
    </row>
    <row r="116" spans="1:8" x14ac:dyDescent="0.2">
      <c r="A116" s="5"/>
      <c r="B116" s="5"/>
      <c r="C116" s="5"/>
      <c r="D116" s="5"/>
      <c r="E116" s="5"/>
      <c r="F116" s="5"/>
      <c r="G116" s="5"/>
      <c r="H116" s="5"/>
    </row>
    <row r="117" spans="1:8" x14ac:dyDescent="0.2">
      <c r="A117" s="5"/>
      <c r="B117" s="5"/>
      <c r="C117" s="5"/>
      <c r="D117" s="5"/>
      <c r="E117" s="5"/>
      <c r="F117" s="5"/>
      <c r="G117" s="5"/>
      <c r="H117" s="5"/>
    </row>
    <row r="118" spans="1:8" x14ac:dyDescent="0.2">
      <c r="A118" s="5"/>
      <c r="B118" s="5"/>
      <c r="C118" s="5"/>
      <c r="D118" s="5"/>
      <c r="E118" s="5"/>
      <c r="F118" s="5"/>
      <c r="G118" s="5"/>
      <c r="H118" s="5"/>
    </row>
    <row r="119" spans="1:8" x14ac:dyDescent="0.2">
      <c r="A119" s="5"/>
      <c r="B119" s="5"/>
      <c r="C119" s="5"/>
      <c r="D119" s="5"/>
      <c r="E119" s="5"/>
      <c r="F119" s="5"/>
      <c r="G119" s="5"/>
      <c r="H119" s="5"/>
    </row>
    <row r="120" spans="1:8" x14ac:dyDescent="0.2">
      <c r="A120" s="5"/>
      <c r="B120" s="5"/>
      <c r="C120" s="5"/>
      <c r="D120" s="5"/>
      <c r="E120" s="5"/>
      <c r="F120" s="5"/>
      <c r="G120" s="5"/>
      <c r="H120" s="5"/>
    </row>
    <row r="121" spans="1:8" x14ac:dyDescent="0.2">
      <c r="A121" s="5"/>
      <c r="B121" s="5"/>
      <c r="C121" s="5"/>
      <c r="D121" s="5"/>
      <c r="E121" s="5"/>
      <c r="F121" s="5"/>
      <c r="G121" s="5"/>
      <c r="H121" s="5"/>
    </row>
    <row r="122" spans="1:8" x14ac:dyDescent="0.2">
      <c r="A122" s="5"/>
      <c r="B122" s="5"/>
      <c r="C122" s="5"/>
      <c r="D122" s="5"/>
      <c r="E122" s="5"/>
      <c r="F122" s="5"/>
      <c r="G122" s="5"/>
      <c r="H122" s="5"/>
    </row>
    <row r="123" spans="1:8" x14ac:dyDescent="0.2">
      <c r="A123" s="5"/>
      <c r="B123" s="5"/>
      <c r="C123" s="5"/>
      <c r="D123" s="5"/>
      <c r="E123" s="5"/>
      <c r="F123" s="5"/>
      <c r="G123" s="5"/>
      <c r="H123" s="5"/>
    </row>
    <row r="124" spans="1:8" x14ac:dyDescent="0.2">
      <c r="A124" s="5"/>
      <c r="B124" s="5"/>
      <c r="C124" s="5"/>
      <c r="D124" s="5"/>
      <c r="E124" s="5"/>
      <c r="F124" s="5"/>
      <c r="G124" s="5"/>
      <c r="H124" s="5"/>
    </row>
    <row r="125" spans="1:8" x14ac:dyDescent="0.2">
      <c r="A125" s="5"/>
      <c r="B125" s="5"/>
      <c r="C125" s="5"/>
      <c r="D125" s="5"/>
      <c r="E125" s="5"/>
      <c r="F125" s="5"/>
      <c r="G125" s="5"/>
      <c r="H125" s="5"/>
    </row>
    <row r="126" spans="1:8" x14ac:dyDescent="0.2">
      <c r="A126" s="5"/>
      <c r="B126" s="5"/>
      <c r="C126" s="5"/>
      <c r="D126" s="5"/>
      <c r="E126" s="5"/>
      <c r="F126" s="5"/>
      <c r="G126" s="5"/>
      <c r="H126" s="5"/>
    </row>
    <row r="127" spans="1:8" x14ac:dyDescent="0.2">
      <c r="A127" s="5"/>
      <c r="B127" s="5"/>
      <c r="C127" s="5"/>
      <c r="D127" s="5"/>
      <c r="E127" s="5"/>
      <c r="F127" s="5"/>
      <c r="G127" s="5"/>
      <c r="H127" s="5"/>
    </row>
    <row r="128" spans="1:8" x14ac:dyDescent="0.2">
      <c r="A128" s="5"/>
      <c r="B128" s="5"/>
      <c r="C128" s="5"/>
      <c r="D128" s="5"/>
      <c r="E128" s="5"/>
      <c r="F128" s="5"/>
      <c r="G128" s="5"/>
      <c r="H128" s="5"/>
    </row>
    <row r="129" spans="1:8" x14ac:dyDescent="0.2">
      <c r="A129" s="5"/>
      <c r="B129" s="5"/>
      <c r="C129" s="5"/>
      <c r="D129" s="5"/>
      <c r="E129" s="5"/>
      <c r="F129" s="5"/>
      <c r="G129" s="5"/>
      <c r="H129" s="5"/>
    </row>
    <row r="130" spans="1:8" x14ac:dyDescent="0.2">
      <c r="A130" s="5"/>
      <c r="B130" s="5"/>
      <c r="C130" s="5"/>
      <c r="D130" s="5"/>
      <c r="E130" s="5"/>
      <c r="F130" s="5"/>
      <c r="G130" s="5"/>
      <c r="H130" s="5"/>
    </row>
    <row r="131" spans="1:8" x14ac:dyDescent="0.2">
      <c r="A131" s="5"/>
      <c r="B131" s="5"/>
      <c r="C131" s="5"/>
      <c r="D131" s="5"/>
      <c r="E131" s="5"/>
      <c r="F131" s="5"/>
      <c r="G131" s="5"/>
      <c r="H131" s="5"/>
    </row>
    <row r="132" spans="1:8" x14ac:dyDescent="0.2">
      <c r="A132" s="5"/>
      <c r="B132" s="5"/>
      <c r="C132" s="5"/>
      <c r="D132" s="5"/>
      <c r="E132" s="5"/>
      <c r="F132" s="5"/>
      <c r="G132" s="5"/>
      <c r="H132" s="5"/>
    </row>
    <row r="133" spans="1:8" x14ac:dyDescent="0.2">
      <c r="A133" s="5"/>
      <c r="B133" s="5"/>
      <c r="C133" s="5"/>
      <c r="D133" s="5"/>
      <c r="E133" s="5"/>
      <c r="F133" s="5"/>
      <c r="G133" s="5"/>
      <c r="H133" s="5"/>
    </row>
    <row r="134" spans="1:8" x14ac:dyDescent="0.2">
      <c r="A134" s="5"/>
      <c r="B134" s="5"/>
      <c r="C134" s="5"/>
      <c r="D134" s="5"/>
      <c r="E134" s="5"/>
      <c r="F134" s="5"/>
      <c r="G134" s="5"/>
      <c r="H134" s="5"/>
    </row>
    <row r="135" spans="1:8" x14ac:dyDescent="0.2">
      <c r="A135" s="5"/>
      <c r="B135" s="5"/>
      <c r="C135" s="5"/>
      <c r="D135" s="5"/>
      <c r="E135" s="5"/>
      <c r="F135" s="5"/>
      <c r="G135" s="5"/>
      <c r="H135" s="5"/>
    </row>
    <row r="136" spans="1:8" x14ac:dyDescent="0.2">
      <c r="A136" s="5"/>
      <c r="B136" s="5"/>
      <c r="C136" s="5"/>
      <c r="D136" s="5"/>
      <c r="E136" s="5"/>
      <c r="F136" s="5"/>
      <c r="G136" s="5"/>
      <c r="H136" s="5"/>
    </row>
    <row r="137" spans="1:8" x14ac:dyDescent="0.2">
      <c r="A137" s="5"/>
      <c r="B137" s="5"/>
      <c r="C137" s="5"/>
      <c r="D137" s="5"/>
      <c r="E137" s="5"/>
      <c r="F137" s="5"/>
      <c r="G137" s="5"/>
      <c r="H137" s="5"/>
    </row>
    <row r="138" spans="1:8" x14ac:dyDescent="0.2">
      <c r="A138" s="5"/>
      <c r="B138" s="5"/>
      <c r="C138" s="5"/>
      <c r="D138" s="5"/>
      <c r="E138" s="5"/>
      <c r="F138" s="5"/>
      <c r="G138" s="5"/>
      <c r="H138" s="5"/>
    </row>
    <row r="139" spans="1:8" x14ac:dyDescent="0.2">
      <c r="A139" s="5"/>
      <c r="B139" s="5"/>
      <c r="C139" s="5"/>
      <c r="D139" s="5"/>
      <c r="E139" s="5"/>
      <c r="F139" s="5"/>
      <c r="G139" s="5"/>
      <c r="H139" s="5"/>
    </row>
    <row r="140" spans="1:8" x14ac:dyDescent="0.2">
      <c r="A140" s="5"/>
      <c r="B140" s="5"/>
      <c r="C140" s="5"/>
      <c r="D140" s="5"/>
      <c r="E140" s="5"/>
      <c r="F140" s="5"/>
      <c r="G140" s="5"/>
      <c r="H140" s="5"/>
    </row>
    <row r="141" spans="1:8" x14ac:dyDescent="0.2">
      <c r="A141" s="5"/>
      <c r="B141" s="5"/>
      <c r="C141" s="5"/>
      <c r="D141" s="5"/>
      <c r="E141" s="5"/>
      <c r="F141" s="5"/>
      <c r="G141" s="5"/>
      <c r="H141" s="5"/>
    </row>
    <row r="142" spans="1:8" x14ac:dyDescent="0.2">
      <c r="A142" s="5"/>
      <c r="B142" s="5"/>
      <c r="C142" s="5"/>
      <c r="D142" s="5"/>
      <c r="E142" s="5"/>
      <c r="F142" s="5"/>
      <c r="G142" s="5"/>
      <c r="H142" s="5"/>
    </row>
    <row r="143" spans="1:8" x14ac:dyDescent="0.2">
      <c r="A143" s="5"/>
      <c r="B143" s="5"/>
      <c r="C143" s="5"/>
      <c r="D143" s="5"/>
      <c r="E143" s="5"/>
      <c r="F143" s="5"/>
      <c r="G143" s="5"/>
      <c r="H143" s="5"/>
    </row>
    <row r="144" spans="1:8" x14ac:dyDescent="0.2">
      <c r="A144" s="5"/>
      <c r="B144" s="5"/>
      <c r="C144" s="5"/>
      <c r="D144" s="5"/>
      <c r="E144" s="5"/>
      <c r="F144" s="5"/>
      <c r="G144" s="5"/>
      <c r="H144" s="5"/>
    </row>
    <row r="145" spans="1:8" x14ac:dyDescent="0.2">
      <c r="A145" s="5"/>
      <c r="B145" s="5"/>
      <c r="C145" s="5"/>
      <c r="D145" s="5"/>
      <c r="E145" s="5"/>
      <c r="F145" s="5"/>
      <c r="G145" s="5"/>
      <c r="H145" s="5"/>
    </row>
    <row r="146" spans="1:8" x14ac:dyDescent="0.2">
      <c r="A146" s="5"/>
      <c r="B146" s="5"/>
      <c r="C146" s="5"/>
      <c r="D146" s="5"/>
      <c r="E146" s="5"/>
      <c r="F146" s="5"/>
      <c r="G146" s="5"/>
      <c r="H146" s="5"/>
    </row>
    <row r="147" spans="1:8" x14ac:dyDescent="0.2">
      <c r="A147" s="5"/>
      <c r="B147" s="5"/>
      <c r="C147" s="5"/>
      <c r="D147" s="5"/>
      <c r="E147" s="5"/>
      <c r="F147" s="5"/>
      <c r="G147" s="5"/>
      <c r="H147" s="5"/>
    </row>
    <row r="148" spans="1:8" x14ac:dyDescent="0.2">
      <c r="A148" s="5"/>
      <c r="B148" s="5"/>
      <c r="C148" s="5"/>
      <c r="D148" s="5"/>
      <c r="E148" s="5"/>
      <c r="F148" s="5"/>
      <c r="G148" s="5"/>
      <c r="H148" s="5"/>
    </row>
    <row r="149" spans="1:8" x14ac:dyDescent="0.2">
      <c r="A149" s="5"/>
      <c r="B149" s="5"/>
      <c r="C149" s="5"/>
      <c r="D149" s="5"/>
      <c r="E149" s="5"/>
      <c r="F149" s="5"/>
      <c r="G149" s="5"/>
      <c r="H149" s="5"/>
    </row>
    <row r="150" spans="1:8" x14ac:dyDescent="0.2">
      <c r="A150" s="5"/>
      <c r="B150" s="5"/>
      <c r="C150" s="5"/>
      <c r="D150" s="5"/>
      <c r="E150" s="5"/>
      <c r="F150" s="5"/>
      <c r="G150" s="5"/>
      <c r="H150" s="5"/>
    </row>
    <row r="151" spans="1:8" x14ac:dyDescent="0.2">
      <c r="A151" s="5"/>
      <c r="B151" s="5"/>
      <c r="C151" s="5"/>
      <c r="D151" s="5"/>
      <c r="E151" s="5"/>
      <c r="F151" s="5"/>
      <c r="G151" s="5"/>
      <c r="H151" s="5"/>
    </row>
    <row r="152" spans="1:8" x14ac:dyDescent="0.2">
      <c r="A152" s="5"/>
      <c r="B152" s="5"/>
      <c r="C152" s="5"/>
      <c r="D152" s="5"/>
      <c r="E152" s="5"/>
      <c r="F152" s="5"/>
      <c r="G152" s="5"/>
      <c r="H152" s="5"/>
    </row>
    <row r="153" spans="1:8" x14ac:dyDescent="0.2">
      <c r="A153" s="5"/>
      <c r="B153" s="5"/>
      <c r="C153" s="5"/>
      <c r="D153" s="5"/>
      <c r="E153" s="5"/>
      <c r="F153" s="5"/>
      <c r="G153" s="5"/>
      <c r="H153" s="5"/>
    </row>
    <row r="154" spans="1:8" x14ac:dyDescent="0.2">
      <c r="A154" s="5"/>
      <c r="B154" s="5"/>
      <c r="C154" s="5"/>
      <c r="D154" s="5"/>
      <c r="E154" s="5"/>
      <c r="F154" s="5"/>
      <c r="G154" s="5"/>
      <c r="H154" s="5"/>
    </row>
    <row r="155" spans="1:8" x14ac:dyDescent="0.2">
      <c r="A155" s="5"/>
      <c r="B155" s="5"/>
      <c r="C155" s="5"/>
      <c r="D155" s="5"/>
      <c r="E155" s="5"/>
      <c r="F155" s="5"/>
      <c r="G155" s="5"/>
      <c r="H155" s="5"/>
    </row>
    <row r="156" spans="1:8" x14ac:dyDescent="0.2">
      <c r="A156" s="5"/>
      <c r="B156" s="5"/>
      <c r="C156" s="5"/>
      <c r="D156" s="5"/>
      <c r="E156" s="5"/>
      <c r="F156" s="5"/>
      <c r="G156" s="5"/>
      <c r="H156" s="5"/>
    </row>
    <row r="157" spans="1:8" x14ac:dyDescent="0.2">
      <c r="A157" s="5"/>
      <c r="B157" s="5"/>
      <c r="C157" s="5"/>
      <c r="D157" s="5"/>
      <c r="E157" s="5"/>
      <c r="F157" s="5"/>
      <c r="G157" s="5"/>
      <c r="H157" s="5"/>
    </row>
    <row r="158" spans="1:8" x14ac:dyDescent="0.2">
      <c r="A158" s="5"/>
      <c r="B158" s="5"/>
      <c r="C158" s="5"/>
      <c r="D158" s="5"/>
      <c r="E158" s="5"/>
      <c r="F158" s="5"/>
      <c r="G158" s="5"/>
      <c r="H158" s="5"/>
    </row>
    <row r="159" spans="1:8" x14ac:dyDescent="0.2">
      <c r="A159" s="5"/>
      <c r="B159" s="5"/>
      <c r="C159" s="5"/>
      <c r="D159" s="5"/>
      <c r="E159" s="5"/>
      <c r="F159" s="5"/>
      <c r="G159" s="5"/>
      <c r="H159" s="5"/>
    </row>
    <row r="160" spans="1:8" x14ac:dyDescent="0.2">
      <c r="A160" s="5"/>
      <c r="B160" s="5"/>
      <c r="C160" s="5"/>
      <c r="D160" s="5"/>
      <c r="E160" s="5"/>
      <c r="F160" s="5"/>
      <c r="G160" s="5"/>
      <c r="H160" s="5"/>
    </row>
    <row r="161" spans="1:8" x14ac:dyDescent="0.2">
      <c r="A161" s="5"/>
      <c r="B161" s="5"/>
      <c r="C161" s="5"/>
      <c r="D161" s="5"/>
      <c r="E161" s="5"/>
      <c r="F161" s="5"/>
      <c r="G161" s="5"/>
      <c r="H161" s="5"/>
    </row>
    <row r="162" spans="1:8" x14ac:dyDescent="0.2">
      <c r="A162" s="5"/>
      <c r="B162" s="5"/>
      <c r="C162" s="5"/>
      <c r="D162" s="5"/>
      <c r="E162" s="5"/>
      <c r="F162" s="5"/>
      <c r="G162" s="5"/>
      <c r="H162" s="5"/>
    </row>
    <row r="163" spans="1:8" x14ac:dyDescent="0.2">
      <c r="A163" s="5"/>
      <c r="B163" s="5"/>
      <c r="C163" s="5"/>
      <c r="D163" s="5"/>
      <c r="E163" s="5"/>
      <c r="F163" s="5"/>
      <c r="G163" s="5"/>
      <c r="H163" s="5"/>
    </row>
    <row r="164" spans="1:8" x14ac:dyDescent="0.2">
      <c r="A164" s="5"/>
      <c r="B164" s="5"/>
      <c r="C164" s="5"/>
      <c r="D164" s="5"/>
      <c r="E164" s="5"/>
      <c r="F164" s="5"/>
      <c r="G164" s="5"/>
      <c r="H164" s="5"/>
    </row>
    <row r="165" spans="1:8" x14ac:dyDescent="0.2">
      <c r="A165" s="5"/>
      <c r="B165" s="5"/>
      <c r="C165" s="5"/>
      <c r="D165" s="5"/>
      <c r="E165" s="5"/>
      <c r="F165" s="5"/>
      <c r="G165" s="5"/>
      <c r="H165" s="5"/>
    </row>
    <row r="166" spans="1:8" x14ac:dyDescent="0.2">
      <c r="A166" s="5"/>
      <c r="B166" s="5"/>
      <c r="C166" s="5"/>
      <c r="D166" s="5"/>
      <c r="E166" s="5"/>
      <c r="F166" s="5"/>
      <c r="G166" s="5"/>
      <c r="H166" s="5"/>
    </row>
    <row r="167" spans="1:8" x14ac:dyDescent="0.2">
      <c r="A167" s="5"/>
      <c r="B167" s="5"/>
      <c r="C167" s="5"/>
      <c r="D167" s="5"/>
      <c r="E167" s="5"/>
      <c r="F167" s="5"/>
      <c r="G167" s="5"/>
      <c r="H167" s="5"/>
    </row>
    <row r="168" spans="1:8" x14ac:dyDescent="0.2">
      <c r="A168" s="5"/>
      <c r="B168" s="5"/>
      <c r="C168" s="5"/>
      <c r="D168" s="5"/>
      <c r="E168" s="5"/>
      <c r="F168" s="5"/>
      <c r="G168" s="5"/>
      <c r="H168" s="5"/>
    </row>
    <row r="169" spans="1:8" x14ac:dyDescent="0.2">
      <c r="A169" s="5"/>
      <c r="B169" s="5"/>
      <c r="C169" s="5"/>
      <c r="D169" s="5"/>
      <c r="E169" s="5"/>
      <c r="F169" s="5"/>
      <c r="G169" s="5"/>
      <c r="H169" s="5"/>
    </row>
    <row r="170" spans="1:8" x14ac:dyDescent="0.2">
      <c r="A170" s="5"/>
      <c r="B170" s="5"/>
      <c r="C170" s="5"/>
      <c r="D170" s="5"/>
      <c r="E170" s="5"/>
      <c r="F170" s="5"/>
      <c r="G170" s="5"/>
      <c r="H170" s="5"/>
    </row>
    <row r="171" spans="1:8" x14ac:dyDescent="0.2">
      <c r="A171" s="5"/>
      <c r="B171" s="5"/>
      <c r="C171" s="5"/>
      <c r="D171" s="5"/>
      <c r="E171" s="5"/>
      <c r="F171" s="5"/>
      <c r="G171" s="5"/>
      <c r="H171" s="5"/>
    </row>
    <row r="172" spans="1:8" x14ac:dyDescent="0.2">
      <c r="A172" s="5"/>
      <c r="B172" s="5"/>
      <c r="C172" s="5"/>
      <c r="D172" s="5"/>
      <c r="E172" s="5"/>
      <c r="F172" s="5"/>
      <c r="G172" s="5"/>
      <c r="H172" s="5"/>
    </row>
    <row r="173" spans="1:8" x14ac:dyDescent="0.2">
      <c r="A173" s="5"/>
      <c r="B173" s="5"/>
      <c r="C173" s="5"/>
      <c r="D173" s="5"/>
      <c r="E173" s="5"/>
      <c r="F173" s="5"/>
      <c r="G173" s="5"/>
      <c r="H173" s="5"/>
    </row>
    <row r="174" spans="1:8" x14ac:dyDescent="0.2">
      <c r="A174" s="5"/>
      <c r="B174" s="5"/>
      <c r="C174" s="5"/>
      <c r="D174" s="5"/>
      <c r="E174" s="5"/>
      <c r="F174" s="5"/>
      <c r="G174" s="5"/>
      <c r="H174" s="5"/>
    </row>
    <row r="175" spans="1:8" x14ac:dyDescent="0.2">
      <c r="A175" s="5"/>
      <c r="B175" s="5"/>
      <c r="C175" s="5"/>
      <c r="D175" s="5"/>
      <c r="E175" s="5"/>
      <c r="F175" s="5"/>
      <c r="G175" s="5"/>
      <c r="H175" s="5"/>
    </row>
    <row r="176" spans="1:8" x14ac:dyDescent="0.2">
      <c r="A176" s="5"/>
      <c r="B176" s="5"/>
      <c r="C176" s="5"/>
      <c r="D176" s="5"/>
      <c r="E176" s="5"/>
      <c r="F176" s="5"/>
      <c r="G176" s="5"/>
      <c r="H176" s="5"/>
    </row>
    <row r="177" spans="1:8" x14ac:dyDescent="0.2">
      <c r="A177" s="5"/>
      <c r="B177" s="5"/>
      <c r="C177" s="5"/>
      <c r="D177" s="5"/>
      <c r="E177" s="5"/>
      <c r="F177" s="5"/>
      <c r="G177" s="5"/>
      <c r="H177" s="5"/>
    </row>
    <row r="178" spans="1:8" x14ac:dyDescent="0.2">
      <c r="A178" s="5"/>
      <c r="B178" s="5"/>
      <c r="C178" s="5"/>
      <c r="D178" s="5"/>
      <c r="E178" s="5"/>
      <c r="F178" s="5"/>
      <c r="G178" s="5"/>
      <c r="H178" s="5"/>
    </row>
    <row r="179" spans="1:8" x14ac:dyDescent="0.2">
      <c r="A179" s="5"/>
      <c r="B179" s="5"/>
      <c r="C179" s="5"/>
      <c r="D179" s="5"/>
      <c r="E179" s="5"/>
      <c r="F179" s="5"/>
      <c r="G179" s="5"/>
      <c r="H179" s="5"/>
    </row>
    <row r="180" spans="1:8" x14ac:dyDescent="0.2">
      <c r="A180" s="5"/>
      <c r="B180" s="5"/>
      <c r="C180" s="5"/>
      <c r="D180" s="5"/>
      <c r="E180" s="5"/>
      <c r="F180" s="5"/>
      <c r="G180" s="5"/>
      <c r="H180" s="5"/>
    </row>
    <row r="181" spans="1:8" x14ac:dyDescent="0.2">
      <c r="A181" s="5"/>
      <c r="B181" s="5"/>
      <c r="C181" s="5"/>
      <c r="D181" s="5"/>
      <c r="E181" s="5"/>
      <c r="F181" s="5"/>
      <c r="G181" s="5"/>
      <c r="H181" s="5"/>
    </row>
    <row r="182" spans="1:8" x14ac:dyDescent="0.2">
      <c r="A182" s="5"/>
      <c r="B182" s="5"/>
      <c r="C182" s="5"/>
      <c r="D182" s="5"/>
      <c r="E182" s="5"/>
      <c r="F182" s="5"/>
      <c r="G182" s="5"/>
      <c r="H182" s="5"/>
    </row>
    <row r="183" spans="1:8" x14ac:dyDescent="0.2">
      <c r="A183" s="5"/>
      <c r="B183" s="5"/>
      <c r="C183" s="5"/>
      <c r="D183" s="5"/>
      <c r="E183" s="5"/>
      <c r="F183" s="5"/>
      <c r="G183" s="5"/>
      <c r="H183" s="5"/>
    </row>
    <row r="184" spans="1:8" x14ac:dyDescent="0.2">
      <c r="A184" s="5"/>
      <c r="B184" s="5"/>
      <c r="C184" s="5"/>
      <c r="D184" s="5"/>
      <c r="E184" s="5"/>
      <c r="F184" s="5"/>
      <c r="G184" s="5"/>
      <c r="H184" s="5"/>
    </row>
    <row r="185" spans="1:8" x14ac:dyDescent="0.2">
      <c r="A185" s="5"/>
      <c r="B185" s="5"/>
      <c r="C185" s="5"/>
      <c r="D185" s="5"/>
      <c r="E185" s="5"/>
      <c r="F185" s="5"/>
      <c r="G185" s="5"/>
      <c r="H185" s="5"/>
    </row>
    <row r="186" spans="1:8" x14ac:dyDescent="0.2">
      <c r="A186" s="5"/>
      <c r="B186" s="5"/>
      <c r="C186" s="5"/>
      <c r="D186" s="5"/>
      <c r="E186" s="5"/>
      <c r="F186" s="5"/>
      <c r="G186" s="5"/>
      <c r="H186" s="5"/>
    </row>
    <row r="187" spans="1:8" x14ac:dyDescent="0.2">
      <c r="A187" s="5"/>
      <c r="B187" s="5"/>
      <c r="C187" s="5"/>
      <c r="D187" s="5"/>
      <c r="E187" s="5"/>
      <c r="F187" s="5"/>
      <c r="G187" s="5"/>
      <c r="H187" s="5"/>
    </row>
    <row r="188" spans="1:8" x14ac:dyDescent="0.2">
      <c r="A188" s="5"/>
      <c r="B188" s="5"/>
      <c r="C188" s="5"/>
      <c r="D188" s="5"/>
      <c r="E188" s="5"/>
      <c r="F188" s="5"/>
      <c r="G188" s="5"/>
      <c r="H188" s="5"/>
    </row>
    <row r="189" spans="1:8" x14ac:dyDescent="0.2">
      <c r="A189" s="5"/>
      <c r="B189" s="5"/>
      <c r="C189" s="5"/>
      <c r="D189" s="5"/>
      <c r="E189" s="5"/>
      <c r="F189" s="5"/>
      <c r="G189" s="5"/>
      <c r="H189" s="5"/>
    </row>
    <row r="190" spans="1:8" x14ac:dyDescent="0.2">
      <c r="A190" s="5"/>
      <c r="B190" s="5"/>
      <c r="C190" s="5"/>
      <c r="D190" s="5"/>
      <c r="E190" s="5"/>
      <c r="F190" s="5"/>
      <c r="G190" s="5"/>
      <c r="H190" s="5"/>
    </row>
    <row r="191" spans="1:8" x14ac:dyDescent="0.2">
      <c r="A191" s="5"/>
      <c r="B191" s="5"/>
      <c r="C191" s="5"/>
      <c r="D191" s="5"/>
      <c r="E191" s="5"/>
      <c r="F191" s="5"/>
      <c r="G191" s="5"/>
      <c r="H191" s="5"/>
    </row>
    <row r="192" spans="1:8" x14ac:dyDescent="0.2">
      <c r="A192" s="5"/>
      <c r="B192" s="5"/>
      <c r="C192" s="5"/>
      <c r="D192" s="5"/>
      <c r="E192" s="5"/>
      <c r="F192" s="5"/>
      <c r="G192" s="5"/>
      <c r="H192" s="5"/>
    </row>
    <row r="193" spans="1:8" x14ac:dyDescent="0.2">
      <c r="A193" s="5"/>
      <c r="B193" s="5"/>
      <c r="C193" s="5"/>
      <c r="D193" s="5"/>
      <c r="E193" s="5"/>
      <c r="F193" s="5"/>
      <c r="G193" s="5"/>
      <c r="H193" s="5"/>
    </row>
    <row r="194" spans="1:8" x14ac:dyDescent="0.2">
      <c r="A194" s="5"/>
      <c r="B194" s="5"/>
      <c r="C194" s="5"/>
      <c r="D194" s="5"/>
      <c r="E194" s="5"/>
      <c r="F194" s="5"/>
      <c r="G194" s="5"/>
      <c r="H194" s="5"/>
    </row>
    <row r="195" spans="1:8" x14ac:dyDescent="0.2">
      <c r="A195" s="5"/>
      <c r="B195" s="5"/>
      <c r="C195" s="5"/>
      <c r="D195" s="5"/>
      <c r="E195" s="5"/>
      <c r="F195" s="5"/>
      <c r="G195" s="5"/>
      <c r="H195" s="5"/>
    </row>
    <row r="196" spans="1:8" x14ac:dyDescent="0.2">
      <c r="A196" s="5"/>
      <c r="B196" s="5"/>
      <c r="C196" s="5"/>
      <c r="D196" s="5"/>
      <c r="E196" s="5"/>
      <c r="F196" s="5"/>
      <c r="G196" s="5"/>
      <c r="H196" s="5"/>
    </row>
    <row r="197" spans="1:8" x14ac:dyDescent="0.2">
      <c r="A197" s="5"/>
      <c r="B197" s="5"/>
      <c r="C197" s="5"/>
      <c r="D197" s="5"/>
      <c r="E197" s="5"/>
      <c r="F197" s="5"/>
      <c r="G197" s="5"/>
      <c r="H197" s="5"/>
    </row>
    <row r="198" spans="1:8" x14ac:dyDescent="0.2">
      <c r="A198" s="5"/>
      <c r="B198" s="5"/>
      <c r="C198" s="5"/>
      <c r="D198" s="5"/>
      <c r="E198" s="5"/>
      <c r="F198" s="5"/>
      <c r="G198" s="5"/>
      <c r="H198" s="5"/>
    </row>
    <row r="199" spans="1:8" x14ac:dyDescent="0.2">
      <c r="A199" s="5"/>
      <c r="B199" s="5"/>
      <c r="C199" s="5"/>
      <c r="D199" s="5"/>
      <c r="E199" s="5"/>
      <c r="F199" s="5"/>
      <c r="G199" s="5"/>
      <c r="H199" s="5"/>
    </row>
    <row r="200" spans="1:8" x14ac:dyDescent="0.2">
      <c r="A200" s="5"/>
      <c r="B200" s="5"/>
      <c r="C200" s="5"/>
      <c r="D200" s="5"/>
      <c r="E200" s="5"/>
      <c r="F200" s="5"/>
      <c r="G200" s="5"/>
      <c r="H200" s="5"/>
    </row>
    <row r="201" spans="1:8" x14ac:dyDescent="0.2">
      <c r="A201" s="5"/>
      <c r="B201" s="5"/>
      <c r="C201" s="5"/>
      <c r="D201" s="5"/>
      <c r="E201" s="5"/>
      <c r="F201" s="5"/>
      <c r="G201" s="5"/>
      <c r="H201" s="5"/>
    </row>
    <row r="202" spans="1:8" x14ac:dyDescent="0.2">
      <c r="A202" s="5"/>
      <c r="B202" s="5"/>
      <c r="C202" s="5"/>
      <c r="D202" s="5"/>
      <c r="E202" s="5"/>
      <c r="F202" s="5"/>
      <c r="G202" s="5"/>
      <c r="H202" s="5"/>
    </row>
    <row r="203" spans="1:8" x14ac:dyDescent="0.2">
      <c r="A203" s="5"/>
      <c r="B203" s="5"/>
      <c r="C203" s="5"/>
      <c r="D203" s="5"/>
      <c r="E203" s="5"/>
      <c r="F203" s="5"/>
      <c r="G203" s="5"/>
      <c r="H203" s="5"/>
    </row>
    <row r="204" spans="1:8" x14ac:dyDescent="0.2">
      <c r="A204" s="5"/>
      <c r="B204" s="5"/>
      <c r="C204" s="5"/>
      <c r="D204" s="5"/>
      <c r="E204" s="5"/>
      <c r="F204" s="5"/>
      <c r="G204" s="5"/>
      <c r="H204" s="5"/>
    </row>
    <row r="205" spans="1:8" x14ac:dyDescent="0.2">
      <c r="A205" s="5"/>
      <c r="B205" s="5"/>
      <c r="C205" s="5"/>
      <c r="D205" s="5"/>
      <c r="E205" s="5"/>
      <c r="F205" s="5"/>
      <c r="G205" s="5"/>
      <c r="H205" s="5"/>
    </row>
    <row r="206" spans="1:8" x14ac:dyDescent="0.2">
      <c r="A206" s="5"/>
      <c r="B206" s="5"/>
      <c r="C206" s="5"/>
      <c r="D206" s="5"/>
      <c r="E206" s="5"/>
      <c r="F206" s="5"/>
      <c r="G206" s="5"/>
      <c r="H206" s="5"/>
    </row>
    <row r="207" spans="1:8" x14ac:dyDescent="0.2">
      <c r="A207" s="5"/>
      <c r="B207" s="5"/>
      <c r="C207" s="5"/>
      <c r="D207" s="5"/>
      <c r="E207" s="5"/>
      <c r="F207" s="5"/>
      <c r="G207" s="5"/>
      <c r="H207" s="5"/>
    </row>
    <row r="208" spans="1:8" x14ac:dyDescent="0.2">
      <c r="A208" s="5"/>
      <c r="B208" s="5"/>
      <c r="C208" s="5"/>
      <c r="D208" s="5"/>
      <c r="E208" s="5"/>
      <c r="F208" s="5"/>
      <c r="G208" s="5"/>
      <c r="H208" s="5"/>
    </row>
    <row r="209" spans="1:8" x14ac:dyDescent="0.2">
      <c r="A209" s="5"/>
      <c r="B209" s="5"/>
      <c r="C209" s="5"/>
      <c r="D209" s="5"/>
      <c r="E209" s="5"/>
      <c r="F209" s="5"/>
      <c r="G209" s="5"/>
      <c r="H209" s="5"/>
    </row>
    <row r="210" spans="1:8" x14ac:dyDescent="0.2">
      <c r="A210" s="5"/>
      <c r="B210" s="5"/>
      <c r="C210" s="5"/>
      <c r="D210" s="5"/>
      <c r="E210" s="5"/>
      <c r="F210" s="5"/>
      <c r="G210" s="5"/>
      <c r="H210" s="5"/>
    </row>
    <row r="211" spans="1:8" x14ac:dyDescent="0.2">
      <c r="A211" s="5"/>
      <c r="B211" s="5"/>
      <c r="C211" s="5"/>
      <c r="D211" s="5"/>
      <c r="E211" s="5"/>
      <c r="F211" s="5"/>
      <c r="G211" s="5"/>
      <c r="H211" s="5"/>
    </row>
    <row r="212" spans="1:8" x14ac:dyDescent="0.2">
      <c r="A212" s="5"/>
      <c r="B212" s="5"/>
      <c r="C212" s="5"/>
      <c r="D212" s="5"/>
      <c r="E212" s="5"/>
      <c r="F212" s="5"/>
      <c r="G212" s="5"/>
      <c r="H212" s="5"/>
    </row>
    <row r="213" spans="1:8" x14ac:dyDescent="0.2">
      <c r="A213" s="5"/>
      <c r="B213" s="5"/>
      <c r="C213" s="5"/>
      <c r="D213" s="5"/>
      <c r="E213" s="5"/>
      <c r="F213" s="5"/>
      <c r="G213" s="5"/>
      <c r="H213" s="5"/>
    </row>
    <row r="214" spans="1:8" x14ac:dyDescent="0.2">
      <c r="A214" s="5"/>
      <c r="B214" s="5"/>
      <c r="C214" s="5"/>
      <c r="D214" s="5"/>
      <c r="E214" s="5"/>
      <c r="F214" s="5"/>
      <c r="G214" s="5"/>
      <c r="H214" s="5"/>
    </row>
    <row r="215" spans="1:8" x14ac:dyDescent="0.2">
      <c r="A215" s="5"/>
      <c r="B215" s="5"/>
      <c r="C215" s="5"/>
      <c r="D215" s="5"/>
      <c r="E215" s="5"/>
      <c r="F215" s="5"/>
      <c r="G215" s="5"/>
      <c r="H215" s="5"/>
    </row>
    <row r="216" spans="1:8" x14ac:dyDescent="0.2">
      <c r="A216" s="5"/>
      <c r="B216" s="5"/>
      <c r="C216" s="5"/>
      <c r="D216" s="5"/>
      <c r="E216" s="5"/>
      <c r="F216" s="5"/>
      <c r="G216" s="5"/>
      <c r="H216" s="5"/>
    </row>
    <row r="217" spans="1:8" x14ac:dyDescent="0.2">
      <c r="A217" s="5"/>
      <c r="B217" s="5"/>
      <c r="C217" s="5"/>
      <c r="D217" s="5"/>
      <c r="E217" s="5"/>
      <c r="F217" s="5"/>
      <c r="G217" s="5"/>
      <c r="H217" s="5"/>
    </row>
    <row r="218" spans="1:8" x14ac:dyDescent="0.2">
      <c r="A218" s="5"/>
      <c r="B218" s="5"/>
      <c r="C218" s="5"/>
      <c r="D218" s="5"/>
      <c r="E218" s="5"/>
      <c r="F218" s="5"/>
      <c r="G218" s="5"/>
      <c r="H218" s="5"/>
    </row>
    <row r="219" spans="1:8" x14ac:dyDescent="0.2">
      <c r="A219" s="5"/>
      <c r="B219" s="5"/>
      <c r="C219" s="5"/>
      <c r="D219" s="5"/>
      <c r="E219" s="5"/>
      <c r="F219" s="5"/>
      <c r="G219" s="5"/>
      <c r="H219" s="5"/>
    </row>
    <row r="220" spans="1:8" x14ac:dyDescent="0.2">
      <c r="A220" s="5"/>
      <c r="B220" s="5"/>
      <c r="C220" s="5"/>
      <c r="D220" s="5"/>
      <c r="E220" s="5"/>
      <c r="F220" s="5"/>
      <c r="G220" s="5"/>
      <c r="H220" s="5"/>
    </row>
    <row r="221" spans="1:8" x14ac:dyDescent="0.2">
      <c r="A221" s="5"/>
      <c r="B221" s="5"/>
      <c r="C221" s="5"/>
      <c r="D221" s="5"/>
      <c r="E221" s="5"/>
      <c r="F221" s="5"/>
      <c r="G221" s="5"/>
      <c r="H221" s="5"/>
    </row>
    <row r="222" spans="1:8" x14ac:dyDescent="0.2">
      <c r="A222" s="5"/>
      <c r="B222" s="5"/>
      <c r="C222" s="5"/>
      <c r="D222" s="5"/>
      <c r="E222" s="5"/>
      <c r="F222" s="5"/>
      <c r="G222" s="5"/>
      <c r="H222" s="5"/>
    </row>
    <row r="223" spans="1:8" x14ac:dyDescent="0.2">
      <c r="A223" s="5"/>
      <c r="B223" s="5"/>
      <c r="C223" s="5"/>
      <c r="D223" s="5"/>
      <c r="E223" s="5"/>
      <c r="F223" s="5"/>
      <c r="G223" s="5"/>
      <c r="H223" s="5"/>
    </row>
    <row r="224" spans="1:8" x14ac:dyDescent="0.2">
      <c r="A224" s="5"/>
      <c r="B224" s="5"/>
      <c r="C224" s="5"/>
      <c r="D224" s="5"/>
      <c r="E224" s="5"/>
      <c r="F224" s="5"/>
      <c r="G224" s="5"/>
      <c r="H224" s="5"/>
    </row>
    <row r="225" spans="1:8" x14ac:dyDescent="0.2">
      <c r="A225" s="5"/>
      <c r="B225" s="5"/>
      <c r="C225" s="5"/>
      <c r="D225" s="5"/>
      <c r="E225" s="5"/>
      <c r="F225" s="5"/>
      <c r="G225" s="5"/>
      <c r="H225" s="5"/>
    </row>
    <row r="226" spans="1:8" x14ac:dyDescent="0.2">
      <c r="A226" s="5"/>
      <c r="B226" s="5"/>
      <c r="C226" s="5"/>
      <c r="D226" s="5"/>
      <c r="E226" s="5"/>
      <c r="F226" s="5"/>
      <c r="G226" s="5"/>
      <c r="H226" s="5"/>
    </row>
    <row r="227" spans="1:8" x14ac:dyDescent="0.2">
      <c r="A227" s="5"/>
      <c r="B227" s="5"/>
      <c r="C227" s="5"/>
      <c r="D227" s="5"/>
      <c r="E227" s="5"/>
      <c r="F227" s="5"/>
      <c r="G227" s="5"/>
      <c r="H227" s="5"/>
    </row>
    <row r="228" spans="1:8" x14ac:dyDescent="0.2">
      <c r="A228" s="5"/>
      <c r="B228" s="5"/>
      <c r="C228" s="5"/>
      <c r="D228" s="5"/>
      <c r="E228" s="5"/>
      <c r="F228" s="5"/>
      <c r="G228" s="5"/>
      <c r="H228" s="5"/>
    </row>
  </sheetData>
  <mergeCells count="5">
    <mergeCell ref="A3:H3"/>
    <mergeCell ref="A4:H4"/>
    <mergeCell ref="A52:G52"/>
    <mergeCell ref="A5:H5"/>
    <mergeCell ref="C7:E7"/>
  </mergeCells>
  <phoneticPr fontId="0" type="noConversion"/>
  <pageMargins left="0.75" right="0.75" top="1" bottom="1" header="0.5" footer="0.5"/>
  <pageSetup scale="8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B42" sqref="B42"/>
    </sheetView>
  </sheetViews>
  <sheetFormatPr defaultRowHeight="12.75" x14ac:dyDescent="0.2"/>
  <cols>
    <col min="1" max="1" width="34" bestFit="1" customWidth="1"/>
    <col min="2" max="2" width="13.5703125" bestFit="1" customWidth="1"/>
    <col min="3" max="3" width="11.28515625" bestFit="1" customWidth="1"/>
    <col min="4" max="4" width="10.5703125" bestFit="1" customWidth="1"/>
    <col min="5" max="5" width="10.85546875" bestFit="1" customWidth="1"/>
    <col min="6" max="6" width="11.28515625" bestFit="1" customWidth="1"/>
  </cols>
  <sheetData>
    <row r="1" spans="1:8" x14ac:dyDescent="0.2">
      <c r="A1" s="198" t="s">
        <v>169</v>
      </c>
      <c r="B1" s="198"/>
      <c r="C1" s="198"/>
      <c r="D1" s="198"/>
      <c r="E1" s="198"/>
      <c r="F1" s="198"/>
      <c r="G1" s="2"/>
      <c r="H1" s="2"/>
    </row>
    <row r="2" spans="1:8" x14ac:dyDescent="0.2">
      <c r="A2" s="198" t="s">
        <v>171</v>
      </c>
      <c r="B2" s="198"/>
      <c r="C2" s="198"/>
      <c r="D2" s="198"/>
      <c r="E2" s="198"/>
      <c r="F2" s="198"/>
      <c r="G2" s="2"/>
      <c r="H2" s="2"/>
    </row>
    <row r="3" spans="1:8" x14ac:dyDescent="0.2">
      <c r="A3" s="198" t="s">
        <v>4</v>
      </c>
      <c r="B3" s="198"/>
      <c r="C3" s="198"/>
      <c r="D3" s="198"/>
      <c r="E3" s="198"/>
      <c r="F3" s="198"/>
      <c r="G3" s="2"/>
      <c r="H3" s="2"/>
    </row>
    <row r="4" spans="1:8" x14ac:dyDescent="0.2">
      <c r="A4" s="162"/>
      <c r="B4" s="162"/>
      <c r="C4" s="162"/>
      <c r="D4" s="162"/>
      <c r="E4" s="162"/>
      <c r="F4" s="162"/>
      <c r="G4" s="2"/>
      <c r="H4" s="2"/>
    </row>
    <row r="5" spans="1:8" x14ac:dyDescent="0.2">
      <c r="A5" s="162" t="s">
        <v>207</v>
      </c>
      <c r="B5" s="162" t="s">
        <v>208</v>
      </c>
      <c r="C5" s="162" t="s">
        <v>0</v>
      </c>
      <c r="D5" s="2"/>
      <c r="E5" s="2"/>
      <c r="F5" s="198"/>
      <c r="G5" s="198"/>
      <c r="H5" s="198"/>
    </row>
    <row r="6" spans="1:8" x14ac:dyDescent="0.2">
      <c r="A6" s="2"/>
      <c r="B6" s="162" t="s">
        <v>209</v>
      </c>
      <c r="C6" s="162" t="s">
        <v>1</v>
      </c>
      <c r="D6" s="2"/>
      <c r="E6" s="2"/>
      <c r="F6" s="2"/>
      <c r="G6" s="2"/>
      <c r="H6" s="2"/>
    </row>
    <row r="7" spans="1:8" x14ac:dyDescent="0.2">
      <c r="A7" s="7" t="s">
        <v>2</v>
      </c>
      <c r="B7" s="162"/>
      <c r="C7" s="2"/>
      <c r="D7" s="2"/>
      <c r="E7" s="2"/>
      <c r="F7" s="2"/>
      <c r="G7" s="2"/>
      <c r="H7" s="2"/>
    </row>
    <row r="8" spans="1:8" x14ac:dyDescent="0.2">
      <c r="A8" s="7" t="s">
        <v>210</v>
      </c>
      <c r="B8" s="168">
        <f>'Detail by Transaction Type'!B9+'Detail by Transaction Type'!B10</f>
        <v>403949</v>
      </c>
      <c r="C8" s="169">
        <f>B8*0.6</f>
        <v>242369.4</v>
      </c>
      <c r="D8" s="169"/>
      <c r="E8" s="2"/>
      <c r="F8" s="2"/>
      <c r="G8" s="181"/>
      <c r="H8" s="2"/>
    </row>
    <row r="9" spans="1:8" ht="13.5" thickBot="1" x14ac:dyDescent="0.25">
      <c r="A9" s="7" t="s">
        <v>213</v>
      </c>
      <c r="B9" s="171">
        <f>SUM(B8)</f>
        <v>403949</v>
      </c>
      <c r="C9" s="171">
        <f>SUM(C8)</f>
        <v>242369.4</v>
      </c>
      <c r="D9" s="169"/>
      <c r="E9" s="2"/>
      <c r="F9" s="2"/>
      <c r="G9" s="2"/>
      <c r="H9" s="2"/>
    </row>
    <row r="10" spans="1:8" ht="13.5" thickTop="1" x14ac:dyDescent="0.2">
      <c r="A10" s="2"/>
      <c r="B10" s="169"/>
      <c r="C10" s="169"/>
      <c r="D10" s="169"/>
      <c r="E10" s="2"/>
      <c r="F10" s="2"/>
      <c r="G10" s="2"/>
      <c r="H10" s="2"/>
    </row>
    <row r="11" spans="1:8" x14ac:dyDescent="0.2">
      <c r="A11" s="7" t="s">
        <v>256</v>
      </c>
      <c r="B11" s="169"/>
      <c r="C11" s="169"/>
      <c r="D11" s="169"/>
      <c r="E11" s="2"/>
      <c r="F11" s="2"/>
      <c r="G11" s="2"/>
      <c r="H11" s="2"/>
    </row>
    <row r="12" spans="1:8" x14ac:dyDescent="0.2">
      <c r="A12" s="7" t="s">
        <v>214</v>
      </c>
      <c r="B12" s="169">
        <v>42575</v>
      </c>
      <c r="C12" s="169">
        <v>22000</v>
      </c>
      <c r="D12" s="169"/>
      <c r="E12" s="2"/>
      <c r="F12" s="2"/>
      <c r="G12" s="2"/>
      <c r="H12" s="2"/>
    </row>
    <row r="13" spans="1:8" x14ac:dyDescent="0.2">
      <c r="A13" s="173"/>
      <c r="D13" s="169"/>
      <c r="E13" s="2"/>
      <c r="F13" s="2"/>
      <c r="G13" s="2"/>
      <c r="H13" s="2"/>
    </row>
    <row r="14" spans="1:8" x14ac:dyDescent="0.2">
      <c r="A14" s="7" t="s">
        <v>257</v>
      </c>
      <c r="B14" s="169">
        <f>'Detail by Transaction Type'!B24</f>
        <v>33838</v>
      </c>
      <c r="C14" s="169">
        <f>'Detail by Transaction Type'!C24</f>
        <v>33838</v>
      </c>
      <c r="D14" s="169"/>
      <c r="E14" s="2"/>
      <c r="F14" s="2"/>
      <c r="G14" s="2"/>
      <c r="H14" s="2"/>
    </row>
    <row r="15" spans="1:8" x14ac:dyDescent="0.2">
      <c r="A15" s="2"/>
      <c r="B15" s="2"/>
      <c r="C15" s="2"/>
      <c r="D15" s="2"/>
      <c r="E15" s="2"/>
      <c r="F15" s="2"/>
      <c r="G15" s="2"/>
      <c r="H15" s="2"/>
    </row>
    <row r="16" spans="1:8" x14ac:dyDescent="0.2">
      <c r="A16" s="7" t="s">
        <v>221</v>
      </c>
      <c r="B16" s="169">
        <v>187</v>
      </c>
      <c r="C16" s="169">
        <f>'Detail by Transaction Type'!C38</f>
        <v>0</v>
      </c>
      <c r="D16" s="169"/>
      <c r="E16" s="2"/>
      <c r="F16" s="2"/>
      <c r="G16" s="2"/>
      <c r="H16" s="2"/>
    </row>
    <row r="17" spans="1:9" x14ac:dyDescent="0.2">
      <c r="A17" s="2"/>
      <c r="B17" s="9"/>
      <c r="C17" s="8"/>
      <c r="D17" s="8"/>
      <c r="E17" s="2"/>
      <c r="F17" s="2"/>
      <c r="G17" s="2"/>
      <c r="H17" s="2"/>
    </row>
    <row r="18" spans="1:9" ht="13.5" thickBot="1" x14ac:dyDescent="0.25">
      <c r="A18" s="7" t="s">
        <v>258</v>
      </c>
      <c r="B18" s="178">
        <f>SUM(B12:B16)</f>
        <v>76600</v>
      </c>
      <c r="C18" s="178">
        <f>SUM(C12:C16)</f>
        <v>55838</v>
      </c>
      <c r="D18" s="8"/>
      <c r="E18" s="2"/>
      <c r="F18" s="2"/>
      <c r="G18" s="2"/>
      <c r="H18" s="2"/>
    </row>
    <row r="19" spans="1:9" ht="13.5" thickTop="1" x14ac:dyDescent="0.2">
      <c r="A19" s="2"/>
      <c r="B19" s="9"/>
      <c r="C19" s="8"/>
      <c r="D19" s="8"/>
      <c r="E19" s="2"/>
      <c r="F19" s="2"/>
      <c r="G19" s="2"/>
      <c r="H19" s="2"/>
    </row>
    <row r="20" spans="1:9" x14ac:dyDescent="0.2">
      <c r="A20" s="7" t="s">
        <v>3</v>
      </c>
      <c r="B20" s="9"/>
      <c r="C20" s="8"/>
      <c r="D20" s="8"/>
      <c r="E20" s="2"/>
      <c r="F20" s="2"/>
      <c r="G20" s="2"/>
      <c r="H20" s="2"/>
    </row>
    <row r="21" spans="1:9" x14ac:dyDescent="0.2">
      <c r="A21" s="173" t="s">
        <v>237</v>
      </c>
      <c r="B21" s="175">
        <v>3482</v>
      </c>
      <c r="C21" s="8"/>
      <c r="D21" s="8"/>
      <c r="E21" s="2"/>
      <c r="F21" s="2"/>
      <c r="G21" s="2"/>
      <c r="H21" s="173"/>
      <c r="I21" s="156"/>
    </row>
    <row r="22" spans="1:9" ht="13.5" thickBot="1" x14ac:dyDescent="0.25">
      <c r="A22" s="179" t="s">
        <v>238</v>
      </c>
      <c r="B22" s="171">
        <f>SUM(B21)</f>
        <v>3482</v>
      </c>
      <c r="C22" s="171">
        <f>SUM(C21)</f>
        <v>0</v>
      </c>
      <c r="D22" s="8"/>
      <c r="E22" s="2"/>
      <c r="F22" s="2"/>
      <c r="G22" s="2"/>
      <c r="H22" s="173"/>
      <c r="I22" s="156"/>
    </row>
    <row r="23" spans="1:9" ht="13.5" thickTop="1" x14ac:dyDescent="0.2">
      <c r="A23" s="173"/>
      <c r="B23" s="175"/>
      <c r="C23" s="8"/>
      <c r="D23" s="8"/>
      <c r="E23" s="2"/>
      <c r="F23" s="2"/>
      <c r="G23" s="2"/>
      <c r="H23" s="2"/>
    </row>
    <row r="24" spans="1:9" x14ac:dyDescent="0.2">
      <c r="A24" s="179" t="s">
        <v>187</v>
      </c>
      <c r="B24" s="175"/>
      <c r="C24" s="8"/>
      <c r="D24" s="8"/>
      <c r="E24" s="2"/>
      <c r="F24" s="2"/>
      <c r="G24" s="2"/>
      <c r="H24" s="2"/>
    </row>
    <row r="25" spans="1:9" x14ac:dyDescent="0.2">
      <c r="A25" s="7" t="s">
        <v>214</v>
      </c>
      <c r="B25" s="8"/>
      <c r="C25" s="8"/>
      <c r="D25" s="8"/>
      <c r="E25" s="2"/>
      <c r="F25" s="2"/>
      <c r="G25" s="2"/>
      <c r="H25" s="2"/>
    </row>
    <row r="26" spans="1:9" x14ac:dyDescent="0.2">
      <c r="A26" s="2" t="s">
        <v>259</v>
      </c>
      <c r="B26" s="8">
        <f>'Detail by Transaction Type'!B60</f>
        <v>71308</v>
      </c>
      <c r="C26" s="8"/>
      <c r="D26" s="8"/>
      <c r="E26" s="2"/>
      <c r="F26" s="2"/>
      <c r="G26" s="2"/>
      <c r="H26" s="2"/>
    </row>
    <row r="27" spans="1:9" x14ac:dyDescent="0.2">
      <c r="A27" s="2" t="s">
        <v>260</v>
      </c>
      <c r="B27" s="176">
        <f>'Detail by Transaction Type'!B65</f>
        <v>-8422</v>
      </c>
      <c r="C27" s="176"/>
      <c r="D27" s="8"/>
      <c r="E27" s="2"/>
      <c r="F27" s="2"/>
      <c r="G27" s="2"/>
      <c r="H27" s="2"/>
    </row>
    <row r="28" spans="1:9" x14ac:dyDescent="0.2">
      <c r="A28" s="2"/>
      <c r="B28" s="8">
        <f>SUM(B26:B27)</f>
        <v>62886</v>
      </c>
      <c r="C28" s="8">
        <f>SUM(C26:C27)</f>
        <v>0</v>
      </c>
      <c r="D28" s="8"/>
      <c r="E28" s="2"/>
      <c r="F28" s="2"/>
      <c r="G28" s="2"/>
      <c r="H28" s="2"/>
    </row>
    <row r="29" spans="1:9" x14ac:dyDescent="0.2">
      <c r="A29" s="7" t="s">
        <v>221</v>
      </c>
      <c r="B29" s="8"/>
      <c r="C29" s="8"/>
      <c r="D29" s="8"/>
      <c r="E29" s="2"/>
      <c r="F29" s="2"/>
      <c r="G29" s="2"/>
      <c r="H29" s="2"/>
    </row>
    <row r="30" spans="1:9" x14ac:dyDescent="0.2">
      <c r="A30" s="2" t="s">
        <v>261</v>
      </c>
      <c r="B30" s="8">
        <f>'Detail by Transaction Type'!B74</f>
        <v>18734</v>
      </c>
      <c r="C30" s="8"/>
      <c r="D30" s="8"/>
      <c r="E30" s="2"/>
      <c r="F30" s="2"/>
      <c r="G30" s="2"/>
      <c r="H30" s="2"/>
    </row>
    <row r="31" spans="1:9" x14ac:dyDescent="0.2">
      <c r="A31" s="2" t="s">
        <v>260</v>
      </c>
      <c r="B31" s="176">
        <f>'Detail by Transaction Type'!B82</f>
        <v>-9663</v>
      </c>
      <c r="C31" s="176"/>
      <c r="D31" s="8"/>
      <c r="E31" s="2"/>
      <c r="F31" s="2"/>
      <c r="G31" s="2"/>
      <c r="H31" s="2"/>
    </row>
    <row r="32" spans="1:9" x14ac:dyDescent="0.2">
      <c r="A32" s="2"/>
      <c r="B32" s="8">
        <f>SUM(B30:B31)</f>
        <v>9071</v>
      </c>
      <c r="C32" s="8">
        <f>SUM(C30:C31)</f>
        <v>0</v>
      </c>
      <c r="D32" s="8"/>
      <c r="E32" s="2"/>
      <c r="F32" s="2"/>
      <c r="G32" s="2"/>
      <c r="H32" s="2"/>
    </row>
    <row r="33" spans="1:8" x14ac:dyDescent="0.2">
      <c r="A33" s="2"/>
      <c r="B33" s="182"/>
      <c r="C33" s="182"/>
      <c r="D33" s="8"/>
      <c r="E33" s="2"/>
      <c r="F33" s="2"/>
      <c r="G33" s="2"/>
      <c r="H33" s="2"/>
    </row>
    <row r="34" spans="1:8" ht="13.5" thickBot="1" x14ac:dyDescent="0.25">
      <c r="A34" s="7" t="str">
        <f>'Detail by Transaction Type'!A84</f>
        <v xml:space="preserve">Total Portland General </v>
      </c>
      <c r="B34" s="10">
        <f>B28+B32</f>
        <v>71957</v>
      </c>
      <c r="C34" s="10">
        <f>B34*0.25</f>
        <v>17989.25</v>
      </c>
      <c r="D34" s="8"/>
      <c r="E34" s="2"/>
      <c r="F34" s="2"/>
      <c r="G34" s="2"/>
      <c r="H34" s="2"/>
    </row>
    <row r="35" spans="1:8" ht="13.5" thickTop="1" x14ac:dyDescent="0.2">
      <c r="A35" s="2"/>
      <c r="B35" s="8"/>
      <c r="C35" s="8"/>
      <c r="D35" s="8"/>
      <c r="E35" s="2"/>
      <c r="F35" s="2"/>
      <c r="G35" s="2"/>
      <c r="H35" s="2"/>
    </row>
    <row r="36" spans="1:8" x14ac:dyDescent="0.2">
      <c r="A36" s="7" t="s">
        <v>10</v>
      </c>
      <c r="B36" s="8"/>
      <c r="C36" s="8"/>
      <c r="D36" s="8"/>
      <c r="E36" s="2"/>
      <c r="F36" s="2"/>
      <c r="G36" s="2"/>
      <c r="H36" s="2"/>
    </row>
    <row r="37" spans="1:8" x14ac:dyDescent="0.2">
      <c r="A37" s="2" t="s">
        <v>262</v>
      </c>
      <c r="B37" s="8">
        <f>'Detail by Transaction Type'!B89</f>
        <v>25432</v>
      </c>
      <c r="C37" s="8"/>
      <c r="D37" s="8"/>
      <c r="E37" s="2"/>
      <c r="F37" s="2"/>
      <c r="G37" s="2"/>
      <c r="H37" s="2"/>
    </row>
    <row r="38" spans="1:8" ht="13.5" thickBot="1" x14ac:dyDescent="0.25">
      <c r="A38" s="7" t="str">
        <f>'Detail by Transaction Type'!A89</f>
        <v>Total Enron Canada Corp</v>
      </c>
      <c r="B38" s="10">
        <f>'Detail by Transaction Type'!B89</f>
        <v>25432</v>
      </c>
      <c r="C38" s="10">
        <f>'Detail by Transaction Type'!C89</f>
        <v>0</v>
      </c>
      <c r="D38" s="8"/>
      <c r="E38" s="2"/>
      <c r="F38" s="2"/>
      <c r="G38" s="2"/>
      <c r="H38" s="2"/>
    </row>
    <row r="39" spans="1:8" ht="13.5" thickTop="1" x14ac:dyDescent="0.2">
      <c r="A39" s="2"/>
      <c r="B39" s="8"/>
      <c r="C39" s="8"/>
      <c r="D39" s="8"/>
      <c r="E39" s="2"/>
      <c r="F39" s="2"/>
      <c r="G39" s="2"/>
      <c r="H39" s="2"/>
    </row>
    <row r="40" spans="1:8" x14ac:dyDescent="0.2">
      <c r="A40" s="7" t="str">
        <f>'Detail by Transaction Type'!A91</f>
        <v>Enron North America Corporation</v>
      </c>
      <c r="B40" s="8"/>
      <c r="C40" s="8"/>
      <c r="D40" s="8"/>
      <c r="E40" s="2"/>
      <c r="F40" s="2"/>
      <c r="G40" s="2"/>
      <c r="H40" s="2"/>
    </row>
    <row r="41" spans="1:8" x14ac:dyDescent="0.2">
      <c r="A41" s="2" t="s">
        <v>250</v>
      </c>
      <c r="B41" s="8">
        <f>'Detail by Transaction Type'!B94</f>
        <v>24138</v>
      </c>
      <c r="C41" s="8"/>
      <c r="D41" s="8"/>
      <c r="E41" s="2"/>
      <c r="F41" s="2"/>
      <c r="G41" s="2"/>
      <c r="H41" s="2"/>
    </row>
    <row r="42" spans="1:8" x14ac:dyDescent="0.2">
      <c r="A42" s="2" t="s">
        <v>202</v>
      </c>
      <c r="B42" s="8">
        <f>'Detail by Transaction Type'!B98</f>
        <v>74190</v>
      </c>
      <c r="C42" s="8">
        <v>24000</v>
      </c>
      <c r="D42" s="8"/>
      <c r="E42" s="2"/>
      <c r="F42" s="2"/>
      <c r="G42" s="2"/>
      <c r="H42" s="2"/>
    </row>
    <row r="43" spans="1:8" ht="13.5" thickBot="1" x14ac:dyDescent="0.25">
      <c r="A43" s="7" t="str">
        <f>'Detail by Transaction Type'!A100</f>
        <v>Total North America Corporation</v>
      </c>
      <c r="B43" s="10">
        <f>SUM(B41:B42)</f>
        <v>98328</v>
      </c>
      <c r="C43" s="10">
        <f>SUM(C41:C42)</f>
        <v>24000</v>
      </c>
      <c r="D43" s="8"/>
      <c r="E43" s="2"/>
      <c r="F43" s="2"/>
      <c r="G43" s="2"/>
      <c r="H43" s="2"/>
    </row>
    <row r="44" spans="1:8" ht="13.5" thickTop="1" x14ac:dyDescent="0.2">
      <c r="A44" s="2"/>
      <c r="B44" s="8"/>
      <c r="C44" s="8"/>
      <c r="D44" s="8"/>
      <c r="E44" s="2"/>
      <c r="F44" s="2"/>
      <c r="G44" s="2"/>
      <c r="H44" s="2"/>
    </row>
    <row r="45" spans="1:8" ht="13.5" thickBot="1" x14ac:dyDescent="0.25">
      <c r="A45" s="7" t="s">
        <v>263</v>
      </c>
      <c r="B45" s="10">
        <f>B43+B38+B34+B18+B9+B22</f>
        <v>679748</v>
      </c>
      <c r="C45" s="10">
        <f>C43+C38+C34+C18+C9+C22</f>
        <v>340196.65</v>
      </c>
      <c r="D45" s="8"/>
      <c r="E45" s="2"/>
      <c r="F45" s="2"/>
      <c r="G45" s="2"/>
      <c r="H45" s="2"/>
    </row>
    <row r="46" spans="1:8" ht="13.5" thickTop="1" x14ac:dyDescent="0.2"/>
  </sheetData>
  <mergeCells count="4">
    <mergeCell ref="A2:F2"/>
    <mergeCell ref="A3:F3"/>
    <mergeCell ref="F5:H5"/>
    <mergeCell ref="A1:F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6"/>
  <sheetViews>
    <sheetView topLeftCell="A52" workbookViewId="0">
      <selection activeCell="D79" sqref="D79"/>
    </sheetView>
  </sheetViews>
  <sheetFormatPr defaultRowHeight="12.75" x14ac:dyDescent="0.2"/>
  <cols>
    <col min="1" max="1" width="34" bestFit="1" customWidth="1"/>
    <col min="2" max="2" width="13.5703125" bestFit="1" customWidth="1"/>
    <col min="3" max="3" width="11.28515625" bestFit="1" customWidth="1"/>
    <col min="6" max="6" width="11.28515625" bestFit="1" customWidth="1"/>
    <col min="7" max="7" width="15" bestFit="1" customWidth="1"/>
  </cols>
  <sheetData>
    <row r="1" spans="1:8" x14ac:dyDescent="0.2">
      <c r="A1" s="186" t="s">
        <v>169</v>
      </c>
      <c r="B1" s="186"/>
      <c r="C1" s="186"/>
      <c r="D1" s="186"/>
    </row>
    <row r="2" spans="1:8" x14ac:dyDescent="0.2">
      <c r="A2" s="186" t="s">
        <v>171</v>
      </c>
      <c r="B2" s="186"/>
      <c r="C2" s="186"/>
      <c r="D2" s="186"/>
    </row>
    <row r="3" spans="1:8" x14ac:dyDescent="0.2">
      <c r="A3" s="186" t="s">
        <v>4</v>
      </c>
      <c r="B3" s="186"/>
      <c r="C3" s="186"/>
      <c r="D3" s="186"/>
    </row>
    <row r="4" spans="1:8" x14ac:dyDescent="0.2">
      <c r="A4" s="2"/>
      <c r="B4" s="2"/>
      <c r="C4" s="2"/>
    </row>
    <row r="5" spans="1:8" ht="15.75" x14ac:dyDescent="0.25">
      <c r="A5" s="162" t="s">
        <v>207</v>
      </c>
      <c r="B5" s="162" t="s">
        <v>208</v>
      </c>
      <c r="C5" s="162" t="s">
        <v>0</v>
      </c>
      <c r="F5" s="189"/>
      <c r="G5" s="189"/>
      <c r="H5" s="189"/>
    </row>
    <row r="6" spans="1:8" x14ac:dyDescent="0.2">
      <c r="A6" s="163"/>
      <c r="B6" s="164" t="s">
        <v>209</v>
      </c>
      <c r="C6" s="164" t="s">
        <v>1</v>
      </c>
    </row>
    <row r="7" spans="1:8" x14ac:dyDescent="0.2">
      <c r="A7" s="7" t="s">
        <v>2</v>
      </c>
      <c r="B7" s="162"/>
      <c r="C7" s="2"/>
    </row>
    <row r="8" spans="1:8" x14ac:dyDescent="0.2">
      <c r="A8" s="7" t="s">
        <v>210</v>
      </c>
      <c r="B8" s="165"/>
      <c r="C8" s="166"/>
      <c r="D8" s="166"/>
      <c r="G8" s="167"/>
    </row>
    <row r="9" spans="1:8" x14ac:dyDescent="0.2">
      <c r="A9" s="2" t="s">
        <v>211</v>
      </c>
      <c r="B9" s="168">
        <v>239920</v>
      </c>
      <c r="C9" s="169">
        <f>B9*0.6</f>
        <v>143952</v>
      </c>
      <c r="D9" s="169"/>
      <c r="G9" s="170"/>
    </row>
    <row r="10" spans="1:8" x14ac:dyDescent="0.2">
      <c r="A10" s="2" t="s">
        <v>212</v>
      </c>
      <c r="B10" s="168">
        <v>164029</v>
      </c>
      <c r="C10" s="169">
        <f>B10*0.6</f>
        <v>98417.4</v>
      </c>
      <c r="D10" s="169"/>
      <c r="G10" s="170"/>
    </row>
    <row r="11" spans="1:8" ht="13.5" thickBot="1" x14ac:dyDescent="0.25">
      <c r="A11" s="7" t="s">
        <v>213</v>
      </c>
      <c r="B11" s="171">
        <f>SUM(B9:B10)</f>
        <v>403949</v>
      </c>
      <c r="C11" s="171">
        <f>SUM(C9:C10)</f>
        <v>242369.4</v>
      </c>
      <c r="D11" s="169"/>
    </row>
    <row r="12" spans="1:8" ht="13.5" thickTop="1" x14ac:dyDescent="0.2">
      <c r="A12" s="2"/>
      <c r="B12" s="169"/>
      <c r="C12" s="169"/>
      <c r="D12" s="169"/>
    </row>
    <row r="13" spans="1:8" x14ac:dyDescent="0.2">
      <c r="A13" s="7" t="s">
        <v>3</v>
      </c>
      <c r="B13" s="169"/>
      <c r="C13" s="169"/>
      <c r="D13" s="169"/>
    </row>
    <row r="14" spans="1:8" x14ac:dyDescent="0.2">
      <c r="A14" s="7" t="s">
        <v>214</v>
      </c>
      <c r="B14" s="169"/>
      <c r="C14" s="169"/>
      <c r="D14" s="169"/>
    </row>
    <row r="15" spans="1:8" x14ac:dyDescent="0.2">
      <c r="A15" s="172" t="s">
        <v>215</v>
      </c>
      <c r="B15" s="169">
        <v>42226</v>
      </c>
      <c r="C15" s="169">
        <v>22000</v>
      </c>
      <c r="D15" s="169"/>
    </row>
    <row r="16" spans="1:8" x14ac:dyDescent="0.2">
      <c r="A16" s="173" t="s">
        <v>216</v>
      </c>
      <c r="B16" s="174">
        <v>349</v>
      </c>
      <c r="C16" s="174"/>
      <c r="D16" s="169"/>
    </row>
    <row r="17" spans="1:4" x14ac:dyDescent="0.2">
      <c r="A17" s="173"/>
      <c r="B17" s="175">
        <f>SUM(B15:B16)</f>
        <v>42575</v>
      </c>
      <c r="C17" s="175">
        <f>SUM(C15:C16)</f>
        <v>22000</v>
      </c>
      <c r="D17" s="169"/>
    </row>
    <row r="18" spans="1:4" x14ac:dyDescent="0.2">
      <c r="A18" s="2"/>
      <c r="B18" s="169"/>
      <c r="C18" s="169"/>
      <c r="D18" s="169"/>
    </row>
    <row r="19" spans="1:4" x14ac:dyDescent="0.2">
      <c r="A19" s="7" t="s">
        <v>217</v>
      </c>
      <c r="B19" s="169"/>
      <c r="C19" s="169"/>
      <c r="D19" s="169"/>
    </row>
    <row r="20" spans="1:4" x14ac:dyDescent="0.2">
      <c r="A20" s="2" t="s">
        <v>5</v>
      </c>
      <c r="B20" s="169">
        <v>31272</v>
      </c>
      <c r="C20" s="169">
        <f>B20</f>
        <v>31272</v>
      </c>
      <c r="D20" s="169"/>
    </row>
    <row r="21" spans="1:4" x14ac:dyDescent="0.2">
      <c r="A21" s="2" t="s">
        <v>6</v>
      </c>
      <c r="B21" s="169">
        <v>5563</v>
      </c>
      <c r="C21" s="169">
        <f>B21</f>
        <v>5563</v>
      </c>
      <c r="D21" s="169"/>
    </row>
    <row r="22" spans="1:4" x14ac:dyDescent="0.2">
      <c r="A22" s="2" t="s">
        <v>218</v>
      </c>
      <c r="B22" s="169">
        <v>-2698</v>
      </c>
      <c r="C22" s="169">
        <f>B22</f>
        <v>-2698</v>
      </c>
      <c r="D22" s="169"/>
    </row>
    <row r="23" spans="1:4" x14ac:dyDescent="0.2">
      <c r="A23" s="2" t="s">
        <v>219</v>
      </c>
      <c r="B23" s="174">
        <v>-299</v>
      </c>
      <c r="C23" s="174">
        <f>B23</f>
        <v>-299</v>
      </c>
      <c r="D23" s="169"/>
    </row>
    <row r="24" spans="1:4" x14ac:dyDescent="0.2">
      <c r="A24" s="2"/>
      <c r="B24" s="169">
        <f>SUM(B20:B23)</f>
        <v>33838</v>
      </c>
      <c r="C24" s="169">
        <f>SUM(C20:C23)</f>
        <v>33838</v>
      </c>
      <c r="D24" s="169"/>
    </row>
    <row r="25" spans="1:4" x14ac:dyDescent="0.2">
      <c r="A25" s="15" t="s">
        <v>220</v>
      </c>
      <c r="B25" s="15"/>
      <c r="C25" s="15"/>
      <c r="D25" s="15"/>
    </row>
    <row r="26" spans="1:4" x14ac:dyDescent="0.2">
      <c r="A26" s="7" t="s">
        <v>221</v>
      </c>
      <c r="B26" s="169"/>
      <c r="C26" s="169"/>
      <c r="D26" s="169"/>
    </row>
    <row r="27" spans="1:4" x14ac:dyDescent="0.2">
      <c r="A27" s="2" t="s">
        <v>222</v>
      </c>
      <c r="B27" s="169">
        <v>12526</v>
      </c>
      <c r="C27" s="169"/>
      <c r="D27" s="169"/>
    </row>
    <row r="28" spans="1:4" x14ac:dyDescent="0.2">
      <c r="A28" s="2" t="s">
        <v>223</v>
      </c>
      <c r="B28" s="169">
        <v>-4117</v>
      </c>
      <c r="C28" s="169"/>
      <c r="D28" s="169"/>
    </row>
    <row r="29" spans="1:4" x14ac:dyDescent="0.2">
      <c r="A29" s="2" t="s">
        <v>224</v>
      </c>
      <c r="B29" s="169">
        <v>-155</v>
      </c>
      <c r="C29" s="169"/>
      <c r="D29" s="169"/>
    </row>
    <row r="30" spans="1:4" x14ac:dyDescent="0.2">
      <c r="A30" s="2" t="s">
        <v>225</v>
      </c>
      <c r="B30" s="169">
        <v>19</v>
      </c>
      <c r="C30" s="169"/>
      <c r="D30" s="169"/>
    </row>
    <row r="31" spans="1:4" x14ac:dyDescent="0.2">
      <c r="A31" s="2" t="s">
        <v>226</v>
      </c>
      <c r="B31" s="169"/>
      <c r="C31" s="169"/>
      <c r="D31" s="169"/>
    </row>
    <row r="32" spans="1:4" x14ac:dyDescent="0.2">
      <c r="A32" s="2" t="s">
        <v>227</v>
      </c>
      <c r="B32" s="169">
        <v>-8406</v>
      </c>
      <c r="C32" s="169"/>
      <c r="D32" s="169"/>
    </row>
    <row r="33" spans="1:4" x14ac:dyDescent="0.2">
      <c r="A33" s="2" t="s">
        <v>228</v>
      </c>
      <c r="B33" s="169">
        <v>-13339</v>
      </c>
      <c r="C33" s="169"/>
      <c r="D33" s="169"/>
    </row>
    <row r="34" spans="1:4" x14ac:dyDescent="0.2">
      <c r="A34" s="2" t="s">
        <v>229</v>
      </c>
      <c r="B34" s="174">
        <v>834</v>
      </c>
      <c r="C34" s="174"/>
      <c r="D34" s="169"/>
    </row>
    <row r="35" spans="1:4" x14ac:dyDescent="0.2">
      <c r="A35" s="2" t="s">
        <v>230</v>
      </c>
      <c r="B35" s="8">
        <f>SUM(B27:B34)</f>
        <v>-12638</v>
      </c>
      <c r="C35" s="8">
        <f>SUM(C27:C34)</f>
        <v>0</v>
      </c>
      <c r="D35" s="8"/>
    </row>
    <row r="36" spans="1:4" x14ac:dyDescent="0.2">
      <c r="A36" s="2" t="s">
        <v>231</v>
      </c>
      <c r="B36" s="176">
        <v>12638</v>
      </c>
      <c r="C36" s="176"/>
      <c r="D36" s="8"/>
    </row>
    <row r="37" spans="1:4" x14ac:dyDescent="0.2">
      <c r="A37" s="2"/>
      <c r="B37" s="177">
        <f>SUM(B35:B36)</f>
        <v>0</v>
      </c>
      <c r="C37" s="177">
        <f>SUM(C35:C36)</f>
        <v>0</v>
      </c>
      <c r="D37" s="8"/>
    </row>
    <row r="38" spans="1:4" x14ac:dyDescent="0.2">
      <c r="A38" s="2" t="s">
        <v>232</v>
      </c>
      <c r="B38" s="9">
        <v>1</v>
      </c>
      <c r="C38" s="8">
        <v>0</v>
      </c>
      <c r="D38" s="8"/>
    </row>
    <row r="39" spans="1:4" x14ac:dyDescent="0.2">
      <c r="A39" s="2" t="s">
        <v>233</v>
      </c>
      <c r="B39" s="13">
        <v>186</v>
      </c>
      <c r="C39" s="176">
        <v>0</v>
      </c>
      <c r="D39" s="8"/>
    </row>
    <row r="40" spans="1:4" x14ac:dyDescent="0.2">
      <c r="A40" s="2"/>
      <c r="B40" s="9">
        <f>SUM(B37:B39)</f>
        <v>187</v>
      </c>
      <c r="C40" s="9">
        <f>SUM(C37:C39)</f>
        <v>0</v>
      </c>
      <c r="D40" s="8"/>
    </row>
    <row r="41" spans="1:4" x14ac:dyDescent="0.2">
      <c r="A41" s="2" t="s">
        <v>11</v>
      </c>
      <c r="B41" s="9"/>
      <c r="C41" s="8"/>
      <c r="D41" s="8"/>
    </row>
    <row r="42" spans="1:4" x14ac:dyDescent="0.2">
      <c r="A42" s="2" t="s">
        <v>234</v>
      </c>
      <c r="B42" s="9"/>
      <c r="C42" s="8"/>
      <c r="D42" s="8"/>
    </row>
    <row r="43" spans="1:4" x14ac:dyDescent="0.2">
      <c r="A43" s="2" t="s">
        <v>235</v>
      </c>
      <c r="B43" s="9"/>
      <c r="C43" s="8"/>
      <c r="D43" s="8"/>
    </row>
    <row r="44" spans="1:4" x14ac:dyDescent="0.2">
      <c r="A44" s="2"/>
      <c r="B44" s="9"/>
      <c r="C44" s="8"/>
      <c r="D44" s="8"/>
    </row>
    <row r="45" spans="1:4" ht="13.5" thickBot="1" x14ac:dyDescent="0.25">
      <c r="A45" s="7" t="s">
        <v>236</v>
      </c>
      <c r="B45" s="178">
        <f>B40+B38+B24+B17</f>
        <v>76601</v>
      </c>
      <c r="C45" s="178">
        <f>C40+C38+C24+C17</f>
        <v>55838</v>
      </c>
      <c r="D45" s="8"/>
    </row>
    <row r="46" spans="1:4" ht="13.5" thickTop="1" x14ac:dyDescent="0.2">
      <c r="A46" s="7"/>
      <c r="B46" s="9"/>
      <c r="C46" s="177"/>
      <c r="D46" s="8"/>
    </row>
    <row r="47" spans="1:4" x14ac:dyDescent="0.2">
      <c r="A47" s="7" t="s">
        <v>3</v>
      </c>
      <c r="B47" s="9"/>
      <c r="C47" s="8"/>
      <c r="D47" s="8"/>
    </row>
    <row r="48" spans="1:4" x14ac:dyDescent="0.2">
      <c r="A48" s="173" t="s">
        <v>237</v>
      </c>
      <c r="B48" s="175">
        <v>3482</v>
      </c>
      <c r="C48" s="8"/>
      <c r="D48" s="8"/>
    </row>
    <row r="49" spans="1:4" ht="13.5" thickBot="1" x14ac:dyDescent="0.25">
      <c r="A49" s="179" t="s">
        <v>238</v>
      </c>
      <c r="B49" s="171">
        <f>SUM(B48)</f>
        <v>3482</v>
      </c>
      <c r="C49" s="171">
        <f>SUM(C48)</f>
        <v>0</v>
      </c>
      <c r="D49" s="8"/>
    </row>
    <row r="50" spans="1:4" ht="13.5" thickTop="1" x14ac:dyDescent="0.2">
      <c r="A50" s="179"/>
      <c r="B50" s="180"/>
      <c r="C50" s="11"/>
      <c r="D50" s="8"/>
    </row>
    <row r="51" spans="1:4" x14ac:dyDescent="0.2">
      <c r="A51" s="2"/>
      <c r="B51" s="9"/>
      <c r="C51" s="8"/>
      <c r="D51" s="8"/>
    </row>
    <row r="52" spans="1:4" x14ac:dyDescent="0.2">
      <c r="A52" s="7" t="s">
        <v>187</v>
      </c>
      <c r="B52" s="9"/>
      <c r="C52" s="8"/>
      <c r="D52" s="8"/>
    </row>
    <row r="53" spans="1:4" x14ac:dyDescent="0.2">
      <c r="A53" s="7" t="s">
        <v>214</v>
      </c>
      <c r="B53" s="9"/>
      <c r="C53" s="8"/>
      <c r="D53" s="8"/>
    </row>
    <row r="54" spans="1:4" x14ac:dyDescent="0.2">
      <c r="A54" s="2" t="s">
        <v>239</v>
      </c>
      <c r="B54" s="9"/>
      <c r="C54" s="8"/>
      <c r="D54" s="8"/>
    </row>
    <row r="55" spans="1:4" x14ac:dyDescent="0.2">
      <c r="A55" s="2" t="s">
        <v>7</v>
      </c>
      <c r="B55" s="9">
        <v>3259</v>
      </c>
      <c r="C55" s="8"/>
      <c r="D55" s="8"/>
    </row>
    <row r="56" spans="1:4" x14ac:dyDescent="0.2">
      <c r="A56" s="2" t="s">
        <v>8</v>
      </c>
      <c r="B56" s="9">
        <v>7802</v>
      </c>
      <c r="C56" s="8"/>
      <c r="D56" s="8"/>
    </row>
    <row r="57" spans="1:4" x14ac:dyDescent="0.2">
      <c r="A57" s="2" t="s">
        <v>9</v>
      </c>
      <c r="B57" s="9">
        <v>45152</v>
      </c>
      <c r="C57" s="8"/>
      <c r="D57" s="8"/>
    </row>
    <row r="58" spans="1:4" x14ac:dyDescent="0.2">
      <c r="A58" s="2" t="s">
        <v>5</v>
      </c>
      <c r="B58" s="9">
        <v>10737</v>
      </c>
      <c r="C58" s="8"/>
      <c r="D58" s="8"/>
    </row>
    <row r="59" spans="1:4" x14ac:dyDescent="0.2">
      <c r="A59" s="2" t="s">
        <v>6</v>
      </c>
      <c r="B59" s="13">
        <v>4358</v>
      </c>
      <c r="C59" s="176"/>
      <c r="D59" s="8"/>
    </row>
    <row r="60" spans="1:4" x14ac:dyDescent="0.2">
      <c r="A60" s="2" t="s">
        <v>240</v>
      </c>
      <c r="B60" s="9">
        <f>SUM(B55:B59)</f>
        <v>71308</v>
      </c>
      <c r="C60" s="9">
        <f>SUM(C55:C59)</f>
        <v>0</v>
      </c>
      <c r="D60" s="8"/>
    </row>
    <row r="61" spans="1:4" x14ac:dyDescent="0.2">
      <c r="A61" s="7"/>
      <c r="B61" s="9"/>
      <c r="C61" s="8"/>
      <c r="D61" s="8"/>
    </row>
    <row r="62" spans="1:4" x14ac:dyDescent="0.2">
      <c r="A62" s="2" t="s">
        <v>241</v>
      </c>
      <c r="B62" s="9"/>
      <c r="C62" s="8"/>
      <c r="D62" s="8"/>
    </row>
    <row r="63" spans="1:4" x14ac:dyDescent="0.2">
      <c r="A63" s="2" t="s">
        <v>9</v>
      </c>
      <c r="B63" s="9">
        <v>-1018</v>
      </c>
      <c r="C63" s="8"/>
      <c r="D63" s="8"/>
    </row>
    <row r="64" spans="1:4" x14ac:dyDescent="0.2">
      <c r="A64" s="2" t="s">
        <v>242</v>
      </c>
      <c r="B64" s="13">
        <v>-7404</v>
      </c>
      <c r="C64" s="176"/>
      <c r="D64" s="8"/>
    </row>
    <row r="65" spans="1:4" x14ac:dyDescent="0.2">
      <c r="A65" s="2" t="s">
        <v>243</v>
      </c>
      <c r="B65" s="9">
        <f>SUM(B63:B64)</f>
        <v>-8422</v>
      </c>
      <c r="C65" s="9">
        <f>SUM(C63:C64)</f>
        <v>0</v>
      </c>
      <c r="D65" s="8"/>
    </row>
    <row r="66" spans="1:4" x14ac:dyDescent="0.2">
      <c r="A66" s="2"/>
      <c r="B66" s="9"/>
      <c r="C66" s="8"/>
      <c r="D66" s="8"/>
    </row>
    <row r="67" spans="1:4" x14ac:dyDescent="0.2">
      <c r="A67" s="2"/>
      <c r="B67" s="9"/>
      <c r="C67" s="8"/>
      <c r="D67" s="8"/>
    </row>
    <row r="68" spans="1:4" x14ac:dyDescent="0.2">
      <c r="A68" s="7" t="s">
        <v>221</v>
      </c>
      <c r="B68" s="9"/>
      <c r="C68" s="8"/>
      <c r="D68" s="8"/>
    </row>
    <row r="69" spans="1:4" x14ac:dyDescent="0.2">
      <c r="A69" s="2" t="s">
        <v>239</v>
      </c>
      <c r="B69" s="9"/>
      <c r="C69" s="8"/>
      <c r="D69" s="8"/>
    </row>
    <row r="70" spans="1:4" x14ac:dyDescent="0.2">
      <c r="A70" s="2" t="s">
        <v>7</v>
      </c>
      <c r="B70" s="9">
        <v>1440</v>
      </c>
      <c r="C70" s="8"/>
      <c r="D70" s="8"/>
    </row>
    <row r="71" spans="1:4" x14ac:dyDescent="0.2">
      <c r="A71" s="2" t="s">
        <v>8</v>
      </c>
      <c r="B71" s="9">
        <v>6797</v>
      </c>
      <c r="C71" s="8"/>
      <c r="D71" s="8"/>
    </row>
    <row r="72" spans="1:4" x14ac:dyDescent="0.2">
      <c r="A72" s="2" t="s">
        <v>9</v>
      </c>
      <c r="B72" s="9">
        <v>2856</v>
      </c>
      <c r="C72" s="8"/>
      <c r="D72" s="8"/>
    </row>
    <row r="73" spans="1:4" x14ac:dyDescent="0.2">
      <c r="A73" s="2" t="s">
        <v>5</v>
      </c>
      <c r="B73" s="13">
        <v>7641</v>
      </c>
      <c r="C73" s="176"/>
      <c r="D73" s="8"/>
    </row>
    <row r="74" spans="1:4" x14ac:dyDescent="0.2">
      <c r="A74" s="2" t="s">
        <v>244</v>
      </c>
      <c r="B74" s="9">
        <f>SUM(B70:B73)</f>
        <v>18734</v>
      </c>
      <c r="C74" s="9">
        <f>SUM(C70:C73)</f>
        <v>0</v>
      </c>
      <c r="D74" s="8"/>
    </row>
    <row r="75" spans="1:4" x14ac:dyDescent="0.2">
      <c r="A75" s="2"/>
      <c r="B75" s="9"/>
      <c r="C75" s="8"/>
      <c r="D75" s="8"/>
    </row>
    <row r="76" spans="1:4" x14ac:dyDescent="0.2">
      <c r="A76" s="2" t="s">
        <v>241</v>
      </c>
      <c r="B76" s="8"/>
      <c r="C76" s="8"/>
      <c r="D76" s="8"/>
    </row>
    <row r="77" spans="1:4" x14ac:dyDescent="0.2">
      <c r="A77" s="2" t="s">
        <v>7</v>
      </c>
      <c r="B77" s="8">
        <v>-328</v>
      </c>
      <c r="C77" s="8"/>
      <c r="D77" s="8"/>
    </row>
    <row r="78" spans="1:4" x14ac:dyDescent="0.2">
      <c r="A78" s="2" t="s">
        <v>8</v>
      </c>
      <c r="B78" s="8">
        <v>-3552</v>
      </c>
      <c r="C78" s="8"/>
      <c r="D78" s="8"/>
    </row>
    <row r="79" spans="1:4" x14ac:dyDescent="0.2">
      <c r="A79" s="2" t="s">
        <v>9</v>
      </c>
      <c r="B79" s="177">
        <v>-1366</v>
      </c>
      <c r="C79" s="8"/>
      <c r="D79" s="8"/>
    </row>
    <row r="80" spans="1:4" x14ac:dyDescent="0.2">
      <c r="A80" s="2" t="s">
        <v>5</v>
      </c>
      <c r="B80" s="177">
        <v>-17</v>
      </c>
      <c r="C80" s="8"/>
      <c r="D80" s="8"/>
    </row>
    <row r="81" spans="1:5" x14ac:dyDescent="0.2">
      <c r="A81" s="2" t="s">
        <v>242</v>
      </c>
      <c r="B81" s="13">
        <v>-4400</v>
      </c>
      <c r="C81" s="176"/>
      <c r="D81" s="8"/>
    </row>
    <row r="82" spans="1:5" x14ac:dyDescent="0.2">
      <c r="A82" s="2" t="s">
        <v>245</v>
      </c>
      <c r="B82" s="8">
        <f>SUM(B77:B81)</f>
        <v>-9663</v>
      </c>
      <c r="C82" s="8">
        <f>SUM(C77:C81)</f>
        <v>0</v>
      </c>
      <c r="D82" s="8"/>
    </row>
    <row r="83" spans="1:5" x14ac:dyDescent="0.2">
      <c r="A83" s="2"/>
      <c r="B83" s="8"/>
      <c r="C83" s="8"/>
      <c r="D83" s="8"/>
    </row>
    <row r="84" spans="1:5" ht="13.5" thickBot="1" x14ac:dyDescent="0.25">
      <c r="A84" s="7" t="s">
        <v>246</v>
      </c>
      <c r="B84" s="178">
        <f>B60+B65+B74+B82</f>
        <v>71957</v>
      </c>
      <c r="C84" s="10">
        <f>C62</f>
        <v>0</v>
      </c>
      <c r="D84" s="8"/>
    </row>
    <row r="85" spans="1:5" ht="13.5" thickTop="1" x14ac:dyDescent="0.2">
      <c r="A85" s="2"/>
      <c r="B85" s="8"/>
      <c r="C85" s="8"/>
      <c r="D85" s="8"/>
    </row>
    <row r="86" spans="1:5" x14ac:dyDescent="0.2">
      <c r="A86" s="7" t="s">
        <v>10</v>
      </c>
      <c r="B86" s="8"/>
      <c r="C86" s="8"/>
      <c r="D86" s="8"/>
    </row>
    <row r="87" spans="1:5" x14ac:dyDescent="0.2">
      <c r="A87" s="2" t="s">
        <v>247</v>
      </c>
      <c r="B87" s="169">
        <v>23743</v>
      </c>
      <c r="C87" s="8"/>
      <c r="D87" s="8"/>
    </row>
    <row r="88" spans="1:5" x14ac:dyDescent="0.2">
      <c r="A88" s="2" t="s">
        <v>248</v>
      </c>
      <c r="B88" s="175">
        <v>1689</v>
      </c>
      <c r="C88" s="169"/>
      <c r="D88" s="169"/>
      <c r="E88" s="152"/>
    </row>
    <row r="89" spans="1:5" ht="13.5" thickBot="1" x14ac:dyDescent="0.25">
      <c r="A89" s="7" t="s">
        <v>249</v>
      </c>
      <c r="B89" s="171">
        <f>SUM(B87:B88)</f>
        <v>25432</v>
      </c>
      <c r="C89" s="171">
        <f>SUM(C87:C88)</f>
        <v>0</v>
      </c>
      <c r="D89" s="169"/>
      <c r="E89" s="152"/>
    </row>
    <row r="90" spans="1:5" ht="13.5" thickTop="1" x14ac:dyDescent="0.2">
      <c r="A90" s="2"/>
      <c r="B90" s="169"/>
      <c r="C90" s="169"/>
      <c r="D90" s="169"/>
      <c r="E90" s="152"/>
    </row>
    <row r="91" spans="1:5" x14ac:dyDescent="0.2">
      <c r="A91" s="7" t="s">
        <v>188</v>
      </c>
      <c r="B91" s="8"/>
      <c r="C91" s="8"/>
      <c r="D91" s="169"/>
      <c r="E91" s="152"/>
    </row>
    <row r="92" spans="1:5" x14ac:dyDescent="0.2">
      <c r="A92" s="2" t="s">
        <v>250</v>
      </c>
      <c r="B92" s="169">
        <v>11910</v>
      </c>
      <c r="C92" s="8"/>
      <c r="D92" s="169"/>
      <c r="E92" s="152"/>
    </row>
    <row r="93" spans="1:5" x14ac:dyDescent="0.2">
      <c r="A93" s="2" t="s">
        <v>251</v>
      </c>
      <c r="B93" s="174">
        <v>12228</v>
      </c>
      <c r="C93" s="174"/>
      <c r="D93" s="169"/>
      <c r="E93" s="152"/>
    </row>
    <row r="94" spans="1:5" x14ac:dyDescent="0.2">
      <c r="A94" s="2" t="s">
        <v>252</v>
      </c>
      <c r="B94" s="175">
        <f>SUM(B92:B93)</f>
        <v>24138</v>
      </c>
      <c r="C94" s="175">
        <f>SUM(C92:C93)</f>
        <v>0</v>
      </c>
      <c r="D94" s="169"/>
      <c r="E94" s="152"/>
    </row>
    <row r="95" spans="1:5" x14ac:dyDescent="0.2">
      <c r="A95" s="2"/>
      <c r="B95" s="175"/>
      <c r="C95" s="169"/>
      <c r="D95" s="169"/>
      <c r="E95" s="152"/>
    </row>
    <row r="96" spans="1:5" x14ac:dyDescent="0.2">
      <c r="A96" s="2" t="s">
        <v>202</v>
      </c>
      <c r="B96" s="175">
        <v>5823</v>
      </c>
      <c r="C96" s="169"/>
      <c r="D96" s="169"/>
      <c r="E96" s="152"/>
    </row>
    <row r="97" spans="1:5" x14ac:dyDescent="0.2">
      <c r="A97" s="2" t="s">
        <v>253</v>
      </c>
      <c r="B97" s="174">
        <v>68367</v>
      </c>
      <c r="C97" s="174">
        <v>24000</v>
      </c>
      <c r="D97" s="169"/>
      <c r="E97" s="152"/>
    </row>
    <row r="98" spans="1:5" x14ac:dyDescent="0.2">
      <c r="A98" s="2" t="s">
        <v>254</v>
      </c>
      <c r="B98" s="175">
        <f>SUM(B96:B97)</f>
        <v>74190</v>
      </c>
      <c r="C98" s="175">
        <f>SUM(C96:C97)</f>
        <v>24000</v>
      </c>
      <c r="D98" s="169"/>
      <c r="E98" s="152"/>
    </row>
    <row r="99" spans="1:5" x14ac:dyDescent="0.2">
      <c r="A99" s="2"/>
      <c r="B99" s="8"/>
      <c r="C99" s="169"/>
      <c r="D99" s="169"/>
      <c r="E99" s="152"/>
    </row>
    <row r="100" spans="1:5" ht="13.5" thickBot="1" x14ac:dyDescent="0.25">
      <c r="A100" s="7" t="s">
        <v>255</v>
      </c>
      <c r="B100" s="171">
        <f>B98+B94</f>
        <v>98328</v>
      </c>
      <c r="C100" s="171">
        <f>C98+C94</f>
        <v>24000</v>
      </c>
      <c r="D100" s="8"/>
    </row>
    <row r="101" spans="1:5" ht="13.5" thickTop="1" x14ac:dyDescent="0.2">
      <c r="A101" s="2"/>
      <c r="B101" s="8"/>
      <c r="C101" s="8"/>
      <c r="D101" s="8"/>
    </row>
    <row r="102" spans="1:5" ht="13.5" thickBot="1" x14ac:dyDescent="0.25">
      <c r="A102" s="7" t="s">
        <v>190</v>
      </c>
      <c r="B102" s="10">
        <f>B11+B45+B49+B84+B89+B100</f>
        <v>679749</v>
      </c>
      <c r="C102" s="10">
        <f>C11+C45+C49+C84+C89+C100</f>
        <v>322207.40000000002</v>
      </c>
      <c r="D102" s="8"/>
    </row>
    <row r="103" spans="1:5" ht="13.5" thickTop="1" x14ac:dyDescent="0.2">
      <c r="A103" s="2"/>
      <c r="B103" s="8"/>
      <c r="C103" s="8"/>
      <c r="D103" s="8"/>
    </row>
    <row r="104" spans="1:5" x14ac:dyDescent="0.2">
      <c r="A104" s="2"/>
      <c r="B104" s="8"/>
      <c r="C104" s="8"/>
      <c r="D104" s="8"/>
    </row>
    <row r="105" spans="1:5" x14ac:dyDescent="0.2">
      <c r="A105" s="2"/>
      <c r="B105" s="8"/>
      <c r="C105" s="8"/>
      <c r="D105" s="8"/>
    </row>
    <row r="106" spans="1:5" x14ac:dyDescent="0.2">
      <c r="A106" s="2"/>
      <c r="B106" s="8"/>
      <c r="C106" s="8"/>
      <c r="D106" s="8"/>
    </row>
    <row r="107" spans="1:5" x14ac:dyDescent="0.2">
      <c r="A107" s="2"/>
      <c r="B107" s="8"/>
      <c r="C107" s="8"/>
      <c r="D107" s="8"/>
    </row>
    <row r="108" spans="1:5" x14ac:dyDescent="0.2">
      <c r="A108" s="2"/>
      <c r="B108" s="8"/>
      <c r="C108" s="8"/>
      <c r="D108" s="8"/>
    </row>
    <row r="109" spans="1:5" x14ac:dyDescent="0.2">
      <c r="A109" s="2"/>
      <c r="B109" s="8"/>
      <c r="C109" s="8"/>
      <c r="D109" s="8"/>
    </row>
    <row r="110" spans="1:5" x14ac:dyDescent="0.2">
      <c r="A110" s="2"/>
      <c r="B110" s="8"/>
      <c r="C110" s="8"/>
      <c r="D110" s="8"/>
    </row>
    <row r="111" spans="1:5" x14ac:dyDescent="0.2">
      <c r="A111" s="2"/>
      <c r="B111" s="8"/>
      <c r="C111" s="8"/>
      <c r="D111" s="8"/>
    </row>
    <row r="112" spans="1:5" x14ac:dyDescent="0.2">
      <c r="A112" s="2"/>
      <c r="B112" s="8"/>
      <c r="C112" s="8"/>
      <c r="D112" s="8"/>
    </row>
    <row r="113" spans="1:4" x14ac:dyDescent="0.2">
      <c r="A113" s="2"/>
      <c r="B113" s="8"/>
      <c r="C113" s="8"/>
      <c r="D113" s="8"/>
    </row>
    <row r="114" spans="1:4" x14ac:dyDescent="0.2">
      <c r="A114" s="2"/>
      <c r="B114" s="8"/>
      <c r="C114" s="8"/>
      <c r="D114" s="8"/>
    </row>
    <row r="115" spans="1:4" x14ac:dyDescent="0.2">
      <c r="A115" s="2"/>
      <c r="B115" s="8"/>
      <c r="C115" s="8"/>
      <c r="D115" s="8"/>
    </row>
    <row r="116" spans="1:4" x14ac:dyDescent="0.2">
      <c r="A116" s="2"/>
      <c r="B116" s="8"/>
      <c r="C116" s="8"/>
      <c r="D116" s="8"/>
    </row>
    <row r="117" spans="1:4" x14ac:dyDescent="0.2">
      <c r="A117" s="2"/>
      <c r="B117" s="8"/>
      <c r="C117" s="8"/>
      <c r="D117" s="8"/>
    </row>
    <row r="118" spans="1:4" x14ac:dyDescent="0.2">
      <c r="A118" s="2"/>
      <c r="B118" s="8"/>
      <c r="C118" s="8"/>
      <c r="D118" s="8"/>
    </row>
    <row r="119" spans="1:4" x14ac:dyDescent="0.2">
      <c r="A119" s="2"/>
      <c r="B119" s="8"/>
      <c r="C119" s="8"/>
      <c r="D119" s="14"/>
    </row>
    <row r="120" spans="1:4" x14ac:dyDescent="0.2">
      <c r="A120" s="2"/>
      <c r="B120" s="8"/>
      <c r="C120" s="8"/>
      <c r="D120" s="14"/>
    </row>
    <row r="121" spans="1:4" x14ac:dyDescent="0.2">
      <c r="A121" s="2"/>
      <c r="B121" s="8"/>
      <c r="C121" s="8"/>
      <c r="D121" s="14"/>
    </row>
    <row r="122" spans="1:4" x14ac:dyDescent="0.2">
      <c r="A122" s="2"/>
      <c r="B122" s="8"/>
      <c r="C122" s="8"/>
      <c r="D122" s="14"/>
    </row>
    <row r="123" spans="1:4" x14ac:dyDescent="0.2">
      <c r="A123" s="2"/>
      <c r="B123" s="8"/>
      <c r="C123" s="8"/>
      <c r="D123" s="14"/>
    </row>
    <row r="124" spans="1:4" x14ac:dyDescent="0.2">
      <c r="A124" s="2"/>
      <c r="B124" s="8"/>
      <c r="C124" s="8"/>
      <c r="D124" s="14"/>
    </row>
    <row r="125" spans="1:4" x14ac:dyDescent="0.2">
      <c r="A125" s="2"/>
      <c r="B125" s="8"/>
      <c r="C125" s="8"/>
      <c r="D125" s="14"/>
    </row>
    <row r="126" spans="1:4" x14ac:dyDescent="0.2">
      <c r="A126" s="2"/>
      <c r="B126" s="8"/>
      <c r="C126" s="8"/>
      <c r="D126" s="14"/>
    </row>
    <row r="127" spans="1:4" x14ac:dyDescent="0.2">
      <c r="A127" s="2"/>
      <c r="B127" s="8"/>
      <c r="C127" s="8"/>
      <c r="D127" s="14"/>
    </row>
    <row r="128" spans="1:4" x14ac:dyDescent="0.2">
      <c r="A128" s="2"/>
      <c r="B128" s="8"/>
      <c r="C128" s="8"/>
      <c r="D128" s="14"/>
    </row>
    <row r="129" spans="1:4" x14ac:dyDescent="0.2">
      <c r="A129" s="2"/>
      <c r="B129" s="8"/>
      <c r="C129" s="8"/>
      <c r="D129" s="14"/>
    </row>
    <row r="130" spans="1:4" x14ac:dyDescent="0.2">
      <c r="A130" s="2"/>
      <c r="B130" s="8"/>
      <c r="C130" s="8"/>
      <c r="D130" s="14"/>
    </row>
    <row r="131" spans="1:4" x14ac:dyDescent="0.2">
      <c r="A131" s="2"/>
      <c r="B131" s="8"/>
      <c r="C131" s="8"/>
      <c r="D131" s="14"/>
    </row>
    <row r="132" spans="1:4" x14ac:dyDescent="0.2">
      <c r="A132" s="2"/>
      <c r="B132" s="8"/>
      <c r="C132" s="8"/>
      <c r="D132" s="14"/>
    </row>
    <row r="133" spans="1:4" x14ac:dyDescent="0.2">
      <c r="A133" s="2"/>
      <c r="B133" s="8"/>
      <c r="C133" s="8"/>
      <c r="D133" s="14"/>
    </row>
    <row r="134" spans="1:4" x14ac:dyDescent="0.2">
      <c r="A134" s="2"/>
      <c r="B134" s="8"/>
      <c r="C134" s="8"/>
      <c r="D134" s="14"/>
    </row>
    <row r="135" spans="1:4" x14ac:dyDescent="0.2">
      <c r="A135" s="2"/>
      <c r="B135" s="8"/>
      <c r="C135" s="8"/>
      <c r="D135" s="14"/>
    </row>
    <row r="136" spans="1:4" x14ac:dyDescent="0.2">
      <c r="A136" s="2"/>
      <c r="B136" s="2"/>
      <c r="C136" s="2"/>
    </row>
    <row r="137" spans="1:4" x14ac:dyDescent="0.2">
      <c r="A137" s="2"/>
      <c r="B137" s="2"/>
      <c r="C137" s="2"/>
    </row>
    <row r="138" spans="1:4" x14ac:dyDescent="0.2">
      <c r="A138" s="2"/>
      <c r="B138" s="2"/>
      <c r="C138" s="2"/>
    </row>
    <row r="139" spans="1:4" x14ac:dyDescent="0.2">
      <c r="A139" s="2"/>
      <c r="B139" s="2"/>
      <c r="C139" s="2"/>
    </row>
    <row r="140" spans="1:4" x14ac:dyDescent="0.2">
      <c r="A140" s="2"/>
      <c r="B140" s="2"/>
      <c r="C140" s="2"/>
    </row>
    <row r="141" spans="1:4" x14ac:dyDescent="0.2">
      <c r="A141" s="2"/>
      <c r="B141" s="2"/>
      <c r="C141" s="2"/>
    </row>
    <row r="142" spans="1:4" x14ac:dyDescent="0.2">
      <c r="A142" s="2"/>
      <c r="B142" s="2"/>
      <c r="C142" s="2"/>
    </row>
    <row r="143" spans="1:4" x14ac:dyDescent="0.2">
      <c r="A143" s="2"/>
      <c r="B143" s="2"/>
      <c r="C143" s="2"/>
    </row>
    <row r="144" spans="1:4" x14ac:dyDescent="0.2">
      <c r="A144" s="2"/>
      <c r="B144" s="2"/>
      <c r="C144" s="2"/>
    </row>
    <row r="145" spans="1:3" x14ac:dyDescent="0.2">
      <c r="A145" s="2"/>
      <c r="B145" s="2"/>
      <c r="C145" s="2"/>
    </row>
    <row r="146" spans="1:3" x14ac:dyDescent="0.2">
      <c r="A146" s="2"/>
      <c r="B146" s="2"/>
      <c r="C146" s="2"/>
    </row>
    <row r="147" spans="1:3" x14ac:dyDescent="0.2">
      <c r="A147" s="2"/>
      <c r="B147" s="2"/>
      <c r="C147" s="2"/>
    </row>
    <row r="148" spans="1:3" x14ac:dyDescent="0.2">
      <c r="A148" s="2"/>
      <c r="B148" s="2"/>
      <c r="C148" s="2"/>
    </row>
    <row r="149" spans="1:3" x14ac:dyDescent="0.2">
      <c r="A149" s="2"/>
      <c r="B149" s="2"/>
      <c r="C149" s="2"/>
    </row>
    <row r="150" spans="1:3" x14ac:dyDescent="0.2">
      <c r="A150" s="2"/>
      <c r="B150" s="2"/>
      <c r="C150" s="2"/>
    </row>
    <row r="151" spans="1:3" x14ac:dyDescent="0.2">
      <c r="A151" s="2"/>
      <c r="B151" s="2"/>
      <c r="C151" s="2"/>
    </row>
    <row r="152" spans="1:3" x14ac:dyDescent="0.2">
      <c r="A152" s="2"/>
      <c r="B152" s="2"/>
      <c r="C152" s="2"/>
    </row>
    <row r="153" spans="1:3" x14ac:dyDescent="0.2">
      <c r="A153" s="2"/>
      <c r="B153" s="2"/>
      <c r="C153" s="2"/>
    </row>
    <row r="154" spans="1:3" x14ac:dyDescent="0.2">
      <c r="A154" s="2"/>
      <c r="B154" s="2"/>
      <c r="C154" s="2"/>
    </row>
    <row r="155" spans="1:3" x14ac:dyDescent="0.2">
      <c r="A155" s="2"/>
      <c r="B155" s="2"/>
      <c r="C155" s="2"/>
    </row>
    <row r="156" spans="1:3" x14ac:dyDescent="0.2">
      <c r="A156" s="2"/>
      <c r="B156" s="2"/>
      <c r="C156" s="2"/>
    </row>
    <row r="157" spans="1:3" x14ac:dyDescent="0.2">
      <c r="A157" s="2"/>
      <c r="B157" s="2"/>
      <c r="C157" s="2"/>
    </row>
    <row r="158" spans="1:3" x14ac:dyDescent="0.2">
      <c r="A158" s="2"/>
      <c r="B158" s="2"/>
      <c r="C158" s="2"/>
    </row>
    <row r="159" spans="1:3" x14ac:dyDescent="0.2">
      <c r="A159" s="2"/>
      <c r="B159" s="2"/>
      <c r="C159" s="2"/>
    </row>
    <row r="160" spans="1:3" x14ac:dyDescent="0.2">
      <c r="A160" s="2"/>
      <c r="B160" s="2"/>
      <c r="C160" s="2"/>
    </row>
    <row r="161" spans="1:3" x14ac:dyDescent="0.2">
      <c r="A161" s="2"/>
      <c r="B161" s="2"/>
      <c r="C161" s="2"/>
    </row>
    <row r="162" spans="1:3" x14ac:dyDescent="0.2">
      <c r="A162" s="2"/>
      <c r="B162" s="2"/>
      <c r="C162" s="2"/>
    </row>
    <row r="163" spans="1:3" x14ac:dyDescent="0.2">
      <c r="A163" s="2"/>
      <c r="B163" s="2"/>
      <c r="C163" s="2"/>
    </row>
    <row r="164" spans="1:3" x14ac:dyDescent="0.2">
      <c r="A164" s="2"/>
      <c r="B164" s="2"/>
      <c r="C164" s="2"/>
    </row>
    <row r="165" spans="1:3" x14ac:dyDescent="0.2">
      <c r="A165" s="2"/>
      <c r="B165" s="2"/>
      <c r="C165" s="2"/>
    </row>
    <row r="166" spans="1:3" x14ac:dyDescent="0.2">
      <c r="A166" s="2"/>
      <c r="B166" s="2"/>
      <c r="C166" s="2"/>
    </row>
    <row r="167" spans="1:3" x14ac:dyDescent="0.2">
      <c r="A167" s="2"/>
      <c r="B167" s="2"/>
      <c r="C167" s="2"/>
    </row>
    <row r="168" spans="1:3" x14ac:dyDescent="0.2">
      <c r="A168" s="2"/>
      <c r="B168" s="2"/>
      <c r="C168" s="2"/>
    </row>
    <row r="169" spans="1:3" x14ac:dyDescent="0.2">
      <c r="A169" s="2"/>
      <c r="B169" s="2"/>
      <c r="C169" s="2"/>
    </row>
    <row r="170" spans="1:3" x14ac:dyDescent="0.2">
      <c r="A170" s="2"/>
      <c r="B170" s="2"/>
      <c r="C170" s="2"/>
    </row>
    <row r="171" spans="1:3" x14ac:dyDescent="0.2">
      <c r="A171" s="2"/>
      <c r="B171" s="2"/>
      <c r="C171" s="2"/>
    </row>
    <row r="172" spans="1:3" x14ac:dyDescent="0.2">
      <c r="A172" s="2"/>
      <c r="B172" s="2"/>
      <c r="C172" s="2"/>
    </row>
    <row r="173" spans="1:3" x14ac:dyDescent="0.2">
      <c r="A173" s="2"/>
      <c r="B173" s="2"/>
      <c r="C173" s="2"/>
    </row>
    <row r="174" spans="1:3" x14ac:dyDescent="0.2">
      <c r="A174" s="2"/>
      <c r="B174" s="2"/>
      <c r="C174" s="2"/>
    </row>
    <row r="175" spans="1:3" x14ac:dyDescent="0.2">
      <c r="A175" s="2"/>
      <c r="B175" s="2"/>
      <c r="C175" s="2"/>
    </row>
    <row r="176" spans="1:3" x14ac:dyDescent="0.2">
      <c r="A176" s="2"/>
      <c r="B176" s="2"/>
      <c r="C176" s="2"/>
    </row>
    <row r="177" spans="1:3" x14ac:dyDescent="0.2">
      <c r="A177" s="2"/>
      <c r="B177" s="2"/>
      <c r="C177" s="2"/>
    </row>
    <row r="178" spans="1:3" x14ac:dyDescent="0.2">
      <c r="A178" s="2"/>
      <c r="B178" s="2"/>
      <c r="C178" s="2"/>
    </row>
    <row r="179" spans="1:3" x14ac:dyDescent="0.2">
      <c r="A179" s="2"/>
      <c r="B179" s="2"/>
      <c r="C179" s="2"/>
    </row>
    <row r="180" spans="1:3" x14ac:dyDescent="0.2">
      <c r="A180" s="2"/>
      <c r="B180" s="2"/>
      <c r="C180" s="2"/>
    </row>
    <row r="181" spans="1:3" x14ac:dyDescent="0.2">
      <c r="A181" s="2"/>
      <c r="B181" s="2"/>
      <c r="C181" s="2"/>
    </row>
    <row r="182" spans="1:3" x14ac:dyDescent="0.2">
      <c r="A182" s="2"/>
      <c r="B182" s="2"/>
      <c r="C182" s="2"/>
    </row>
    <row r="183" spans="1:3" x14ac:dyDescent="0.2">
      <c r="A183" s="2"/>
      <c r="B183" s="2"/>
      <c r="C183" s="2"/>
    </row>
    <row r="184" spans="1:3" x14ac:dyDescent="0.2">
      <c r="A184" s="2"/>
      <c r="B184" s="2"/>
      <c r="C184" s="2"/>
    </row>
    <row r="185" spans="1:3" x14ac:dyDescent="0.2">
      <c r="A185" s="2"/>
      <c r="B185" s="2"/>
      <c r="C185" s="2"/>
    </row>
    <row r="186" spans="1:3" x14ac:dyDescent="0.2">
      <c r="A186" s="2"/>
      <c r="B186" s="2"/>
      <c r="C186" s="2"/>
    </row>
    <row r="187" spans="1:3" x14ac:dyDescent="0.2">
      <c r="A187" s="2"/>
      <c r="B187" s="2"/>
      <c r="C187" s="2"/>
    </row>
    <row r="188" spans="1:3" x14ac:dyDescent="0.2">
      <c r="A188" s="2"/>
      <c r="B188" s="2"/>
      <c r="C188" s="2"/>
    </row>
    <row r="189" spans="1:3" x14ac:dyDescent="0.2">
      <c r="A189" s="2"/>
      <c r="B189" s="2"/>
      <c r="C189" s="2"/>
    </row>
    <row r="190" spans="1:3" x14ac:dyDescent="0.2">
      <c r="A190" s="2"/>
      <c r="B190" s="2"/>
      <c r="C190" s="2"/>
    </row>
    <row r="191" spans="1:3" x14ac:dyDescent="0.2">
      <c r="A191" s="2"/>
      <c r="B191" s="2"/>
      <c r="C191" s="2"/>
    </row>
    <row r="192" spans="1:3" x14ac:dyDescent="0.2">
      <c r="A192" s="2"/>
      <c r="B192" s="2"/>
      <c r="C192" s="2"/>
    </row>
    <row r="193" spans="1:3" x14ac:dyDescent="0.2">
      <c r="A193" s="2"/>
      <c r="B193" s="2"/>
      <c r="C193" s="2"/>
    </row>
    <row r="194" spans="1:3" x14ac:dyDescent="0.2">
      <c r="A194" s="2"/>
      <c r="B194" s="2"/>
      <c r="C194" s="2"/>
    </row>
    <row r="195" spans="1:3" x14ac:dyDescent="0.2">
      <c r="A195" s="2"/>
      <c r="B195" s="2"/>
      <c r="C195" s="2"/>
    </row>
    <row r="196" spans="1:3" x14ac:dyDescent="0.2">
      <c r="A196" s="2"/>
      <c r="B196" s="2"/>
      <c r="C196" s="2"/>
    </row>
    <row r="197" spans="1:3" x14ac:dyDescent="0.2">
      <c r="A197" s="2"/>
      <c r="B197" s="2"/>
      <c r="C197" s="2"/>
    </row>
    <row r="198" spans="1:3" x14ac:dyDescent="0.2">
      <c r="A198" s="2"/>
      <c r="B198" s="2"/>
      <c r="C198" s="2"/>
    </row>
    <row r="199" spans="1:3" x14ac:dyDescent="0.2">
      <c r="A199" s="2"/>
      <c r="B199" s="2"/>
      <c r="C199" s="2"/>
    </row>
    <row r="200" spans="1:3" x14ac:dyDescent="0.2">
      <c r="A200" s="2"/>
      <c r="B200" s="2"/>
      <c r="C200" s="2"/>
    </row>
    <row r="201" spans="1:3" x14ac:dyDescent="0.2">
      <c r="A201" s="2"/>
      <c r="B201" s="2"/>
      <c r="C201" s="2"/>
    </row>
    <row r="202" spans="1:3" x14ac:dyDescent="0.2">
      <c r="A202" s="2"/>
      <c r="B202" s="2"/>
      <c r="C202" s="2"/>
    </row>
    <row r="203" spans="1:3" x14ac:dyDescent="0.2">
      <c r="A203" s="2"/>
      <c r="B203" s="2"/>
      <c r="C203" s="2"/>
    </row>
    <row r="204" spans="1:3" x14ac:dyDescent="0.2">
      <c r="A204" s="2"/>
      <c r="B204" s="2"/>
      <c r="C204" s="2"/>
    </row>
    <row r="205" spans="1:3" x14ac:dyDescent="0.2">
      <c r="A205" s="2"/>
      <c r="B205" s="2"/>
      <c r="C205" s="2"/>
    </row>
    <row r="206" spans="1:3" x14ac:dyDescent="0.2">
      <c r="A206" s="2"/>
      <c r="B206" s="2"/>
      <c r="C206" s="2"/>
    </row>
    <row r="207" spans="1:3" x14ac:dyDescent="0.2">
      <c r="A207" s="2"/>
      <c r="B207" s="2"/>
      <c r="C207" s="2"/>
    </row>
    <row r="208" spans="1:3" x14ac:dyDescent="0.2">
      <c r="A208" s="2"/>
      <c r="B208" s="2"/>
      <c r="C208" s="2"/>
    </row>
    <row r="209" spans="1:3" x14ac:dyDescent="0.2">
      <c r="A209" s="2"/>
      <c r="B209" s="2"/>
      <c r="C209" s="2"/>
    </row>
    <row r="210" spans="1:3" x14ac:dyDescent="0.2">
      <c r="A210" s="2"/>
      <c r="B210" s="2"/>
      <c r="C210" s="2"/>
    </row>
    <row r="211" spans="1:3" x14ac:dyDescent="0.2">
      <c r="A211" s="2"/>
      <c r="B211" s="2"/>
      <c r="C211" s="2"/>
    </row>
    <row r="212" spans="1:3" x14ac:dyDescent="0.2">
      <c r="A212" s="2"/>
      <c r="B212" s="2"/>
      <c r="C212" s="2"/>
    </row>
    <row r="213" spans="1:3" x14ac:dyDescent="0.2">
      <c r="A213" s="2"/>
      <c r="B213" s="2"/>
      <c r="C213" s="2"/>
    </row>
    <row r="214" spans="1:3" x14ac:dyDescent="0.2">
      <c r="A214" s="2"/>
      <c r="B214" s="2"/>
      <c r="C214" s="2"/>
    </row>
    <row r="215" spans="1:3" x14ac:dyDescent="0.2">
      <c r="A215" s="2"/>
      <c r="B215" s="2"/>
      <c r="C215" s="2"/>
    </row>
    <row r="216" spans="1:3" x14ac:dyDescent="0.2">
      <c r="A216" s="2"/>
      <c r="B216" s="2"/>
      <c r="C216" s="2"/>
    </row>
    <row r="217" spans="1:3" x14ac:dyDescent="0.2">
      <c r="A217" s="2"/>
      <c r="B217" s="2"/>
      <c r="C217" s="2"/>
    </row>
    <row r="218" spans="1:3" x14ac:dyDescent="0.2">
      <c r="A218" s="2"/>
      <c r="B218" s="2"/>
      <c r="C218" s="2"/>
    </row>
    <row r="219" spans="1:3" x14ac:dyDescent="0.2">
      <c r="A219" s="2"/>
      <c r="B219" s="2"/>
      <c r="C219" s="2"/>
    </row>
    <row r="220" spans="1:3" x14ac:dyDescent="0.2">
      <c r="A220" s="2"/>
      <c r="B220" s="2"/>
      <c r="C220" s="2"/>
    </row>
    <row r="221" spans="1:3" x14ac:dyDescent="0.2">
      <c r="A221" s="2"/>
      <c r="B221" s="2"/>
      <c r="C221" s="2"/>
    </row>
    <row r="222" spans="1:3" x14ac:dyDescent="0.2">
      <c r="A222" s="2"/>
      <c r="B222" s="2"/>
      <c r="C222" s="2"/>
    </row>
    <row r="223" spans="1:3" x14ac:dyDescent="0.2">
      <c r="A223" s="2"/>
      <c r="B223" s="2"/>
      <c r="C223" s="2"/>
    </row>
    <row r="224" spans="1:3" x14ac:dyDescent="0.2">
      <c r="A224" s="2"/>
      <c r="B224" s="2"/>
      <c r="C224" s="2"/>
    </row>
    <row r="225" spans="1:3" x14ac:dyDescent="0.2">
      <c r="A225" s="2"/>
      <c r="B225" s="2"/>
      <c r="C225" s="2"/>
    </row>
    <row r="226" spans="1:3" x14ac:dyDescent="0.2">
      <c r="A226" s="2"/>
      <c r="B226" s="2"/>
      <c r="C226" s="2"/>
    </row>
    <row r="227" spans="1:3" x14ac:dyDescent="0.2">
      <c r="A227" s="2"/>
      <c r="B227" s="2"/>
      <c r="C227" s="2"/>
    </row>
    <row r="228" spans="1:3" x14ac:dyDescent="0.2">
      <c r="A228" s="2"/>
      <c r="B228" s="2"/>
      <c r="C228" s="2"/>
    </row>
    <row r="229" spans="1:3" x14ac:dyDescent="0.2">
      <c r="A229" s="2"/>
      <c r="B229" s="2"/>
      <c r="C229" s="2"/>
    </row>
    <row r="230" spans="1:3" x14ac:dyDescent="0.2">
      <c r="A230" s="2"/>
      <c r="B230" s="2"/>
      <c r="C230" s="2"/>
    </row>
    <row r="231" spans="1:3" x14ac:dyDescent="0.2">
      <c r="A231" s="2"/>
      <c r="B231" s="2"/>
      <c r="C231" s="2"/>
    </row>
    <row r="232" spans="1:3" x14ac:dyDescent="0.2">
      <c r="A232" s="2"/>
      <c r="B232" s="2"/>
      <c r="C232" s="2"/>
    </row>
    <row r="233" spans="1:3" x14ac:dyDescent="0.2">
      <c r="A233" s="2"/>
      <c r="B233" s="2"/>
      <c r="C233" s="2"/>
    </row>
    <row r="234" spans="1:3" x14ac:dyDescent="0.2">
      <c r="A234" s="2"/>
      <c r="B234" s="2"/>
      <c r="C234" s="2"/>
    </row>
    <row r="235" spans="1:3" x14ac:dyDescent="0.2">
      <c r="A235" s="2"/>
      <c r="B235" s="2"/>
      <c r="C235" s="2"/>
    </row>
    <row r="236" spans="1:3" x14ac:dyDescent="0.2">
      <c r="A236" s="2"/>
      <c r="B236" s="2"/>
      <c r="C236" s="2"/>
    </row>
    <row r="237" spans="1:3" x14ac:dyDescent="0.2">
      <c r="A237" s="2"/>
      <c r="B237" s="2"/>
      <c r="C237" s="2"/>
    </row>
    <row r="238" spans="1:3" x14ac:dyDescent="0.2">
      <c r="A238" s="2"/>
      <c r="B238" s="2"/>
      <c r="C238" s="2"/>
    </row>
    <row r="239" spans="1:3" x14ac:dyDescent="0.2">
      <c r="A239" s="2"/>
      <c r="B239" s="2"/>
      <c r="C239" s="2"/>
    </row>
    <row r="240" spans="1:3" x14ac:dyDescent="0.2">
      <c r="A240" s="2"/>
      <c r="B240" s="2"/>
      <c r="C240" s="2"/>
    </row>
    <row r="241" spans="1:3" x14ac:dyDescent="0.2">
      <c r="A241" s="2"/>
      <c r="B241" s="2"/>
      <c r="C241" s="2"/>
    </row>
    <row r="242" spans="1:3" x14ac:dyDescent="0.2">
      <c r="A242" s="2"/>
      <c r="B242" s="2"/>
      <c r="C242" s="2"/>
    </row>
    <row r="243" spans="1:3" x14ac:dyDescent="0.2">
      <c r="A243" s="2"/>
      <c r="B243" s="2"/>
      <c r="C243" s="2"/>
    </row>
    <row r="244" spans="1:3" x14ac:dyDescent="0.2">
      <c r="A244" s="2"/>
      <c r="B244" s="2"/>
      <c r="C244" s="2"/>
    </row>
    <row r="245" spans="1:3" x14ac:dyDescent="0.2">
      <c r="A245" s="2"/>
      <c r="B245" s="2"/>
      <c r="C245" s="2"/>
    </row>
    <row r="246" spans="1:3" x14ac:dyDescent="0.2">
      <c r="A246" s="2"/>
      <c r="B246" s="2"/>
      <c r="C246" s="2"/>
    </row>
    <row r="247" spans="1:3" x14ac:dyDescent="0.2">
      <c r="A247" s="2"/>
      <c r="B247" s="2"/>
      <c r="C247" s="2"/>
    </row>
    <row r="248" spans="1:3" x14ac:dyDescent="0.2">
      <c r="A248" s="2"/>
      <c r="B248" s="2"/>
      <c r="C248" s="2"/>
    </row>
    <row r="249" spans="1:3" x14ac:dyDescent="0.2">
      <c r="A249" s="2"/>
      <c r="B249" s="2"/>
      <c r="C249" s="2"/>
    </row>
    <row r="250" spans="1:3" x14ac:dyDescent="0.2">
      <c r="A250" s="2"/>
      <c r="B250" s="2"/>
      <c r="C250" s="2"/>
    </row>
    <row r="251" spans="1:3" x14ac:dyDescent="0.2">
      <c r="A251" s="2"/>
      <c r="B251" s="2"/>
      <c r="C251" s="2"/>
    </row>
    <row r="252" spans="1:3" x14ac:dyDescent="0.2">
      <c r="A252" s="2"/>
      <c r="B252" s="2"/>
      <c r="C252" s="2"/>
    </row>
    <row r="253" spans="1:3" x14ac:dyDescent="0.2">
      <c r="A253" s="2"/>
      <c r="B253" s="2"/>
      <c r="C253" s="2"/>
    </row>
    <row r="254" spans="1:3" x14ac:dyDescent="0.2">
      <c r="A254" s="2"/>
      <c r="B254" s="2"/>
      <c r="C254" s="2"/>
    </row>
    <row r="255" spans="1:3" x14ac:dyDescent="0.2">
      <c r="A255" s="2"/>
      <c r="B255" s="2"/>
      <c r="C255" s="2"/>
    </row>
    <row r="256" spans="1:3" x14ac:dyDescent="0.2">
      <c r="A256" s="2"/>
      <c r="B256" s="2"/>
      <c r="C256" s="2"/>
    </row>
    <row r="257" spans="1:3" x14ac:dyDescent="0.2">
      <c r="A257" s="2"/>
      <c r="B257" s="2"/>
      <c r="C257" s="2"/>
    </row>
    <row r="258" spans="1:3" x14ac:dyDescent="0.2">
      <c r="A258" s="2"/>
      <c r="B258" s="2"/>
      <c r="C258" s="2"/>
    </row>
    <row r="259" spans="1:3" x14ac:dyDescent="0.2">
      <c r="A259" s="2"/>
      <c r="B259" s="2"/>
      <c r="C259" s="2"/>
    </row>
    <row r="260" spans="1:3" x14ac:dyDescent="0.2">
      <c r="A260" s="2"/>
      <c r="B260" s="2"/>
      <c r="C260" s="2"/>
    </row>
    <row r="261" spans="1:3" x14ac:dyDescent="0.2">
      <c r="A261" s="2"/>
      <c r="B261" s="2"/>
      <c r="C261" s="2"/>
    </row>
    <row r="262" spans="1:3" x14ac:dyDescent="0.2">
      <c r="A262" s="2"/>
      <c r="B262" s="2"/>
      <c r="C262" s="2"/>
    </row>
    <row r="263" spans="1:3" x14ac:dyDescent="0.2">
      <c r="A263" s="2"/>
      <c r="B263" s="2"/>
      <c r="C263" s="2"/>
    </row>
    <row r="264" spans="1:3" x14ac:dyDescent="0.2">
      <c r="A264" s="2"/>
      <c r="B264" s="2"/>
      <c r="C264" s="2"/>
    </row>
    <row r="265" spans="1:3" x14ac:dyDescent="0.2">
      <c r="A265" s="2"/>
      <c r="B265" s="2"/>
      <c r="C265" s="2"/>
    </row>
    <row r="266" spans="1:3" x14ac:dyDescent="0.2">
      <c r="A266" s="2"/>
      <c r="B266" s="2"/>
      <c r="C266" s="2"/>
    </row>
    <row r="267" spans="1:3" x14ac:dyDescent="0.2">
      <c r="A267" s="2"/>
      <c r="B267" s="2"/>
      <c r="C267" s="2"/>
    </row>
    <row r="268" spans="1:3" x14ac:dyDescent="0.2">
      <c r="A268" s="2"/>
      <c r="B268" s="2"/>
      <c r="C268" s="2"/>
    </row>
    <row r="269" spans="1:3" x14ac:dyDescent="0.2">
      <c r="A269" s="2"/>
      <c r="B269" s="2"/>
      <c r="C269" s="2"/>
    </row>
    <row r="270" spans="1:3" x14ac:dyDescent="0.2">
      <c r="A270" s="2"/>
      <c r="B270" s="2"/>
      <c r="C270" s="2"/>
    </row>
    <row r="271" spans="1:3" x14ac:dyDescent="0.2">
      <c r="A271" s="2"/>
      <c r="B271" s="2"/>
      <c r="C271" s="2"/>
    </row>
    <row r="272" spans="1:3" x14ac:dyDescent="0.2">
      <c r="A272" s="2"/>
      <c r="B272" s="2"/>
      <c r="C272" s="2"/>
    </row>
    <row r="273" spans="1:3" x14ac:dyDescent="0.2">
      <c r="A273" s="2"/>
      <c r="B273" s="2"/>
      <c r="C273" s="2"/>
    </row>
    <row r="274" spans="1:3" x14ac:dyDescent="0.2">
      <c r="A274" s="2"/>
      <c r="B274" s="2"/>
      <c r="C274" s="2"/>
    </row>
    <row r="275" spans="1:3" x14ac:dyDescent="0.2">
      <c r="A275" s="2"/>
      <c r="B275" s="2"/>
      <c r="C275" s="2"/>
    </row>
    <row r="276" spans="1:3" x14ac:dyDescent="0.2">
      <c r="A276" s="2"/>
      <c r="B276" s="2"/>
      <c r="C276" s="2"/>
    </row>
    <row r="277" spans="1:3" x14ac:dyDescent="0.2">
      <c r="A277" s="2"/>
      <c r="B277" s="2"/>
      <c r="C277" s="2"/>
    </row>
    <row r="278" spans="1:3" x14ac:dyDescent="0.2">
      <c r="A278" s="2"/>
      <c r="B278" s="2"/>
      <c r="C278" s="2"/>
    </row>
    <row r="279" spans="1:3" x14ac:dyDescent="0.2">
      <c r="A279" s="2"/>
      <c r="B279" s="2"/>
      <c r="C279" s="2"/>
    </row>
    <row r="280" spans="1:3" x14ac:dyDescent="0.2">
      <c r="A280" s="2"/>
      <c r="B280" s="2"/>
      <c r="C280" s="2"/>
    </row>
    <row r="281" spans="1:3" x14ac:dyDescent="0.2">
      <c r="A281" s="2"/>
      <c r="B281" s="2"/>
      <c r="C281" s="2"/>
    </row>
    <row r="282" spans="1:3" x14ac:dyDescent="0.2">
      <c r="A282" s="2"/>
      <c r="B282" s="2"/>
      <c r="C282" s="2"/>
    </row>
    <row r="283" spans="1:3" x14ac:dyDescent="0.2">
      <c r="A283" s="2"/>
      <c r="B283" s="2"/>
      <c r="C283" s="2"/>
    </row>
    <row r="284" spans="1:3" x14ac:dyDescent="0.2">
      <c r="A284" s="2"/>
      <c r="B284" s="2"/>
      <c r="C284" s="2"/>
    </row>
    <row r="285" spans="1:3" x14ac:dyDescent="0.2">
      <c r="A285" s="2"/>
      <c r="B285" s="2"/>
      <c r="C285" s="2"/>
    </row>
    <row r="286" spans="1:3" x14ac:dyDescent="0.2">
      <c r="A286" s="2"/>
      <c r="B286" s="2"/>
      <c r="C286" s="2"/>
    </row>
    <row r="287" spans="1:3" x14ac:dyDescent="0.2">
      <c r="A287" s="2"/>
      <c r="B287" s="2"/>
      <c r="C287" s="2"/>
    </row>
    <row r="288" spans="1:3" x14ac:dyDescent="0.2">
      <c r="A288" s="2"/>
      <c r="B288" s="2"/>
      <c r="C288" s="2"/>
    </row>
    <row r="289" spans="1:3" x14ac:dyDescent="0.2">
      <c r="A289" s="2"/>
      <c r="B289" s="2"/>
      <c r="C289" s="2"/>
    </row>
    <row r="290" spans="1:3" x14ac:dyDescent="0.2">
      <c r="A290" s="2"/>
      <c r="B290" s="2"/>
      <c r="C290" s="2"/>
    </row>
    <row r="291" spans="1:3" x14ac:dyDescent="0.2">
      <c r="A291" s="2"/>
      <c r="B291" s="2"/>
      <c r="C291" s="2"/>
    </row>
    <row r="292" spans="1:3" x14ac:dyDescent="0.2">
      <c r="A292" s="2"/>
      <c r="B292" s="2"/>
      <c r="C292" s="2"/>
    </row>
    <row r="293" spans="1:3" x14ac:dyDescent="0.2">
      <c r="A293" s="2"/>
      <c r="B293" s="2"/>
      <c r="C293" s="2"/>
    </row>
    <row r="294" spans="1:3" x14ac:dyDescent="0.2">
      <c r="A294" s="2"/>
      <c r="B294" s="2"/>
      <c r="C294" s="2"/>
    </row>
    <row r="295" spans="1:3" x14ac:dyDescent="0.2">
      <c r="A295" s="2"/>
      <c r="B295" s="2"/>
      <c r="C295" s="2"/>
    </row>
    <row r="296" spans="1:3" x14ac:dyDescent="0.2">
      <c r="A296" s="2"/>
      <c r="B296" s="2"/>
      <c r="C296" s="2"/>
    </row>
    <row r="297" spans="1:3" x14ac:dyDescent="0.2">
      <c r="A297" s="2"/>
      <c r="B297" s="2"/>
      <c r="C297" s="2"/>
    </row>
    <row r="298" spans="1:3" x14ac:dyDescent="0.2">
      <c r="A298" s="2"/>
      <c r="B298" s="2"/>
      <c r="C298" s="2"/>
    </row>
    <row r="299" spans="1:3" x14ac:dyDescent="0.2">
      <c r="A299" s="2"/>
      <c r="B299" s="2"/>
      <c r="C299" s="2"/>
    </row>
    <row r="300" spans="1:3" x14ac:dyDescent="0.2">
      <c r="A300" s="2"/>
      <c r="B300" s="2"/>
      <c r="C300" s="2"/>
    </row>
    <row r="301" spans="1:3" x14ac:dyDescent="0.2">
      <c r="A301" s="2"/>
      <c r="B301" s="2"/>
      <c r="C301" s="2"/>
    </row>
    <row r="302" spans="1:3" x14ac:dyDescent="0.2">
      <c r="A302" s="2"/>
      <c r="B302" s="2"/>
      <c r="C302" s="2"/>
    </row>
    <row r="303" spans="1:3" x14ac:dyDescent="0.2">
      <c r="A303" s="2"/>
      <c r="B303" s="2"/>
      <c r="C303" s="2"/>
    </row>
    <row r="304" spans="1:3" x14ac:dyDescent="0.2">
      <c r="A304" s="2"/>
      <c r="B304" s="2"/>
      <c r="C304" s="2"/>
    </row>
    <row r="305" spans="1:3" x14ac:dyDescent="0.2">
      <c r="A305" s="2"/>
      <c r="B305" s="2"/>
      <c r="C305" s="2"/>
    </row>
    <row r="306" spans="1:3" x14ac:dyDescent="0.2">
      <c r="A306" s="2"/>
      <c r="B306" s="2"/>
      <c r="C306" s="2"/>
    </row>
    <row r="307" spans="1:3" x14ac:dyDescent="0.2">
      <c r="A307" s="2"/>
      <c r="B307" s="2"/>
      <c r="C307" s="2"/>
    </row>
    <row r="308" spans="1:3" x14ac:dyDescent="0.2">
      <c r="A308" s="2"/>
      <c r="B308" s="2"/>
      <c r="C308" s="2"/>
    </row>
    <row r="309" spans="1:3" x14ac:dyDescent="0.2">
      <c r="A309" s="2"/>
      <c r="B309" s="2"/>
      <c r="C309" s="2"/>
    </row>
    <row r="310" spans="1:3" x14ac:dyDescent="0.2">
      <c r="A310" s="2"/>
      <c r="B310" s="2"/>
      <c r="C310" s="2"/>
    </row>
    <row r="311" spans="1:3" x14ac:dyDescent="0.2">
      <c r="A311" s="2"/>
      <c r="B311" s="2"/>
      <c r="C311" s="2"/>
    </row>
    <row r="312" spans="1:3" x14ac:dyDescent="0.2">
      <c r="A312" s="2"/>
      <c r="B312" s="2"/>
      <c r="C312" s="2"/>
    </row>
    <row r="313" spans="1:3" x14ac:dyDescent="0.2">
      <c r="A313" s="2"/>
      <c r="B313" s="2"/>
      <c r="C313" s="2"/>
    </row>
    <row r="314" spans="1:3" x14ac:dyDescent="0.2">
      <c r="A314" s="2"/>
      <c r="B314" s="2"/>
      <c r="C314" s="2"/>
    </row>
    <row r="315" spans="1:3" x14ac:dyDescent="0.2">
      <c r="A315" s="2"/>
      <c r="B315" s="2"/>
      <c r="C315" s="2"/>
    </row>
    <row r="316" spans="1:3" x14ac:dyDescent="0.2">
      <c r="A316" s="2"/>
      <c r="B316" s="2"/>
      <c r="C316" s="2"/>
    </row>
    <row r="317" spans="1:3" x14ac:dyDescent="0.2">
      <c r="A317" s="2"/>
      <c r="B317" s="2"/>
      <c r="C317" s="2"/>
    </row>
    <row r="318" spans="1:3" x14ac:dyDescent="0.2">
      <c r="A318" s="2"/>
      <c r="B318" s="2"/>
      <c r="C318" s="2"/>
    </row>
    <row r="319" spans="1:3" x14ac:dyDescent="0.2">
      <c r="A319" s="2"/>
      <c r="B319" s="2"/>
      <c r="C319" s="2"/>
    </row>
    <row r="320" spans="1:3" x14ac:dyDescent="0.2">
      <c r="A320" s="2"/>
      <c r="B320" s="2"/>
      <c r="C320" s="2"/>
    </row>
    <row r="321" spans="1:3" x14ac:dyDescent="0.2">
      <c r="A321" s="2"/>
      <c r="B321" s="2"/>
      <c r="C321" s="2"/>
    </row>
    <row r="322" spans="1:3" x14ac:dyDescent="0.2">
      <c r="A322" s="2"/>
      <c r="B322" s="2"/>
      <c r="C322" s="2"/>
    </row>
    <row r="323" spans="1:3" x14ac:dyDescent="0.2">
      <c r="A323" s="2"/>
      <c r="B323" s="2"/>
      <c r="C323" s="2"/>
    </row>
    <row r="324" spans="1:3" x14ac:dyDescent="0.2">
      <c r="A324" s="2"/>
      <c r="B324" s="2"/>
      <c r="C324" s="2"/>
    </row>
    <row r="325" spans="1:3" x14ac:dyDescent="0.2">
      <c r="A325" s="2"/>
      <c r="B325" s="2"/>
      <c r="C325" s="2"/>
    </row>
    <row r="326" spans="1:3" x14ac:dyDescent="0.2">
      <c r="A326" s="2"/>
      <c r="B326" s="2"/>
      <c r="C326" s="2"/>
    </row>
    <row r="327" spans="1:3" x14ac:dyDescent="0.2">
      <c r="A327" s="2"/>
      <c r="B327" s="2"/>
      <c r="C327" s="2"/>
    </row>
    <row r="328" spans="1:3" x14ac:dyDescent="0.2">
      <c r="A328" s="2"/>
      <c r="B328" s="2"/>
      <c r="C328" s="2"/>
    </row>
    <row r="329" spans="1:3" x14ac:dyDescent="0.2">
      <c r="A329" s="2"/>
      <c r="B329" s="2"/>
      <c r="C329" s="2"/>
    </row>
    <row r="330" spans="1:3" x14ac:dyDescent="0.2">
      <c r="A330" s="2"/>
      <c r="B330" s="2"/>
      <c r="C330" s="2"/>
    </row>
    <row r="331" spans="1:3" x14ac:dyDescent="0.2">
      <c r="A331" s="2"/>
      <c r="B331" s="2"/>
      <c r="C331" s="2"/>
    </row>
    <row r="332" spans="1:3" x14ac:dyDescent="0.2">
      <c r="A332" s="2"/>
      <c r="B332" s="2"/>
      <c r="C332" s="2"/>
    </row>
    <row r="333" spans="1:3" x14ac:dyDescent="0.2">
      <c r="A333" s="2"/>
      <c r="B333" s="2"/>
      <c r="C333" s="2"/>
    </row>
    <row r="334" spans="1:3" x14ac:dyDescent="0.2">
      <c r="A334" s="2"/>
      <c r="B334" s="2"/>
      <c r="C334" s="2"/>
    </row>
    <row r="335" spans="1:3" x14ac:dyDescent="0.2">
      <c r="A335" s="2"/>
      <c r="B335" s="2"/>
      <c r="C335" s="2"/>
    </row>
    <row r="336" spans="1:3" x14ac:dyDescent="0.2">
      <c r="A336" s="2"/>
      <c r="B336" s="2"/>
      <c r="C336" s="2"/>
    </row>
    <row r="337" spans="1:3" x14ac:dyDescent="0.2">
      <c r="A337" s="2"/>
      <c r="B337" s="2"/>
      <c r="C337" s="2"/>
    </row>
    <row r="338" spans="1:3" x14ac:dyDescent="0.2">
      <c r="A338" s="2"/>
      <c r="B338" s="2"/>
      <c r="C338" s="2"/>
    </row>
    <row r="339" spans="1:3" x14ac:dyDescent="0.2">
      <c r="A339" s="2"/>
      <c r="B339" s="2"/>
      <c r="C339" s="2"/>
    </row>
    <row r="340" spans="1:3" x14ac:dyDescent="0.2">
      <c r="A340" s="2"/>
      <c r="B340" s="2"/>
      <c r="C340" s="2"/>
    </row>
    <row r="341" spans="1:3" x14ac:dyDescent="0.2">
      <c r="A341" s="2"/>
      <c r="B341" s="2"/>
      <c r="C341" s="2"/>
    </row>
    <row r="342" spans="1:3" x14ac:dyDescent="0.2">
      <c r="A342" s="2"/>
      <c r="B342" s="2"/>
      <c r="C342" s="2"/>
    </row>
    <row r="343" spans="1:3" x14ac:dyDescent="0.2">
      <c r="A343" s="2"/>
      <c r="B343" s="2"/>
      <c r="C343" s="2"/>
    </row>
    <row r="344" spans="1:3" x14ac:dyDescent="0.2">
      <c r="A344" s="2"/>
      <c r="B344" s="2"/>
      <c r="C344" s="2"/>
    </row>
    <row r="345" spans="1:3" x14ac:dyDescent="0.2">
      <c r="A345" s="2"/>
      <c r="B345" s="2"/>
      <c r="C345" s="2"/>
    </row>
    <row r="346" spans="1:3" x14ac:dyDescent="0.2">
      <c r="A346" s="2"/>
      <c r="B346" s="2"/>
      <c r="C346" s="2"/>
    </row>
    <row r="347" spans="1:3" x14ac:dyDescent="0.2">
      <c r="A347" s="2"/>
      <c r="B347" s="2"/>
      <c r="C347" s="2"/>
    </row>
    <row r="348" spans="1:3" x14ac:dyDescent="0.2">
      <c r="A348" s="2"/>
      <c r="B348" s="2"/>
      <c r="C348" s="2"/>
    </row>
    <row r="349" spans="1:3" x14ac:dyDescent="0.2">
      <c r="A349" s="2"/>
      <c r="B349" s="2"/>
      <c r="C349" s="2"/>
    </row>
    <row r="350" spans="1:3" x14ac:dyDescent="0.2">
      <c r="A350" s="2"/>
      <c r="B350" s="2"/>
      <c r="C350" s="2"/>
    </row>
    <row r="351" spans="1:3" x14ac:dyDescent="0.2">
      <c r="A351" s="2"/>
      <c r="B351" s="2"/>
      <c r="C351" s="2"/>
    </row>
    <row r="352" spans="1:3" x14ac:dyDescent="0.2">
      <c r="A352" s="2"/>
      <c r="B352" s="2"/>
      <c r="C352" s="2"/>
    </row>
    <row r="353" spans="1:3" x14ac:dyDescent="0.2">
      <c r="A353" s="2"/>
      <c r="B353" s="2"/>
      <c r="C353" s="2"/>
    </row>
    <row r="354" spans="1:3" x14ac:dyDescent="0.2">
      <c r="A354" s="2"/>
      <c r="B354" s="2"/>
      <c r="C354" s="2"/>
    </row>
    <row r="355" spans="1:3" x14ac:dyDescent="0.2">
      <c r="A355" s="2"/>
      <c r="B355" s="2"/>
      <c r="C355" s="2"/>
    </row>
    <row r="356" spans="1:3" x14ac:dyDescent="0.2">
      <c r="A356" s="2"/>
      <c r="B356" s="2"/>
      <c r="C356" s="2"/>
    </row>
    <row r="357" spans="1:3" x14ac:dyDescent="0.2">
      <c r="A357" s="2"/>
      <c r="B357" s="2"/>
      <c r="C357" s="2"/>
    </row>
    <row r="358" spans="1:3" x14ac:dyDescent="0.2">
      <c r="A358" s="2"/>
      <c r="B358" s="2"/>
      <c r="C358" s="2"/>
    </row>
    <row r="359" spans="1:3" x14ac:dyDescent="0.2">
      <c r="A359" s="2"/>
      <c r="B359" s="2"/>
      <c r="C359" s="2"/>
    </row>
    <row r="360" spans="1:3" x14ac:dyDescent="0.2">
      <c r="A360" s="2"/>
      <c r="B360" s="2"/>
      <c r="C360" s="2"/>
    </row>
    <row r="361" spans="1:3" x14ac:dyDescent="0.2">
      <c r="A361" s="2"/>
      <c r="B361" s="2"/>
      <c r="C361" s="2"/>
    </row>
    <row r="362" spans="1:3" x14ac:dyDescent="0.2">
      <c r="A362" s="2"/>
      <c r="B362" s="2"/>
      <c r="C362" s="2"/>
    </row>
    <row r="363" spans="1:3" x14ac:dyDescent="0.2">
      <c r="A363" s="2"/>
      <c r="B363" s="2"/>
      <c r="C363" s="2"/>
    </row>
    <row r="364" spans="1:3" x14ac:dyDescent="0.2">
      <c r="A364" s="2"/>
      <c r="B364" s="2"/>
      <c r="C364" s="2"/>
    </row>
    <row r="365" spans="1:3" x14ac:dyDescent="0.2">
      <c r="A365" s="2"/>
      <c r="B365" s="2"/>
      <c r="C365" s="2"/>
    </row>
    <row r="366" spans="1:3" x14ac:dyDescent="0.2">
      <c r="A366" s="2"/>
      <c r="B366" s="2"/>
      <c r="C366" s="2"/>
    </row>
    <row r="367" spans="1:3" x14ac:dyDescent="0.2">
      <c r="A367" s="2"/>
      <c r="B367" s="2"/>
      <c r="C367" s="2"/>
    </row>
    <row r="368" spans="1:3" x14ac:dyDescent="0.2">
      <c r="A368" s="2"/>
      <c r="B368" s="2"/>
      <c r="C368" s="2"/>
    </row>
    <row r="369" spans="1:3" x14ac:dyDescent="0.2">
      <c r="A369" s="2"/>
      <c r="B369" s="2"/>
      <c r="C369" s="2"/>
    </row>
    <row r="370" spans="1:3" x14ac:dyDescent="0.2">
      <c r="A370" s="2"/>
      <c r="B370" s="2"/>
      <c r="C370" s="2"/>
    </row>
    <row r="371" spans="1:3" x14ac:dyDescent="0.2">
      <c r="A371" s="2"/>
      <c r="B371" s="2"/>
      <c r="C371" s="2"/>
    </row>
    <row r="372" spans="1:3" x14ac:dyDescent="0.2">
      <c r="A372" s="2"/>
      <c r="B372" s="2"/>
      <c r="C372" s="2"/>
    </row>
    <row r="373" spans="1:3" x14ac:dyDescent="0.2">
      <c r="A373" s="2"/>
      <c r="B373" s="2"/>
      <c r="C373" s="2"/>
    </row>
    <row r="374" spans="1:3" x14ac:dyDescent="0.2">
      <c r="A374" s="2"/>
      <c r="B374" s="2"/>
      <c r="C374" s="2"/>
    </row>
    <row r="375" spans="1:3" x14ac:dyDescent="0.2">
      <c r="A375" s="2"/>
      <c r="B375" s="2"/>
      <c r="C375" s="2"/>
    </row>
    <row r="376" spans="1:3" x14ac:dyDescent="0.2">
      <c r="A376" s="2"/>
      <c r="B376" s="2"/>
      <c r="C376" s="2"/>
    </row>
    <row r="377" spans="1:3" x14ac:dyDescent="0.2">
      <c r="A377" s="2"/>
      <c r="B377" s="2"/>
      <c r="C377" s="2"/>
    </row>
    <row r="378" spans="1:3" x14ac:dyDescent="0.2">
      <c r="A378" s="2"/>
      <c r="B378" s="2"/>
      <c r="C378" s="2"/>
    </row>
    <row r="379" spans="1:3" x14ac:dyDescent="0.2">
      <c r="A379" s="2"/>
      <c r="B379" s="2"/>
      <c r="C379" s="2"/>
    </row>
    <row r="380" spans="1:3" x14ac:dyDescent="0.2">
      <c r="A380" s="2"/>
      <c r="B380" s="2"/>
      <c r="C380" s="2"/>
    </row>
    <row r="381" spans="1:3" x14ac:dyDescent="0.2">
      <c r="A381" s="2"/>
      <c r="B381" s="2"/>
      <c r="C381" s="2"/>
    </row>
    <row r="382" spans="1:3" x14ac:dyDescent="0.2">
      <c r="A382" s="2"/>
      <c r="B382" s="2"/>
      <c r="C382" s="2"/>
    </row>
    <row r="383" spans="1:3" x14ac:dyDescent="0.2">
      <c r="A383" s="2"/>
      <c r="B383" s="2"/>
      <c r="C383" s="2"/>
    </row>
    <row r="384" spans="1:3" x14ac:dyDescent="0.2">
      <c r="A384" s="2"/>
      <c r="B384" s="2"/>
      <c r="C384" s="2"/>
    </row>
    <row r="385" spans="1:3" x14ac:dyDescent="0.2">
      <c r="A385" s="2"/>
      <c r="B385" s="2"/>
      <c r="C385" s="2"/>
    </row>
    <row r="386" spans="1:3" x14ac:dyDescent="0.2">
      <c r="A386" s="2"/>
      <c r="B386" s="2"/>
      <c r="C386" s="2"/>
    </row>
    <row r="387" spans="1:3" x14ac:dyDescent="0.2">
      <c r="A387" s="2"/>
      <c r="B387" s="2"/>
      <c r="C387" s="2"/>
    </row>
    <row r="388" spans="1:3" x14ac:dyDescent="0.2">
      <c r="A388" s="2"/>
      <c r="B388" s="2"/>
      <c r="C388" s="2"/>
    </row>
    <row r="389" spans="1:3" x14ac:dyDescent="0.2">
      <c r="A389" s="2"/>
      <c r="B389" s="2"/>
      <c r="C389" s="2"/>
    </row>
    <row r="390" spans="1:3" x14ac:dyDescent="0.2">
      <c r="A390" s="2"/>
      <c r="B390" s="2"/>
      <c r="C390" s="2"/>
    </row>
    <row r="391" spans="1:3" x14ac:dyDescent="0.2">
      <c r="A391" s="2"/>
      <c r="B391" s="2"/>
      <c r="C391" s="2"/>
    </row>
    <row r="392" spans="1:3" x14ac:dyDescent="0.2">
      <c r="A392" s="2"/>
      <c r="B392" s="2"/>
      <c r="C392" s="2"/>
    </row>
    <row r="393" spans="1:3" x14ac:dyDescent="0.2">
      <c r="A393" s="2"/>
      <c r="B393" s="2"/>
      <c r="C393" s="2"/>
    </row>
    <row r="394" spans="1:3" x14ac:dyDescent="0.2">
      <c r="A394" s="2"/>
      <c r="B394" s="2"/>
      <c r="C394" s="2"/>
    </row>
    <row r="395" spans="1:3" x14ac:dyDescent="0.2">
      <c r="A395" s="2"/>
      <c r="B395" s="2"/>
      <c r="C395" s="2"/>
    </row>
    <row r="396" spans="1:3" x14ac:dyDescent="0.2">
      <c r="A396" s="2"/>
      <c r="B396" s="2"/>
      <c r="C396" s="2"/>
    </row>
    <row r="397" spans="1:3" x14ac:dyDescent="0.2">
      <c r="A397" s="2"/>
      <c r="B397" s="2"/>
      <c r="C397" s="2"/>
    </row>
    <row r="398" spans="1:3" x14ac:dyDescent="0.2">
      <c r="A398" s="2"/>
      <c r="B398" s="2"/>
      <c r="C398" s="2"/>
    </row>
    <row r="399" spans="1:3" x14ac:dyDescent="0.2">
      <c r="A399" s="2"/>
      <c r="B399" s="2"/>
      <c r="C399" s="2"/>
    </row>
    <row r="400" spans="1:3" x14ac:dyDescent="0.2">
      <c r="A400" s="2"/>
      <c r="B400" s="2"/>
      <c r="C400" s="2"/>
    </row>
    <row r="401" spans="1:3" x14ac:dyDescent="0.2">
      <c r="A401" s="2"/>
      <c r="B401" s="2"/>
      <c r="C401" s="2"/>
    </row>
    <row r="402" spans="1:3" x14ac:dyDescent="0.2">
      <c r="A402" s="2"/>
      <c r="B402" s="2"/>
      <c r="C402" s="2"/>
    </row>
    <row r="403" spans="1:3" x14ac:dyDescent="0.2">
      <c r="A403" s="2"/>
      <c r="B403" s="2"/>
      <c r="C403" s="2"/>
    </row>
    <row r="404" spans="1:3" x14ac:dyDescent="0.2">
      <c r="A404" s="2"/>
      <c r="B404" s="2"/>
      <c r="C404" s="2"/>
    </row>
    <row r="405" spans="1:3" x14ac:dyDescent="0.2">
      <c r="A405" s="2"/>
      <c r="B405" s="2"/>
      <c r="C405" s="2"/>
    </row>
    <row r="406" spans="1:3" x14ac:dyDescent="0.2">
      <c r="A406" s="2"/>
      <c r="B406" s="2"/>
      <c r="C406" s="2"/>
    </row>
    <row r="407" spans="1:3" x14ac:dyDescent="0.2">
      <c r="A407" s="2"/>
      <c r="B407" s="2"/>
      <c r="C407" s="2"/>
    </row>
    <row r="408" spans="1:3" x14ac:dyDescent="0.2">
      <c r="A408" s="2"/>
      <c r="B408" s="2"/>
      <c r="C408" s="2"/>
    </row>
    <row r="409" spans="1:3" x14ac:dyDescent="0.2">
      <c r="A409" s="2"/>
      <c r="B409" s="2"/>
      <c r="C409" s="2"/>
    </row>
    <row r="410" spans="1:3" x14ac:dyDescent="0.2">
      <c r="A410" s="2"/>
      <c r="B410" s="2"/>
      <c r="C410" s="2"/>
    </row>
    <row r="411" spans="1:3" x14ac:dyDescent="0.2">
      <c r="A411" s="2"/>
      <c r="B411" s="2"/>
      <c r="C411" s="2"/>
    </row>
    <row r="412" spans="1:3" x14ac:dyDescent="0.2">
      <c r="A412" s="2"/>
      <c r="B412" s="2"/>
      <c r="C412" s="2"/>
    </row>
    <row r="413" spans="1:3" x14ac:dyDescent="0.2">
      <c r="A413" s="2"/>
      <c r="B413" s="2"/>
      <c r="C413" s="2"/>
    </row>
    <row r="414" spans="1:3" x14ac:dyDescent="0.2">
      <c r="A414" s="2"/>
      <c r="B414" s="2"/>
      <c r="C414" s="2"/>
    </row>
    <row r="415" spans="1:3" x14ac:dyDescent="0.2">
      <c r="A415" s="2"/>
      <c r="B415" s="2"/>
      <c r="C415" s="2"/>
    </row>
    <row r="416" spans="1:3" x14ac:dyDescent="0.2">
      <c r="A416" s="2"/>
      <c r="B416" s="2"/>
      <c r="C416" s="2"/>
    </row>
    <row r="417" spans="1:3" x14ac:dyDescent="0.2">
      <c r="A417" s="2"/>
      <c r="B417" s="2"/>
      <c r="C417" s="2"/>
    </row>
    <row r="418" spans="1:3" x14ac:dyDescent="0.2">
      <c r="A418" s="2"/>
      <c r="B418" s="2"/>
      <c r="C418" s="2"/>
    </row>
    <row r="419" spans="1:3" x14ac:dyDescent="0.2">
      <c r="A419" s="2"/>
      <c r="B419" s="2"/>
      <c r="C419" s="2"/>
    </row>
    <row r="420" spans="1:3" x14ac:dyDescent="0.2">
      <c r="A420" s="2"/>
      <c r="B420" s="2"/>
      <c r="C420" s="2"/>
    </row>
    <row r="421" spans="1:3" x14ac:dyDescent="0.2">
      <c r="A421" s="2"/>
      <c r="B421" s="2"/>
      <c r="C421" s="2"/>
    </row>
    <row r="422" spans="1:3" x14ac:dyDescent="0.2">
      <c r="A422" s="2"/>
      <c r="B422" s="2"/>
      <c r="C422" s="2"/>
    </row>
    <row r="423" spans="1:3" x14ac:dyDescent="0.2">
      <c r="A423" s="2"/>
      <c r="B423" s="2"/>
      <c r="C423" s="2"/>
    </row>
    <row r="424" spans="1:3" x14ac:dyDescent="0.2">
      <c r="A424" s="2"/>
      <c r="B424" s="2"/>
      <c r="C424" s="2"/>
    </row>
    <row r="425" spans="1:3" x14ac:dyDescent="0.2">
      <c r="A425" s="2"/>
      <c r="B425" s="2"/>
      <c r="C425" s="2"/>
    </row>
    <row r="426" spans="1:3" x14ac:dyDescent="0.2">
      <c r="A426" s="2"/>
      <c r="B426" s="2"/>
      <c r="C426" s="2"/>
    </row>
    <row r="427" spans="1:3" x14ac:dyDescent="0.2">
      <c r="A427" s="2"/>
      <c r="B427" s="2"/>
      <c r="C427" s="2"/>
    </row>
    <row r="428" spans="1:3" x14ac:dyDescent="0.2">
      <c r="A428" s="2"/>
      <c r="B428" s="2"/>
      <c r="C428" s="2"/>
    </row>
    <row r="429" spans="1:3" x14ac:dyDescent="0.2">
      <c r="A429" s="2"/>
      <c r="B429" s="2"/>
      <c r="C429" s="2"/>
    </row>
    <row r="430" spans="1:3" x14ac:dyDescent="0.2">
      <c r="A430" s="2"/>
      <c r="B430" s="2"/>
      <c r="C430" s="2"/>
    </row>
    <row r="431" spans="1:3" x14ac:dyDescent="0.2">
      <c r="A431" s="2"/>
      <c r="B431" s="2"/>
      <c r="C431" s="2"/>
    </row>
    <row r="432" spans="1:3" x14ac:dyDescent="0.2">
      <c r="A432" s="2"/>
      <c r="B432" s="2"/>
      <c r="C432" s="2"/>
    </row>
    <row r="433" spans="1:3" x14ac:dyDescent="0.2">
      <c r="A433" s="2"/>
      <c r="B433" s="2"/>
      <c r="C433" s="2"/>
    </row>
    <row r="434" spans="1:3" x14ac:dyDescent="0.2">
      <c r="A434" s="2"/>
      <c r="B434" s="2"/>
      <c r="C434" s="2"/>
    </row>
    <row r="435" spans="1:3" x14ac:dyDescent="0.2">
      <c r="A435" s="2"/>
      <c r="B435" s="2"/>
      <c r="C435" s="2"/>
    </row>
    <row r="436" spans="1:3" x14ac:dyDescent="0.2">
      <c r="A436" s="2"/>
      <c r="B436" s="2"/>
      <c r="C436" s="2"/>
    </row>
    <row r="437" spans="1:3" x14ac:dyDescent="0.2">
      <c r="A437" s="2"/>
      <c r="B437" s="2"/>
      <c r="C437" s="2"/>
    </row>
    <row r="438" spans="1:3" x14ac:dyDescent="0.2">
      <c r="A438" s="2"/>
      <c r="B438" s="2"/>
      <c r="C438" s="2"/>
    </row>
    <row r="439" spans="1:3" x14ac:dyDescent="0.2">
      <c r="A439" s="2"/>
      <c r="B439" s="2"/>
      <c r="C439" s="2"/>
    </row>
    <row r="440" spans="1:3" x14ac:dyDescent="0.2">
      <c r="A440" s="2"/>
      <c r="B440" s="2"/>
      <c r="C440" s="2"/>
    </row>
    <row r="441" spans="1:3" x14ac:dyDescent="0.2">
      <c r="A441" s="2"/>
      <c r="B441" s="2"/>
      <c r="C441" s="2"/>
    </row>
    <row r="442" spans="1:3" x14ac:dyDescent="0.2">
      <c r="A442" s="2"/>
      <c r="B442" s="2"/>
      <c r="C442" s="2"/>
    </row>
    <row r="443" spans="1:3" x14ac:dyDescent="0.2">
      <c r="A443" s="2"/>
      <c r="B443" s="2"/>
      <c r="C443" s="2"/>
    </row>
    <row r="444" spans="1:3" x14ac:dyDescent="0.2">
      <c r="A444" s="2"/>
      <c r="B444" s="2"/>
      <c r="C444" s="2"/>
    </row>
    <row r="445" spans="1:3" x14ac:dyDescent="0.2">
      <c r="A445" s="2"/>
      <c r="B445" s="2"/>
      <c r="C445" s="2"/>
    </row>
    <row r="446" spans="1:3" x14ac:dyDescent="0.2">
      <c r="A446" s="2"/>
      <c r="B446" s="2"/>
      <c r="C446" s="2"/>
    </row>
    <row r="447" spans="1:3" x14ac:dyDescent="0.2">
      <c r="A447" s="2"/>
      <c r="B447" s="2"/>
      <c r="C447" s="2"/>
    </row>
    <row r="448" spans="1:3" x14ac:dyDescent="0.2">
      <c r="A448" s="2"/>
      <c r="B448" s="2"/>
      <c r="C448" s="2"/>
    </row>
    <row r="449" spans="1:3" x14ac:dyDescent="0.2">
      <c r="A449" s="2"/>
      <c r="B449" s="2"/>
      <c r="C449" s="2"/>
    </row>
    <row r="450" spans="1:3" x14ac:dyDescent="0.2">
      <c r="A450" s="2"/>
      <c r="B450" s="2"/>
      <c r="C450" s="2"/>
    </row>
    <row r="451" spans="1:3" x14ac:dyDescent="0.2">
      <c r="A451" s="2"/>
      <c r="B451" s="2"/>
      <c r="C451" s="2"/>
    </row>
    <row r="452" spans="1:3" x14ac:dyDescent="0.2">
      <c r="A452" s="2"/>
      <c r="B452" s="2"/>
      <c r="C452" s="2"/>
    </row>
    <row r="453" spans="1:3" x14ac:dyDescent="0.2">
      <c r="A453" s="2"/>
      <c r="B453" s="2"/>
      <c r="C453" s="2"/>
    </row>
    <row r="454" spans="1:3" x14ac:dyDescent="0.2">
      <c r="A454" s="2"/>
      <c r="B454" s="2"/>
      <c r="C454" s="2"/>
    </row>
    <row r="455" spans="1:3" x14ac:dyDescent="0.2">
      <c r="A455" s="2"/>
      <c r="B455" s="2"/>
      <c r="C455" s="2"/>
    </row>
    <row r="456" spans="1:3" x14ac:dyDescent="0.2">
      <c r="A456" s="2"/>
      <c r="B456" s="2"/>
      <c r="C456" s="2"/>
    </row>
    <row r="457" spans="1:3" x14ac:dyDescent="0.2">
      <c r="A457" s="2"/>
      <c r="B457" s="2"/>
      <c r="C457" s="2"/>
    </row>
    <row r="458" spans="1:3" x14ac:dyDescent="0.2">
      <c r="A458" s="2"/>
      <c r="B458" s="2"/>
      <c r="C458" s="2"/>
    </row>
    <row r="459" spans="1:3" x14ac:dyDescent="0.2">
      <c r="A459" s="2"/>
      <c r="B459" s="2"/>
      <c r="C459" s="2"/>
    </row>
    <row r="460" spans="1:3" x14ac:dyDescent="0.2">
      <c r="A460" s="2"/>
      <c r="B460" s="2"/>
      <c r="C460" s="2"/>
    </row>
    <row r="461" spans="1:3" x14ac:dyDescent="0.2">
      <c r="A461" s="2"/>
      <c r="B461" s="2"/>
      <c r="C461" s="2"/>
    </row>
    <row r="462" spans="1:3" x14ac:dyDescent="0.2">
      <c r="A462" s="2"/>
      <c r="B462" s="2"/>
      <c r="C462" s="2"/>
    </row>
    <row r="463" spans="1:3" x14ac:dyDescent="0.2">
      <c r="A463" s="2"/>
      <c r="B463" s="2"/>
      <c r="C463" s="2"/>
    </row>
    <row r="464" spans="1:3" x14ac:dyDescent="0.2">
      <c r="A464" s="2"/>
      <c r="B464" s="2"/>
      <c r="C464" s="2"/>
    </row>
    <row r="465" spans="1:3" x14ac:dyDescent="0.2">
      <c r="A465" s="2"/>
      <c r="B465" s="2"/>
      <c r="C465" s="2"/>
    </row>
    <row r="466" spans="1:3" x14ac:dyDescent="0.2">
      <c r="A466" s="2"/>
      <c r="B466" s="2"/>
      <c r="C466" s="2"/>
    </row>
    <row r="467" spans="1:3" x14ac:dyDescent="0.2">
      <c r="A467" s="2"/>
      <c r="B467" s="2"/>
      <c r="C467" s="2"/>
    </row>
    <row r="468" spans="1:3" x14ac:dyDescent="0.2">
      <c r="A468" s="2"/>
      <c r="B468" s="2"/>
      <c r="C468" s="2"/>
    </row>
    <row r="469" spans="1:3" x14ac:dyDescent="0.2">
      <c r="A469" s="2"/>
      <c r="B469" s="2"/>
      <c r="C469" s="2"/>
    </row>
    <row r="470" spans="1:3" x14ac:dyDescent="0.2">
      <c r="A470" s="2"/>
      <c r="B470" s="2"/>
      <c r="C470" s="2"/>
    </row>
    <row r="471" spans="1:3" x14ac:dyDescent="0.2">
      <c r="A471" s="2"/>
      <c r="B471" s="2"/>
      <c r="C471" s="2"/>
    </row>
    <row r="472" spans="1:3" x14ac:dyDescent="0.2">
      <c r="A472" s="2"/>
      <c r="B472" s="2"/>
      <c r="C472" s="2"/>
    </row>
    <row r="473" spans="1:3" x14ac:dyDescent="0.2">
      <c r="A473" s="2"/>
      <c r="B473" s="2"/>
      <c r="C473" s="2"/>
    </row>
    <row r="474" spans="1:3" x14ac:dyDescent="0.2">
      <c r="A474" s="2"/>
      <c r="B474" s="2"/>
      <c r="C474" s="2"/>
    </row>
    <row r="475" spans="1:3" x14ac:dyDescent="0.2">
      <c r="A475" s="2"/>
      <c r="B475" s="2"/>
      <c r="C475" s="2"/>
    </row>
    <row r="476" spans="1:3" x14ac:dyDescent="0.2">
      <c r="A476" s="2"/>
      <c r="B476" s="2"/>
      <c r="C476" s="2"/>
    </row>
    <row r="477" spans="1:3" x14ac:dyDescent="0.2">
      <c r="A477" s="2"/>
      <c r="B477" s="2"/>
      <c r="C477" s="2"/>
    </row>
    <row r="478" spans="1:3" x14ac:dyDescent="0.2">
      <c r="A478" s="2"/>
      <c r="B478" s="2"/>
      <c r="C478" s="2"/>
    </row>
    <row r="479" spans="1:3" x14ac:dyDescent="0.2">
      <c r="A479" s="2"/>
      <c r="B479" s="2"/>
      <c r="C479" s="2"/>
    </row>
    <row r="480" spans="1:3" x14ac:dyDescent="0.2">
      <c r="A480" s="2"/>
      <c r="B480" s="2"/>
      <c r="C480" s="2"/>
    </row>
    <row r="481" spans="1:3" x14ac:dyDescent="0.2">
      <c r="A481" s="2"/>
      <c r="B481" s="2"/>
      <c r="C481" s="2"/>
    </row>
    <row r="482" spans="1:3" x14ac:dyDescent="0.2">
      <c r="A482" s="2"/>
      <c r="B482" s="2"/>
      <c r="C482" s="2"/>
    </row>
    <row r="483" spans="1:3" x14ac:dyDescent="0.2">
      <c r="A483" s="2"/>
      <c r="B483" s="2"/>
      <c r="C483" s="2"/>
    </row>
    <row r="484" spans="1:3" x14ac:dyDescent="0.2">
      <c r="A484" s="2"/>
      <c r="B484" s="2"/>
      <c r="C484" s="2"/>
    </row>
    <row r="485" spans="1:3" x14ac:dyDescent="0.2">
      <c r="A485" s="2"/>
      <c r="B485" s="2"/>
      <c r="C485" s="2"/>
    </row>
    <row r="486" spans="1:3" x14ac:dyDescent="0.2">
      <c r="A486" s="2"/>
      <c r="B486" s="2"/>
      <c r="C486" s="2"/>
    </row>
    <row r="487" spans="1:3" x14ac:dyDescent="0.2">
      <c r="A487" s="2"/>
      <c r="B487" s="2"/>
      <c r="C487" s="2"/>
    </row>
    <row r="488" spans="1:3" x14ac:dyDescent="0.2">
      <c r="A488" s="2"/>
      <c r="B488" s="2"/>
      <c r="C488" s="2"/>
    </row>
    <row r="489" spans="1:3" x14ac:dyDescent="0.2">
      <c r="A489" s="2"/>
      <c r="B489" s="2"/>
      <c r="C489" s="2"/>
    </row>
    <row r="490" spans="1:3" x14ac:dyDescent="0.2">
      <c r="A490" s="2"/>
      <c r="B490" s="2"/>
      <c r="C490" s="2"/>
    </row>
    <row r="491" spans="1:3" x14ac:dyDescent="0.2">
      <c r="A491" s="2"/>
      <c r="B491" s="2"/>
      <c r="C491" s="2"/>
    </row>
    <row r="492" spans="1:3" x14ac:dyDescent="0.2">
      <c r="A492" s="2"/>
      <c r="B492" s="2"/>
      <c r="C492" s="2"/>
    </row>
    <row r="493" spans="1:3" x14ac:dyDescent="0.2">
      <c r="A493" s="2"/>
      <c r="B493" s="2"/>
      <c r="C493" s="2"/>
    </row>
    <row r="494" spans="1:3" x14ac:dyDescent="0.2">
      <c r="A494" s="2"/>
      <c r="B494" s="2"/>
      <c r="C494" s="2"/>
    </row>
    <row r="495" spans="1:3" x14ac:dyDescent="0.2">
      <c r="A495" s="2"/>
      <c r="B495" s="2"/>
      <c r="C495" s="2"/>
    </row>
    <row r="496" spans="1:3" x14ac:dyDescent="0.2">
      <c r="A496" s="2"/>
      <c r="B496" s="2"/>
      <c r="C496" s="2"/>
    </row>
    <row r="497" spans="1:3" x14ac:dyDescent="0.2">
      <c r="A497" s="2"/>
      <c r="B497" s="2"/>
      <c r="C497" s="2"/>
    </row>
    <row r="498" spans="1:3" x14ac:dyDescent="0.2">
      <c r="A498" s="2"/>
      <c r="B498" s="2"/>
      <c r="C498" s="2"/>
    </row>
    <row r="499" spans="1:3" x14ac:dyDescent="0.2">
      <c r="A499" s="2"/>
      <c r="B499" s="2"/>
      <c r="C499" s="2"/>
    </row>
    <row r="500" spans="1:3" x14ac:dyDescent="0.2">
      <c r="A500" s="2"/>
      <c r="B500" s="2"/>
      <c r="C500" s="2"/>
    </row>
    <row r="501" spans="1:3" x14ac:dyDescent="0.2">
      <c r="A501" s="2"/>
      <c r="B501" s="2"/>
      <c r="C501" s="2"/>
    </row>
    <row r="502" spans="1:3" x14ac:dyDescent="0.2">
      <c r="A502" s="2"/>
      <c r="B502" s="2"/>
      <c r="C502" s="2"/>
    </row>
    <row r="503" spans="1:3" x14ac:dyDescent="0.2">
      <c r="A503" s="2"/>
      <c r="B503" s="2"/>
      <c r="C503" s="2"/>
    </row>
    <row r="504" spans="1:3" x14ac:dyDescent="0.2">
      <c r="A504" s="2"/>
      <c r="B504" s="2"/>
      <c r="C504" s="2"/>
    </row>
    <row r="505" spans="1:3" x14ac:dyDescent="0.2">
      <c r="A505" s="2"/>
      <c r="B505" s="2"/>
      <c r="C505" s="2"/>
    </row>
    <row r="506" spans="1:3" x14ac:dyDescent="0.2">
      <c r="A506" s="2"/>
      <c r="B506" s="2"/>
      <c r="C506" s="2"/>
    </row>
    <row r="507" spans="1:3" x14ac:dyDescent="0.2">
      <c r="A507" s="2"/>
      <c r="B507" s="2"/>
      <c r="C507" s="2"/>
    </row>
    <row r="508" spans="1:3" x14ac:dyDescent="0.2">
      <c r="A508" s="2"/>
      <c r="B508" s="2"/>
      <c r="C508" s="2"/>
    </row>
    <row r="509" spans="1:3" x14ac:dyDescent="0.2">
      <c r="A509" s="2"/>
      <c r="B509" s="2"/>
      <c r="C509" s="2"/>
    </row>
    <row r="510" spans="1:3" x14ac:dyDescent="0.2">
      <c r="A510" s="2"/>
      <c r="B510" s="2"/>
      <c r="C510" s="2"/>
    </row>
    <row r="511" spans="1:3" x14ac:dyDescent="0.2">
      <c r="A511" s="2"/>
      <c r="B511" s="2"/>
      <c r="C511" s="2"/>
    </row>
    <row r="512" spans="1:3" x14ac:dyDescent="0.2">
      <c r="A512" s="2"/>
      <c r="B512" s="2"/>
      <c r="C512" s="2"/>
    </row>
    <row r="513" spans="1:3" x14ac:dyDescent="0.2">
      <c r="A513" s="2"/>
      <c r="B513" s="2"/>
      <c r="C513" s="2"/>
    </row>
    <row r="514" spans="1:3" x14ac:dyDescent="0.2">
      <c r="A514" s="2"/>
      <c r="B514" s="2"/>
      <c r="C514" s="2"/>
    </row>
    <row r="515" spans="1:3" x14ac:dyDescent="0.2">
      <c r="A515" s="2"/>
      <c r="B515" s="2"/>
      <c r="C515" s="2"/>
    </row>
    <row r="516" spans="1:3" x14ac:dyDescent="0.2">
      <c r="A516" s="2"/>
      <c r="B516" s="2"/>
      <c r="C516" s="2"/>
    </row>
    <row r="517" spans="1:3" x14ac:dyDescent="0.2">
      <c r="A517" s="2"/>
      <c r="B517" s="2"/>
      <c r="C517" s="2"/>
    </row>
    <row r="518" spans="1:3" x14ac:dyDescent="0.2">
      <c r="A518" s="2"/>
      <c r="B518" s="2"/>
      <c r="C518" s="2"/>
    </row>
    <row r="519" spans="1:3" x14ac:dyDescent="0.2">
      <c r="A519" s="2"/>
      <c r="B519" s="2"/>
      <c r="C519" s="2"/>
    </row>
    <row r="520" spans="1:3" x14ac:dyDescent="0.2">
      <c r="A520" s="2"/>
      <c r="B520" s="2"/>
      <c r="C520" s="2"/>
    </row>
    <row r="521" spans="1:3" x14ac:dyDescent="0.2">
      <c r="A521" s="2"/>
      <c r="B521" s="2"/>
      <c r="C521" s="2"/>
    </row>
    <row r="522" spans="1:3" x14ac:dyDescent="0.2">
      <c r="A522" s="2"/>
      <c r="B522" s="2"/>
      <c r="C522" s="2"/>
    </row>
    <row r="523" spans="1:3" x14ac:dyDescent="0.2">
      <c r="A523" s="2"/>
      <c r="B523" s="2"/>
      <c r="C523" s="2"/>
    </row>
    <row r="524" spans="1:3" x14ac:dyDescent="0.2">
      <c r="A524" s="2"/>
      <c r="B524" s="2"/>
      <c r="C524" s="2"/>
    </row>
    <row r="525" spans="1:3" x14ac:dyDescent="0.2">
      <c r="A525" s="2"/>
      <c r="B525" s="2"/>
      <c r="C525" s="2"/>
    </row>
    <row r="526" spans="1:3" x14ac:dyDescent="0.2">
      <c r="A526" s="2"/>
      <c r="B526" s="2"/>
      <c r="C526" s="2"/>
    </row>
    <row r="527" spans="1:3" x14ac:dyDescent="0.2">
      <c r="A527" s="2"/>
      <c r="B527" s="2"/>
      <c r="C527" s="2"/>
    </row>
    <row r="528" spans="1:3" x14ac:dyDescent="0.2">
      <c r="A528" s="2"/>
      <c r="B528" s="2"/>
      <c r="C528" s="2"/>
    </row>
    <row r="529" spans="1:3" x14ac:dyDescent="0.2">
      <c r="A529" s="2"/>
      <c r="B529" s="2"/>
      <c r="C529" s="2"/>
    </row>
    <row r="530" spans="1:3" x14ac:dyDescent="0.2">
      <c r="A530" s="2"/>
      <c r="B530" s="2"/>
      <c r="C530" s="2"/>
    </row>
    <row r="531" spans="1:3" x14ac:dyDescent="0.2">
      <c r="A531" s="2"/>
      <c r="B531" s="2"/>
      <c r="C531" s="2"/>
    </row>
    <row r="532" spans="1:3" x14ac:dyDescent="0.2">
      <c r="A532" s="2"/>
      <c r="B532" s="2"/>
      <c r="C532" s="2"/>
    </row>
    <row r="533" spans="1:3" x14ac:dyDescent="0.2">
      <c r="A533" s="2"/>
      <c r="B533" s="2"/>
      <c r="C533" s="2"/>
    </row>
    <row r="534" spans="1:3" x14ac:dyDescent="0.2">
      <c r="A534" s="2"/>
      <c r="B534" s="2"/>
      <c r="C534" s="2"/>
    </row>
    <row r="535" spans="1:3" x14ac:dyDescent="0.2">
      <c r="A535" s="2"/>
      <c r="B535" s="2"/>
      <c r="C535" s="2"/>
    </row>
    <row r="536" spans="1:3" x14ac:dyDescent="0.2">
      <c r="A536" s="2"/>
      <c r="B536" s="2"/>
      <c r="C536" s="2"/>
    </row>
  </sheetData>
  <mergeCells count="4">
    <mergeCell ref="F5:H5"/>
    <mergeCell ref="A1:D1"/>
    <mergeCell ref="A2:D2"/>
    <mergeCell ref="A3:D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1"/>
  <sheetViews>
    <sheetView workbookViewId="0">
      <selection activeCell="A4" sqref="A4:R4"/>
    </sheetView>
  </sheetViews>
  <sheetFormatPr defaultRowHeight="12.75" x14ac:dyDescent="0.2"/>
  <cols>
    <col min="1" max="1" width="34" bestFit="1" customWidth="1"/>
    <col min="3" max="3" width="2.7109375" customWidth="1"/>
    <col min="5" max="5" width="3.140625" customWidth="1"/>
    <col min="6" max="6" width="12.5703125" bestFit="1" customWidth="1"/>
    <col min="7" max="7" width="3.140625" customWidth="1"/>
    <col min="8" max="8" width="12" customWidth="1"/>
    <col min="9" max="9" width="2.7109375" customWidth="1"/>
    <col min="11" max="11" width="2.7109375" customWidth="1"/>
    <col min="12" max="12" width="9.7109375" bestFit="1" customWidth="1"/>
    <col min="13" max="13" width="2.7109375" customWidth="1"/>
    <col min="14" max="14" width="13.28515625" bestFit="1" customWidth="1"/>
    <col min="15" max="15" width="2.7109375" customWidth="1"/>
    <col min="16" max="16" width="10.85546875" customWidth="1"/>
    <col min="17" max="17" width="2.7109375" customWidth="1"/>
    <col min="18" max="18" width="11.28515625" bestFit="1" customWidth="1"/>
    <col min="21" max="21" width="13.28515625" bestFit="1" customWidth="1"/>
    <col min="23" max="23" width="14.28515625" bestFit="1" customWidth="1"/>
    <col min="25" max="25" width="12.28515625" bestFit="1" customWidth="1"/>
  </cols>
  <sheetData>
    <row r="1" spans="1:23" x14ac:dyDescent="0.2">
      <c r="A1" s="7" t="s">
        <v>39</v>
      </c>
    </row>
    <row r="2" spans="1:23" x14ac:dyDescent="0.2">
      <c r="A2" s="186" t="s">
        <v>17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</row>
    <row r="3" spans="1:23" x14ac:dyDescent="0.2">
      <c r="A3" s="186" t="s">
        <v>40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</row>
    <row r="4" spans="1:23" x14ac:dyDescent="0.2">
      <c r="A4" s="186" t="s">
        <v>4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</row>
    <row r="5" spans="1:23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3" x14ac:dyDescent="0.2">
      <c r="A6" s="16" t="s">
        <v>93</v>
      </c>
      <c r="B6" s="3" t="s">
        <v>45</v>
      </c>
      <c r="C6" s="3"/>
      <c r="D6" s="3" t="s">
        <v>46</v>
      </c>
      <c r="E6" s="3" t="s">
        <v>11</v>
      </c>
      <c r="F6" s="3" t="s">
        <v>47</v>
      </c>
      <c r="G6" s="3" t="s">
        <v>11</v>
      </c>
      <c r="H6" s="3" t="s">
        <v>48</v>
      </c>
      <c r="I6" s="3"/>
      <c r="J6" s="3" t="s">
        <v>49</v>
      </c>
      <c r="K6" s="3" t="s">
        <v>11</v>
      </c>
      <c r="L6" s="3" t="s">
        <v>50</v>
      </c>
      <c r="M6" s="3" t="s">
        <v>11</v>
      </c>
      <c r="N6" s="3" t="s">
        <v>51</v>
      </c>
      <c r="O6" s="3"/>
      <c r="P6" s="3" t="s">
        <v>58</v>
      </c>
      <c r="Q6" s="3"/>
      <c r="R6" s="3" t="s">
        <v>91</v>
      </c>
      <c r="S6" s="3"/>
    </row>
    <row r="7" spans="1:23" x14ac:dyDescent="0.2">
      <c r="A7" s="3"/>
      <c r="B7" s="3"/>
      <c r="C7" s="3"/>
      <c r="D7" s="3"/>
      <c r="E7" s="3"/>
      <c r="F7" s="3"/>
      <c r="G7" s="3"/>
      <c r="H7" s="3" t="s">
        <v>53</v>
      </c>
      <c r="I7" s="3"/>
      <c r="J7" s="3" t="s">
        <v>52</v>
      </c>
      <c r="K7" s="3"/>
      <c r="L7" s="3"/>
      <c r="M7" s="3"/>
      <c r="N7" s="3" t="s">
        <v>55</v>
      </c>
      <c r="O7" s="3"/>
      <c r="P7" s="3" t="s">
        <v>88</v>
      </c>
      <c r="Q7" s="3"/>
      <c r="R7" s="3" t="s">
        <v>90</v>
      </c>
      <c r="S7" s="3"/>
    </row>
    <row r="8" spans="1:23" x14ac:dyDescent="0.2">
      <c r="A8" s="3" t="s">
        <v>22</v>
      </c>
      <c r="B8" s="17">
        <v>1</v>
      </c>
      <c r="C8" s="17"/>
      <c r="D8" s="3" t="s">
        <v>25</v>
      </c>
      <c r="E8" s="3"/>
      <c r="F8" s="3" t="s">
        <v>18</v>
      </c>
      <c r="G8" s="3"/>
      <c r="H8" s="3" t="s">
        <v>42</v>
      </c>
      <c r="I8" s="3"/>
      <c r="J8" s="3" t="s">
        <v>31</v>
      </c>
      <c r="K8" s="3"/>
      <c r="L8" s="3" t="s">
        <v>0</v>
      </c>
      <c r="M8" s="3"/>
      <c r="N8" s="3" t="s">
        <v>54</v>
      </c>
      <c r="O8" s="3"/>
      <c r="P8" s="3" t="s">
        <v>89</v>
      </c>
      <c r="Q8" s="3"/>
      <c r="R8" s="3" t="s">
        <v>56</v>
      </c>
      <c r="S8" s="3"/>
    </row>
    <row r="9" spans="1:23" x14ac:dyDescent="0.2">
      <c r="A9" s="4"/>
      <c r="B9" s="18" t="s">
        <v>19</v>
      </c>
      <c r="C9" s="18"/>
      <c r="D9" s="18" t="s">
        <v>26</v>
      </c>
      <c r="E9" s="18"/>
      <c r="F9" s="18" t="s">
        <v>21</v>
      </c>
      <c r="G9" s="18"/>
      <c r="H9" s="18" t="s">
        <v>43</v>
      </c>
      <c r="I9" s="18"/>
      <c r="J9" s="18" t="s">
        <v>19</v>
      </c>
      <c r="K9" s="18"/>
      <c r="L9" s="18" t="s">
        <v>32</v>
      </c>
      <c r="M9" s="18"/>
      <c r="N9" s="18" t="s">
        <v>44</v>
      </c>
      <c r="O9" s="18"/>
      <c r="P9" s="18" t="s">
        <v>1</v>
      </c>
      <c r="Q9" s="18"/>
      <c r="R9" s="18" t="s">
        <v>57</v>
      </c>
      <c r="S9" s="3"/>
      <c r="T9" t="s">
        <v>72</v>
      </c>
    </row>
    <row r="10" spans="1:23" x14ac:dyDescent="0.2">
      <c r="A10" s="16" t="s">
        <v>2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2"/>
      <c r="U10" s="14">
        <f>D12</f>
        <v>-80789.8</v>
      </c>
      <c r="V10">
        <f>-403949*0.2</f>
        <v>-80789.8</v>
      </c>
      <c r="W10" t="s">
        <v>27</v>
      </c>
    </row>
    <row r="11" spans="1:23" x14ac:dyDescent="0.2">
      <c r="A11" s="1" t="s">
        <v>13</v>
      </c>
      <c r="B11" s="22"/>
      <c r="C11" s="22"/>
      <c r="D11" s="22"/>
      <c r="E11" s="22"/>
      <c r="F11" s="22"/>
      <c r="G11" s="22"/>
      <c r="H11" s="22"/>
      <c r="I11" s="22"/>
      <c r="J11" s="30"/>
      <c r="K11" s="22"/>
      <c r="L11" s="22"/>
      <c r="M11" s="22"/>
      <c r="N11" s="22"/>
      <c r="O11" s="22"/>
      <c r="P11" s="22"/>
      <c r="Q11" s="22"/>
      <c r="R11" s="22"/>
      <c r="S11" s="14"/>
      <c r="U11" s="14">
        <f>D17</f>
        <v>-8445.2000000000007</v>
      </c>
      <c r="V11">
        <v>0</v>
      </c>
      <c r="W11" t="s">
        <v>28</v>
      </c>
    </row>
    <row r="12" spans="1:23" x14ac:dyDescent="0.2">
      <c r="A12" t="s">
        <v>71</v>
      </c>
      <c r="B12" s="22">
        <v>403949</v>
      </c>
      <c r="C12" s="22"/>
      <c r="D12" s="22">
        <f>-B12*0.2</f>
        <v>-80789.8</v>
      </c>
      <c r="E12" s="22">
        <v>-1</v>
      </c>
      <c r="F12" s="22"/>
      <c r="G12" s="22"/>
      <c r="H12" s="22">
        <f>D12+F12</f>
        <v>-80789.8</v>
      </c>
      <c r="I12" s="22"/>
      <c r="J12" s="30">
        <f>SUM(B12:F12)</f>
        <v>323158.2</v>
      </c>
      <c r="K12" s="22"/>
      <c r="L12" s="22">
        <v>242369</v>
      </c>
      <c r="M12" s="22"/>
      <c r="N12" s="22">
        <f>B12-L12</f>
        <v>161580</v>
      </c>
      <c r="O12" s="22"/>
      <c r="P12" s="22">
        <f>J12*0.15</f>
        <v>48473.73</v>
      </c>
      <c r="Q12" s="22"/>
      <c r="R12" s="22">
        <f>J12-N12-P12</f>
        <v>113104.47</v>
      </c>
      <c r="S12" s="14"/>
      <c r="U12" s="14"/>
    </row>
    <row r="13" spans="1:23" x14ac:dyDescent="0.2">
      <c r="A13" s="2" t="s">
        <v>20</v>
      </c>
      <c r="B13" s="22"/>
      <c r="C13" s="22"/>
      <c r="D13" s="22"/>
      <c r="E13" s="22"/>
      <c r="F13" s="22"/>
      <c r="G13" s="22"/>
      <c r="H13" s="22"/>
      <c r="I13" s="22"/>
      <c r="J13" s="30"/>
      <c r="K13" s="22"/>
      <c r="L13" s="22"/>
      <c r="M13" s="22"/>
      <c r="N13" s="22"/>
      <c r="O13" s="22"/>
      <c r="P13" s="22"/>
      <c r="Q13" s="22"/>
      <c r="R13" s="22">
        <f t="shared" ref="R13:R25" si="0">J13-N13-P13</f>
        <v>0</v>
      </c>
      <c r="S13" s="14"/>
      <c r="U13" s="14">
        <f>F17</f>
        <v>-9780.2880000000005</v>
      </c>
      <c r="V13">
        <v>0</v>
      </c>
      <c r="W13" t="s">
        <v>30</v>
      </c>
    </row>
    <row r="14" spans="1:23" x14ac:dyDescent="0.2">
      <c r="B14" s="22"/>
      <c r="C14" s="22"/>
      <c r="D14" s="22"/>
      <c r="E14" s="22"/>
      <c r="F14" s="22"/>
      <c r="G14" s="22"/>
      <c r="H14" s="22"/>
      <c r="I14" s="22"/>
      <c r="J14" s="30"/>
      <c r="K14" s="22"/>
      <c r="L14" s="22"/>
      <c r="M14" s="22"/>
      <c r="N14" s="22"/>
      <c r="O14" s="22"/>
      <c r="P14" s="22"/>
      <c r="Q14" s="22"/>
      <c r="R14" s="22">
        <f t="shared" si="0"/>
        <v>0</v>
      </c>
      <c r="S14" s="14"/>
      <c r="U14" s="14">
        <v>-19444</v>
      </c>
      <c r="V14">
        <v>-38887</v>
      </c>
      <c r="W14" t="s">
        <v>29</v>
      </c>
    </row>
    <row r="15" spans="1:23" x14ac:dyDescent="0.2">
      <c r="A15" s="1" t="s">
        <v>3</v>
      </c>
      <c r="B15" s="22"/>
      <c r="C15" s="22"/>
      <c r="D15" s="22"/>
      <c r="E15" s="22"/>
      <c r="F15" s="22"/>
      <c r="G15" s="22"/>
      <c r="H15" s="22"/>
      <c r="I15" s="22"/>
      <c r="J15" s="30"/>
      <c r="K15" s="22"/>
      <c r="L15" s="22"/>
      <c r="M15" s="22"/>
      <c r="N15" s="22"/>
      <c r="O15" s="22"/>
      <c r="P15" s="22"/>
      <c r="Q15" s="22"/>
      <c r="R15" s="22">
        <f t="shared" si="0"/>
        <v>0</v>
      </c>
      <c r="S15" s="14"/>
      <c r="U15" s="14">
        <f>F25</f>
        <v>-5595</v>
      </c>
      <c r="V15">
        <v>-11190</v>
      </c>
      <c r="W15" t="s">
        <v>29</v>
      </c>
    </row>
    <row r="16" spans="1:23" x14ac:dyDescent="0.2">
      <c r="A16" s="1" t="s">
        <v>14</v>
      </c>
      <c r="B16" s="22"/>
      <c r="C16" s="22"/>
      <c r="D16" s="22"/>
      <c r="E16" s="22"/>
      <c r="F16" s="22"/>
      <c r="G16" s="22"/>
      <c r="H16" s="22"/>
      <c r="I16" s="22"/>
      <c r="J16" s="30"/>
      <c r="K16" s="22"/>
      <c r="L16" s="22"/>
      <c r="M16" s="22"/>
      <c r="N16" s="22"/>
      <c r="O16" s="22"/>
      <c r="P16" s="22"/>
      <c r="Q16" s="22"/>
      <c r="R16" s="22">
        <f t="shared" si="0"/>
        <v>0</v>
      </c>
      <c r="S16" s="14"/>
      <c r="U16" s="14"/>
    </row>
    <row r="17" spans="1:25" x14ac:dyDescent="0.2">
      <c r="A17" t="s">
        <v>23</v>
      </c>
      <c r="B17" s="22">
        <v>42762</v>
      </c>
      <c r="C17" s="22"/>
      <c r="D17" s="22">
        <f>-'Detail by Transaction Type'!B15*0.2</f>
        <v>-8445.2000000000007</v>
      </c>
      <c r="E17" s="22">
        <v>-1</v>
      </c>
      <c r="F17" s="41">
        <f>-(B17+D17)*0.285</f>
        <v>-9780.2880000000005</v>
      </c>
      <c r="G17" s="22">
        <v>-2</v>
      </c>
      <c r="H17" s="22">
        <f>D17+F17</f>
        <v>-18225.488000000001</v>
      </c>
      <c r="I17" s="22"/>
      <c r="J17" s="30">
        <f t="shared" ref="J17:J25" si="1">SUM(B17:F17)</f>
        <v>24535.512000000002</v>
      </c>
      <c r="K17" s="22"/>
      <c r="L17" s="22">
        <f>22000</f>
        <v>22000</v>
      </c>
      <c r="M17" s="22"/>
      <c r="N17" s="22">
        <f t="shared" ref="N17:N25" si="2">B17-L17</f>
        <v>20762</v>
      </c>
      <c r="O17" s="22"/>
      <c r="P17" s="22">
        <f t="shared" ref="P17:P25" si="3">J17*0.15</f>
        <v>3680.3268000000003</v>
      </c>
      <c r="Q17" s="22"/>
      <c r="R17" s="22">
        <f t="shared" si="0"/>
        <v>93.185200000002169</v>
      </c>
      <c r="S17" s="14"/>
      <c r="U17" s="4">
        <v>-15282</v>
      </c>
      <c r="V17" s="4">
        <v>-33838</v>
      </c>
      <c r="W17" t="s">
        <v>41</v>
      </c>
    </row>
    <row r="18" spans="1:25" x14ac:dyDescent="0.2">
      <c r="A18" t="s">
        <v>67</v>
      </c>
      <c r="B18" s="22">
        <v>33838</v>
      </c>
      <c r="C18" s="22"/>
      <c r="D18" s="22"/>
      <c r="E18" s="22"/>
      <c r="F18" s="22">
        <f>-(B18/31)*14</f>
        <v>-15281.677419354837</v>
      </c>
      <c r="G18" s="22">
        <v>-3</v>
      </c>
      <c r="H18" s="22">
        <f>D18+F18</f>
        <v>-15281.677419354837</v>
      </c>
      <c r="I18" s="22"/>
      <c r="J18" s="30">
        <f t="shared" si="1"/>
        <v>18556.322580645163</v>
      </c>
      <c r="K18" s="22"/>
      <c r="L18" s="22">
        <v>33838</v>
      </c>
      <c r="M18" s="22"/>
      <c r="N18" s="22"/>
      <c r="O18" s="22"/>
      <c r="P18" s="22">
        <f t="shared" si="3"/>
        <v>2783.4483870967742</v>
      </c>
      <c r="Q18" s="22"/>
      <c r="R18" s="22">
        <f t="shared" si="0"/>
        <v>15772.874193548389</v>
      </c>
      <c r="S18" s="14"/>
      <c r="U18" s="14">
        <f>SUM(U10:U17)</f>
        <v>-139336.288</v>
      </c>
      <c r="V18">
        <f>SUM(V10:V17)</f>
        <v>-164704.79999999999</v>
      </c>
      <c r="W18" s="14">
        <f>U18-V18</f>
        <v>25368.511999999988</v>
      </c>
    </row>
    <row r="19" spans="1:25" x14ac:dyDescent="0.2">
      <c r="B19" s="22"/>
      <c r="C19" s="22"/>
      <c r="D19" s="22"/>
      <c r="E19" s="22"/>
      <c r="F19" s="22"/>
      <c r="G19" s="22"/>
      <c r="H19" s="22"/>
      <c r="I19" s="22"/>
      <c r="J19" s="30"/>
      <c r="K19" s="22"/>
      <c r="L19" s="22"/>
      <c r="M19" s="22"/>
      <c r="N19" s="22"/>
      <c r="O19" s="22"/>
      <c r="P19" s="22"/>
      <c r="Q19" s="22"/>
      <c r="R19" s="22">
        <f t="shared" si="0"/>
        <v>0</v>
      </c>
      <c r="S19" s="14"/>
    </row>
    <row r="20" spans="1:25" x14ac:dyDescent="0.2">
      <c r="A20" s="1" t="s">
        <v>15</v>
      </c>
      <c r="B20" s="22"/>
      <c r="C20" s="22"/>
      <c r="D20" s="22"/>
      <c r="E20" s="22"/>
      <c r="F20" s="22"/>
      <c r="G20" s="22"/>
      <c r="H20" s="22"/>
      <c r="I20" s="22"/>
      <c r="J20" s="30"/>
      <c r="K20" s="22"/>
      <c r="L20" s="22"/>
      <c r="M20" s="22"/>
      <c r="N20" s="22"/>
      <c r="O20" s="22"/>
      <c r="P20" s="22"/>
      <c r="Q20" s="22"/>
      <c r="R20" s="22">
        <f t="shared" si="0"/>
        <v>0</v>
      </c>
      <c r="S20" s="14"/>
      <c r="T20" t="s">
        <v>73</v>
      </c>
    </row>
    <row r="21" spans="1:25" x14ac:dyDescent="0.2">
      <c r="A21" t="s">
        <v>10</v>
      </c>
      <c r="B21" s="22">
        <v>25432</v>
      </c>
      <c r="C21" s="22"/>
      <c r="D21" s="22"/>
      <c r="E21" s="22"/>
      <c r="F21" s="22"/>
      <c r="G21" s="22"/>
      <c r="H21" s="22"/>
      <c r="I21" s="22"/>
      <c r="J21" s="30">
        <f t="shared" si="1"/>
        <v>25432</v>
      </c>
      <c r="K21" s="22"/>
      <c r="L21" s="22"/>
      <c r="M21" s="22"/>
      <c r="N21" s="22">
        <f t="shared" si="2"/>
        <v>25432</v>
      </c>
      <c r="O21" s="22"/>
      <c r="P21" s="22">
        <f t="shared" si="3"/>
        <v>3814.7999999999997</v>
      </c>
      <c r="Q21" s="22"/>
      <c r="R21" s="22">
        <f t="shared" si="0"/>
        <v>-3814.7999999999997</v>
      </c>
      <c r="S21" s="14"/>
      <c r="T21" s="21">
        <v>36800</v>
      </c>
      <c r="U21" s="19">
        <v>-35285881.620877028</v>
      </c>
      <c r="V21" s="12"/>
      <c r="W21" s="19">
        <v>-65075389.529999994</v>
      </c>
      <c r="X21" s="12"/>
      <c r="Y21" s="20">
        <v>0.54223081683760199</v>
      </c>
    </row>
    <row r="22" spans="1:25" x14ac:dyDescent="0.2">
      <c r="A22" t="s">
        <v>3</v>
      </c>
      <c r="B22" s="22">
        <f>3482+-86113</f>
        <v>-82631</v>
      </c>
      <c r="C22" s="22"/>
      <c r="D22" s="22"/>
      <c r="E22" s="22"/>
      <c r="F22" s="22">
        <f>-38887/2</f>
        <v>-19443.5</v>
      </c>
      <c r="G22" s="22">
        <v>-4</v>
      </c>
      <c r="H22" s="22">
        <f>D22+F22</f>
        <v>-19443.5</v>
      </c>
      <c r="I22" s="22"/>
      <c r="J22" s="30">
        <f t="shared" si="1"/>
        <v>-102074.5</v>
      </c>
      <c r="K22" s="22"/>
      <c r="L22" s="22"/>
      <c r="M22" s="22"/>
      <c r="N22" s="22">
        <f t="shared" si="2"/>
        <v>-82631</v>
      </c>
      <c r="O22" s="22"/>
      <c r="P22" s="22">
        <f t="shared" si="3"/>
        <v>-15311.174999999999</v>
      </c>
      <c r="Q22" s="22"/>
      <c r="R22" s="22">
        <f t="shared" si="0"/>
        <v>-4132.3250000000007</v>
      </c>
      <c r="T22" s="21">
        <v>36831</v>
      </c>
      <c r="U22" s="19">
        <v>-35289257.422585189</v>
      </c>
      <c r="V22" s="12"/>
      <c r="W22" s="19">
        <v>-87533996.160000086</v>
      </c>
      <c r="X22" s="12"/>
      <c r="Y22" s="20">
        <v>0.40314916456094713</v>
      </c>
    </row>
    <row r="23" spans="1:25" x14ac:dyDescent="0.2">
      <c r="A23" t="s">
        <v>24</v>
      </c>
      <c r="B23" s="22"/>
      <c r="C23" s="22"/>
      <c r="D23" s="22"/>
      <c r="E23" s="22"/>
      <c r="F23" s="22"/>
      <c r="G23" s="22"/>
      <c r="H23" s="22"/>
      <c r="I23" s="22"/>
      <c r="J23" s="30"/>
      <c r="K23" s="22"/>
      <c r="L23" s="22"/>
      <c r="M23" s="22"/>
      <c r="N23" s="22"/>
      <c r="O23" s="22"/>
      <c r="P23" s="22"/>
      <c r="Q23" s="22"/>
      <c r="R23" s="22">
        <f t="shared" si="0"/>
        <v>0</v>
      </c>
      <c r="T23" s="21">
        <v>36861</v>
      </c>
      <c r="U23" s="19">
        <v>-7657083.8200536864</v>
      </c>
      <c r="V23" s="12"/>
      <c r="W23" s="19">
        <v>-133279597.81000006</v>
      </c>
      <c r="X23" s="12"/>
      <c r="Y23" s="20">
        <v>5.7451282460871667E-2</v>
      </c>
    </row>
    <row r="24" spans="1:25" x14ac:dyDescent="0.2">
      <c r="A24" s="2" t="s">
        <v>12</v>
      </c>
      <c r="B24" s="22">
        <v>24138</v>
      </c>
      <c r="C24" s="22"/>
      <c r="D24" s="22"/>
      <c r="E24" s="22"/>
      <c r="F24" s="22"/>
      <c r="G24" s="22"/>
      <c r="H24" s="22"/>
      <c r="I24" s="22"/>
      <c r="J24" s="30">
        <f t="shared" si="1"/>
        <v>24138</v>
      </c>
      <c r="K24" s="22"/>
      <c r="L24" s="22"/>
      <c r="M24" s="22"/>
      <c r="N24" s="22">
        <f t="shared" si="2"/>
        <v>24138</v>
      </c>
      <c r="O24" s="22"/>
      <c r="P24" s="22">
        <f t="shared" si="3"/>
        <v>3620.7</v>
      </c>
      <c r="Q24" s="22"/>
      <c r="R24" s="22">
        <f t="shared" si="0"/>
        <v>-3620.7</v>
      </c>
      <c r="T24" s="21">
        <v>36892</v>
      </c>
      <c r="U24" s="26">
        <v>-10555471.494977087</v>
      </c>
      <c r="V24" s="27"/>
      <c r="W24" s="26">
        <v>-105161522.7500003</v>
      </c>
      <c r="X24" s="12"/>
      <c r="Y24" s="20">
        <v>0.10037389359671531</v>
      </c>
    </row>
    <row r="25" spans="1:25" x14ac:dyDescent="0.2">
      <c r="A25" s="2" t="s">
        <v>59</v>
      </c>
      <c r="B25" s="22">
        <v>74190</v>
      </c>
      <c r="C25" s="22"/>
      <c r="D25" s="22"/>
      <c r="E25" s="22"/>
      <c r="F25" s="22">
        <v>-5595</v>
      </c>
      <c r="G25" s="22">
        <v>-5</v>
      </c>
      <c r="H25" s="22">
        <f>D25+F25</f>
        <v>-5595</v>
      </c>
      <c r="I25" s="22"/>
      <c r="J25" s="30">
        <f t="shared" si="1"/>
        <v>68595</v>
      </c>
      <c r="K25" s="22"/>
      <c r="L25" s="22">
        <v>24000</v>
      </c>
      <c r="M25" s="22"/>
      <c r="N25" s="22">
        <f t="shared" si="2"/>
        <v>50190</v>
      </c>
      <c r="O25" s="22"/>
      <c r="P25" s="22">
        <f t="shared" si="3"/>
        <v>10289.25</v>
      </c>
      <c r="Q25" s="22"/>
      <c r="R25" s="22">
        <f t="shared" si="0"/>
        <v>8115.75</v>
      </c>
      <c r="T25" s="21"/>
      <c r="U25" s="19">
        <f>SUM(U21:U24)</f>
        <v>-88787694.358492985</v>
      </c>
      <c r="V25" s="12"/>
      <c r="W25" s="19">
        <f>SUM(W21:W24)</f>
        <v>-391050506.25000042</v>
      </c>
      <c r="X25" s="12"/>
      <c r="Y25" s="20">
        <f>U25/W25</f>
        <v>0.22704917380091716</v>
      </c>
    </row>
    <row r="26" spans="1:25" x14ac:dyDescent="0.2">
      <c r="B26" s="22"/>
      <c r="C26" s="22"/>
      <c r="D26" s="22"/>
      <c r="E26" s="22"/>
      <c r="F26" s="22"/>
      <c r="G26" s="22"/>
      <c r="H26" s="22"/>
      <c r="I26" s="22"/>
      <c r="J26" s="30"/>
      <c r="K26" s="22"/>
      <c r="L26" s="22"/>
      <c r="M26" s="22"/>
      <c r="N26" s="22"/>
      <c r="O26" s="22"/>
      <c r="P26" s="22"/>
      <c r="Q26" s="22"/>
      <c r="R26" s="22"/>
    </row>
    <row r="27" spans="1:25" ht="13.5" thickBot="1" x14ac:dyDescent="0.25">
      <c r="B27" s="25">
        <f>SUM(B12:B26)</f>
        <v>521678</v>
      </c>
      <c r="C27" s="25"/>
      <c r="D27" s="25">
        <f>SUM(D12:D26)</f>
        <v>-89235</v>
      </c>
      <c r="E27" s="25"/>
      <c r="F27" s="25">
        <f>SUM(F12:F26)</f>
        <v>-50100.465419354834</v>
      </c>
      <c r="G27" s="25"/>
      <c r="H27" s="25">
        <f>SUM(H12:H26)</f>
        <v>-139335.46541935485</v>
      </c>
      <c r="I27" s="25"/>
      <c r="J27" s="31">
        <f>SUM(J12:J26)</f>
        <v>382340.53458064515</v>
      </c>
      <c r="K27" s="25"/>
      <c r="L27" s="25">
        <f>SUM(L12:L26)</f>
        <v>322207</v>
      </c>
      <c r="M27" s="25"/>
      <c r="N27" s="25">
        <f>SUM(N12:N26)</f>
        <v>199471</v>
      </c>
      <c r="O27" s="25"/>
      <c r="P27" s="25">
        <f>SUM(P12:P26)</f>
        <v>57351.080187096784</v>
      </c>
      <c r="Q27" s="25"/>
      <c r="R27" s="25">
        <f>SUM(R12:R26)</f>
        <v>125518.4543935484</v>
      </c>
    </row>
    <row r="28" spans="1:25" ht="13.5" thickTop="1" x14ac:dyDescent="0.2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25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41">
        <f>J27-N27-F17-P27</f>
        <v>135298.74239354837</v>
      </c>
      <c r="T29" t="s">
        <v>74</v>
      </c>
    </row>
    <row r="30" spans="1:25" ht="18" x14ac:dyDescent="0.25">
      <c r="A30" s="187" t="s">
        <v>37</v>
      </c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V30">
        <v>42762</v>
      </c>
      <c r="W30">
        <v>7000</v>
      </c>
      <c r="X30">
        <f>W30/W34</f>
        <v>0.16666666666666666</v>
      </c>
      <c r="Y30">
        <f>W30/12000</f>
        <v>0.58333333333333337</v>
      </c>
    </row>
    <row r="31" spans="1:25" ht="18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1:25" x14ac:dyDescent="0.2">
      <c r="A32" s="1" t="s">
        <v>36</v>
      </c>
      <c r="G32" s="1" t="s">
        <v>38</v>
      </c>
      <c r="W32">
        <v>30000</v>
      </c>
      <c r="X32">
        <f>W32/W34</f>
        <v>0.7142857142857143</v>
      </c>
    </row>
    <row r="33" spans="1:25" x14ac:dyDescent="0.2">
      <c r="A33" t="s">
        <v>60</v>
      </c>
      <c r="G33" t="s">
        <v>75</v>
      </c>
      <c r="W33" s="4">
        <v>5000</v>
      </c>
      <c r="X33">
        <f>W33/W34</f>
        <v>0.11904761904761904</v>
      </c>
      <c r="Y33">
        <f>W33/12000</f>
        <v>0.41666666666666669</v>
      </c>
    </row>
    <row r="34" spans="1:25" x14ac:dyDescent="0.2">
      <c r="A34" t="s">
        <v>83</v>
      </c>
      <c r="G34" t="s">
        <v>63</v>
      </c>
      <c r="W34">
        <f>SUM(W30:W33)</f>
        <v>42000</v>
      </c>
    </row>
    <row r="35" spans="1:25" x14ac:dyDescent="0.2">
      <c r="A35" t="s">
        <v>84</v>
      </c>
      <c r="G35" t="s">
        <v>65</v>
      </c>
      <c r="X35">
        <f>X30+X33</f>
        <v>0.2857142857142857</v>
      </c>
    </row>
    <row r="36" spans="1:25" x14ac:dyDescent="0.2">
      <c r="A36" t="s">
        <v>87</v>
      </c>
      <c r="H36" t="s">
        <v>66</v>
      </c>
    </row>
    <row r="37" spans="1:25" x14ac:dyDescent="0.2">
      <c r="G37" t="s">
        <v>64</v>
      </c>
    </row>
    <row r="38" spans="1:25" x14ac:dyDescent="0.2">
      <c r="A38" t="s">
        <v>33</v>
      </c>
      <c r="H38" t="s">
        <v>66</v>
      </c>
    </row>
    <row r="39" spans="1:25" x14ac:dyDescent="0.2">
      <c r="A39" t="s">
        <v>34</v>
      </c>
    </row>
    <row r="40" spans="1:25" x14ac:dyDescent="0.2">
      <c r="A40" t="s">
        <v>35</v>
      </c>
      <c r="G40" s="1" t="s">
        <v>68</v>
      </c>
    </row>
    <row r="41" spans="1:25" x14ac:dyDescent="0.2">
      <c r="A41" t="s">
        <v>11</v>
      </c>
      <c r="G41" t="s">
        <v>77</v>
      </c>
      <c r="L41" s="22">
        <v>100250</v>
      </c>
      <c r="N41" t="s">
        <v>76</v>
      </c>
    </row>
    <row r="42" spans="1:25" x14ac:dyDescent="0.2">
      <c r="G42" t="s">
        <v>69</v>
      </c>
      <c r="L42" s="22">
        <f>15000+36500+92290</f>
        <v>143790</v>
      </c>
      <c r="N42" t="s">
        <v>70</v>
      </c>
    </row>
    <row r="43" spans="1:25" x14ac:dyDescent="0.2">
      <c r="L43" s="22"/>
    </row>
    <row r="44" spans="1:25" x14ac:dyDescent="0.2">
      <c r="A44" s="2" t="s">
        <v>82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39"/>
    </row>
    <row r="46" spans="1:25" x14ac:dyDescent="0.2">
      <c r="A46" s="29"/>
      <c r="B46" s="29"/>
      <c r="C46" s="29"/>
      <c r="D46" s="29"/>
      <c r="E46" s="29"/>
    </row>
    <row r="47" spans="1:25" x14ac:dyDescent="0.2">
      <c r="A47" s="42" t="s">
        <v>92</v>
      </c>
      <c r="B47" s="43"/>
      <c r="C47" s="43"/>
      <c r="D47" s="29"/>
      <c r="E47" s="29"/>
    </row>
    <row r="48" spans="1:25" x14ac:dyDescent="0.2">
      <c r="A48" s="44" t="s">
        <v>85</v>
      </c>
      <c r="B48" s="45">
        <f>F17*Y33</f>
        <v>-4075.1200000000003</v>
      </c>
      <c r="C48" s="43"/>
      <c r="D48" s="29"/>
    </row>
    <row r="49" spans="1:18" x14ac:dyDescent="0.2">
      <c r="A49" s="44" t="s">
        <v>86</v>
      </c>
      <c r="B49" s="46">
        <f>F17*Y30</f>
        <v>-5705.1680000000006</v>
      </c>
      <c r="C49" s="43"/>
      <c r="F49" s="22"/>
    </row>
    <row r="50" spans="1:18" x14ac:dyDescent="0.2">
      <c r="B50" s="22"/>
    </row>
    <row r="51" spans="1:18" x14ac:dyDescent="0.2">
      <c r="A51" s="186">
        <v>2</v>
      </c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</row>
  </sheetData>
  <mergeCells count="5">
    <mergeCell ref="A51:R51"/>
    <mergeCell ref="A30:R30"/>
    <mergeCell ref="A2:R2"/>
    <mergeCell ref="A3:R3"/>
    <mergeCell ref="A4:R4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1"/>
  <sheetViews>
    <sheetView workbookViewId="0">
      <selection activeCell="A54" sqref="A54"/>
    </sheetView>
  </sheetViews>
  <sheetFormatPr defaultRowHeight="12.75" x14ac:dyDescent="0.2"/>
  <cols>
    <col min="1" max="1" width="34" bestFit="1" customWidth="1"/>
    <col min="3" max="3" width="2.7109375" customWidth="1"/>
    <col min="5" max="5" width="3.140625" customWidth="1"/>
    <col min="6" max="6" width="12.5703125" bestFit="1" customWidth="1"/>
    <col min="7" max="7" width="3.140625" customWidth="1"/>
    <col min="8" max="8" width="12" customWidth="1"/>
    <col min="9" max="9" width="2.7109375" customWidth="1"/>
    <col min="11" max="11" width="2.7109375" customWidth="1"/>
    <col min="12" max="12" width="9.7109375" bestFit="1" customWidth="1"/>
    <col min="13" max="13" width="2.7109375" customWidth="1"/>
    <col min="14" max="14" width="13.28515625" bestFit="1" customWidth="1"/>
    <col min="15" max="15" width="2.7109375" customWidth="1"/>
    <col min="16" max="16" width="10.85546875" customWidth="1"/>
    <col min="17" max="17" width="2.7109375" customWidth="1"/>
    <col min="18" max="18" width="11.28515625" bestFit="1" customWidth="1"/>
    <col min="21" max="21" width="13.28515625" bestFit="1" customWidth="1"/>
    <col min="23" max="23" width="14.28515625" bestFit="1" customWidth="1"/>
    <col min="25" max="25" width="12.28515625" bestFit="1" customWidth="1"/>
  </cols>
  <sheetData>
    <row r="1" spans="1:23" x14ac:dyDescent="0.2">
      <c r="A1" s="7" t="s">
        <v>39</v>
      </c>
    </row>
    <row r="2" spans="1:23" x14ac:dyDescent="0.2">
      <c r="A2" s="186" t="s">
        <v>17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</row>
    <row r="3" spans="1:23" x14ac:dyDescent="0.2">
      <c r="A3" s="186" t="s">
        <v>40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</row>
    <row r="4" spans="1:23" x14ac:dyDescent="0.2">
      <c r="A4" s="186" t="s">
        <v>4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</row>
    <row r="5" spans="1:23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3" x14ac:dyDescent="0.2">
      <c r="A6" s="16" t="s">
        <v>94</v>
      </c>
      <c r="B6" s="3" t="s">
        <v>45</v>
      </c>
      <c r="C6" s="3"/>
      <c r="D6" s="3" t="s">
        <v>46</v>
      </c>
      <c r="E6" s="3" t="s">
        <v>11</v>
      </c>
      <c r="F6" s="3" t="s">
        <v>47</v>
      </c>
      <c r="G6" s="3" t="s">
        <v>11</v>
      </c>
      <c r="H6" s="3" t="s">
        <v>48</v>
      </c>
      <c r="I6" s="3"/>
      <c r="J6" s="3" t="s">
        <v>49</v>
      </c>
      <c r="K6" s="3" t="s">
        <v>11</v>
      </c>
      <c r="L6" s="3" t="s">
        <v>50</v>
      </c>
      <c r="M6" s="3" t="s">
        <v>11</v>
      </c>
      <c r="N6" s="3" t="s">
        <v>51</v>
      </c>
      <c r="O6" s="3"/>
      <c r="P6" s="3" t="s">
        <v>58</v>
      </c>
      <c r="Q6" s="3"/>
      <c r="R6" s="3" t="s">
        <v>91</v>
      </c>
      <c r="S6" s="3"/>
    </row>
    <row r="7" spans="1:23" x14ac:dyDescent="0.2">
      <c r="A7" s="3"/>
      <c r="B7" s="3"/>
      <c r="C7" s="3"/>
      <c r="D7" s="3"/>
      <c r="E7" s="3"/>
      <c r="F7" s="3"/>
      <c r="G7" s="3"/>
      <c r="H7" s="3" t="s">
        <v>53</v>
      </c>
      <c r="I7" s="3"/>
      <c r="J7" s="3" t="s">
        <v>52</v>
      </c>
      <c r="K7" s="3"/>
      <c r="L7" s="3"/>
      <c r="M7" s="3"/>
      <c r="N7" s="3" t="s">
        <v>55</v>
      </c>
      <c r="O7" s="3"/>
      <c r="P7" s="3" t="s">
        <v>88</v>
      </c>
      <c r="Q7" s="3"/>
      <c r="R7" s="3" t="s">
        <v>90</v>
      </c>
      <c r="S7" s="3"/>
    </row>
    <row r="8" spans="1:23" x14ac:dyDescent="0.2">
      <c r="A8" s="3" t="s">
        <v>22</v>
      </c>
      <c r="B8" s="17">
        <v>1</v>
      </c>
      <c r="C8" s="17"/>
      <c r="D8" s="3" t="s">
        <v>25</v>
      </c>
      <c r="E8" s="3"/>
      <c r="F8" s="3" t="s">
        <v>18</v>
      </c>
      <c r="G8" s="3"/>
      <c r="H8" s="3" t="s">
        <v>42</v>
      </c>
      <c r="I8" s="3"/>
      <c r="J8" s="3" t="s">
        <v>31</v>
      </c>
      <c r="K8" s="3"/>
      <c r="L8" s="3" t="s">
        <v>0</v>
      </c>
      <c r="M8" s="3"/>
      <c r="N8" s="3" t="s">
        <v>54</v>
      </c>
      <c r="O8" s="3"/>
      <c r="P8" s="3" t="s">
        <v>89</v>
      </c>
      <c r="Q8" s="3"/>
      <c r="R8" s="3" t="s">
        <v>56</v>
      </c>
      <c r="S8" s="3"/>
    </row>
    <row r="9" spans="1:23" x14ac:dyDescent="0.2">
      <c r="A9" s="4"/>
      <c r="B9" s="18" t="s">
        <v>19</v>
      </c>
      <c r="C9" s="18"/>
      <c r="D9" s="18" t="s">
        <v>26</v>
      </c>
      <c r="E9" s="18"/>
      <c r="F9" s="18" t="s">
        <v>21</v>
      </c>
      <c r="G9" s="18"/>
      <c r="H9" s="18" t="s">
        <v>43</v>
      </c>
      <c r="I9" s="18"/>
      <c r="J9" s="18" t="s">
        <v>19</v>
      </c>
      <c r="K9" s="18"/>
      <c r="L9" s="18" t="s">
        <v>32</v>
      </c>
      <c r="M9" s="18"/>
      <c r="N9" s="18" t="s">
        <v>44</v>
      </c>
      <c r="O9" s="18"/>
      <c r="P9" s="18" t="s">
        <v>1</v>
      </c>
      <c r="Q9" s="18"/>
      <c r="R9" s="18" t="s">
        <v>57</v>
      </c>
      <c r="S9" s="3"/>
      <c r="T9" t="s">
        <v>72</v>
      </c>
    </row>
    <row r="10" spans="1:23" x14ac:dyDescent="0.2">
      <c r="A10" s="16" t="s">
        <v>2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2"/>
      <c r="U10" s="14">
        <f>D12</f>
        <v>-100987.25</v>
      </c>
      <c r="V10">
        <f>-403949*0.2</f>
        <v>-80789.8</v>
      </c>
      <c r="W10" t="s">
        <v>27</v>
      </c>
    </row>
    <row r="11" spans="1:23" x14ac:dyDescent="0.2">
      <c r="A11" s="1" t="s">
        <v>13</v>
      </c>
      <c r="B11" s="22"/>
      <c r="C11" s="22"/>
      <c r="D11" s="22"/>
      <c r="E11" s="22"/>
      <c r="F11" s="22"/>
      <c r="G11" s="22"/>
      <c r="H11" s="22"/>
      <c r="I11" s="22"/>
      <c r="J11" s="30"/>
      <c r="K11" s="22"/>
      <c r="L11" s="22"/>
      <c r="M11" s="22"/>
      <c r="N11" s="22"/>
      <c r="O11" s="22"/>
      <c r="P11" s="22"/>
      <c r="Q11" s="22"/>
      <c r="R11" s="22"/>
      <c r="S11" s="14"/>
      <c r="U11" s="14">
        <f>D17</f>
        <v>-10556.5</v>
      </c>
      <c r="V11">
        <v>0</v>
      </c>
      <c r="W11" t="s">
        <v>28</v>
      </c>
    </row>
    <row r="12" spans="1:23" x14ac:dyDescent="0.2">
      <c r="A12" t="s">
        <v>71</v>
      </c>
      <c r="B12" s="22">
        <v>403949</v>
      </c>
      <c r="C12" s="22"/>
      <c r="D12" s="22">
        <f>-B12*0.25</f>
        <v>-100987.25</v>
      </c>
      <c r="E12" s="22">
        <v>-1</v>
      </c>
      <c r="F12" s="22"/>
      <c r="G12" s="22"/>
      <c r="H12" s="22">
        <f>D12+F12</f>
        <v>-100987.25</v>
      </c>
      <c r="I12" s="22"/>
      <c r="J12" s="30">
        <f>SUM(B12:F12)</f>
        <v>302960.75</v>
      </c>
      <c r="K12" s="22"/>
      <c r="L12" s="22">
        <v>242369</v>
      </c>
      <c r="M12" s="22"/>
      <c r="N12" s="22">
        <f>B12-L12</f>
        <v>161580</v>
      </c>
      <c r="O12" s="22"/>
      <c r="P12" s="22">
        <f>J12*0.15</f>
        <v>45444.112499999996</v>
      </c>
      <c r="Q12" s="22"/>
      <c r="R12" s="22">
        <f>J12-N12-P12</f>
        <v>95936.637500000012</v>
      </c>
      <c r="S12" s="14"/>
      <c r="U12" s="14"/>
    </row>
    <row r="13" spans="1:23" x14ac:dyDescent="0.2">
      <c r="A13" s="2" t="s">
        <v>20</v>
      </c>
      <c r="B13" s="22"/>
      <c r="C13" s="22"/>
      <c r="D13" s="22"/>
      <c r="E13" s="22"/>
      <c r="F13" s="22"/>
      <c r="G13" s="22"/>
      <c r="H13" s="22"/>
      <c r="I13" s="22"/>
      <c r="J13" s="30"/>
      <c r="K13" s="22"/>
      <c r="L13" s="22"/>
      <c r="M13" s="22"/>
      <c r="N13" s="22"/>
      <c r="O13" s="22"/>
      <c r="P13" s="22"/>
      <c r="Q13" s="22"/>
      <c r="R13" s="22">
        <f t="shared" ref="R13:R25" si="0">J13-N13-P13</f>
        <v>0</v>
      </c>
      <c r="S13" s="14"/>
      <c r="U13" s="14">
        <f>F17</f>
        <v>-9178.5674999999992</v>
      </c>
      <c r="V13">
        <v>0</v>
      </c>
      <c r="W13" t="s">
        <v>30</v>
      </c>
    </row>
    <row r="14" spans="1:23" x14ac:dyDescent="0.2">
      <c r="B14" s="22"/>
      <c r="C14" s="22"/>
      <c r="D14" s="22"/>
      <c r="E14" s="22"/>
      <c r="F14" s="22"/>
      <c r="G14" s="22"/>
      <c r="H14" s="22"/>
      <c r="I14" s="22"/>
      <c r="J14" s="30"/>
      <c r="K14" s="22"/>
      <c r="L14" s="22"/>
      <c r="M14" s="22"/>
      <c r="N14" s="22"/>
      <c r="O14" s="22"/>
      <c r="P14" s="22"/>
      <c r="Q14" s="22"/>
      <c r="R14" s="22">
        <f t="shared" si="0"/>
        <v>0</v>
      </c>
      <c r="S14" s="14"/>
      <c r="U14" s="14">
        <v>-19444</v>
      </c>
      <c r="V14">
        <v>-38887</v>
      </c>
      <c r="W14" t="s">
        <v>29</v>
      </c>
    </row>
    <row r="15" spans="1:23" x14ac:dyDescent="0.2">
      <c r="A15" s="1" t="s">
        <v>3</v>
      </c>
      <c r="B15" s="22"/>
      <c r="C15" s="22"/>
      <c r="D15" s="22"/>
      <c r="E15" s="22"/>
      <c r="F15" s="22"/>
      <c r="G15" s="22"/>
      <c r="H15" s="22"/>
      <c r="I15" s="22"/>
      <c r="J15" s="30"/>
      <c r="K15" s="22"/>
      <c r="L15" s="22"/>
      <c r="M15" s="22"/>
      <c r="N15" s="22"/>
      <c r="O15" s="22"/>
      <c r="P15" s="22"/>
      <c r="Q15" s="22"/>
      <c r="R15" s="22">
        <f t="shared" si="0"/>
        <v>0</v>
      </c>
      <c r="S15" s="14"/>
      <c r="U15" s="14">
        <f>F25</f>
        <v>-5595</v>
      </c>
      <c r="V15">
        <v>-11190</v>
      </c>
      <c r="W15" t="s">
        <v>29</v>
      </c>
    </row>
    <row r="16" spans="1:23" x14ac:dyDescent="0.2">
      <c r="A16" s="1" t="s">
        <v>14</v>
      </c>
      <c r="B16" s="22"/>
      <c r="C16" s="22"/>
      <c r="D16" s="22"/>
      <c r="E16" s="22"/>
      <c r="F16" s="22"/>
      <c r="G16" s="22"/>
      <c r="H16" s="22"/>
      <c r="I16" s="22"/>
      <c r="J16" s="30"/>
      <c r="K16" s="22"/>
      <c r="L16" s="22"/>
      <c r="M16" s="22"/>
      <c r="N16" s="22"/>
      <c r="O16" s="22"/>
      <c r="P16" s="22"/>
      <c r="Q16" s="22"/>
      <c r="R16" s="22">
        <f t="shared" si="0"/>
        <v>0</v>
      </c>
      <c r="S16" s="14"/>
      <c r="U16" s="14"/>
    </row>
    <row r="17" spans="1:25" x14ac:dyDescent="0.2">
      <c r="A17" t="s">
        <v>23</v>
      </c>
      <c r="B17" s="22">
        <v>42762</v>
      </c>
      <c r="C17" s="22"/>
      <c r="D17" s="22">
        <f>-'Detail by Transaction Type'!B15*0.25</f>
        <v>-10556.5</v>
      </c>
      <c r="E17" s="22">
        <v>-1</v>
      </c>
      <c r="F17" s="41">
        <f>-(B17+D17)*0.285</f>
        <v>-9178.5674999999992</v>
      </c>
      <c r="G17" s="22">
        <v>-2</v>
      </c>
      <c r="H17" s="22">
        <f>D17+F17</f>
        <v>-19735.067499999997</v>
      </c>
      <c r="I17" s="22"/>
      <c r="J17" s="30">
        <f t="shared" ref="J17:J25" si="1">SUM(B17:F17)</f>
        <v>23025.932500000003</v>
      </c>
      <c r="K17" s="22"/>
      <c r="L17" s="22">
        <f>22000</f>
        <v>22000</v>
      </c>
      <c r="M17" s="22"/>
      <c r="N17" s="22">
        <f t="shared" ref="N17:N25" si="2">B17-L17</f>
        <v>20762</v>
      </c>
      <c r="O17" s="22"/>
      <c r="P17" s="22">
        <f t="shared" ref="P17:P25" si="3">J17*0.15</f>
        <v>3453.8898750000003</v>
      </c>
      <c r="Q17" s="22"/>
      <c r="R17" s="22">
        <f t="shared" si="0"/>
        <v>-1189.9573749999977</v>
      </c>
      <c r="S17" s="14"/>
      <c r="U17" s="4">
        <v>-15282</v>
      </c>
      <c r="V17" s="4">
        <v>-33838</v>
      </c>
      <c r="W17" t="s">
        <v>41</v>
      </c>
    </row>
    <row r="18" spans="1:25" x14ac:dyDescent="0.2">
      <c r="A18" t="s">
        <v>67</v>
      </c>
      <c r="B18" s="22">
        <v>33838</v>
      </c>
      <c r="C18" s="22"/>
      <c r="D18" s="22"/>
      <c r="E18" s="22"/>
      <c r="F18" s="22">
        <f>-(B18/31)*14</f>
        <v>-15281.677419354837</v>
      </c>
      <c r="G18" s="22">
        <v>-3</v>
      </c>
      <c r="H18" s="22">
        <f>D18+F18</f>
        <v>-15281.677419354837</v>
      </c>
      <c r="I18" s="22"/>
      <c r="J18" s="30">
        <f t="shared" si="1"/>
        <v>18556.322580645163</v>
      </c>
      <c r="K18" s="22"/>
      <c r="L18" s="22">
        <v>33838</v>
      </c>
      <c r="M18" s="22"/>
      <c r="N18" s="22"/>
      <c r="O18" s="22"/>
      <c r="P18" s="22">
        <f t="shared" si="3"/>
        <v>2783.4483870967742</v>
      </c>
      <c r="Q18" s="22"/>
      <c r="R18" s="22">
        <f t="shared" si="0"/>
        <v>15772.874193548389</v>
      </c>
      <c r="S18" s="14"/>
      <c r="U18" s="14">
        <f>SUM(U10:U17)</f>
        <v>-161043.3175</v>
      </c>
      <c r="V18">
        <f>SUM(V10:V17)</f>
        <v>-164704.79999999999</v>
      </c>
      <c r="W18" s="14">
        <f>U18-V18</f>
        <v>3661.4824999999837</v>
      </c>
    </row>
    <row r="19" spans="1:25" x14ac:dyDescent="0.2">
      <c r="B19" s="22"/>
      <c r="C19" s="22"/>
      <c r="D19" s="22"/>
      <c r="E19" s="22"/>
      <c r="F19" s="22"/>
      <c r="G19" s="22"/>
      <c r="H19" s="22"/>
      <c r="I19" s="22"/>
      <c r="J19" s="30"/>
      <c r="K19" s="22"/>
      <c r="L19" s="22"/>
      <c r="M19" s="22"/>
      <c r="N19" s="22"/>
      <c r="O19" s="22"/>
      <c r="P19" s="22"/>
      <c r="Q19" s="22"/>
      <c r="R19" s="22">
        <f t="shared" si="0"/>
        <v>0</v>
      </c>
      <c r="S19" s="14"/>
    </row>
    <row r="20" spans="1:25" x14ac:dyDescent="0.2">
      <c r="A20" s="1" t="s">
        <v>15</v>
      </c>
      <c r="B20" s="22"/>
      <c r="C20" s="22"/>
      <c r="D20" s="22"/>
      <c r="E20" s="22"/>
      <c r="F20" s="22"/>
      <c r="G20" s="22"/>
      <c r="H20" s="22"/>
      <c r="I20" s="22"/>
      <c r="J20" s="30"/>
      <c r="K20" s="22"/>
      <c r="L20" s="22"/>
      <c r="M20" s="22"/>
      <c r="N20" s="22"/>
      <c r="O20" s="22"/>
      <c r="P20" s="22"/>
      <c r="Q20" s="22"/>
      <c r="R20" s="22">
        <f t="shared" si="0"/>
        <v>0</v>
      </c>
      <c r="S20" s="14"/>
      <c r="T20" t="s">
        <v>73</v>
      </c>
    </row>
    <row r="21" spans="1:25" x14ac:dyDescent="0.2">
      <c r="A21" t="s">
        <v>10</v>
      </c>
      <c r="B21" s="22">
        <v>25432</v>
      </c>
      <c r="C21" s="22"/>
      <c r="D21" s="22"/>
      <c r="E21" s="22"/>
      <c r="F21" s="22"/>
      <c r="G21" s="22"/>
      <c r="H21" s="22"/>
      <c r="I21" s="22"/>
      <c r="J21" s="30">
        <f t="shared" si="1"/>
        <v>25432</v>
      </c>
      <c r="K21" s="22"/>
      <c r="L21" s="22"/>
      <c r="M21" s="22"/>
      <c r="N21" s="22">
        <f t="shared" si="2"/>
        <v>25432</v>
      </c>
      <c r="O21" s="22"/>
      <c r="P21" s="22">
        <f t="shared" si="3"/>
        <v>3814.7999999999997</v>
      </c>
      <c r="Q21" s="22"/>
      <c r="R21" s="22">
        <f t="shared" si="0"/>
        <v>-3814.7999999999997</v>
      </c>
      <c r="S21" s="14"/>
      <c r="T21" s="21">
        <v>36800</v>
      </c>
      <c r="U21" s="19">
        <v>-35285881.620877028</v>
      </c>
      <c r="V21" s="12"/>
      <c r="W21" s="19">
        <v>-65075389.529999994</v>
      </c>
      <c r="X21" s="12"/>
      <c r="Y21" s="20">
        <v>0.54223081683760199</v>
      </c>
    </row>
    <row r="22" spans="1:25" x14ac:dyDescent="0.2">
      <c r="A22" t="s">
        <v>3</v>
      </c>
      <c r="B22" s="22">
        <f>3482+-86113</f>
        <v>-82631</v>
      </c>
      <c r="C22" s="22"/>
      <c r="D22" s="22"/>
      <c r="E22" s="22"/>
      <c r="F22" s="22">
        <f>-38887/2</f>
        <v>-19443.5</v>
      </c>
      <c r="G22" s="22">
        <v>-4</v>
      </c>
      <c r="H22" s="22">
        <f>D22+F22</f>
        <v>-19443.5</v>
      </c>
      <c r="I22" s="22"/>
      <c r="J22" s="30">
        <f t="shared" si="1"/>
        <v>-102074.5</v>
      </c>
      <c r="K22" s="22"/>
      <c r="L22" s="22"/>
      <c r="M22" s="22"/>
      <c r="N22" s="22">
        <f t="shared" si="2"/>
        <v>-82631</v>
      </c>
      <c r="O22" s="22"/>
      <c r="P22" s="22">
        <f t="shared" si="3"/>
        <v>-15311.174999999999</v>
      </c>
      <c r="Q22" s="22"/>
      <c r="R22" s="22">
        <f t="shared" si="0"/>
        <v>-4132.3250000000007</v>
      </c>
      <c r="T22" s="21">
        <v>36831</v>
      </c>
      <c r="U22" s="19">
        <v>-35289257.422585189</v>
      </c>
      <c r="V22" s="12"/>
      <c r="W22" s="19">
        <v>-87533996.160000086</v>
      </c>
      <c r="X22" s="12"/>
      <c r="Y22" s="20">
        <v>0.40314916456094713</v>
      </c>
    </row>
    <row r="23" spans="1:25" x14ac:dyDescent="0.2">
      <c r="A23" t="s">
        <v>24</v>
      </c>
      <c r="B23" s="22"/>
      <c r="C23" s="22"/>
      <c r="D23" s="22"/>
      <c r="E23" s="22"/>
      <c r="F23" s="22"/>
      <c r="G23" s="22"/>
      <c r="H23" s="22"/>
      <c r="I23" s="22"/>
      <c r="J23" s="30"/>
      <c r="K23" s="22"/>
      <c r="L23" s="22"/>
      <c r="M23" s="22"/>
      <c r="N23" s="22"/>
      <c r="O23" s="22"/>
      <c r="P23" s="22"/>
      <c r="Q23" s="22"/>
      <c r="R23" s="22">
        <f t="shared" si="0"/>
        <v>0</v>
      </c>
      <c r="T23" s="21">
        <v>36861</v>
      </c>
      <c r="U23" s="19">
        <v>-7657083.8200536864</v>
      </c>
      <c r="V23" s="12"/>
      <c r="W23" s="19">
        <v>-133279597.81000006</v>
      </c>
      <c r="X23" s="12"/>
      <c r="Y23" s="20">
        <v>5.7451282460871667E-2</v>
      </c>
    </row>
    <row r="24" spans="1:25" x14ac:dyDescent="0.2">
      <c r="A24" s="2" t="s">
        <v>12</v>
      </c>
      <c r="B24" s="22">
        <v>24138</v>
      </c>
      <c r="C24" s="22"/>
      <c r="D24" s="22"/>
      <c r="E24" s="22"/>
      <c r="F24" s="22"/>
      <c r="G24" s="22"/>
      <c r="H24" s="22"/>
      <c r="I24" s="22"/>
      <c r="J24" s="30">
        <f t="shared" si="1"/>
        <v>24138</v>
      </c>
      <c r="K24" s="22"/>
      <c r="L24" s="22"/>
      <c r="M24" s="22"/>
      <c r="N24" s="22">
        <f t="shared" si="2"/>
        <v>24138</v>
      </c>
      <c r="O24" s="22"/>
      <c r="P24" s="22">
        <f t="shared" si="3"/>
        <v>3620.7</v>
      </c>
      <c r="Q24" s="22"/>
      <c r="R24" s="22">
        <f t="shared" si="0"/>
        <v>-3620.7</v>
      </c>
      <c r="T24" s="21">
        <v>36892</v>
      </c>
      <c r="U24" s="26">
        <v>-10555471.494977087</v>
      </c>
      <c r="V24" s="27"/>
      <c r="W24" s="26">
        <v>-105161522.7500003</v>
      </c>
      <c r="X24" s="12"/>
      <c r="Y24" s="20">
        <v>0.10037389359671531</v>
      </c>
    </row>
    <row r="25" spans="1:25" x14ac:dyDescent="0.2">
      <c r="A25" s="2" t="s">
        <v>59</v>
      </c>
      <c r="B25" s="22">
        <v>74190</v>
      </c>
      <c r="C25" s="22"/>
      <c r="D25" s="22"/>
      <c r="E25" s="22"/>
      <c r="F25" s="22">
        <v>-5595</v>
      </c>
      <c r="G25" s="22">
        <v>-5</v>
      </c>
      <c r="H25" s="22">
        <f>D25+F25</f>
        <v>-5595</v>
      </c>
      <c r="I25" s="22"/>
      <c r="J25" s="30">
        <f t="shared" si="1"/>
        <v>68595</v>
      </c>
      <c r="K25" s="22"/>
      <c r="L25" s="22">
        <v>24000</v>
      </c>
      <c r="M25" s="22"/>
      <c r="N25" s="22">
        <f t="shared" si="2"/>
        <v>50190</v>
      </c>
      <c r="O25" s="22"/>
      <c r="P25" s="22">
        <f t="shared" si="3"/>
        <v>10289.25</v>
      </c>
      <c r="Q25" s="22"/>
      <c r="R25" s="22">
        <f t="shared" si="0"/>
        <v>8115.75</v>
      </c>
      <c r="T25" s="21"/>
      <c r="U25" s="19">
        <f>SUM(U21:U24)</f>
        <v>-88787694.358492985</v>
      </c>
      <c r="V25" s="12"/>
      <c r="W25" s="19">
        <f>SUM(W21:W24)</f>
        <v>-391050506.25000042</v>
      </c>
      <c r="X25" s="12"/>
      <c r="Y25" s="20">
        <f>U25/W25</f>
        <v>0.22704917380091716</v>
      </c>
    </row>
    <row r="26" spans="1:25" x14ac:dyDescent="0.2">
      <c r="B26" s="22"/>
      <c r="C26" s="22"/>
      <c r="D26" s="22"/>
      <c r="E26" s="22"/>
      <c r="F26" s="22"/>
      <c r="G26" s="22"/>
      <c r="H26" s="22"/>
      <c r="I26" s="22"/>
      <c r="J26" s="30"/>
      <c r="K26" s="22"/>
      <c r="L26" s="22"/>
      <c r="M26" s="22"/>
      <c r="N26" s="22"/>
      <c r="O26" s="22"/>
      <c r="P26" s="22"/>
      <c r="Q26" s="22"/>
      <c r="R26" s="22"/>
    </row>
    <row r="27" spans="1:25" ht="13.5" thickBot="1" x14ac:dyDescent="0.25">
      <c r="B27" s="25">
        <f>SUM(B12:B26)</f>
        <v>521678</v>
      </c>
      <c r="C27" s="25"/>
      <c r="D27" s="25">
        <f>SUM(D12:D26)</f>
        <v>-111543.75</v>
      </c>
      <c r="E27" s="25"/>
      <c r="F27" s="25">
        <f>SUM(F12:F26)</f>
        <v>-49498.744919354838</v>
      </c>
      <c r="G27" s="25"/>
      <c r="H27" s="25">
        <f>SUM(H12:H26)</f>
        <v>-161042.49491935485</v>
      </c>
      <c r="I27" s="25"/>
      <c r="J27" s="31">
        <f>SUM(J12:J26)</f>
        <v>360633.50508064515</v>
      </c>
      <c r="K27" s="25"/>
      <c r="L27" s="25">
        <f>SUM(L12:L26)</f>
        <v>322207</v>
      </c>
      <c r="M27" s="25"/>
      <c r="N27" s="25">
        <f>SUM(N12:N26)</f>
        <v>199471</v>
      </c>
      <c r="O27" s="25"/>
      <c r="P27" s="25">
        <f>SUM(P12:P26)</f>
        <v>54095.025762096775</v>
      </c>
      <c r="Q27" s="25"/>
      <c r="R27" s="25">
        <f>SUM(R12:R26)</f>
        <v>107067.4793185484</v>
      </c>
    </row>
    <row r="28" spans="1:25" ht="13.5" thickTop="1" x14ac:dyDescent="0.2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25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41">
        <f>J27-N27-F17-P27</f>
        <v>116246.04681854838</v>
      </c>
      <c r="T29" t="s">
        <v>74</v>
      </c>
    </row>
    <row r="30" spans="1:25" ht="18" x14ac:dyDescent="0.25">
      <c r="A30" s="187" t="s">
        <v>37</v>
      </c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V30">
        <v>42762</v>
      </c>
      <c r="W30">
        <v>7000</v>
      </c>
      <c r="X30">
        <f>W30/W34</f>
        <v>0.16666666666666666</v>
      </c>
      <c r="Y30">
        <f>W30/12000</f>
        <v>0.58333333333333337</v>
      </c>
    </row>
    <row r="31" spans="1:25" ht="18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1:25" x14ac:dyDescent="0.2">
      <c r="A32" s="1" t="s">
        <v>36</v>
      </c>
      <c r="G32" s="1" t="s">
        <v>38</v>
      </c>
      <c r="S32" s="22"/>
      <c r="W32">
        <v>30000</v>
      </c>
      <c r="X32">
        <f>W32/W34</f>
        <v>0.7142857142857143</v>
      </c>
    </row>
    <row r="33" spans="1:25" x14ac:dyDescent="0.2">
      <c r="A33" t="s">
        <v>60</v>
      </c>
      <c r="G33" t="s">
        <v>75</v>
      </c>
      <c r="W33" s="4">
        <v>5000</v>
      </c>
      <c r="X33">
        <f>W33/W34</f>
        <v>0.11904761904761904</v>
      </c>
      <c r="Y33">
        <f>W33/12000</f>
        <v>0.41666666666666669</v>
      </c>
    </row>
    <row r="34" spans="1:25" x14ac:dyDescent="0.2">
      <c r="A34" t="s">
        <v>83</v>
      </c>
      <c r="G34" t="s">
        <v>63</v>
      </c>
      <c r="W34">
        <f>SUM(W30:W33)</f>
        <v>42000</v>
      </c>
    </row>
    <row r="35" spans="1:25" x14ac:dyDescent="0.2">
      <c r="A35" t="s">
        <v>84</v>
      </c>
      <c r="G35" t="s">
        <v>65</v>
      </c>
      <c r="X35">
        <f>X30+X33</f>
        <v>0.2857142857142857</v>
      </c>
    </row>
    <row r="36" spans="1:25" x14ac:dyDescent="0.2">
      <c r="A36" t="s">
        <v>95</v>
      </c>
      <c r="H36" t="s">
        <v>66</v>
      </c>
    </row>
    <row r="37" spans="1:25" x14ac:dyDescent="0.2">
      <c r="G37" t="s">
        <v>64</v>
      </c>
    </row>
    <row r="38" spans="1:25" x14ac:dyDescent="0.2">
      <c r="A38" t="s">
        <v>33</v>
      </c>
      <c r="H38" t="s">
        <v>66</v>
      </c>
    </row>
    <row r="39" spans="1:25" x14ac:dyDescent="0.2">
      <c r="A39" t="s">
        <v>34</v>
      </c>
    </row>
    <row r="40" spans="1:25" x14ac:dyDescent="0.2">
      <c r="A40" t="s">
        <v>35</v>
      </c>
      <c r="G40" s="1" t="s">
        <v>68</v>
      </c>
    </row>
    <row r="41" spans="1:25" x14ac:dyDescent="0.2">
      <c r="A41" t="s">
        <v>11</v>
      </c>
      <c r="G41" t="s">
        <v>77</v>
      </c>
      <c r="L41" s="22">
        <v>100250</v>
      </c>
      <c r="N41" t="s">
        <v>76</v>
      </c>
    </row>
    <row r="42" spans="1:25" x14ac:dyDescent="0.2">
      <c r="G42" t="s">
        <v>69</v>
      </c>
      <c r="L42" s="22">
        <f>15000+36500+92290</f>
        <v>143790</v>
      </c>
      <c r="N42" t="s">
        <v>70</v>
      </c>
    </row>
    <row r="43" spans="1:25" x14ac:dyDescent="0.2">
      <c r="L43" s="22"/>
    </row>
    <row r="44" spans="1:25" x14ac:dyDescent="0.2">
      <c r="A44" s="2" t="s">
        <v>82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39"/>
    </row>
    <row r="46" spans="1:25" x14ac:dyDescent="0.2">
      <c r="A46" s="29"/>
      <c r="B46" s="29"/>
      <c r="C46" s="29"/>
      <c r="D46" s="29"/>
      <c r="E46" s="29"/>
    </row>
    <row r="47" spans="1:25" x14ac:dyDescent="0.2">
      <c r="A47" s="42" t="s">
        <v>92</v>
      </c>
      <c r="B47" s="43"/>
      <c r="C47" s="43"/>
      <c r="D47" s="29"/>
      <c r="E47" s="29"/>
    </row>
    <row r="48" spans="1:25" x14ac:dyDescent="0.2">
      <c r="A48" s="44" t="s">
        <v>85</v>
      </c>
      <c r="B48" s="45">
        <f>F17*Y33</f>
        <v>-3824.4031249999998</v>
      </c>
      <c r="C48" s="43"/>
      <c r="D48" s="29"/>
    </row>
    <row r="49" spans="1:18" x14ac:dyDescent="0.2">
      <c r="A49" s="44" t="s">
        <v>86</v>
      </c>
      <c r="B49" s="46">
        <f>F17*Y30</f>
        <v>-5354.1643750000003</v>
      </c>
      <c r="C49" s="43"/>
      <c r="F49" s="22"/>
    </row>
    <row r="50" spans="1:18" x14ac:dyDescent="0.2">
      <c r="B50" s="22"/>
    </row>
    <row r="51" spans="1:18" x14ac:dyDescent="0.2">
      <c r="A51" s="186">
        <v>3</v>
      </c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</row>
  </sheetData>
  <mergeCells count="5">
    <mergeCell ref="A51:R51"/>
    <mergeCell ref="A2:R2"/>
    <mergeCell ref="A3:R3"/>
    <mergeCell ref="A4:R4"/>
    <mergeCell ref="A30:R30"/>
  </mergeCells>
  <phoneticPr fontId="0" type="noConversion"/>
  <pageMargins left="0.75" right="0.75" top="1" bottom="1" header="0.5" footer="0.5"/>
  <pageSetup scale="71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3"/>
  <sheetViews>
    <sheetView workbookViewId="0">
      <selection activeCell="A30" sqref="A30:R30"/>
    </sheetView>
  </sheetViews>
  <sheetFormatPr defaultRowHeight="12.75" x14ac:dyDescent="0.2"/>
  <cols>
    <col min="1" max="1" width="34" bestFit="1" customWidth="1"/>
    <col min="3" max="3" width="2.7109375" customWidth="1"/>
    <col min="5" max="5" width="3.140625" customWidth="1"/>
    <col min="6" max="6" width="12.5703125" bestFit="1" customWidth="1"/>
    <col min="7" max="7" width="3.140625" customWidth="1"/>
    <col min="8" max="8" width="12" customWidth="1"/>
    <col min="9" max="9" width="2.7109375" customWidth="1"/>
    <col min="11" max="11" width="2.7109375" customWidth="1"/>
    <col min="12" max="12" width="9.7109375" bestFit="1" customWidth="1"/>
    <col min="13" max="13" width="2.7109375" customWidth="1"/>
    <col min="14" max="14" width="13.28515625" bestFit="1" customWidth="1"/>
    <col min="15" max="15" width="2.7109375" customWidth="1"/>
    <col min="16" max="16" width="10.85546875" customWidth="1"/>
    <col min="17" max="17" width="2.7109375" customWidth="1"/>
    <col min="18" max="18" width="11.28515625" bestFit="1" customWidth="1"/>
    <col min="21" max="21" width="13.28515625" bestFit="1" customWidth="1"/>
    <col min="23" max="23" width="14.28515625" bestFit="1" customWidth="1"/>
    <col min="25" max="25" width="12.28515625" bestFit="1" customWidth="1"/>
  </cols>
  <sheetData>
    <row r="1" spans="1:23" x14ac:dyDescent="0.2">
      <c r="A1" s="7" t="s">
        <v>39</v>
      </c>
    </row>
    <row r="2" spans="1:23" x14ac:dyDescent="0.2">
      <c r="A2" s="186" t="s">
        <v>17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</row>
    <row r="3" spans="1:23" x14ac:dyDescent="0.2">
      <c r="A3" s="186" t="s">
        <v>40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</row>
    <row r="4" spans="1:23" x14ac:dyDescent="0.2">
      <c r="A4" s="186" t="s">
        <v>4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</row>
    <row r="5" spans="1:23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3" x14ac:dyDescent="0.2">
      <c r="A6" s="16" t="s">
        <v>96</v>
      </c>
      <c r="B6" s="3" t="s">
        <v>45</v>
      </c>
      <c r="C6" s="3"/>
      <c r="D6" s="3" t="s">
        <v>46</v>
      </c>
      <c r="E6" s="3" t="s">
        <v>11</v>
      </c>
      <c r="F6" s="3" t="s">
        <v>47</v>
      </c>
      <c r="G6" s="3" t="s">
        <v>11</v>
      </c>
      <c r="H6" s="3" t="s">
        <v>48</v>
      </c>
      <c r="I6" s="3"/>
      <c r="J6" s="3" t="s">
        <v>49</v>
      </c>
      <c r="K6" s="3" t="s">
        <v>11</v>
      </c>
      <c r="L6" s="3" t="s">
        <v>50</v>
      </c>
      <c r="M6" s="3" t="s">
        <v>11</v>
      </c>
      <c r="N6" s="3" t="s">
        <v>51</v>
      </c>
      <c r="O6" s="3"/>
      <c r="P6" s="3" t="s">
        <v>58</v>
      </c>
      <c r="Q6" s="3"/>
      <c r="R6" s="3" t="s">
        <v>91</v>
      </c>
      <c r="S6" s="3"/>
    </row>
    <row r="7" spans="1:23" x14ac:dyDescent="0.2">
      <c r="A7" s="3"/>
      <c r="B7" s="3"/>
      <c r="C7" s="3"/>
      <c r="D7" s="3"/>
      <c r="E7" s="3"/>
      <c r="F7" s="3"/>
      <c r="G7" s="3"/>
      <c r="H7" s="3" t="s">
        <v>53</v>
      </c>
      <c r="I7" s="3"/>
      <c r="J7" s="3" t="s">
        <v>52</v>
      </c>
      <c r="K7" s="3"/>
      <c r="L7" s="3"/>
      <c r="M7" s="3"/>
      <c r="N7" s="3" t="s">
        <v>55</v>
      </c>
      <c r="O7" s="3"/>
      <c r="P7" s="3" t="s">
        <v>88</v>
      </c>
      <c r="Q7" s="3"/>
      <c r="R7" s="3" t="s">
        <v>90</v>
      </c>
      <c r="S7" s="3"/>
    </row>
    <row r="8" spans="1:23" x14ac:dyDescent="0.2">
      <c r="A8" s="3" t="s">
        <v>22</v>
      </c>
      <c r="B8" s="17">
        <v>1</v>
      </c>
      <c r="C8" s="17"/>
      <c r="D8" s="3" t="s">
        <v>25</v>
      </c>
      <c r="E8" s="3"/>
      <c r="F8" s="3" t="s">
        <v>18</v>
      </c>
      <c r="G8" s="3"/>
      <c r="H8" s="3" t="s">
        <v>42</v>
      </c>
      <c r="I8" s="3"/>
      <c r="J8" s="3" t="s">
        <v>31</v>
      </c>
      <c r="K8" s="3"/>
      <c r="L8" s="3" t="s">
        <v>0</v>
      </c>
      <c r="M8" s="3"/>
      <c r="N8" s="3" t="s">
        <v>54</v>
      </c>
      <c r="O8" s="3"/>
      <c r="P8" s="3" t="s">
        <v>89</v>
      </c>
      <c r="Q8" s="3"/>
      <c r="R8" s="3" t="s">
        <v>56</v>
      </c>
      <c r="S8" s="3"/>
    </row>
    <row r="9" spans="1:23" x14ac:dyDescent="0.2">
      <c r="A9" s="4"/>
      <c r="B9" s="18" t="s">
        <v>19</v>
      </c>
      <c r="C9" s="18"/>
      <c r="D9" s="18" t="s">
        <v>26</v>
      </c>
      <c r="E9" s="18"/>
      <c r="F9" s="18" t="s">
        <v>21</v>
      </c>
      <c r="G9" s="18"/>
      <c r="H9" s="18" t="s">
        <v>43</v>
      </c>
      <c r="I9" s="18"/>
      <c r="J9" s="18" t="s">
        <v>19</v>
      </c>
      <c r="K9" s="18"/>
      <c r="L9" s="18" t="s">
        <v>32</v>
      </c>
      <c r="M9" s="18"/>
      <c r="N9" s="18" t="s">
        <v>44</v>
      </c>
      <c r="O9" s="18"/>
      <c r="P9" s="18" t="s">
        <v>1</v>
      </c>
      <c r="Q9" s="18"/>
      <c r="R9" s="18" t="s">
        <v>57</v>
      </c>
      <c r="S9" s="3"/>
      <c r="T9" t="s">
        <v>72</v>
      </c>
    </row>
    <row r="10" spans="1:23" x14ac:dyDescent="0.2">
      <c r="A10" s="16" t="s">
        <v>2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2"/>
      <c r="U10" s="14">
        <f>D12</f>
        <v>-121184.7</v>
      </c>
      <c r="V10">
        <f>-403949*0.2</f>
        <v>-80789.8</v>
      </c>
      <c r="W10" t="s">
        <v>27</v>
      </c>
    </row>
    <row r="11" spans="1:23" x14ac:dyDescent="0.2">
      <c r="A11" s="1" t="s">
        <v>13</v>
      </c>
      <c r="B11" s="22"/>
      <c r="C11" s="22"/>
      <c r="D11" s="22"/>
      <c r="E11" s="22"/>
      <c r="F11" s="22"/>
      <c r="G11" s="22"/>
      <c r="H11" s="22"/>
      <c r="I11" s="22"/>
      <c r="J11" s="30"/>
      <c r="K11" s="22"/>
      <c r="L11" s="22"/>
      <c r="M11" s="22"/>
      <c r="N11" s="22"/>
      <c r="O11" s="22"/>
      <c r="P11" s="22"/>
      <c r="Q11" s="22"/>
      <c r="R11" s="22"/>
      <c r="S11" s="14"/>
      <c r="U11" s="14">
        <f>D17</f>
        <v>-12667.8</v>
      </c>
      <c r="V11">
        <v>0</v>
      </c>
      <c r="W11" t="s">
        <v>28</v>
      </c>
    </row>
    <row r="12" spans="1:23" x14ac:dyDescent="0.2">
      <c r="A12" t="s">
        <v>71</v>
      </c>
      <c r="B12" s="22">
        <v>403949</v>
      </c>
      <c r="C12" s="22"/>
      <c r="D12" s="22">
        <f>-B12*0.3</f>
        <v>-121184.7</v>
      </c>
      <c r="E12" s="22">
        <v>-1</v>
      </c>
      <c r="F12" s="22"/>
      <c r="G12" s="22"/>
      <c r="H12" s="22">
        <f>D12+F12</f>
        <v>-121184.7</v>
      </c>
      <c r="I12" s="22"/>
      <c r="J12" s="30">
        <f>SUM(B12:F12)</f>
        <v>282763.3</v>
      </c>
      <c r="K12" s="22"/>
      <c r="L12" s="22">
        <v>242369</v>
      </c>
      <c r="M12" s="22"/>
      <c r="N12" s="22">
        <f>B12-L12</f>
        <v>161580</v>
      </c>
      <c r="O12" s="22"/>
      <c r="P12" s="22">
        <f>J12*0.15</f>
        <v>42414.494999999995</v>
      </c>
      <c r="Q12" s="22"/>
      <c r="R12" s="22">
        <f>J12-N12-P12</f>
        <v>78768.804999999993</v>
      </c>
      <c r="S12" s="14"/>
      <c r="U12" s="14"/>
    </row>
    <row r="13" spans="1:23" x14ac:dyDescent="0.2">
      <c r="A13" s="2" t="s">
        <v>20</v>
      </c>
      <c r="B13" s="22"/>
      <c r="C13" s="22"/>
      <c r="D13" s="22"/>
      <c r="E13" s="22"/>
      <c r="F13" s="22"/>
      <c r="G13" s="22"/>
      <c r="H13" s="22"/>
      <c r="I13" s="22"/>
      <c r="J13" s="30"/>
      <c r="K13" s="22"/>
      <c r="L13" s="22"/>
      <c r="M13" s="22"/>
      <c r="N13" s="22"/>
      <c r="O13" s="22"/>
      <c r="P13" s="22"/>
      <c r="Q13" s="22"/>
      <c r="R13" s="22">
        <f t="shared" ref="R13:R25" si="0">J13-N13-P13</f>
        <v>0</v>
      </c>
      <c r="S13" s="14"/>
      <c r="U13" s="14">
        <f>F17</f>
        <v>-8576.8469999999998</v>
      </c>
      <c r="V13">
        <v>0</v>
      </c>
      <c r="W13" t="s">
        <v>30</v>
      </c>
    </row>
    <row r="14" spans="1:23" x14ac:dyDescent="0.2">
      <c r="B14" s="22"/>
      <c r="C14" s="22"/>
      <c r="D14" s="22"/>
      <c r="E14" s="22"/>
      <c r="F14" s="22"/>
      <c r="G14" s="22"/>
      <c r="H14" s="22"/>
      <c r="I14" s="22"/>
      <c r="J14" s="30"/>
      <c r="K14" s="22"/>
      <c r="L14" s="22"/>
      <c r="M14" s="22"/>
      <c r="N14" s="22"/>
      <c r="O14" s="22"/>
      <c r="P14" s="22"/>
      <c r="Q14" s="22"/>
      <c r="R14" s="22">
        <f t="shared" si="0"/>
        <v>0</v>
      </c>
      <c r="S14" s="14"/>
      <c r="U14" s="14">
        <v>-19444</v>
      </c>
      <c r="V14">
        <v>-38887</v>
      </c>
      <c r="W14" t="s">
        <v>29</v>
      </c>
    </row>
    <row r="15" spans="1:23" x14ac:dyDescent="0.2">
      <c r="A15" s="1" t="s">
        <v>3</v>
      </c>
      <c r="B15" s="22"/>
      <c r="C15" s="22"/>
      <c r="D15" s="22"/>
      <c r="E15" s="22"/>
      <c r="F15" s="22"/>
      <c r="G15" s="22"/>
      <c r="H15" s="22"/>
      <c r="I15" s="22"/>
      <c r="J15" s="30"/>
      <c r="K15" s="22"/>
      <c r="L15" s="22"/>
      <c r="M15" s="22"/>
      <c r="N15" s="22"/>
      <c r="O15" s="22"/>
      <c r="P15" s="22"/>
      <c r="Q15" s="22"/>
      <c r="R15" s="22">
        <f t="shared" si="0"/>
        <v>0</v>
      </c>
      <c r="S15" s="14"/>
      <c r="U15" s="14">
        <f>F25</f>
        <v>-5595</v>
      </c>
      <c r="V15">
        <v>-11190</v>
      </c>
      <c r="W15" t="s">
        <v>29</v>
      </c>
    </row>
    <row r="16" spans="1:23" x14ac:dyDescent="0.2">
      <c r="A16" s="1" t="s">
        <v>14</v>
      </c>
      <c r="B16" s="22"/>
      <c r="C16" s="22"/>
      <c r="D16" s="22"/>
      <c r="E16" s="22"/>
      <c r="F16" s="22"/>
      <c r="G16" s="22"/>
      <c r="H16" s="22"/>
      <c r="I16" s="22"/>
      <c r="J16" s="30"/>
      <c r="K16" s="22"/>
      <c r="L16" s="22"/>
      <c r="M16" s="22"/>
      <c r="N16" s="22"/>
      <c r="O16" s="22"/>
      <c r="P16" s="22"/>
      <c r="Q16" s="22"/>
      <c r="R16" s="22">
        <f t="shared" si="0"/>
        <v>0</v>
      </c>
      <c r="S16" s="14"/>
      <c r="U16" s="14"/>
    </row>
    <row r="17" spans="1:25" x14ac:dyDescent="0.2">
      <c r="A17" t="s">
        <v>23</v>
      </c>
      <c r="B17" s="22">
        <v>42762</v>
      </c>
      <c r="C17" s="22"/>
      <c r="D17" s="22">
        <f>-'Detail by Transaction Type'!B15*0.3</f>
        <v>-12667.8</v>
      </c>
      <c r="E17" s="22">
        <v>-1</v>
      </c>
      <c r="F17" s="41">
        <f>-(B17+D17)*0.285</f>
        <v>-8576.8469999999998</v>
      </c>
      <c r="G17" s="22">
        <v>-2</v>
      </c>
      <c r="H17" s="22">
        <f>D17+F17</f>
        <v>-21244.646999999997</v>
      </c>
      <c r="I17" s="22"/>
      <c r="J17" s="30">
        <f t="shared" ref="J17:J25" si="1">SUM(B17:F17)</f>
        <v>21516.353000000003</v>
      </c>
      <c r="K17" s="22"/>
      <c r="L17" s="22">
        <f>22000</f>
        <v>22000</v>
      </c>
      <c r="M17" s="22"/>
      <c r="N17" s="22">
        <f t="shared" ref="N17:N25" si="2">B17-L17</f>
        <v>20762</v>
      </c>
      <c r="O17" s="22"/>
      <c r="P17" s="22">
        <f t="shared" ref="P17:P25" si="3">J17*0.15</f>
        <v>3227.4529500000003</v>
      </c>
      <c r="Q17" s="22"/>
      <c r="R17" s="22">
        <f t="shared" si="0"/>
        <v>-2473.0999499999975</v>
      </c>
      <c r="S17" s="14"/>
      <c r="U17" s="4">
        <v>-15282</v>
      </c>
      <c r="V17" s="4">
        <v>-33838</v>
      </c>
      <c r="W17" t="s">
        <v>41</v>
      </c>
    </row>
    <row r="18" spans="1:25" x14ac:dyDescent="0.2">
      <c r="A18" t="s">
        <v>67</v>
      </c>
      <c r="B18" s="22">
        <v>33838</v>
      </c>
      <c r="C18" s="22"/>
      <c r="D18" s="22"/>
      <c r="E18" s="22"/>
      <c r="F18" s="22">
        <f>-(B18/31)*14</f>
        <v>-15281.677419354837</v>
      </c>
      <c r="G18" s="22">
        <v>-3</v>
      </c>
      <c r="H18" s="22">
        <f>D18+F18</f>
        <v>-15281.677419354837</v>
      </c>
      <c r="I18" s="22"/>
      <c r="J18" s="30">
        <f t="shared" si="1"/>
        <v>18556.322580645163</v>
      </c>
      <c r="K18" s="22"/>
      <c r="L18" s="22">
        <v>33838</v>
      </c>
      <c r="M18" s="22"/>
      <c r="N18" s="22"/>
      <c r="O18" s="22"/>
      <c r="P18" s="22">
        <f t="shared" si="3"/>
        <v>2783.4483870967742</v>
      </c>
      <c r="Q18" s="22"/>
      <c r="R18" s="22">
        <f t="shared" si="0"/>
        <v>15772.874193548389</v>
      </c>
      <c r="S18" s="14"/>
      <c r="U18" s="14">
        <f>SUM(U10:U17)</f>
        <v>-182750.34700000001</v>
      </c>
      <c r="V18">
        <f>SUM(V10:V17)</f>
        <v>-164704.79999999999</v>
      </c>
      <c r="W18" s="14">
        <f>U18-V18</f>
        <v>-18045.54700000002</v>
      </c>
    </row>
    <row r="19" spans="1:25" x14ac:dyDescent="0.2">
      <c r="B19" s="22"/>
      <c r="C19" s="22"/>
      <c r="D19" s="22"/>
      <c r="E19" s="22"/>
      <c r="F19" s="22"/>
      <c r="G19" s="22"/>
      <c r="H19" s="22"/>
      <c r="I19" s="22"/>
      <c r="J19" s="30"/>
      <c r="K19" s="22"/>
      <c r="L19" s="22"/>
      <c r="M19" s="22"/>
      <c r="N19" s="22"/>
      <c r="O19" s="22"/>
      <c r="P19" s="22"/>
      <c r="Q19" s="22"/>
      <c r="R19" s="22">
        <f t="shared" si="0"/>
        <v>0</v>
      </c>
      <c r="S19" s="14"/>
    </row>
    <row r="20" spans="1:25" x14ac:dyDescent="0.2">
      <c r="A20" s="1" t="s">
        <v>15</v>
      </c>
      <c r="B20" s="22"/>
      <c r="C20" s="22"/>
      <c r="D20" s="22"/>
      <c r="E20" s="22"/>
      <c r="F20" s="22"/>
      <c r="G20" s="22"/>
      <c r="H20" s="22"/>
      <c r="I20" s="22"/>
      <c r="J20" s="30"/>
      <c r="K20" s="22"/>
      <c r="L20" s="22"/>
      <c r="M20" s="22"/>
      <c r="N20" s="22"/>
      <c r="O20" s="22"/>
      <c r="P20" s="22"/>
      <c r="Q20" s="22"/>
      <c r="R20" s="22">
        <f t="shared" si="0"/>
        <v>0</v>
      </c>
      <c r="S20" s="14"/>
      <c r="T20" t="s">
        <v>73</v>
      </c>
    </row>
    <row r="21" spans="1:25" x14ac:dyDescent="0.2">
      <c r="A21" t="s">
        <v>10</v>
      </c>
      <c r="B21" s="22">
        <v>25432</v>
      </c>
      <c r="C21" s="22"/>
      <c r="D21" s="22"/>
      <c r="E21" s="22"/>
      <c r="F21" s="22"/>
      <c r="G21" s="22"/>
      <c r="H21" s="22"/>
      <c r="I21" s="22"/>
      <c r="J21" s="30">
        <f t="shared" si="1"/>
        <v>25432</v>
      </c>
      <c r="K21" s="22"/>
      <c r="L21" s="22"/>
      <c r="M21" s="22"/>
      <c r="N21" s="22">
        <f t="shared" si="2"/>
        <v>25432</v>
      </c>
      <c r="O21" s="22"/>
      <c r="P21" s="22">
        <f t="shared" si="3"/>
        <v>3814.7999999999997</v>
      </c>
      <c r="Q21" s="22"/>
      <c r="R21" s="22">
        <f t="shared" si="0"/>
        <v>-3814.7999999999997</v>
      </c>
      <c r="S21" s="14"/>
      <c r="T21" s="21">
        <v>36800</v>
      </c>
      <c r="U21" s="19">
        <v>-35285881.620877028</v>
      </c>
      <c r="V21" s="12"/>
      <c r="W21" s="19">
        <v>-65075389.529999994</v>
      </c>
      <c r="X21" s="12"/>
      <c r="Y21" s="20">
        <v>0.54223081683760199</v>
      </c>
    </row>
    <row r="22" spans="1:25" x14ac:dyDescent="0.2">
      <c r="A22" t="s">
        <v>3</v>
      </c>
      <c r="B22" s="22">
        <f>3482+-86113</f>
        <v>-82631</v>
      </c>
      <c r="C22" s="22"/>
      <c r="D22" s="22"/>
      <c r="E22" s="22"/>
      <c r="F22" s="22">
        <f>-38887/2</f>
        <v>-19443.5</v>
      </c>
      <c r="G22" s="22">
        <v>-4</v>
      </c>
      <c r="H22" s="22">
        <f>D22+F22</f>
        <v>-19443.5</v>
      </c>
      <c r="I22" s="22"/>
      <c r="J22" s="30">
        <f t="shared" si="1"/>
        <v>-102074.5</v>
      </c>
      <c r="K22" s="22"/>
      <c r="L22" s="22"/>
      <c r="M22" s="22"/>
      <c r="N22" s="22">
        <f t="shared" si="2"/>
        <v>-82631</v>
      </c>
      <c r="O22" s="22"/>
      <c r="P22" s="22">
        <f t="shared" si="3"/>
        <v>-15311.174999999999</v>
      </c>
      <c r="Q22" s="22"/>
      <c r="R22" s="22">
        <f t="shared" si="0"/>
        <v>-4132.3250000000007</v>
      </c>
      <c r="T22" s="21">
        <v>36831</v>
      </c>
      <c r="U22" s="19">
        <v>-35289257.422585189</v>
      </c>
      <c r="V22" s="12"/>
      <c r="W22" s="19">
        <v>-87533996.160000086</v>
      </c>
      <c r="X22" s="12"/>
      <c r="Y22" s="20">
        <v>0.40314916456094713</v>
      </c>
    </row>
    <row r="23" spans="1:25" x14ac:dyDescent="0.2">
      <c r="A23" t="s">
        <v>24</v>
      </c>
      <c r="B23" s="22"/>
      <c r="C23" s="22"/>
      <c r="D23" s="22"/>
      <c r="E23" s="22"/>
      <c r="F23" s="22"/>
      <c r="G23" s="22"/>
      <c r="H23" s="22"/>
      <c r="I23" s="22"/>
      <c r="J23" s="30"/>
      <c r="K23" s="22"/>
      <c r="L23" s="22"/>
      <c r="M23" s="22"/>
      <c r="N23" s="22"/>
      <c r="O23" s="22"/>
      <c r="P23" s="22"/>
      <c r="Q23" s="22"/>
      <c r="R23" s="22">
        <f t="shared" si="0"/>
        <v>0</v>
      </c>
      <c r="T23" s="21">
        <v>36861</v>
      </c>
      <c r="U23" s="19">
        <v>-7657083.8200536864</v>
      </c>
      <c r="V23" s="12"/>
      <c r="W23" s="19">
        <v>-133279597.81000006</v>
      </c>
      <c r="X23" s="12"/>
      <c r="Y23" s="20">
        <v>5.7451282460871667E-2</v>
      </c>
    </row>
    <row r="24" spans="1:25" x14ac:dyDescent="0.2">
      <c r="A24" s="2" t="s">
        <v>12</v>
      </c>
      <c r="B24" s="22">
        <v>24138</v>
      </c>
      <c r="C24" s="22"/>
      <c r="D24" s="22"/>
      <c r="E24" s="22"/>
      <c r="F24" s="22"/>
      <c r="G24" s="22"/>
      <c r="H24" s="22"/>
      <c r="I24" s="22"/>
      <c r="J24" s="30">
        <f t="shared" si="1"/>
        <v>24138</v>
      </c>
      <c r="K24" s="22"/>
      <c r="L24" s="22"/>
      <c r="M24" s="22"/>
      <c r="N24" s="22">
        <f t="shared" si="2"/>
        <v>24138</v>
      </c>
      <c r="O24" s="22"/>
      <c r="P24" s="22">
        <f t="shared" si="3"/>
        <v>3620.7</v>
      </c>
      <c r="Q24" s="22"/>
      <c r="R24" s="22">
        <f t="shared" si="0"/>
        <v>-3620.7</v>
      </c>
      <c r="T24" s="21">
        <v>36892</v>
      </c>
      <c r="U24" s="26">
        <v>-10555471.494977087</v>
      </c>
      <c r="V24" s="27"/>
      <c r="W24" s="26">
        <v>-105161522.7500003</v>
      </c>
      <c r="X24" s="12"/>
      <c r="Y24" s="20">
        <v>0.10037389359671531</v>
      </c>
    </row>
    <row r="25" spans="1:25" x14ac:dyDescent="0.2">
      <c r="A25" s="2" t="s">
        <v>59</v>
      </c>
      <c r="B25" s="22">
        <v>74190</v>
      </c>
      <c r="C25" s="22"/>
      <c r="D25" s="22"/>
      <c r="E25" s="22"/>
      <c r="F25" s="22">
        <v>-5595</v>
      </c>
      <c r="G25" s="22">
        <v>-5</v>
      </c>
      <c r="H25" s="22">
        <f>D25+F25</f>
        <v>-5595</v>
      </c>
      <c r="I25" s="22"/>
      <c r="J25" s="30">
        <f t="shared" si="1"/>
        <v>68595</v>
      </c>
      <c r="K25" s="22"/>
      <c r="L25" s="22">
        <v>24000</v>
      </c>
      <c r="M25" s="22"/>
      <c r="N25" s="22">
        <f t="shared" si="2"/>
        <v>50190</v>
      </c>
      <c r="O25" s="22"/>
      <c r="P25" s="22">
        <f t="shared" si="3"/>
        <v>10289.25</v>
      </c>
      <c r="Q25" s="22"/>
      <c r="R25" s="22">
        <f t="shared" si="0"/>
        <v>8115.75</v>
      </c>
      <c r="T25" s="21"/>
      <c r="U25" s="19">
        <f>SUM(U21:U24)</f>
        <v>-88787694.358492985</v>
      </c>
      <c r="V25" s="12"/>
      <c r="W25" s="19">
        <f>SUM(W21:W24)</f>
        <v>-391050506.25000042</v>
      </c>
      <c r="X25" s="12"/>
      <c r="Y25" s="20">
        <f>U25/W25</f>
        <v>0.22704917380091716</v>
      </c>
    </row>
    <row r="26" spans="1:25" x14ac:dyDescent="0.2">
      <c r="B26" s="22"/>
      <c r="C26" s="22"/>
      <c r="D26" s="22"/>
      <c r="E26" s="22"/>
      <c r="F26" s="22"/>
      <c r="G26" s="22"/>
      <c r="H26" s="22"/>
      <c r="I26" s="22"/>
      <c r="J26" s="30"/>
      <c r="K26" s="22"/>
      <c r="L26" s="22"/>
      <c r="M26" s="22"/>
      <c r="N26" s="22"/>
      <c r="O26" s="22"/>
      <c r="P26" s="22"/>
      <c r="Q26" s="22"/>
      <c r="R26" s="22"/>
    </row>
    <row r="27" spans="1:25" ht="13.5" thickBot="1" x14ac:dyDescent="0.25">
      <c r="B27" s="25">
        <f>SUM(B12:B26)</f>
        <v>521678</v>
      </c>
      <c r="C27" s="25"/>
      <c r="D27" s="25">
        <f>SUM(D12:D26)</f>
        <v>-133852.5</v>
      </c>
      <c r="E27" s="25"/>
      <c r="F27" s="25">
        <f>SUM(F12:F26)</f>
        <v>-48897.024419354835</v>
      </c>
      <c r="G27" s="25"/>
      <c r="H27" s="25">
        <f>SUM(H12:H26)</f>
        <v>-182749.52441935486</v>
      </c>
      <c r="I27" s="25"/>
      <c r="J27" s="31">
        <f>SUM(J12:J26)</f>
        <v>338926.47558064514</v>
      </c>
      <c r="K27" s="25"/>
      <c r="L27" s="25">
        <f>SUM(L12:L26)</f>
        <v>322207</v>
      </c>
      <c r="M27" s="25"/>
      <c r="N27" s="25">
        <f>SUM(N12:N26)</f>
        <v>199471</v>
      </c>
      <c r="O27" s="25"/>
      <c r="P27" s="25">
        <f>SUM(P12:P26)</f>
        <v>50838.971337096766</v>
      </c>
      <c r="Q27" s="25"/>
      <c r="R27" s="25">
        <f>SUM(R12:R26)</f>
        <v>88616.504243548377</v>
      </c>
    </row>
    <row r="28" spans="1:25" ht="13.5" thickTop="1" x14ac:dyDescent="0.2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spans="1:25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41">
        <f>J27-N27-F17-P27</f>
        <v>97193.351243548386</v>
      </c>
      <c r="T29" t="s">
        <v>74</v>
      </c>
    </row>
    <row r="30" spans="1:25" ht="18" x14ac:dyDescent="0.25">
      <c r="A30" s="187" t="s">
        <v>37</v>
      </c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V30">
        <v>42762</v>
      </c>
      <c r="W30">
        <v>7000</v>
      </c>
      <c r="X30">
        <f>W30/W34</f>
        <v>0.16666666666666666</v>
      </c>
      <c r="Y30">
        <f>W30/12000</f>
        <v>0.58333333333333337</v>
      </c>
    </row>
    <row r="31" spans="1:25" ht="18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1:25" x14ac:dyDescent="0.2">
      <c r="A32" s="1" t="s">
        <v>36</v>
      </c>
      <c r="G32" s="1" t="s">
        <v>38</v>
      </c>
      <c r="S32" s="22"/>
      <c r="W32">
        <v>30000</v>
      </c>
      <c r="X32">
        <f>W32/W34</f>
        <v>0.7142857142857143</v>
      </c>
    </row>
    <row r="33" spans="1:25" x14ac:dyDescent="0.2">
      <c r="A33" t="s">
        <v>60</v>
      </c>
      <c r="G33" t="s">
        <v>75</v>
      </c>
      <c r="W33" s="4">
        <v>5000</v>
      </c>
      <c r="X33">
        <f>W33/W34</f>
        <v>0.11904761904761904</v>
      </c>
      <c r="Y33">
        <f>W33/12000</f>
        <v>0.41666666666666669</v>
      </c>
    </row>
    <row r="34" spans="1:25" x14ac:dyDescent="0.2">
      <c r="A34" t="s">
        <v>83</v>
      </c>
      <c r="G34" t="s">
        <v>63</v>
      </c>
      <c r="W34">
        <f>SUM(W30:W33)</f>
        <v>42000</v>
      </c>
    </row>
    <row r="35" spans="1:25" x14ac:dyDescent="0.2">
      <c r="A35" t="s">
        <v>84</v>
      </c>
      <c r="G35" t="s">
        <v>65</v>
      </c>
      <c r="X35">
        <f>X30+X33</f>
        <v>0.2857142857142857</v>
      </c>
    </row>
    <row r="36" spans="1:25" x14ac:dyDescent="0.2">
      <c r="A36" t="s">
        <v>97</v>
      </c>
      <c r="H36" t="s">
        <v>66</v>
      </c>
    </row>
    <row r="37" spans="1:25" x14ac:dyDescent="0.2">
      <c r="G37" t="s">
        <v>64</v>
      </c>
    </row>
    <row r="38" spans="1:25" x14ac:dyDescent="0.2">
      <c r="A38" t="s">
        <v>33</v>
      </c>
      <c r="H38" t="s">
        <v>66</v>
      </c>
    </row>
    <row r="39" spans="1:25" x14ac:dyDescent="0.2">
      <c r="A39" t="s">
        <v>34</v>
      </c>
    </row>
    <row r="40" spans="1:25" x14ac:dyDescent="0.2">
      <c r="A40" t="s">
        <v>35</v>
      </c>
      <c r="G40" s="1" t="s">
        <v>68</v>
      </c>
    </row>
    <row r="41" spans="1:25" x14ac:dyDescent="0.2">
      <c r="A41" t="s">
        <v>11</v>
      </c>
      <c r="G41" t="s">
        <v>77</v>
      </c>
      <c r="L41" s="22">
        <v>100250</v>
      </c>
      <c r="N41" t="s">
        <v>76</v>
      </c>
    </row>
    <row r="42" spans="1:25" x14ac:dyDescent="0.2">
      <c r="G42" t="s">
        <v>69</v>
      </c>
      <c r="L42" s="22">
        <f>15000+36500+92290</f>
        <v>143790</v>
      </c>
      <c r="N42" t="s">
        <v>70</v>
      </c>
    </row>
    <row r="43" spans="1:25" x14ac:dyDescent="0.2">
      <c r="L43" s="22"/>
    </row>
    <row r="44" spans="1:25" x14ac:dyDescent="0.2">
      <c r="A44" s="2" t="s">
        <v>82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39"/>
    </row>
    <row r="46" spans="1:25" x14ac:dyDescent="0.2">
      <c r="A46" s="29"/>
      <c r="B46" s="29"/>
      <c r="C46" s="29"/>
      <c r="D46" s="29"/>
      <c r="E46" s="29"/>
    </row>
    <row r="47" spans="1:25" x14ac:dyDescent="0.2">
      <c r="A47" s="42" t="s">
        <v>92</v>
      </c>
      <c r="B47" s="43"/>
      <c r="C47" s="43"/>
      <c r="D47" s="29"/>
      <c r="E47" s="29"/>
    </row>
    <row r="48" spans="1:25" x14ac:dyDescent="0.2">
      <c r="A48" s="44" t="s">
        <v>85</v>
      </c>
      <c r="B48" s="45">
        <f>F17*Y33</f>
        <v>-3573.6862500000002</v>
      </c>
      <c r="C48" s="43"/>
      <c r="D48" s="29"/>
    </row>
    <row r="49" spans="1:18" x14ac:dyDescent="0.2">
      <c r="A49" s="44" t="s">
        <v>86</v>
      </c>
      <c r="B49" s="46">
        <f>F17*Y30</f>
        <v>-5003.16075</v>
      </c>
      <c r="C49" s="43"/>
      <c r="F49" s="22"/>
    </row>
    <row r="50" spans="1:18" x14ac:dyDescent="0.2">
      <c r="B50" s="22"/>
    </row>
    <row r="51" spans="1:18" x14ac:dyDescent="0.2">
      <c r="A51" s="186">
        <v>4</v>
      </c>
      <c r="B51" s="186"/>
      <c r="C51" s="186"/>
      <c r="D51" s="186"/>
      <c r="E51" s="186"/>
      <c r="F51" s="186"/>
      <c r="G51" s="186"/>
      <c r="H51" s="186"/>
      <c r="I51" s="186"/>
      <c r="J51" s="186"/>
      <c r="K51" s="186"/>
      <c r="L51" s="186"/>
      <c r="M51" s="186"/>
      <c r="N51" s="186"/>
      <c r="O51" s="186"/>
      <c r="P51" s="186"/>
      <c r="Q51" s="186"/>
      <c r="R51" s="186"/>
    </row>
    <row r="53" spans="1:18" x14ac:dyDescent="0.2">
      <c r="A53" s="186"/>
      <c r="B53" s="186"/>
      <c r="C53" s="186"/>
      <c r="D53" s="186"/>
      <c r="E53" s="186"/>
      <c r="F53" s="186"/>
      <c r="G53" s="186"/>
      <c r="H53" s="186"/>
      <c r="I53" s="186"/>
      <c r="J53" s="186"/>
      <c r="K53" s="186"/>
      <c r="L53" s="186"/>
      <c r="M53" s="186"/>
      <c r="N53" s="186"/>
      <c r="O53" s="186"/>
      <c r="P53" s="186"/>
      <c r="Q53" s="186"/>
      <c r="R53" s="186"/>
    </row>
  </sheetData>
  <mergeCells count="6">
    <mergeCell ref="A53:R53"/>
    <mergeCell ref="A51:R51"/>
    <mergeCell ref="A2:R2"/>
    <mergeCell ref="A3:R3"/>
    <mergeCell ref="A4:R4"/>
    <mergeCell ref="A30:R30"/>
  </mergeCells>
  <phoneticPr fontId="0" type="noConversion"/>
  <pageMargins left="0.75" right="0.75" top="1" bottom="1" header="0.5" footer="0.5"/>
  <pageSetup scale="71"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C50"/>
  <sheetViews>
    <sheetView workbookViewId="0">
      <selection activeCell="I27" sqref="I27:I28"/>
    </sheetView>
  </sheetViews>
  <sheetFormatPr defaultRowHeight="12.75" x14ac:dyDescent="0.2"/>
  <cols>
    <col min="1" max="1" width="15.85546875" customWidth="1"/>
    <col min="2" max="4" width="9.85546875" customWidth="1"/>
    <col min="5" max="7" width="10.7109375" customWidth="1"/>
    <col min="8" max="8" width="13.140625" customWidth="1"/>
    <col min="9" max="9" width="12" bestFit="1" customWidth="1"/>
  </cols>
  <sheetData>
    <row r="2" spans="1:29" x14ac:dyDescent="0.2">
      <c r="A2" s="14"/>
    </row>
    <row r="3" spans="1:29" x14ac:dyDescent="0.2">
      <c r="A3" s="188" t="s">
        <v>116</v>
      </c>
      <c r="B3" s="188"/>
      <c r="C3" s="188"/>
      <c r="D3" s="188"/>
      <c r="E3" s="188"/>
      <c r="F3" s="188"/>
      <c r="G3" s="188"/>
      <c r="H3" s="188"/>
    </row>
    <row r="4" spans="1:29" x14ac:dyDescent="0.2">
      <c r="A4" s="188"/>
      <c r="B4" s="188"/>
      <c r="C4" s="188"/>
      <c r="D4" s="188"/>
      <c r="E4" s="188"/>
      <c r="F4" s="188"/>
      <c r="G4" s="188"/>
      <c r="H4" s="188"/>
    </row>
    <row r="5" spans="1:29" ht="18" x14ac:dyDescent="0.25">
      <c r="A5" s="187" t="s">
        <v>117</v>
      </c>
      <c r="B5" s="187"/>
      <c r="C5" s="187"/>
      <c r="D5" s="187"/>
      <c r="E5" s="187"/>
      <c r="F5" s="187"/>
      <c r="G5" s="187"/>
      <c r="H5" s="187"/>
    </row>
    <row r="6" spans="1:29" ht="15.75" x14ac:dyDescent="0.25">
      <c r="A6" s="189" t="s">
        <v>118</v>
      </c>
      <c r="B6" s="189"/>
      <c r="C6" s="189"/>
      <c r="D6" s="189"/>
      <c r="E6" s="189"/>
      <c r="F6" s="189"/>
      <c r="G6" s="189"/>
      <c r="H6" s="189"/>
    </row>
    <row r="7" spans="1:29" x14ac:dyDescent="0.2">
      <c r="A7" s="190" t="s">
        <v>98</v>
      </c>
      <c r="B7" s="190"/>
      <c r="C7" s="190"/>
      <c r="D7" s="190"/>
      <c r="E7" s="190"/>
      <c r="F7" s="190"/>
      <c r="G7" s="190"/>
      <c r="H7" s="190"/>
    </row>
    <row r="8" spans="1:29" x14ac:dyDescent="0.2">
      <c r="A8" s="59"/>
      <c r="B8" s="59"/>
      <c r="C8" s="59"/>
      <c r="D8" s="59"/>
      <c r="E8" s="59"/>
      <c r="F8" s="59"/>
      <c r="G8" s="59"/>
      <c r="H8" s="59"/>
    </row>
    <row r="9" spans="1:29" x14ac:dyDescent="0.2">
      <c r="A9" s="60" t="s">
        <v>119</v>
      </c>
      <c r="B9" s="62">
        <v>36982</v>
      </c>
      <c r="C9" s="62">
        <v>37012</v>
      </c>
      <c r="D9" s="62">
        <v>37043</v>
      </c>
      <c r="E9" s="62">
        <v>37073</v>
      </c>
      <c r="F9" s="62">
        <v>37104</v>
      </c>
      <c r="G9" s="62">
        <v>37135</v>
      </c>
      <c r="H9" s="62">
        <v>37165</v>
      </c>
      <c r="I9" s="63" t="s">
        <v>120</v>
      </c>
    </row>
    <row r="10" spans="1:29" x14ac:dyDescent="0.2">
      <c r="A10" s="64" t="s">
        <v>121</v>
      </c>
      <c r="B10" s="65"/>
      <c r="C10" s="65"/>
      <c r="D10" s="65"/>
      <c r="E10" s="65"/>
      <c r="F10" s="66"/>
      <c r="G10" s="66"/>
      <c r="I10" s="67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x14ac:dyDescent="0.2">
      <c r="A11" s="68" t="s">
        <v>122</v>
      </c>
      <c r="B11" s="79">
        <v>26328504</v>
      </c>
      <c r="C11" s="79">
        <v>28623915</v>
      </c>
      <c r="D11" s="79">
        <v>27905721</v>
      </c>
      <c r="E11" s="80">
        <v>28571025</v>
      </c>
      <c r="F11" s="81">
        <v>28948482</v>
      </c>
      <c r="G11" s="82">
        <v>28208576</v>
      </c>
      <c r="H11" s="79">
        <v>28000000</v>
      </c>
      <c r="I11" s="79">
        <f>SUM(B11:H11)</f>
        <v>196586223</v>
      </c>
      <c r="J11" s="14"/>
    </row>
    <row r="12" spans="1:29" x14ac:dyDescent="0.2">
      <c r="A12" s="7" t="s">
        <v>132</v>
      </c>
      <c r="B12" s="75">
        <v>0</v>
      </c>
      <c r="C12" s="75">
        <v>0</v>
      </c>
      <c r="D12" s="75">
        <v>0</v>
      </c>
      <c r="E12" s="83">
        <v>100000000</v>
      </c>
      <c r="F12" s="84">
        <v>400000000</v>
      </c>
      <c r="G12" s="71">
        <v>420000000</v>
      </c>
      <c r="H12" s="85">
        <v>420000000</v>
      </c>
      <c r="I12" s="86">
        <f>SUM(B12:H12)</f>
        <v>1340000000</v>
      </c>
      <c r="J12" s="14"/>
    </row>
    <row r="13" spans="1:29" ht="13.5" thickBot="1" x14ac:dyDescent="0.25">
      <c r="A13" s="7" t="s">
        <v>124</v>
      </c>
      <c r="B13" s="87">
        <f>SUM(B11:B12)</f>
        <v>26328504</v>
      </c>
      <c r="C13" s="87">
        <f t="shared" ref="C13:H13" si="0">SUM(C11:C12)</f>
        <v>28623915</v>
      </c>
      <c r="D13" s="87">
        <f t="shared" si="0"/>
        <v>27905721</v>
      </c>
      <c r="E13" s="87">
        <f>SUM(E11:E12)</f>
        <v>128571025</v>
      </c>
      <c r="F13" s="87">
        <f t="shared" si="0"/>
        <v>428948482</v>
      </c>
      <c r="G13" s="88">
        <f t="shared" si="0"/>
        <v>448208576</v>
      </c>
      <c r="H13" s="88">
        <f t="shared" si="0"/>
        <v>448000000</v>
      </c>
      <c r="I13" s="87">
        <f>SUM(I11:I12)</f>
        <v>1536586223</v>
      </c>
      <c r="J13" s="14"/>
    </row>
    <row r="14" spans="1:29" ht="13.5" thickTop="1" x14ac:dyDescent="0.2">
      <c r="B14" s="14"/>
      <c r="C14" s="14"/>
      <c r="D14" s="14"/>
      <c r="E14" s="14"/>
      <c r="F14" s="14"/>
      <c r="G14" s="14"/>
      <c r="H14" s="14"/>
      <c r="I14" s="14"/>
      <c r="J14" s="14"/>
    </row>
    <row r="15" spans="1:29" x14ac:dyDescent="0.2">
      <c r="A15" s="7" t="s">
        <v>125</v>
      </c>
      <c r="B15" s="89">
        <v>0.01</v>
      </c>
      <c r="C15" s="89">
        <v>0.01</v>
      </c>
      <c r="D15" s="89">
        <v>0.01</v>
      </c>
      <c r="E15" s="89">
        <v>0.01</v>
      </c>
      <c r="F15" s="89">
        <v>0.01</v>
      </c>
      <c r="G15" s="89">
        <v>0.01</v>
      </c>
      <c r="H15" s="89">
        <v>0.01</v>
      </c>
      <c r="I15" s="89"/>
      <c r="J15" s="14"/>
    </row>
    <row r="16" spans="1:29" x14ac:dyDescent="0.2">
      <c r="A16" s="7"/>
      <c r="B16" s="8"/>
      <c r="C16" s="8"/>
      <c r="D16" s="8"/>
      <c r="E16" s="8"/>
      <c r="F16" s="8"/>
      <c r="G16" s="8"/>
      <c r="H16" s="14"/>
      <c r="I16" s="8"/>
      <c r="J16" s="14"/>
    </row>
    <row r="17" spans="1:15" x14ac:dyDescent="0.2">
      <c r="A17" s="7" t="s">
        <v>126</v>
      </c>
      <c r="B17" s="8"/>
      <c r="C17" s="8"/>
      <c r="D17" s="8"/>
      <c r="E17" s="8"/>
      <c r="F17" s="8"/>
      <c r="G17" s="8"/>
      <c r="H17" s="14"/>
      <c r="I17" s="8"/>
      <c r="J17" s="14"/>
    </row>
    <row r="18" spans="1:15" x14ac:dyDescent="0.2">
      <c r="A18" s="7" t="s">
        <v>127</v>
      </c>
      <c r="B18" s="90">
        <f>B11*B15</f>
        <v>263285.03999999998</v>
      </c>
      <c r="C18" s="90">
        <f t="shared" ref="C18:H18" si="1">C11*C15</f>
        <v>286239.15000000002</v>
      </c>
      <c r="D18" s="90">
        <f t="shared" si="1"/>
        <v>279057.21000000002</v>
      </c>
      <c r="E18" s="90">
        <f t="shared" si="1"/>
        <v>285710.25</v>
      </c>
      <c r="F18" s="90">
        <f t="shared" si="1"/>
        <v>289484.82</v>
      </c>
      <c r="G18" s="90">
        <f t="shared" si="1"/>
        <v>282085.76000000001</v>
      </c>
      <c r="H18" s="91">
        <f t="shared" si="1"/>
        <v>280000</v>
      </c>
      <c r="I18" s="90">
        <f>SUM(B18:H18)</f>
        <v>1965862.23</v>
      </c>
      <c r="J18" s="14"/>
    </row>
    <row r="19" spans="1:15" x14ac:dyDescent="0.2">
      <c r="A19" s="7" t="s">
        <v>128</v>
      </c>
      <c r="B19" s="92">
        <f>B12*B15</f>
        <v>0</v>
      </c>
      <c r="C19" s="92">
        <f t="shared" ref="C19:H19" si="2">C12*C15</f>
        <v>0</v>
      </c>
      <c r="D19" s="92">
        <f t="shared" si="2"/>
        <v>0</v>
      </c>
      <c r="E19" s="75">
        <f t="shared" si="2"/>
        <v>1000000</v>
      </c>
      <c r="F19" s="75">
        <f t="shared" si="2"/>
        <v>4000000</v>
      </c>
      <c r="G19" s="75">
        <f t="shared" si="2"/>
        <v>4200000</v>
      </c>
      <c r="H19" s="93">
        <f t="shared" si="2"/>
        <v>4200000</v>
      </c>
      <c r="I19" s="92">
        <f>SUM(B19:H19)</f>
        <v>13400000</v>
      </c>
      <c r="J19" s="14"/>
    </row>
    <row r="20" spans="1:15" ht="13.5" thickBot="1" x14ac:dyDescent="0.25">
      <c r="A20" s="7" t="s">
        <v>129</v>
      </c>
      <c r="B20" s="87">
        <f>SUM(B18:B19)</f>
        <v>263285.03999999998</v>
      </c>
      <c r="C20" s="87">
        <f t="shared" ref="C20:H20" si="3">SUM(C18:C19)</f>
        <v>286239.15000000002</v>
      </c>
      <c r="D20" s="87">
        <f t="shared" si="3"/>
        <v>279057.21000000002</v>
      </c>
      <c r="E20" s="87">
        <f t="shared" si="3"/>
        <v>1285710.25</v>
      </c>
      <c r="F20" s="87">
        <f t="shared" si="3"/>
        <v>4289484.82</v>
      </c>
      <c r="G20" s="87">
        <f t="shared" si="3"/>
        <v>4482085.76</v>
      </c>
      <c r="H20" s="87">
        <f t="shared" si="3"/>
        <v>4480000</v>
      </c>
      <c r="I20" s="87">
        <f>SUM(I18:I19)</f>
        <v>15365862.23</v>
      </c>
      <c r="J20" s="14"/>
    </row>
    <row r="21" spans="1:15" ht="13.5" thickTop="1" x14ac:dyDescent="0.2">
      <c r="B21" s="33"/>
      <c r="C21" s="33"/>
      <c r="D21" s="33"/>
      <c r="E21" s="33"/>
      <c r="F21" s="33"/>
      <c r="G21" s="33"/>
      <c r="H21" s="33"/>
      <c r="I21" s="19"/>
      <c r="J21" s="19"/>
    </row>
    <row r="22" spans="1:15" x14ac:dyDescent="0.2">
      <c r="A22" s="94" t="s">
        <v>133</v>
      </c>
      <c r="B22" s="94"/>
      <c r="C22" s="94"/>
      <c r="D22" s="94"/>
      <c r="E22" s="94"/>
      <c r="F22" s="94"/>
      <c r="G22" s="95"/>
      <c r="H22" s="95"/>
      <c r="I22" s="15"/>
      <c r="J22" s="15"/>
      <c r="K22" s="15"/>
    </row>
    <row r="23" spans="1:15" x14ac:dyDescent="0.2">
      <c r="A23" s="29"/>
      <c r="B23" s="76"/>
      <c r="C23" s="76"/>
      <c r="D23" s="76"/>
      <c r="E23" s="76"/>
      <c r="F23" s="76"/>
      <c r="G23" s="76"/>
      <c r="H23" s="76"/>
    </row>
    <row r="25" spans="1:15" x14ac:dyDescent="0.2">
      <c r="A25" s="78"/>
      <c r="B25" s="78"/>
      <c r="C25" s="78"/>
      <c r="D25" s="78"/>
      <c r="E25" s="78"/>
      <c r="F25" s="78"/>
      <c r="G25" s="76"/>
      <c r="H25" s="77"/>
    </row>
    <row r="26" spans="1:15" x14ac:dyDescent="0.2">
      <c r="A26" s="76"/>
      <c r="B26" s="76"/>
      <c r="C26" s="76"/>
      <c r="D26" s="76"/>
      <c r="E26" s="76"/>
      <c r="F26" s="76"/>
      <c r="G26" s="76"/>
      <c r="H26" s="76"/>
      <c r="I26" s="2"/>
      <c r="J26" s="2"/>
      <c r="K26" s="2"/>
      <c r="L26" s="2"/>
      <c r="M26" s="2"/>
      <c r="N26" s="2"/>
      <c r="O26" s="2"/>
    </row>
    <row r="27" spans="1:15" x14ac:dyDescent="0.2">
      <c r="A27" s="60" t="s">
        <v>119</v>
      </c>
      <c r="B27" s="62">
        <v>37196</v>
      </c>
      <c r="C27" s="62">
        <v>37226</v>
      </c>
      <c r="D27" s="62">
        <v>37257</v>
      </c>
      <c r="E27" s="62">
        <v>37288</v>
      </c>
      <c r="F27" s="62">
        <v>37316</v>
      </c>
      <c r="G27" s="62">
        <v>37347</v>
      </c>
      <c r="H27" s="62" t="s">
        <v>134</v>
      </c>
      <c r="I27" s="63" t="s">
        <v>120</v>
      </c>
    </row>
    <row r="28" spans="1:15" x14ac:dyDescent="0.2">
      <c r="A28" s="7" t="s">
        <v>135</v>
      </c>
      <c r="B28" s="96">
        <f>(464261.294596639)*1000</f>
        <v>464261294.59663898</v>
      </c>
      <c r="C28" s="96">
        <f>(451557.517986859)*1000</f>
        <v>451557517.98685902</v>
      </c>
      <c r="D28" s="96">
        <f>(418738.085922141)*1000</f>
        <v>418738085.92214096</v>
      </c>
      <c r="E28" s="96">
        <f>(391856.457647704)*1000</f>
        <v>391856457.64770401</v>
      </c>
      <c r="F28" s="96">
        <f>(424977.592050598)*1000</f>
        <v>424977592.05059803</v>
      </c>
      <c r="G28" s="96">
        <f>(324345.911204521)*1000</f>
        <v>324345911.204521</v>
      </c>
      <c r="H28" s="96">
        <f>(2481036.18840071)*1000</f>
        <v>2481036188.4007101</v>
      </c>
      <c r="I28" s="96">
        <f>SUM(B28:H28)</f>
        <v>4956773047.8091726</v>
      </c>
    </row>
    <row r="29" spans="1:15" x14ac:dyDescent="0.2">
      <c r="B29" s="14"/>
      <c r="C29" s="14"/>
      <c r="D29" s="14"/>
      <c r="E29" s="14"/>
      <c r="F29" s="14"/>
      <c r="G29" s="14"/>
      <c r="H29" s="14"/>
      <c r="I29" s="14"/>
    </row>
    <row r="30" spans="1:15" x14ac:dyDescent="0.2">
      <c r="A30" s="7" t="s">
        <v>125</v>
      </c>
      <c r="B30" s="89">
        <v>0.01</v>
      </c>
      <c r="C30" s="89">
        <v>0.01</v>
      </c>
      <c r="D30" s="89">
        <v>0.01</v>
      </c>
      <c r="E30" s="89">
        <v>0.01</v>
      </c>
      <c r="F30" s="89">
        <v>0.01</v>
      </c>
      <c r="G30" s="89">
        <v>0.01</v>
      </c>
      <c r="H30" s="89">
        <v>0.01</v>
      </c>
      <c r="I30" s="89"/>
    </row>
    <row r="31" spans="1:15" x14ac:dyDescent="0.2">
      <c r="B31" s="14"/>
      <c r="C31" s="14"/>
      <c r="D31" s="14"/>
      <c r="E31" s="14"/>
      <c r="F31" s="14"/>
      <c r="G31" s="14"/>
      <c r="H31" s="14"/>
      <c r="I31" s="14"/>
    </row>
    <row r="32" spans="1:15" ht="13.5" thickBot="1" x14ac:dyDescent="0.25">
      <c r="A32" s="7" t="s">
        <v>126</v>
      </c>
      <c r="B32" s="87">
        <f t="shared" ref="B32:H32" si="4">(B28*B30)</f>
        <v>4642612.94596639</v>
      </c>
      <c r="C32" s="10">
        <f t="shared" si="4"/>
        <v>4515575.1798685901</v>
      </c>
      <c r="D32" s="10">
        <f t="shared" si="4"/>
        <v>4187380.8592214095</v>
      </c>
      <c r="E32" s="10">
        <f t="shared" si="4"/>
        <v>3918564.5764770401</v>
      </c>
      <c r="F32" s="10">
        <f t="shared" si="4"/>
        <v>4249775.92050598</v>
      </c>
      <c r="G32" s="10">
        <f t="shared" si="4"/>
        <v>3243459.1120452099</v>
      </c>
      <c r="H32" s="10">
        <f t="shared" si="4"/>
        <v>24810361.8840071</v>
      </c>
      <c r="I32" s="87">
        <f>SUM(B32:H32)</f>
        <v>49567730.478091717</v>
      </c>
    </row>
    <row r="33" ht="13.5" thickTop="1" x14ac:dyDescent="0.2"/>
    <row r="50" spans="1:8" x14ac:dyDescent="0.2">
      <c r="A50" s="186">
        <v>5</v>
      </c>
      <c r="B50" s="186"/>
      <c r="C50" s="186"/>
      <c r="D50" s="186"/>
      <c r="E50" s="186"/>
      <c r="F50" s="186"/>
      <c r="G50" s="186"/>
      <c r="H50" s="186"/>
    </row>
  </sheetData>
  <mergeCells count="5">
    <mergeCell ref="A50:H50"/>
    <mergeCell ref="A3:H4"/>
    <mergeCell ref="A5:H5"/>
    <mergeCell ref="A6:H6"/>
    <mergeCell ref="A7:H7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3"/>
  <sheetViews>
    <sheetView workbookViewId="0">
      <selection activeCell="D5" sqref="D5"/>
    </sheetView>
  </sheetViews>
  <sheetFormatPr defaultRowHeight="12.75" x14ac:dyDescent="0.2"/>
  <cols>
    <col min="1" max="1" width="16" bestFit="1" customWidth="1"/>
    <col min="2" max="2" width="17.7109375" customWidth="1"/>
    <col min="3" max="3" width="11.5703125" customWidth="1"/>
    <col min="4" max="6" width="12.140625" bestFit="1" customWidth="1"/>
    <col min="7" max="7" width="12.28515625" bestFit="1" customWidth="1"/>
    <col min="8" max="8" width="12.85546875" bestFit="1" customWidth="1"/>
    <col min="9" max="9" width="12" customWidth="1"/>
    <col min="10" max="10" width="17.7109375" bestFit="1" customWidth="1"/>
    <col min="11" max="12" width="11.5703125" customWidth="1"/>
    <col min="13" max="13" width="11.5703125" bestFit="1" customWidth="1"/>
    <col min="14" max="17" width="11.5703125" customWidth="1"/>
    <col min="18" max="18" width="11.28515625" bestFit="1" customWidth="1"/>
  </cols>
  <sheetData>
    <row r="1" spans="1:23" x14ac:dyDescent="0.2">
      <c r="F1" s="191" t="s">
        <v>167</v>
      </c>
      <c r="G1" s="191"/>
      <c r="H1" s="191"/>
    </row>
    <row r="2" spans="1:23" ht="18" x14ac:dyDescent="0.25">
      <c r="A2" s="187" t="s">
        <v>142</v>
      </c>
      <c r="B2" s="187"/>
      <c r="C2" s="187"/>
      <c r="D2" s="187"/>
      <c r="E2" s="187"/>
      <c r="F2" s="187"/>
      <c r="G2" s="187"/>
      <c r="H2" s="187"/>
    </row>
    <row r="3" spans="1:23" ht="15.75" x14ac:dyDescent="0.25">
      <c r="A3" s="189" t="s">
        <v>143</v>
      </c>
      <c r="B3" s="189"/>
      <c r="C3" s="189"/>
      <c r="D3" s="189"/>
      <c r="E3" s="189"/>
      <c r="F3" s="189"/>
      <c r="G3" s="189"/>
      <c r="H3" s="189"/>
    </row>
    <row r="4" spans="1:23" x14ac:dyDescent="0.2">
      <c r="A4" s="186" t="s">
        <v>118</v>
      </c>
      <c r="B4" s="186"/>
      <c r="C4" s="186"/>
      <c r="D4" s="186"/>
      <c r="E4" s="186"/>
      <c r="F4" s="186"/>
      <c r="G4" s="186"/>
      <c r="H4" s="186"/>
    </row>
    <row r="5" spans="1:23" x14ac:dyDescent="0.2">
      <c r="B5" s="58"/>
      <c r="C5" s="58"/>
      <c r="D5" s="58"/>
      <c r="E5" s="58"/>
    </row>
    <row r="6" spans="1:23" x14ac:dyDescent="0.2">
      <c r="B6" s="118" t="s">
        <v>119</v>
      </c>
      <c r="C6" s="119">
        <v>36982</v>
      </c>
      <c r="D6" s="119">
        <v>37012</v>
      </c>
      <c r="E6" s="119">
        <v>37043</v>
      </c>
      <c r="F6" s="119">
        <v>37073</v>
      </c>
      <c r="G6" s="120">
        <v>37104</v>
      </c>
      <c r="U6" s="5"/>
      <c r="V6" s="5"/>
      <c r="W6" s="5"/>
    </row>
    <row r="7" spans="1:23" x14ac:dyDescent="0.2">
      <c r="B7" s="101" t="s">
        <v>144</v>
      </c>
      <c r="C7" s="102">
        <v>26328504</v>
      </c>
      <c r="D7" s="69">
        <v>28623915</v>
      </c>
      <c r="E7" s="70">
        <v>27905721</v>
      </c>
      <c r="F7" s="69">
        <v>28571025</v>
      </c>
      <c r="G7" s="70">
        <v>28948482</v>
      </c>
      <c r="H7" s="103"/>
    </row>
    <row r="8" spans="1:23" x14ac:dyDescent="0.2">
      <c r="B8" s="48"/>
      <c r="C8" s="48"/>
      <c r="D8" s="48"/>
      <c r="E8" s="104"/>
      <c r="F8" s="48"/>
      <c r="G8" s="104"/>
      <c r="H8" s="103"/>
    </row>
    <row r="9" spans="1:23" x14ac:dyDescent="0.2">
      <c r="B9" s="48" t="s">
        <v>148</v>
      </c>
      <c r="C9" s="124">
        <v>-1237814.1200000001</v>
      </c>
      <c r="D9" s="124">
        <v>431748.57</v>
      </c>
      <c r="E9" s="72">
        <v>443761.35</v>
      </c>
      <c r="F9" s="124">
        <v>515068.13</v>
      </c>
      <c r="G9" s="72">
        <v>188203.88</v>
      </c>
    </row>
    <row r="10" spans="1:23" x14ac:dyDescent="0.2">
      <c r="B10" s="121"/>
      <c r="C10" s="122"/>
      <c r="D10" s="122"/>
      <c r="E10" s="106"/>
      <c r="F10" s="122"/>
      <c r="G10" s="106"/>
    </row>
    <row r="11" spans="1:23" x14ac:dyDescent="0.2">
      <c r="B11" s="48" t="s">
        <v>145</v>
      </c>
      <c r="C11" s="125">
        <f>C9/C7</f>
        <v>-4.7014221544832174E-2</v>
      </c>
      <c r="D11" s="125">
        <f>D9/D7</f>
        <v>1.5083491199579094E-2</v>
      </c>
      <c r="E11" s="130">
        <f>E9/E7</f>
        <v>1.5902163932621557E-2</v>
      </c>
      <c r="F11" s="125">
        <f>F9/F7</f>
        <v>1.8027639190403566E-2</v>
      </c>
      <c r="G11" s="130">
        <f>G9/G7</f>
        <v>6.5013384812371167E-3</v>
      </c>
    </row>
    <row r="12" spans="1:23" x14ac:dyDescent="0.2">
      <c r="B12" s="122"/>
      <c r="C12" s="126"/>
      <c r="D12" s="126"/>
      <c r="E12" s="131"/>
      <c r="F12" s="126"/>
      <c r="G12" s="135"/>
    </row>
    <row r="13" spans="1:23" x14ac:dyDescent="0.2">
      <c r="B13" s="123" t="s">
        <v>146</v>
      </c>
      <c r="C13" s="127">
        <v>0.101309558644122</v>
      </c>
      <c r="D13" s="129">
        <v>3.8048444805680842E-2</v>
      </c>
      <c r="E13" s="132">
        <v>3.7206445230352589E-2</v>
      </c>
      <c r="F13" s="129">
        <v>3.5072969555694972E-2</v>
      </c>
      <c r="G13" s="132">
        <v>4.6039847270748079E-2</v>
      </c>
    </row>
    <row r="14" spans="1:23" x14ac:dyDescent="0.2">
      <c r="B14" s="123"/>
      <c r="C14" s="128"/>
      <c r="D14" s="128"/>
      <c r="E14" s="133"/>
      <c r="F14" s="128"/>
      <c r="G14" s="133"/>
    </row>
    <row r="15" spans="1:23" x14ac:dyDescent="0.2">
      <c r="B15" s="48" t="s">
        <v>149</v>
      </c>
      <c r="C15" s="125">
        <f>C11+C13</f>
        <v>5.4295337099289825E-2</v>
      </c>
      <c r="D15" s="125">
        <f>D11+D13</f>
        <v>5.3131936005259936E-2</v>
      </c>
      <c r="E15" s="130">
        <f>E11+E13</f>
        <v>5.3108609162974149E-2</v>
      </c>
      <c r="F15" s="125">
        <f>F11+F13</f>
        <v>5.3100608746098538E-2</v>
      </c>
      <c r="G15" s="130">
        <f>G11+G13</f>
        <v>5.2541185751985194E-2</v>
      </c>
    </row>
    <row r="16" spans="1:23" x14ac:dyDescent="0.2">
      <c r="B16" s="122"/>
      <c r="C16" s="126"/>
      <c r="D16" s="126"/>
      <c r="E16" s="131"/>
      <c r="F16" s="126"/>
      <c r="G16" s="131"/>
    </row>
    <row r="17" spans="2:8" x14ac:dyDescent="0.2">
      <c r="B17" s="48" t="s">
        <v>166</v>
      </c>
      <c r="C17" s="125">
        <v>0.02</v>
      </c>
      <c r="D17" s="125">
        <v>0.02</v>
      </c>
      <c r="E17" s="125">
        <v>0.02</v>
      </c>
      <c r="F17" s="125">
        <v>0.02</v>
      </c>
      <c r="G17" s="125">
        <v>0.02</v>
      </c>
      <c r="H17" s="122"/>
    </row>
    <row r="18" spans="2:8" x14ac:dyDescent="0.2">
      <c r="B18" s="122"/>
      <c r="C18" s="126"/>
      <c r="D18" s="126"/>
      <c r="E18" s="131"/>
      <c r="F18" s="126"/>
      <c r="G18" s="131"/>
    </row>
    <row r="19" spans="2:8" ht="13.5" thickBot="1" x14ac:dyDescent="0.25">
      <c r="B19" s="50" t="s">
        <v>168</v>
      </c>
      <c r="C19" s="117">
        <f>C15-C17</f>
        <v>3.4295337099289822E-2</v>
      </c>
      <c r="D19" s="117">
        <f>D15-D17</f>
        <v>3.3131936005259932E-2</v>
      </c>
      <c r="E19" s="134">
        <f>E15-E17</f>
        <v>3.3108609162974145E-2</v>
      </c>
      <c r="F19" s="117">
        <f>F15-F17</f>
        <v>3.3100608746098534E-2</v>
      </c>
      <c r="G19" s="134">
        <f>G15-G17</f>
        <v>3.2541185751985197E-2</v>
      </c>
    </row>
    <row r="20" spans="2:8" ht="13.5" thickTop="1" x14ac:dyDescent="0.2"/>
    <row r="21" spans="2:8" x14ac:dyDescent="0.2">
      <c r="B21" s="138" t="s">
        <v>147</v>
      </c>
    </row>
    <row r="22" spans="2:8" x14ac:dyDescent="0.2">
      <c r="B22" s="100" t="s">
        <v>119</v>
      </c>
      <c r="C22" s="62">
        <v>36982</v>
      </c>
      <c r="D22" s="62">
        <v>37012</v>
      </c>
      <c r="E22" s="62">
        <v>37043</v>
      </c>
      <c r="F22" s="62">
        <v>37073</v>
      </c>
      <c r="G22" s="62">
        <v>37104</v>
      </c>
      <c r="H22" s="63" t="s">
        <v>120</v>
      </c>
    </row>
    <row r="23" spans="2:8" x14ac:dyDescent="0.2">
      <c r="B23" s="107" t="s">
        <v>147</v>
      </c>
      <c r="C23" s="64"/>
      <c r="D23" s="65"/>
      <c r="E23" s="65"/>
      <c r="F23" s="65"/>
      <c r="G23" s="66"/>
      <c r="H23" s="67"/>
    </row>
    <row r="24" spans="2:8" x14ac:dyDescent="0.2">
      <c r="B24" s="105" t="s">
        <v>144</v>
      </c>
      <c r="C24" s="108">
        <v>28623915</v>
      </c>
      <c r="D24" s="108">
        <v>28623915</v>
      </c>
      <c r="E24" s="109">
        <v>27905721</v>
      </c>
      <c r="F24" s="69">
        <v>28571025</v>
      </c>
      <c r="G24" s="70">
        <v>28948482</v>
      </c>
      <c r="H24" s="108">
        <f>SUM(D24:G24)</f>
        <v>114049143</v>
      </c>
    </row>
    <row r="25" spans="2:8" x14ac:dyDescent="0.2">
      <c r="B25" s="104" t="s">
        <v>123</v>
      </c>
      <c r="C25" s="110">
        <v>0</v>
      </c>
      <c r="D25" s="110">
        <v>0</v>
      </c>
      <c r="E25" s="111">
        <v>0</v>
      </c>
      <c r="F25" s="112">
        <v>100000000</v>
      </c>
      <c r="G25" s="85">
        <v>400000000</v>
      </c>
      <c r="H25" s="113">
        <f>SUM(D25:G25)</f>
        <v>500000000</v>
      </c>
    </row>
    <row r="26" spans="2:8" ht="13.5" thickBot="1" x14ac:dyDescent="0.25">
      <c r="B26" s="74" t="s">
        <v>124</v>
      </c>
      <c r="C26" s="114">
        <f t="shared" ref="C26:H26" si="0">SUM(C24:C25)</f>
        <v>28623915</v>
      </c>
      <c r="D26" s="114">
        <f t="shared" si="0"/>
        <v>28623915</v>
      </c>
      <c r="E26" s="73">
        <f t="shared" si="0"/>
        <v>27905721</v>
      </c>
      <c r="F26" s="73">
        <f t="shared" si="0"/>
        <v>128571025</v>
      </c>
      <c r="G26" s="73">
        <f t="shared" si="0"/>
        <v>428948482</v>
      </c>
      <c r="H26" s="73">
        <f t="shared" si="0"/>
        <v>614049143</v>
      </c>
    </row>
    <row r="27" spans="2:8" ht="13.5" thickTop="1" x14ac:dyDescent="0.2"/>
    <row r="28" spans="2:8" x14ac:dyDescent="0.2">
      <c r="B28" s="7" t="s">
        <v>150</v>
      </c>
      <c r="C28" s="115">
        <f>0.034-C13</f>
        <v>-6.7309558644121997E-2</v>
      </c>
      <c r="D28" s="115">
        <f>0.034-D13</f>
        <v>-4.0484448056808398E-3</v>
      </c>
      <c r="E28" s="115">
        <f>0.034-E13</f>
        <v>-3.2064452303525864E-3</v>
      </c>
      <c r="F28" s="115">
        <f>0.034-F13</f>
        <v>-1.0729695556949692E-3</v>
      </c>
      <c r="G28" s="115">
        <f>0.034-G13</f>
        <v>-1.2039847270748076E-2</v>
      </c>
      <c r="H28" s="7"/>
    </row>
    <row r="29" spans="2:8" x14ac:dyDescent="0.2">
      <c r="B29" s="138" t="s">
        <v>151</v>
      </c>
      <c r="C29" s="7"/>
      <c r="D29" s="2"/>
      <c r="E29" s="2"/>
      <c r="F29" s="2"/>
      <c r="G29" s="2"/>
      <c r="H29" s="2"/>
    </row>
    <row r="30" spans="2:8" x14ac:dyDescent="0.2">
      <c r="B30" s="100" t="s">
        <v>119</v>
      </c>
      <c r="C30" s="62">
        <v>36982</v>
      </c>
      <c r="D30" s="62">
        <v>37012</v>
      </c>
      <c r="E30" s="62">
        <v>37043</v>
      </c>
      <c r="F30" s="62">
        <v>37073</v>
      </c>
      <c r="G30" s="62">
        <v>37104</v>
      </c>
      <c r="H30" s="63" t="s">
        <v>120</v>
      </c>
    </row>
    <row r="31" spans="2:8" x14ac:dyDescent="0.2">
      <c r="B31" s="116" t="s">
        <v>126</v>
      </c>
      <c r="C31" s="49"/>
      <c r="D31" s="2"/>
      <c r="E31" s="2"/>
      <c r="F31" s="2"/>
      <c r="G31" s="2"/>
      <c r="H31" s="2"/>
    </row>
    <row r="32" spans="2:8" ht="13.5" thickBot="1" x14ac:dyDescent="0.25">
      <c r="B32" s="74" t="s">
        <v>129</v>
      </c>
      <c r="C32" s="136">
        <f>C28*C26</f>
        <v>-1926663.0853168634</v>
      </c>
      <c r="D32" s="136">
        <f>D28*D26</f>
        <v>-115882.33999999988</v>
      </c>
      <c r="E32" s="136">
        <f>E28*E26</f>
        <v>-89478.166000000012</v>
      </c>
      <c r="F32" s="136">
        <f>F28*F26</f>
        <v>-137952.79556949678</v>
      </c>
      <c r="G32" s="136">
        <f>G28*G26</f>
        <v>-5164474.2102992302</v>
      </c>
      <c r="H32" s="136">
        <f>SUM(C32:G32)</f>
        <v>-7434450.5971855903</v>
      </c>
    </row>
    <row r="33" spans="1:9" ht="13.5" thickTop="1" x14ac:dyDescent="0.2"/>
    <row r="34" spans="1:9" x14ac:dyDescent="0.2">
      <c r="B34" s="7" t="s">
        <v>150</v>
      </c>
      <c r="C34" s="115">
        <f>0.04-C13</f>
        <v>-6.1309558644121999E-2</v>
      </c>
      <c r="D34" s="115">
        <f>0.04-D13</f>
        <v>1.9515551943191586E-3</v>
      </c>
      <c r="E34" s="115">
        <f>0.04-E13</f>
        <v>2.793554769647412E-3</v>
      </c>
      <c r="F34" s="115">
        <f>0.04-F13</f>
        <v>4.9270304443050292E-3</v>
      </c>
      <c r="G34" s="115">
        <f>0.04-G13</f>
        <v>-6.0398472707480777E-3</v>
      </c>
      <c r="H34" s="7"/>
    </row>
    <row r="35" spans="1:9" x14ac:dyDescent="0.2">
      <c r="B35" s="137" t="s">
        <v>152</v>
      </c>
      <c r="C35" s="7"/>
      <c r="D35" s="2"/>
      <c r="E35" s="2"/>
      <c r="F35" s="2"/>
      <c r="G35" s="2"/>
      <c r="H35" s="2"/>
    </row>
    <row r="36" spans="1:9" x14ac:dyDescent="0.2">
      <c r="B36" s="100" t="s">
        <v>119</v>
      </c>
      <c r="C36" s="62">
        <v>36982</v>
      </c>
      <c r="D36" s="62">
        <v>37012</v>
      </c>
      <c r="E36" s="62">
        <v>37043</v>
      </c>
      <c r="F36" s="62">
        <v>37073</v>
      </c>
      <c r="G36" s="62">
        <v>37104</v>
      </c>
      <c r="H36" s="63" t="s">
        <v>120</v>
      </c>
    </row>
    <row r="37" spans="1:9" x14ac:dyDescent="0.2">
      <c r="B37" s="116" t="s">
        <v>126</v>
      </c>
      <c r="C37" s="49"/>
      <c r="D37" s="2"/>
      <c r="E37" s="2"/>
      <c r="F37" s="2"/>
      <c r="G37" s="2"/>
      <c r="H37" s="2"/>
    </row>
    <row r="38" spans="1:9" ht="13.5" thickBot="1" x14ac:dyDescent="0.25">
      <c r="B38" s="74" t="s">
        <v>129</v>
      </c>
      <c r="C38" s="136">
        <f>C34*C26</f>
        <v>-1754919.5953168634</v>
      </c>
      <c r="D38" s="136">
        <f>D34*D26</f>
        <v>55861.150000000081</v>
      </c>
      <c r="E38" s="136">
        <f>E34*E26</f>
        <v>77956.159999999945</v>
      </c>
      <c r="F38" s="136">
        <f>F34*F26</f>
        <v>633473.35443050298</v>
      </c>
      <c r="G38" s="136">
        <f>G34*G26</f>
        <v>-2590783.3182992311</v>
      </c>
      <c r="H38" s="136">
        <f>SUM(C38:G38)</f>
        <v>-3578412.2491855915</v>
      </c>
    </row>
    <row r="39" spans="1:9" ht="13.5" thickTop="1" x14ac:dyDescent="0.2"/>
    <row r="40" spans="1:9" x14ac:dyDescent="0.2">
      <c r="B40" s="7" t="s">
        <v>150</v>
      </c>
      <c r="C40" s="115">
        <f>0.054-C13</f>
        <v>-4.7309558644122E-2</v>
      </c>
      <c r="D40" s="115">
        <f>0.054-D13</f>
        <v>1.5951555194319157E-2</v>
      </c>
      <c r="E40" s="115">
        <f>0.054-E13</f>
        <v>1.6793554769647411E-2</v>
      </c>
      <c r="F40" s="115">
        <f>0.054-F13</f>
        <v>1.8927030444305028E-2</v>
      </c>
      <c r="G40" s="115">
        <f>0.054-G13</f>
        <v>7.9601527292519209E-3</v>
      </c>
      <c r="H40" s="7"/>
    </row>
    <row r="41" spans="1:9" x14ac:dyDescent="0.2">
      <c r="B41" s="138" t="s">
        <v>163</v>
      </c>
      <c r="C41" s="7"/>
      <c r="D41" s="2"/>
      <c r="E41" s="2"/>
      <c r="F41" s="2"/>
      <c r="G41" s="2"/>
      <c r="H41" s="2"/>
    </row>
    <row r="42" spans="1:9" x14ac:dyDescent="0.2">
      <c r="B42" s="100" t="s">
        <v>119</v>
      </c>
      <c r="C42" s="62">
        <v>36982</v>
      </c>
      <c r="D42" s="62">
        <v>37012</v>
      </c>
      <c r="E42" s="62">
        <v>37043</v>
      </c>
      <c r="F42" s="62">
        <v>37073</v>
      </c>
      <c r="G42" s="62">
        <v>37104</v>
      </c>
      <c r="H42" s="63" t="s">
        <v>120</v>
      </c>
    </row>
    <row r="43" spans="1:9" x14ac:dyDescent="0.2">
      <c r="B43" s="116" t="s">
        <v>126</v>
      </c>
      <c r="C43" s="49"/>
      <c r="D43" s="2"/>
      <c r="E43" s="2"/>
      <c r="F43" s="2"/>
      <c r="G43" s="2"/>
      <c r="H43" s="2"/>
    </row>
    <row r="44" spans="1:9" ht="13.5" thickBot="1" x14ac:dyDescent="0.25">
      <c r="B44" s="74" t="s">
        <v>129</v>
      </c>
      <c r="C44" s="136">
        <f>C40*C26</f>
        <v>-1354184.7853168633</v>
      </c>
      <c r="D44" s="136">
        <f>D40*D26</f>
        <v>456595.96</v>
      </c>
      <c r="E44" s="136">
        <f>E40*E26</f>
        <v>468636.2539999999</v>
      </c>
      <c r="F44" s="136">
        <f>F40*F26</f>
        <v>2433467.7044305028</v>
      </c>
      <c r="G44" s="136">
        <f>G40*G26</f>
        <v>3414495.4297007686</v>
      </c>
      <c r="H44" s="136">
        <f>SUM(C44:G44)</f>
        <v>5419010.562814408</v>
      </c>
    </row>
    <row r="45" spans="1:9" ht="13.5" thickTop="1" x14ac:dyDescent="0.2"/>
    <row r="46" spans="1:9" x14ac:dyDescent="0.2">
      <c r="D46" s="22"/>
      <c r="E46" s="22"/>
      <c r="F46" s="22"/>
      <c r="G46" s="22"/>
    </row>
    <row r="47" spans="1:9" ht="15.75" x14ac:dyDescent="0.25">
      <c r="A47" s="189" t="s">
        <v>164</v>
      </c>
      <c r="B47" s="189"/>
      <c r="C47" s="189"/>
      <c r="D47" s="189"/>
      <c r="E47" s="189"/>
      <c r="F47" s="189"/>
      <c r="G47" s="189"/>
      <c r="H47" s="189"/>
      <c r="I47" s="189"/>
    </row>
    <row r="48" spans="1:9" x14ac:dyDescent="0.2">
      <c r="A48" s="184" t="s">
        <v>165</v>
      </c>
      <c r="B48" s="184"/>
      <c r="C48" s="184"/>
      <c r="D48" s="184"/>
      <c r="E48" s="184"/>
      <c r="F48" s="184"/>
      <c r="G48" s="184"/>
      <c r="H48" s="184"/>
      <c r="I48" s="184"/>
    </row>
    <row r="50" spans="1:9" x14ac:dyDescent="0.2">
      <c r="A50" s="60" t="s">
        <v>119</v>
      </c>
      <c r="B50" s="62">
        <v>37135</v>
      </c>
      <c r="C50" s="62">
        <v>37165</v>
      </c>
      <c r="D50" s="62">
        <v>37196</v>
      </c>
      <c r="E50" s="62">
        <v>37226</v>
      </c>
      <c r="F50" s="62">
        <v>37257</v>
      </c>
      <c r="G50" s="62">
        <v>37288</v>
      </c>
      <c r="H50" s="62">
        <v>37316</v>
      </c>
      <c r="I50" s="63" t="s">
        <v>120</v>
      </c>
    </row>
    <row r="51" spans="1:9" x14ac:dyDescent="0.2">
      <c r="A51" s="7" t="s">
        <v>135</v>
      </c>
      <c r="B51" s="96">
        <f>'One Cent Surcharge'!G13</f>
        <v>448208576</v>
      </c>
      <c r="C51" s="96">
        <f>'One Cent Surcharge'!H13</f>
        <v>448000000</v>
      </c>
      <c r="D51" s="96">
        <f>'One Cent Surcharge'!B28</f>
        <v>464261294.59663898</v>
      </c>
      <c r="E51" s="96">
        <f>'One Cent Surcharge'!C28</f>
        <v>451557517.98685902</v>
      </c>
      <c r="F51" s="96">
        <f>'One Cent Surcharge'!D28</f>
        <v>418738085.92214096</v>
      </c>
      <c r="G51" s="96">
        <f>'One Cent Surcharge'!E28</f>
        <v>391856457.64770401</v>
      </c>
      <c r="H51" s="96">
        <f>'One Cent Surcharge'!F28</f>
        <v>424977592.05059803</v>
      </c>
      <c r="I51" s="96">
        <f>SUM(B51:H51)</f>
        <v>3047599524.2039413</v>
      </c>
    </row>
    <row r="53" spans="1:9" x14ac:dyDescent="0.2">
      <c r="A53" s="7" t="s">
        <v>160</v>
      </c>
      <c r="B53" s="144">
        <v>0.08</v>
      </c>
      <c r="C53" s="144">
        <v>0.08</v>
      </c>
      <c r="D53" s="144">
        <v>0.08</v>
      </c>
      <c r="E53" s="144">
        <v>0.08</v>
      </c>
      <c r="F53" s="144">
        <v>0.08</v>
      </c>
      <c r="G53" s="144">
        <v>0.08</v>
      </c>
      <c r="H53" s="144">
        <v>0.08</v>
      </c>
    </row>
    <row r="55" spans="1:9" x14ac:dyDescent="0.2">
      <c r="A55" s="7" t="s">
        <v>161</v>
      </c>
      <c r="B55" s="144">
        <v>5.3999999999999999E-2</v>
      </c>
      <c r="C55" s="144">
        <v>5.3999999999999999E-2</v>
      </c>
      <c r="D55" s="144">
        <v>5.3999999999999999E-2</v>
      </c>
      <c r="E55" s="144">
        <v>5.3999999999999999E-2</v>
      </c>
      <c r="F55" s="144">
        <v>5.3999999999999999E-2</v>
      </c>
      <c r="G55" s="144">
        <v>5.3999999999999999E-2</v>
      </c>
      <c r="H55" s="144">
        <v>5.3999999999999999E-2</v>
      </c>
    </row>
    <row r="57" spans="1:9" ht="13.5" thickBot="1" x14ac:dyDescent="0.25">
      <c r="A57" s="7" t="s">
        <v>162</v>
      </c>
      <c r="B57" s="61">
        <f t="shared" ref="B57:H57" si="1">(B53-B55)*B51</f>
        <v>11653422.976000002</v>
      </c>
      <c r="C57" s="61">
        <f t="shared" si="1"/>
        <v>11648000.000000002</v>
      </c>
      <c r="D57" s="61">
        <f t="shared" si="1"/>
        <v>12070793.659512615</v>
      </c>
      <c r="E57" s="61">
        <f t="shared" si="1"/>
        <v>11740495.467658335</v>
      </c>
      <c r="F57" s="61">
        <f t="shared" si="1"/>
        <v>10887190.233975666</v>
      </c>
      <c r="G57" s="61">
        <f t="shared" si="1"/>
        <v>10188267.898840304</v>
      </c>
      <c r="H57" s="61">
        <f t="shared" si="1"/>
        <v>11049417.39331555</v>
      </c>
      <c r="I57" s="145">
        <f>SUM(B57:H57)</f>
        <v>79237587.629302472</v>
      </c>
    </row>
    <row r="58" spans="1:9" ht="13.5" thickTop="1" x14ac:dyDescent="0.2"/>
    <row r="63" spans="1:9" x14ac:dyDescent="0.2">
      <c r="A63" s="186">
        <v>6</v>
      </c>
      <c r="B63" s="186"/>
      <c r="C63" s="186"/>
      <c r="D63" s="186"/>
      <c r="E63" s="186"/>
      <c r="F63" s="186"/>
      <c r="G63" s="186"/>
      <c r="H63" s="186"/>
      <c r="I63" s="186"/>
    </row>
  </sheetData>
  <mergeCells count="7">
    <mergeCell ref="A63:I63"/>
    <mergeCell ref="A47:I47"/>
    <mergeCell ref="A48:I48"/>
    <mergeCell ref="F1:H1"/>
    <mergeCell ref="A2:H2"/>
    <mergeCell ref="A3:H3"/>
    <mergeCell ref="A4:H4"/>
  </mergeCells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9" sqref="M39"/>
    </sheetView>
  </sheetViews>
  <sheetFormatPr defaultRowHeight="12.75" x14ac:dyDescent="0.2"/>
  <sheetData/>
  <phoneticPr fontId="2" type="noConversion"/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0"/>
  <sheetViews>
    <sheetView workbookViewId="0">
      <selection activeCell="D28" sqref="D28"/>
    </sheetView>
  </sheetViews>
  <sheetFormatPr defaultRowHeight="12.75" x14ac:dyDescent="0.2"/>
  <cols>
    <col min="1" max="1" width="34" bestFit="1" customWidth="1"/>
    <col min="3" max="3" width="2.7109375" customWidth="1"/>
    <col min="5" max="5" width="3.140625" customWidth="1"/>
    <col min="6" max="6" width="12.5703125" bestFit="1" customWidth="1"/>
    <col min="7" max="7" width="3.140625" customWidth="1"/>
    <col min="8" max="8" width="12" customWidth="1"/>
    <col min="9" max="9" width="2.7109375" customWidth="1"/>
    <col min="11" max="11" width="2.7109375" customWidth="1"/>
    <col min="12" max="12" width="9.7109375" bestFit="1" customWidth="1"/>
    <col min="13" max="13" width="2.7109375" customWidth="1"/>
    <col min="14" max="14" width="13.28515625" bestFit="1" customWidth="1"/>
    <col min="15" max="15" width="2.7109375" customWidth="1"/>
    <col min="16" max="16" width="10.7109375" customWidth="1"/>
    <col min="17" max="17" width="2.7109375" customWidth="1"/>
    <col min="18" max="18" width="11.28515625" bestFit="1" customWidth="1"/>
    <col min="21" max="21" width="13.42578125" bestFit="1" customWidth="1"/>
    <col min="22" max="22" width="9.28515625" bestFit="1" customWidth="1"/>
    <col min="23" max="23" width="14.28515625" bestFit="1" customWidth="1"/>
    <col min="24" max="24" width="9.28515625" bestFit="1" customWidth="1"/>
    <col min="25" max="25" width="12.28515625" bestFit="1" customWidth="1"/>
    <col min="26" max="26" width="9.28515625" bestFit="1" customWidth="1"/>
  </cols>
  <sheetData>
    <row r="1" spans="1:26" x14ac:dyDescent="0.2">
      <c r="A1" s="7" t="s">
        <v>39</v>
      </c>
    </row>
    <row r="2" spans="1:26" x14ac:dyDescent="0.2">
      <c r="A2" s="186" t="s">
        <v>17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</row>
    <row r="3" spans="1:26" x14ac:dyDescent="0.2">
      <c r="A3" s="186" t="s">
        <v>40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</row>
    <row r="4" spans="1:26" x14ac:dyDescent="0.2">
      <c r="A4" s="186" t="s">
        <v>4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</row>
    <row r="5" spans="1:26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26" x14ac:dyDescent="0.2">
      <c r="A6" s="3"/>
      <c r="B6" s="3" t="s">
        <v>45</v>
      </c>
      <c r="C6" s="3"/>
      <c r="D6" s="3" t="s">
        <v>46</v>
      </c>
      <c r="E6" s="3" t="s">
        <v>11</v>
      </c>
      <c r="F6" s="3" t="s">
        <v>47</v>
      </c>
      <c r="G6" s="3" t="s">
        <v>11</v>
      </c>
      <c r="H6" s="3" t="s">
        <v>48</v>
      </c>
      <c r="I6" s="3"/>
      <c r="J6" s="3" t="s">
        <v>49</v>
      </c>
      <c r="K6" s="3" t="s">
        <v>11</v>
      </c>
      <c r="L6" s="3" t="s">
        <v>50</v>
      </c>
      <c r="M6" s="3" t="s">
        <v>11</v>
      </c>
      <c r="N6" s="3" t="s">
        <v>51</v>
      </c>
      <c r="O6" s="3"/>
      <c r="P6" s="3" t="s">
        <v>58</v>
      </c>
      <c r="Q6" s="3"/>
      <c r="R6" s="3" t="s">
        <v>91</v>
      </c>
      <c r="S6" s="3"/>
      <c r="U6" s="2" t="s">
        <v>73</v>
      </c>
      <c r="V6" s="2"/>
      <c r="W6" s="2"/>
      <c r="X6" s="2"/>
    </row>
    <row r="7" spans="1:26" x14ac:dyDescent="0.2">
      <c r="A7" s="3"/>
      <c r="B7" s="3"/>
      <c r="C7" s="3"/>
      <c r="D7" s="3"/>
      <c r="E7" s="3"/>
      <c r="F7" s="3"/>
      <c r="G7" s="3"/>
      <c r="H7" s="3" t="s">
        <v>53</v>
      </c>
      <c r="I7" s="3"/>
      <c r="J7" s="3" t="s">
        <v>52</v>
      </c>
      <c r="K7" s="3"/>
      <c r="L7" s="3"/>
      <c r="M7" s="3"/>
      <c r="N7" s="3" t="s">
        <v>55</v>
      </c>
      <c r="O7" s="3"/>
      <c r="P7" s="3" t="s">
        <v>88</v>
      </c>
      <c r="Q7" s="3"/>
      <c r="R7" s="3" t="s">
        <v>90</v>
      </c>
      <c r="S7" s="3"/>
      <c r="U7" s="32">
        <v>36800</v>
      </c>
      <c r="V7" s="33">
        <v>-35285881.620877028</v>
      </c>
      <c r="W7" s="34"/>
      <c r="X7" s="33">
        <v>-65075389.529999994</v>
      </c>
    </row>
    <row r="8" spans="1:26" x14ac:dyDescent="0.2">
      <c r="A8" s="3" t="s">
        <v>22</v>
      </c>
      <c r="B8" s="17">
        <v>1</v>
      </c>
      <c r="C8" s="17"/>
      <c r="D8" s="3" t="s">
        <v>25</v>
      </c>
      <c r="E8" s="3"/>
      <c r="F8" s="3" t="s">
        <v>18</v>
      </c>
      <c r="G8" s="3"/>
      <c r="H8" s="3" t="s">
        <v>42</v>
      </c>
      <c r="I8" s="3"/>
      <c r="J8" s="3" t="s">
        <v>31</v>
      </c>
      <c r="K8" s="3"/>
      <c r="L8" s="3" t="s">
        <v>0</v>
      </c>
      <c r="M8" s="3"/>
      <c r="N8" s="3" t="s">
        <v>54</v>
      </c>
      <c r="O8" s="3"/>
      <c r="P8" s="3" t="s">
        <v>89</v>
      </c>
      <c r="Q8" s="3"/>
      <c r="R8" s="3" t="s">
        <v>56</v>
      </c>
      <c r="S8" s="3"/>
      <c r="U8" s="32">
        <v>36831</v>
      </c>
      <c r="V8" s="33">
        <v>-35289257.422585189</v>
      </c>
      <c r="W8" s="34"/>
      <c r="X8" s="33">
        <v>-87533996.160000086</v>
      </c>
    </row>
    <row r="9" spans="1:26" x14ac:dyDescent="0.2">
      <c r="A9" s="4"/>
      <c r="B9" s="18" t="s">
        <v>19</v>
      </c>
      <c r="C9" s="18"/>
      <c r="D9" s="18" t="s">
        <v>26</v>
      </c>
      <c r="E9" s="18"/>
      <c r="F9" s="18" t="s">
        <v>21</v>
      </c>
      <c r="G9" s="18"/>
      <c r="H9" s="18" t="s">
        <v>43</v>
      </c>
      <c r="I9" s="18"/>
      <c r="J9" s="18" t="s">
        <v>19</v>
      </c>
      <c r="K9" s="18"/>
      <c r="L9" s="18" t="s">
        <v>32</v>
      </c>
      <c r="M9" s="18"/>
      <c r="N9" s="18" t="s">
        <v>44</v>
      </c>
      <c r="O9" s="18"/>
      <c r="P9" s="18" t="s">
        <v>1</v>
      </c>
      <c r="Q9" s="18"/>
      <c r="R9" s="18" t="s">
        <v>57</v>
      </c>
      <c r="S9" s="3"/>
      <c r="U9" s="32">
        <v>36861</v>
      </c>
      <c r="V9" s="33">
        <v>-7657083.8200536864</v>
      </c>
      <c r="W9" s="34"/>
      <c r="X9" s="33">
        <v>-133279597.81000006</v>
      </c>
    </row>
    <row r="10" spans="1:26" x14ac:dyDescent="0.2">
      <c r="B10" s="22"/>
      <c r="C10" s="22"/>
      <c r="D10" s="22"/>
      <c r="E10" s="22"/>
      <c r="F10" s="22"/>
      <c r="G10" s="22"/>
      <c r="H10" s="22"/>
      <c r="I10" s="22"/>
      <c r="J10" s="30"/>
      <c r="K10" s="22"/>
      <c r="L10" s="22"/>
      <c r="M10" s="22"/>
      <c r="N10" s="22"/>
      <c r="O10" s="22"/>
      <c r="P10" s="22"/>
      <c r="Q10" s="22"/>
      <c r="R10" s="22"/>
      <c r="T10" s="21"/>
      <c r="U10" s="32">
        <v>36892</v>
      </c>
      <c r="V10" s="36">
        <v>-10555471.494977087</v>
      </c>
      <c r="W10" s="37"/>
      <c r="X10" s="36">
        <v>-105161522.7500003</v>
      </c>
      <c r="Y10" s="20"/>
    </row>
    <row r="11" spans="1:26" x14ac:dyDescent="0.2">
      <c r="A11" s="1" t="s">
        <v>16</v>
      </c>
      <c r="B11" s="22"/>
      <c r="C11" s="22"/>
      <c r="D11" s="22"/>
      <c r="E11" s="22"/>
      <c r="F11" s="22"/>
      <c r="G11" s="22"/>
      <c r="H11" s="22"/>
      <c r="I11" s="22"/>
      <c r="J11" s="30"/>
      <c r="K11" s="22"/>
      <c r="L11" s="22"/>
      <c r="M11" s="22"/>
      <c r="N11" s="22"/>
      <c r="O11" s="22"/>
      <c r="P11" s="22"/>
      <c r="Q11" s="22"/>
      <c r="R11" s="22"/>
      <c r="U11" s="32"/>
      <c r="V11" s="33">
        <f>SUM(V7:V10)</f>
        <v>-88787694.358492985</v>
      </c>
      <c r="W11" s="34"/>
      <c r="X11" s="33">
        <f>SUM(X7:X10)</f>
        <v>-391050506.25000042</v>
      </c>
      <c r="Y11" s="2"/>
      <c r="Z11" s="2"/>
    </row>
    <row r="12" spans="1:26" x14ac:dyDescent="0.2">
      <c r="A12" t="s">
        <v>14</v>
      </c>
      <c r="B12" s="22">
        <v>71957</v>
      </c>
      <c r="C12" s="22"/>
      <c r="D12" s="22">
        <f>-B12*0.12</f>
        <v>-8634.84</v>
      </c>
      <c r="E12" s="22">
        <v>-1</v>
      </c>
      <c r="F12" s="41">
        <f>-(B12+D12)*0.33</f>
        <v>-20896.312800000003</v>
      </c>
      <c r="G12" s="22">
        <v>-2</v>
      </c>
      <c r="H12" s="22">
        <f>D12+F12</f>
        <v>-29531.152800000003</v>
      </c>
      <c r="I12" s="22"/>
      <c r="J12" s="30">
        <f>SUM(B12:F12)</f>
        <v>42424.847200000004</v>
      </c>
      <c r="K12" s="22"/>
      <c r="L12" s="22">
        <v>17989</v>
      </c>
      <c r="M12" s="22"/>
      <c r="N12" s="22">
        <f>B12-L12</f>
        <v>53968</v>
      </c>
      <c r="O12" s="22"/>
      <c r="P12" s="22">
        <f>J12*0.15</f>
        <v>6363.7270800000006</v>
      </c>
      <c r="Q12" s="22"/>
      <c r="R12" s="22">
        <f>J12-N12-P12</f>
        <v>-17906.879879999997</v>
      </c>
      <c r="Y12" s="34"/>
      <c r="Z12" s="35">
        <v>0.54223081683760199</v>
      </c>
    </row>
    <row r="13" spans="1:26" x14ac:dyDescent="0.2">
      <c r="B13" s="22"/>
      <c r="C13" s="22"/>
      <c r="D13" s="22"/>
      <c r="E13" s="22"/>
      <c r="F13" s="22"/>
      <c r="G13" s="22"/>
      <c r="H13" s="22"/>
      <c r="I13" s="22"/>
      <c r="J13" s="30"/>
      <c r="K13" s="22"/>
      <c r="L13" s="22"/>
      <c r="M13" s="22"/>
      <c r="N13" s="22"/>
      <c r="O13" s="22"/>
      <c r="P13" s="22"/>
      <c r="Q13" s="22"/>
      <c r="R13" s="22"/>
      <c r="Y13" s="34"/>
      <c r="Z13" s="35">
        <v>0.40314916456094713</v>
      </c>
    </row>
    <row r="14" spans="1:26" ht="13.5" thickBot="1" x14ac:dyDescent="0.25">
      <c r="B14" s="25">
        <f>SUM(B10:B13)</f>
        <v>71957</v>
      </c>
      <c r="C14" s="25"/>
      <c r="D14" s="25">
        <f>SUM(D10:D13)</f>
        <v>-8634.84</v>
      </c>
      <c r="E14" s="25"/>
      <c r="F14" s="25">
        <f>SUM(F10:F13)</f>
        <v>-20896.312800000003</v>
      </c>
      <c r="G14" s="25"/>
      <c r="H14" s="25">
        <f>SUM(H10:H13)</f>
        <v>-29531.152800000003</v>
      </c>
      <c r="I14" s="25"/>
      <c r="J14" s="31">
        <f>SUM(J10:J13)</f>
        <v>42424.847200000004</v>
      </c>
      <c r="K14" s="25"/>
      <c r="L14" s="25">
        <f>SUM(L10:L13)</f>
        <v>17989</v>
      </c>
      <c r="M14" s="25"/>
      <c r="N14" s="25">
        <f>SUM(N10:N13)</f>
        <v>53968</v>
      </c>
      <c r="O14" s="25"/>
      <c r="P14" s="25">
        <f>SUM(P10:P13)</f>
        <v>6363.7270800000006</v>
      </c>
      <c r="Q14" s="25"/>
      <c r="R14" s="25">
        <f>SUM(R10:R13)</f>
        <v>-17906.879879999997</v>
      </c>
      <c r="Y14" s="34"/>
      <c r="Z14" s="35">
        <v>5.7451282460871667E-2</v>
      </c>
    </row>
    <row r="15" spans="1:26" ht="13.5" thickTop="1" x14ac:dyDescent="0.2">
      <c r="B15" s="28"/>
      <c r="C15" s="28"/>
      <c r="D15" s="28"/>
      <c r="E15" s="28"/>
      <c r="F15" s="28"/>
      <c r="G15" s="28"/>
      <c r="H15" s="28"/>
      <c r="I15" s="28"/>
      <c r="J15" s="40"/>
      <c r="K15" s="28"/>
      <c r="L15" s="28"/>
      <c r="M15" s="28"/>
      <c r="N15" s="28"/>
      <c r="O15" s="28"/>
      <c r="P15" s="28"/>
      <c r="Q15" s="28"/>
      <c r="R15" s="28"/>
      <c r="Y15" s="34"/>
      <c r="Z15" s="35"/>
    </row>
    <row r="16" spans="1:26" x14ac:dyDescent="0.2">
      <c r="B16" s="28"/>
      <c r="C16" s="28"/>
      <c r="D16" s="28"/>
      <c r="E16" s="28"/>
      <c r="F16" s="28"/>
      <c r="G16" s="28"/>
      <c r="H16" s="28"/>
      <c r="I16" s="28"/>
      <c r="J16" s="40"/>
      <c r="K16" s="28"/>
      <c r="L16" s="28"/>
      <c r="M16" s="28"/>
      <c r="N16" s="28"/>
      <c r="O16" s="28"/>
      <c r="P16" s="28"/>
      <c r="Q16" s="28"/>
      <c r="R16" s="47">
        <f>J14-N14-F12-P14</f>
        <v>2989.4329200000066</v>
      </c>
      <c r="Y16" s="34"/>
      <c r="Z16" s="35"/>
    </row>
    <row r="17" spans="1:26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22"/>
      <c r="Y17" s="34"/>
      <c r="Z17" s="35">
        <v>0.10037389359671531</v>
      </c>
    </row>
    <row r="18" spans="1:26" ht="18" x14ac:dyDescent="0.25">
      <c r="A18" s="187" t="s">
        <v>37</v>
      </c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Y18" s="34"/>
      <c r="Z18" s="35">
        <f>V11/X11</f>
        <v>0.22704917380091716</v>
      </c>
    </row>
    <row r="19" spans="1:26" ht="18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U19" s="32"/>
      <c r="V19" s="33"/>
      <c r="W19" s="34"/>
      <c r="X19" s="33"/>
      <c r="Y19" s="34"/>
      <c r="Z19" s="35"/>
    </row>
    <row r="20" spans="1:26" x14ac:dyDescent="0.2">
      <c r="A20" s="1" t="s">
        <v>36</v>
      </c>
      <c r="G20" s="1" t="s">
        <v>38</v>
      </c>
    </row>
    <row r="21" spans="1:26" x14ac:dyDescent="0.2">
      <c r="A21" t="s">
        <v>78</v>
      </c>
      <c r="G21" t="s">
        <v>62</v>
      </c>
      <c r="U21" s="2" t="s">
        <v>7</v>
      </c>
      <c r="V21" s="9">
        <v>3259</v>
      </c>
      <c r="W21">
        <f>V21*Z12</f>
        <v>1767.130232073745</v>
      </c>
    </row>
    <row r="22" spans="1:26" x14ac:dyDescent="0.2">
      <c r="A22" t="s">
        <v>61</v>
      </c>
      <c r="U22" s="2" t="s">
        <v>8</v>
      </c>
      <c r="V22" s="9">
        <v>7802</v>
      </c>
      <c r="W22">
        <f>V22*Z13</f>
        <v>3145.3697819045096</v>
      </c>
    </row>
    <row r="23" spans="1:26" x14ac:dyDescent="0.2">
      <c r="A23" t="s">
        <v>79</v>
      </c>
      <c r="U23" s="2" t="s">
        <v>9</v>
      </c>
      <c r="V23" s="9">
        <v>45152</v>
      </c>
      <c r="W23">
        <f>V23*Z14</f>
        <v>2594.0403056732775</v>
      </c>
    </row>
    <row r="24" spans="1:26" x14ac:dyDescent="0.2">
      <c r="A24" t="s">
        <v>80</v>
      </c>
      <c r="U24" s="2" t="s">
        <v>5</v>
      </c>
      <c r="V24" s="9">
        <v>10737</v>
      </c>
      <c r="W24">
        <f>V24*Z17</f>
        <v>1077.7144955479323</v>
      </c>
    </row>
    <row r="25" spans="1:26" x14ac:dyDescent="0.2">
      <c r="D25" s="29"/>
      <c r="U25" s="2" t="s">
        <v>6</v>
      </c>
      <c r="V25" s="13">
        <v>4358</v>
      </c>
      <c r="W25" s="4">
        <v>0</v>
      </c>
    </row>
    <row r="26" spans="1:26" x14ac:dyDescent="0.2">
      <c r="D26" s="29"/>
      <c r="V26" s="14">
        <f>SUM(V21:V25)</f>
        <v>71308</v>
      </c>
      <c r="W26" s="38">
        <f>SUM(W21:W25)</f>
        <v>8584.2548151994652</v>
      </c>
      <c r="Y26">
        <f>W26/V26</f>
        <v>0.12038277353451877</v>
      </c>
    </row>
    <row r="27" spans="1:26" x14ac:dyDescent="0.2">
      <c r="A27" s="43" t="s">
        <v>81</v>
      </c>
      <c r="B27" s="43"/>
      <c r="C27" s="43"/>
      <c r="D27" s="29"/>
    </row>
    <row r="28" spans="1:26" x14ac:dyDescent="0.2">
      <c r="D28" s="22"/>
      <c r="G28" s="1"/>
      <c r="L28" s="22"/>
    </row>
    <row r="30" spans="1:26" x14ac:dyDescent="0.2">
      <c r="L30" s="22"/>
    </row>
    <row r="32" spans="1:26" x14ac:dyDescent="0.2">
      <c r="F32" s="22"/>
    </row>
    <row r="34" spans="2:2" x14ac:dyDescent="0.2">
      <c r="B34" s="22"/>
    </row>
    <row r="50" spans="1:18" x14ac:dyDescent="0.2">
      <c r="A50" s="186">
        <v>8</v>
      </c>
      <c r="B50" s="186"/>
      <c r="C50" s="186"/>
      <c r="D50" s="186"/>
      <c r="E50" s="186"/>
      <c r="F50" s="186"/>
      <c r="G50" s="186"/>
      <c r="H50" s="186"/>
      <c r="I50" s="186"/>
      <c r="J50" s="186"/>
      <c r="K50" s="186"/>
      <c r="L50" s="186"/>
      <c r="M50" s="186"/>
      <c r="N50" s="186"/>
      <c r="O50" s="186"/>
      <c r="P50" s="186"/>
      <c r="Q50" s="186"/>
      <c r="R50" s="186"/>
    </row>
  </sheetData>
  <mergeCells count="5">
    <mergeCell ref="A50:R50"/>
    <mergeCell ref="A18:R18"/>
    <mergeCell ref="A2:R2"/>
    <mergeCell ref="A3:R3"/>
    <mergeCell ref="A4:R4"/>
  </mergeCells>
  <phoneticPr fontId="0" type="noConversion"/>
  <pageMargins left="0.75" right="0.75" top="1" bottom="1" header="0.5" footer="0.5"/>
  <pageSetup scale="7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A5" sqref="A1:A65536"/>
    </sheetView>
  </sheetViews>
  <sheetFormatPr defaultRowHeight="12.75" x14ac:dyDescent="0.2"/>
  <cols>
    <col min="1" max="1" width="33.85546875" bestFit="1" customWidth="1"/>
    <col min="3" max="3" width="8.42578125" bestFit="1" customWidth="1"/>
    <col min="5" max="5" width="10.85546875" bestFit="1" customWidth="1"/>
    <col min="8" max="8" width="33.85546875" bestFit="1" customWidth="1"/>
    <col min="12" max="12" width="13.5703125" bestFit="1" customWidth="1"/>
    <col min="13" max="13" width="11.28515625" bestFit="1" customWidth="1"/>
  </cols>
  <sheetData>
    <row r="1" spans="1:13" x14ac:dyDescent="0.2">
      <c r="A1" s="186" t="s">
        <v>169</v>
      </c>
      <c r="B1" s="186"/>
      <c r="C1" s="186"/>
      <c r="D1" s="186"/>
      <c r="E1" s="186"/>
      <c r="F1" s="186"/>
      <c r="H1" s="186" t="s">
        <v>169</v>
      </c>
      <c r="I1" s="186"/>
      <c r="J1" s="186"/>
      <c r="K1" s="186"/>
      <c r="L1" s="186"/>
      <c r="M1" s="186"/>
    </row>
    <row r="2" spans="1:13" x14ac:dyDescent="0.2">
      <c r="A2" s="186" t="s">
        <v>170</v>
      </c>
      <c r="B2" s="186"/>
      <c r="C2" s="186"/>
      <c r="D2" s="186"/>
      <c r="E2" s="186"/>
      <c r="F2" s="186"/>
      <c r="H2" s="186" t="s">
        <v>170</v>
      </c>
      <c r="I2" s="186"/>
      <c r="J2" s="186"/>
      <c r="K2" s="186"/>
      <c r="L2" s="186"/>
      <c r="M2" s="186"/>
    </row>
    <row r="3" spans="1:13" x14ac:dyDescent="0.2">
      <c r="A3" s="186" t="s">
        <v>171</v>
      </c>
      <c r="B3" s="186"/>
      <c r="C3" s="186"/>
      <c r="D3" s="186"/>
      <c r="E3" s="186"/>
      <c r="F3" s="186"/>
      <c r="H3" s="186" t="s">
        <v>171</v>
      </c>
      <c r="I3" s="186"/>
      <c r="J3" s="186"/>
      <c r="K3" s="186"/>
      <c r="L3" s="186"/>
      <c r="M3" s="186"/>
    </row>
    <row r="4" spans="1:13" x14ac:dyDescent="0.2">
      <c r="A4" s="186" t="s">
        <v>4</v>
      </c>
      <c r="B4" s="186"/>
      <c r="C4" s="186"/>
      <c r="D4" s="186"/>
      <c r="E4" s="186"/>
      <c r="F4" s="186"/>
      <c r="H4" s="186" t="s">
        <v>4</v>
      </c>
      <c r="I4" s="186"/>
      <c r="J4" s="186"/>
      <c r="K4" s="186"/>
      <c r="L4" s="186"/>
      <c r="M4" s="186"/>
    </row>
    <row r="5" spans="1:13" x14ac:dyDescent="0.2">
      <c r="A5" s="3"/>
      <c r="B5" s="3"/>
      <c r="C5" s="3"/>
      <c r="D5" s="3"/>
      <c r="E5" s="3"/>
      <c r="F5" s="3"/>
    </row>
    <row r="6" spans="1:13" ht="15" x14ac:dyDescent="0.25">
      <c r="A6" s="146"/>
      <c r="B6" s="146" t="s">
        <v>172</v>
      </c>
      <c r="C6" s="146" t="s">
        <v>173</v>
      </c>
      <c r="D6" s="146" t="s">
        <v>174</v>
      </c>
      <c r="E6" s="146" t="s">
        <v>0</v>
      </c>
      <c r="F6" s="146" t="s">
        <v>175</v>
      </c>
      <c r="I6" s="146" t="s">
        <v>172</v>
      </c>
      <c r="J6" s="146" t="s">
        <v>173</v>
      </c>
      <c r="K6" s="146" t="s">
        <v>174</v>
      </c>
      <c r="L6" s="147" t="s">
        <v>176</v>
      </c>
      <c r="M6" s="146" t="s">
        <v>177</v>
      </c>
    </row>
    <row r="7" spans="1:13" ht="15" x14ac:dyDescent="0.25">
      <c r="A7" s="148" t="s">
        <v>178</v>
      </c>
      <c r="B7" s="148" t="s">
        <v>179</v>
      </c>
      <c r="C7" s="148" t="s">
        <v>180</v>
      </c>
      <c r="D7" s="149" t="s">
        <v>181</v>
      </c>
      <c r="E7" s="148" t="s">
        <v>1</v>
      </c>
      <c r="F7" s="150" t="s">
        <v>181</v>
      </c>
      <c r="H7" s="148" t="s">
        <v>178</v>
      </c>
      <c r="I7" s="148" t="s">
        <v>179</v>
      </c>
      <c r="J7" s="148" t="s">
        <v>180</v>
      </c>
      <c r="K7" s="149" t="s">
        <v>181</v>
      </c>
      <c r="L7" s="151" t="s">
        <v>182</v>
      </c>
      <c r="M7" s="150" t="s">
        <v>183</v>
      </c>
    </row>
    <row r="8" spans="1:13" x14ac:dyDescent="0.2">
      <c r="A8" s="6" t="s">
        <v>184</v>
      </c>
      <c r="B8" s="6"/>
      <c r="C8" s="5"/>
      <c r="D8" s="5"/>
      <c r="E8" s="5"/>
      <c r="H8" s="6" t="s">
        <v>184</v>
      </c>
      <c r="I8" s="6"/>
      <c r="J8" s="5"/>
      <c r="K8" s="5"/>
    </row>
    <row r="9" spans="1:13" x14ac:dyDescent="0.2">
      <c r="A9" s="1" t="s">
        <v>2</v>
      </c>
      <c r="B9" s="152">
        <f>'Legal Entity Summary'!B8</f>
        <v>403949</v>
      </c>
      <c r="C9" s="152"/>
      <c r="D9" s="152">
        <f t="shared" ref="D9:D14" si="0">B9+C9</f>
        <v>403949</v>
      </c>
      <c r="E9" s="152">
        <f>'Legal Entity Summary'!C9</f>
        <v>242369.4</v>
      </c>
      <c r="F9" s="153">
        <f t="shared" ref="F9:F14" si="1">D9-E9</f>
        <v>161579.6</v>
      </c>
      <c r="H9" s="1" t="s">
        <v>2</v>
      </c>
      <c r="I9" s="152">
        <f t="shared" ref="I9:I14" si="2">B9</f>
        <v>403949</v>
      </c>
      <c r="J9" s="152"/>
      <c r="K9" s="152">
        <f t="shared" ref="K9:K14" si="3">I9+J9</f>
        <v>403949</v>
      </c>
      <c r="L9" s="153">
        <f>K9*0.8</f>
        <v>323159.2</v>
      </c>
      <c r="M9" s="153">
        <f>K9*0.8</f>
        <v>323159.2</v>
      </c>
    </row>
    <row r="10" spans="1:13" x14ac:dyDescent="0.2">
      <c r="A10" s="1" t="s">
        <v>185</v>
      </c>
      <c r="B10" s="152">
        <f>'Legal Entity Summary'!B18</f>
        <v>76600</v>
      </c>
      <c r="C10" s="152"/>
      <c r="D10" s="152">
        <f t="shared" si="0"/>
        <v>76600</v>
      </c>
      <c r="E10" s="152">
        <f>'Legal Entity Summary'!C18</f>
        <v>55838</v>
      </c>
      <c r="F10" s="153">
        <f t="shared" si="1"/>
        <v>20762</v>
      </c>
      <c r="H10" s="1" t="s">
        <v>185</v>
      </c>
      <c r="I10" s="152">
        <f t="shared" si="2"/>
        <v>76600</v>
      </c>
      <c r="J10" s="152"/>
      <c r="K10" s="152">
        <f t="shared" si="3"/>
        <v>76600</v>
      </c>
      <c r="L10" s="153">
        <f>K10</f>
        <v>76600</v>
      </c>
      <c r="M10" s="14">
        <f>'Legal Entity Summary'!B12+'Legal Entity Summary'!B16</f>
        <v>42762</v>
      </c>
    </row>
    <row r="11" spans="1:13" x14ac:dyDescent="0.2">
      <c r="A11" s="1" t="s">
        <v>186</v>
      </c>
      <c r="B11" s="152">
        <f>'Legal Entity Summary'!B22</f>
        <v>3482</v>
      </c>
      <c r="C11" s="152">
        <v>-3482</v>
      </c>
      <c r="D11" s="152">
        <f t="shared" si="0"/>
        <v>0</v>
      </c>
      <c r="E11" s="152">
        <f>'Legal Entity Summary'!C22</f>
        <v>0</v>
      </c>
      <c r="F11" s="153">
        <f t="shared" si="1"/>
        <v>0</v>
      </c>
      <c r="H11" s="1" t="s">
        <v>186</v>
      </c>
      <c r="I11" s="152">
        <f t="shared" si="2"/>
        <v>3482</v>
      </c>
      <c r="J11" s="152">
        <v>-3482</v>
      </c>
      <c r="K11" s="152">
        <f t="shared" si="3"/>
        <v>0</v>
      </c>
      <c r="L11" s="153">
        <f>K11</f>
        <v>0</v>
      </c>
    </row>
    <row r="12" spans="1:13" x14ac:dyDescent="0.2">
      <c r="A12" s="1" t="s">
        <v>187</v>
      </c>
      <c r="B12" s="152">
        <f>'Legal Entity Summary'!B34</f>
        <v>71957</v>
      </c>
      <c r="C12" s="152"/>
      <c r="D12" s="152">
        <f t="shared" si="0"/>
        <v>71957</v>
      </c>
      <c r="E12" s="152">
        <f>'Legal Entity Summary'!C34</f>
        <v>17989.25</v>
      </c>
      <c r="F12" s="153">
        <f t="shared" si="1"/>
        <v>53967.75</v>
      </c>
      <c r="H12" s="1" t="s">
        <v>187</v>
      </c>
      <c r="I12" s="152">
        <f t="shared" si="2"/>
        <v>71957</v>
      </c>
      <c r="J12" s="152"/>
      <c r="K12" s="152">
        <f t="shared" si="3"/>
        <v>71957</v>
      </c>
      <c r="L12" s="153">
        <f>K12</f>
        <v>71957</v>
      </c>
      <c r="M12" s="153">
        <f>L12</f>
        <v>71957</v>
      </c>
    </row>
    <row r="13" spans="1:13" x14ac:dyDescent="0.2">
      <c r="A13" s="1" t="s">
        <v>10</v>
      </c>
      <c r="B13" s="152">
        <f>'Legal Entity Summary'!B38</f>
        <v>25432</v>
      </c>
      <c r="C13" s="152">
        <v>-25432</v>
      </c>
      <c r="D13" s="152">
        <f t="shared" si="0"/>
        <v>0</v>
      </c>
      <c r="E13" s="152">
        <f>'Legal Entity Summary'!C38</f>
        <v>0</v>
      </c>
      <c r="F13" s="153">
        <f t="shared" si="1"/>
        <v>0</v>
      </c>
      <c r="H13" s="1" t="s">
        <v>10</v>
      </c>
      <c r="I13" s="152">
        <f t="shared" si="2"/>
        <v>25432</v>
      </c>
      <c r="J13" s="152">
        <v>-25432</v>
      </c>
      <c r="K13" s="152">
        <f t="shared" si="3"/>
        <v>0</v>
      </c>
      <c r="L13" s="153">
        <f>K13</f>
        <v>0</v>
      </c>
    </row>
    <row r="14" spans="1:13" x14ac:dyDescent="0.2">
      <c r="A14" s="1" t="s">
        <v>188</v>
      </c>
      <c r="B14" s="154">
        <f>'Legal Entity Summary'!B43</f>
        <v>98328</v>
      </c>
      <c r="C14" s="154">
        <f>-'Detail by Transaction Type'!B94</f>
        <v>-24138</v>
      </c>
      <c r="D14" s="154">
        <f t="shared" si="0"/>
        <v>74190</v>
      </c>
      <c r="E14" s="154">
        <f>'Legal Entity Summary'!C43</f>
        <v>24000</v>
      </c>
      <c r="F14" s="155">
        <f t="shared" si="1"/>
        <v>50190</v>
      </c>
      <c r="H14" s="1" t="s">
        <v>188</v>
      </c>
      <c r="I14" s="154">
        <f t="shared" si="2"/>
        <v>98328</v>
      </c>
      <c r="J14" s="154">
        <f>C14</f>
        <v>-24138</v>
      </c>
      <c r="K14" s="154">
        <f t="shared" si="3"/>
        <v>74190</v>
      </c>
      <c r="L14" s="155">
        <f>K14</f>
        <v>74190</v>
      </c>
      <c r="M14" s="154">
        <f>63000</f>
        <v>63000</v>
      </c>
    </row>
    <row r="15" spans="1:13" x14ac:dyDescent="0.2">
      <c r="B15" s="156">
        <f>SUM(B9:B14)</f>
        <v>679748</v>
      </c>
      <c r="C15" s="156">
        <f>SUM(C9:C14)</f>
        <v>-53052</v>
      </c>
      <c r="D15" s="152">
        <f>SUM(D9:D14)</f>
        <v>626696</v>
      </c>
      <c r="E15" s="156">
        <f>SUM(E9:E14)</f>
        <v>340196.65</v>
      </c>
      <c r="F15" s="153">
        <f>SUM(F9:F14)</f>
        <v>286499.34999999998</v>
      </c>
      <c r="I15" s="156">
        <f>SUM(I9:I14)</f>
        <v>679748</v>
      </c>
      <c r="J15" s="156">
        <f>SUM(J9:J14)</f>
        <v>-53052</v>
      </c>
      <c r="K15" s="152">
        <f>SUM(K9:K14)</f>
        <v>626696</v>
      </c>
      <c r="L15" s="153">
        <f>SUM(L9:L14)</f>
        <v>545906.19999999995</v>
      </c>
      <c r="M15" s="153">
        <f>SUM(M9:M14)</f>
        <v>500878.2</v>
      </c>
    </row>
    <row r="16" spans="1:13" x14ac:dyDescent="0.2">
      <c r="B16" s="152"/>
      <c r="C16" s="152"/>
      <c r="D16" s="152"/>
      <c r="E16" s="152"/>
      <c r="F16" s="152"/>
      <c r="I16" s="152"/>
      <c r="J16" s="152"/>
      <c r="K16" s="152"/>
    </row>
    <row r="17" spans="1:15" x14ac:dyDescent="0.2">
      <c r="B17" s="152"/>
      <c r="C17" s="152"/>
      <c r="D17" s="152"/>
      <c r="E17" s="152"/>
      <c r="F17" s="152"/>
      <c r="I17" s="152"/>
      <c r="J17" s="152"/>
      <c r="K17" s="152"/>
    </row>
    <row r="18" spans="1:15" x14ac:dyDescent="0.2">
      <c r="A18" s="3" t="s">
        <v>189</v>
      </c>
      <c r="B18" s="152"/>
      <c r="C18" s="152"/>
      <c r="D18" s="152"/>
      <c r="E18" s="152"/>
      <c r="F18" s="152"/>
      <c r="H18" s="3" t="s">
        <v>189</v>
      </c>
      <c r="I18" s="152"/>
      <c r="J18" s="152"/>
      <c r="K18" s="152"/>
    </row>
    <row r="19" spans="1:15" x14ac:dyDescent="0.2">
      <c r="A19" s="1" t="s">
        <v>186</v>
      </c>
      <c r="B19" s="152">
        <v>-86113</v>
      </c>
      <c r="C19" s="152">
        <f>C15*-1</f>
        <v>53052</v>
      </c>
      <c r="D19" s="152">
        <f>B19+C19</f>
        <v>-33061</v>
      </c>
      <c r="E19" s="152"/>
      <c r="F19" s="152">
        <f>D19-E19</f>
        <v>-33061</v>
      </c>
      <c r="H19" s="1" t="s">
        <v>186</v>
      </c>
      <c r="I19" s="152">
        <v>-86113</v>
      </c>
      <c r="J19" s="152">
        <f>J15*-1</f>
        <v>53052</v>
      </c>
      <c r="K19" s="152">
        <f>I19+J19</f>
        <v>-33061</v>
      </c>
      <c r="L19" s="153">
        <f>K19</f>
        <v>-33061</v>
      </c>
      <c r="M19" s="153">
        <f>L19+(-125000+86113)</f>
        <v>-71948</v>
      </c>
    </row>
    <row r="20" spans="1:15" x14ac:dyDescent="0.2">
      <c r="B20" s="152"/>
      <c r="C20" s="152"/>
      <c r="D20" s="152"/>
      <c r="E20" s="152"/>
      <c r="F20" s="152"/>
      <c r="I20" s="152"/>
      <c r="J20" s="152"/>
      <c r="K20" s="152"/>
    </row>
    <row r="21" spans="1:15" x14ac:dyDescent="0.2">
      <c r="B21" s="152"/>
      <c r="C21" s="152"/>
      <c r="D21" s="152"/>
      <c r="E21" s="152"/>
      <c r="F21" s="152"/>
      <c r="I21" s="152"/>
      <c r="J21" s="152"/>
      <c r="K21" s="152"/>
      <c r="L21" s="4"/>
      <c r="M21" s="4"/>
    </row>
    <row r="22" spans="1:15" ht="13.5" thickBot="1" x14ac:dyDescent="0.25">
      <c r="A22" s="1" t="s">
        <v>190</v>
      </c>
      <c r="B22" s="157">
        <f>B15+B19</f>
        <v>593635</v>
      </c>
      <c r="C22" s="157">
        <f>C15+C19</f>
        <v>0</v>
      </c>
      <c r="D22" s="157">
        <f>D15+D19</f>
        <v>593635</v>
      </c>
      <c r="E22" s="157">
        <f>E15+E19</f>
        <v>340196.65</v>
      </c>
      <c r="F22" s="157">
        <f>F15+F19</f>
        <v>253438.34999999998</v>
      </c>
      <c r="H22" s="1" t="s">
        <v>190</v>
      </c>
      <c r="I22" s="157">
        <f>I15+I19</f>
        <v>593635</v>
      </c>
      <c r="J22" s="157">
        <f>J15+J19</f>
        <v>0</v>
      </c>
      <c r="K22" s="157">
        <f>K15+K19</f>
        <v>593635</v>
      </c>
      <c r="L22" s="157">
        <f>L15+L19</f>
        <v>512845.19999999995</v>
      </c>
      <c r="M22" s="157">
        <f>M15+M19</f>
        <v>428930.2</v>
      </c>
      <c r="O22" s="158"/>
    </row>
    <row r="23" spans="1:15" ht="13.5" thickTop="1" x14ac:dyDescent="0.2"/>
    <row r="25" spans="1:15" ht="13.5" thickBot="1" x14ac:dyDescent="0.25">
      <c r="A25" s="3" t="s">
        <v>191</v>
      </c>
      <c r="B25" s="186" t="s">
        <v>192</v>
      </c>
      <c r="C25" s="186"/>
      <c r="E25" s="186" t="s">
        <v>193</v>
      </c>
      <c r="F25" s="186"/>
      <c r="H25" s="1" t="s">
        <v>194</v>
      </c>
      <c r="M25" s="159">
        <f>L22-M22</f>
        <v>83914.999999999942</v>
      </c>
    </row>
    <row r="26" spans="1:15" ht="13.5" thickTop="1" x14ac:dyDescent="0.2">
      <c r="A26" s="16" t="s">
        <v>195</v>
      </c>
      <c r="B26" s="3"/>
      <c r="C26" s="3"/>
      <c r="E26" s="3"/>
      <c r="F26" s="3"/>
    </row>
    <row r="27" spans="1:15" x14ac:dyDescent="0.2">
      <c r="A27" s="1" t="s">
        <v>196</v>
      </c>
      <c r="B27" s="192" t="s">
        <v>197</v>
      </c>
      <c r="C27" s="192"/>
      <c r="E27" s="192" t="s">
        <v>198</v>
      </c>
      <c r="F27" s="192"/>
      <c r="M27" s="152"/>
    </row>
    <row r="28" spans="1:15" x14ac:dyDescent="0.2">
      <c r="H28" s="1" t="s">
        <v>199</v>
      </c>
      <c r="M28" s="152"/>
    </row>
    <row r="29" spans="1:15" x14ac:dyDescent="0.2">
      <c r="A29" s="1" t="s">
        <v>200</v>
      </c>
      <c r="H29" t="s">
        <v>196</v>
      </c>
      <c r="M29" s="152">
        <f>125000-86113</f>
        <v>38887</v>
      </c>
    </row>
    <row r="30" spans="1:15" x14ac:dyDescent="0.2">
      <c r="A30" t="s">
        <v>201</v>
      </c>
      <c r="H30" t="s">
        <v>202</v>
      </c>
      <c r="M30" s="152">
        <f>K14-M14</f>
        <v>11190</v>
      </c>
    </row>
    <row r="31" spans="1:15" x14ac:dyDescent="0.2">
      <c r="A31" s="160" t="s">
        <v>203</v>
      </c>
      <c r="B31" s="194">
        <f>'Legal Entity Summary'!B37</f>
        <v>25432</v>
      </c>
      <c r="C31" s="194"/>
      <c r="E31" s="192"/>
      <c r="F31" s="192"/>
      <c r="H31" t="s">
        <v>204</v>
      </c>
      <c r="M31" s="154">
        <f>'Legal Entity Summary'!C14</f>
        <v>33838</v>
      </c>
    </row>
    <row r="32" spans="1:15" x14ac:dyDescent="0.2">
      <c r="A32" s="160" t="s">
        <v>12</v>
      </c>
      <c r="B32" s="195">
        <f>'Legal Entity Summary'!B41</f>
        <v>24138</v>
      </c>
      <c r="C32" s="195"/>
      <c r="E32" s="192"/>
      <c r="F32" s="192"/>
      <c r="M32" s="152"/>
    </row>
    <row r="33" spans="1:13" ht="13.5" thickBot="1" x14ac:dyDescent="0.25">
      <c r="A33" s="160" t="s">
        <v>205</v>
      </c>
      <c r="B33" s="196">
        <f>SUM(B31:C32)</f>
        <v>49570</v>
      </c>
      <c r="C33" s="197"/>
      <c r="E33" s="192">
        <v>48</v>
      </c>
      <c r="F33" s="192"/>
      <c r="H33" s="1" t="s">
        <v>206</v>
      </c>
      <c r="M33" s="161">
        <f>SUM(M29:M32)</f>
        <v>83915</v>
      </c>
    </row>
    <row r="34" spans="1:13" ht="13.5" thickTop="1" x14ac:dyDescent="0.2"/>
    <row r="35" spans="1:13" x14ac:dyDescent="0.2">
      <c r="A35" s="160" t="s">
        <v>202</v>
      </c>
      <c r="B35" s="192">
        <v>74</v>
      </c>
      <c r="C35" s="192"/>
      <c r="E35" s="193">
        <v>63</v>
      </c>
      <c r="F35" s="193"/>
      <c r="M35" s="153">
        <f>M25-M33</f>
        <v>0</v>
      </c>
    </row>
  </sheetData>
  <mergeCells count="20">
    <mergeCell ref="A1:F1"/>
    <mergeCell ref="A3:F3"/>
    <mergeCell ref="A4:F4"/>
    <mergeCell ref="A2:F2"/>
    <mergeCell ref="E32:F32"/>
    <mergeCell ref="E33:F33"/>
    <mergeCell ref="B25:C25"/>
    <mergeCell ref="B27:C27"/>
    <mergeCell ref="E25:F25"/>
    <mergeCell ref="E27:F27"/>
    <mergeCell ref="B35:C35"/>
    <mergeCell ref="E35:F35"/>
    <mergeCell ref="H1:M1"/>
    <mergeCell ref="H2:M2"/>
    <mergeCell ref="H3:M3"/>
    <mergeCell ref="H4:M4"/>
    <mergeCell ref="B31:C31"/>
    <mergeCell ref="B32:C32"/>
    <mergeCell ref="B33:C33"/>
    <mergeCell ref="E31:F3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Dispute Summary </vt:lpstr>
      <vt:lpstr>Executive Claim Summary - 20 %</vt:lpstr>
      <vt:lpstr>Executive Claim Summary - 25%</vt:lpstr>
      <vt:lpstr>Executive Claim Summary - 30%</vt:lpstr>
      <vt:lpstr>One Cent Surcharge</vt:lpstr>
      <vt:lpstr>Financial Swap</vt:lpstr>
      <vt:lpstr>Chart</vt:lpstr>
      <vt:lpstr>Portland - Executive Claim Suma</vt:lpstr>
      <vt:lpstr>Executive Summary</vt:lpstr>
      <vt:lpstr>Legal Entity Summary</vt:lpstr>
      <vt:lpstr>Detail by Transaction Type</vt:lpstr>
      <vt:lpstr>'Executive Claim Summary - 20 %'!Print_Area</vt:lpstr>
      <vt:lpstr>'Executive Claim Summary - 25%'!Print_Area</vt:lpstr>
      <vt:lpstr>'Executive Claim Summary - 30%'!Print_Area</vt:lpstr>
      <vt:lpstr>'Executive Summary'!Print_Area</vt:lpstr>
      <vt:lpstr>'Portland - Executive Claim Suma'!Print_Area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wcurry</dc:creator>
  <cp:lastModifiedBy>Jan Havlíček</cp:lastModifiedBy>
  <cp:lastPrinted>2001-11-06T19:44:48Z</cp:lastPrinted>
  <dcterms:created xsi:type="dcterms:W3CDTF">2001-11-01T17:16:02Z</dcterms:created>
  <dcterms:modified xsi:type="dcterms:W3CDTF">2023-09-19T16:10:55Z</dcterms:modified>
</cp:coreProperties>
</file>