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09BCD4-02BC-4EC0-BAB2-F5EB2F07F88B}" xr6:coauthVersionLast="47" xr6:coauthVersionMax="47" xr10:uidLastSave="{00000000-0000-0000-0000-000000000000}"/>
  <bookViews>
    <workbookView xWindow="-120" yWindow="-120" windowWidth="38640" windowHeight="15720" firstSheet="7" activeTab="7"/>
  </bookViews>
  <sheets>
    <sheet name="PSA" sheetId="1" r:id="rId1"/>
    <sheet name="PrepayBOND" sheetId="9" r:id="rId2"/>
    <sheet name="Sheet1" sheetId="14" r:id="rId3"/>
    <sheet name="GNMA graph" sheetId="3" r:id="rId4"/>
    <sheet name="GNMA" sheetId="2" r:id="rId5"/>
    <sheet name="Total Coupon" sheetId="12" r:id="rId6"/>
    <sheet name="IOPO" sheetId="11" r:id="rId7"/>
    <sheet name="Tranches" sheetId="6" r:id="rId8"/>
    <sheet name="PrepayCTranche" sheetId="10" r:id="rId9"/>
    <sheet name="Tranche Payments" sheetId="8" r:id="rId10"/>
    <sheet name="Tranche Balances" sheetId="7" r:id="rId11"/>
    <sheet name="Sheet4" sheetId="5" r:id="rId1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C26" i="2"/>
  <c r="D26" i="2"/>
  <c r="E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31" i="2"/>
  <c r="B31" i="2"/>
  <c r="C31" i="2"/>
  <c r="D31" i="2"/>
  <c r="E31" i="2"/>
  <c r="F31" i="2"/>
  <c r="G31" i="2"/>
  <c r="H31" i="2"/>
  <c r="I31" i="2"/>
  <c r="J31" i="2"/>
  <c r="K31" i="2"/>
  <c r="A32" i="2"/>
  <c r="B32" i="2"/>
  <c r="C32" i="2"/>
  <c r="D32" i="2"/>
  <c r="E32" i="2"/>
  <c r="F32" i="2"/>
  <c r="G32" i="2"/>
  <c r="H32" i="2"/>
  <c r="I32" i="2"/>
  <c r="J32" i="2"/>
  <c r="K32" i="2"/>
  <c r="A33" i="2"/>
  <c r="B33" i="2"/>
  <c r="C33" i="2"/>
  <c r="D33" i="2"/>
  <c r="E33" i="2"/>
  <c r="F33" i="2"/>
  <c r="G33" i="2"/>
  <c r="H33" i="2"/>
  <c r="I33" i="2"/>
  <c r="J33" i="2"/>
  <c r="K33" i="2"/>
  <c r="A34" i="2"/>
  <c r="B34" i="2"/>
  <c r="C34" i="2"/>
  <c r="D34" i="2"/>
  <c r="E34" i="2"/>
  <c r="F34" i="2"/>
  <c r="G34" i="2"/>
  <c r="H34" i="2"/>
  <c r="I34" i="2"/>
  <c r="J34" i="2"/>
  <c r="K34" i="2"/>
  <c r="A35" i="2"/>
  <c r="B35" i="2"/>
  <c r="C35" i="2"/>
  <c r="D35" i="2"/>
  <c r="E35" i="2"/>
  <c r="F35" i="2"/>
  <c r="G35" i="2"/>
  <c r="H35" i="2"/>
  <c r="I35" i="2"/>
  <c r="J35" i="2"/>
  <c r="K35" i="2"/>
  <c r="A36" i="2"/>
  <c r="B36" i="2"/>
  <c r="C36" i="2"/>
  <c r="D36" i="2"/>
  <c r="E36" i="2"/>
  <c r="F36" i="2"/>
  <c r="G36" i="2"/>
  <c r="H36" i="2"/>
  <c r="I36" i="2"/>
  <c r="J36" i="2"/>
  <c r="K36" i="2"/>
  <c r="A37" i="2"/>
  <c r="B37" i="2"/>
  <c r="C37" i="2"/>
  <c r="D37" i="2"/>
  <c r="E37" i="2"/>
  <c r="F37" i="2"/>
  <c r="G37" i="2"/>
  <c r="H37" i="2"/>
  <c r="I37" i="2"/>
  <c r="J37" i="2"/>
  <c r="K37" i="2"/>
  <c r="A38" i="2"/>
  <c r="B38" i="2"/>
  <c r="C38" i="2"/>
  <c r="D38" i="2"/>
  <c r="E38" i="2"/>
  <c r="F38" i="2"/>
  <c r="G38" i="2"/>
  <c r="H38" i="2"/>
  <c r="I38" i="2"/>
  <c r="J38" i="2"/>
  <c r="K38" i="2"/>
  <c r="A39" i="2"/>
  <c r="B39" i="2"/>
  <c r="C39" i="2"/>
  <c r="D39" i="2"/>
  <c r="E39" i="2"/>
  <c r="F39" i="2"/>
  <c r="G39" i="2"/>
  <c r="H39" i="2"/>
  <c r="I39" i="2"/>
  <c r="J39" i="2"/>
  <c r="K39" i="2"/>
  <c r="A40" i="2"/>
  <c r="B40" i="2"/>
  <c r="C40" i="2"/>
  <c r="D40" i="2"/>
  <c r="E40" i="2"/>
  <c r="F40" i="2"/>
  <c r="G40" i="2"/>
  <c r="H40" i="2"/>
  <c r="I40" i="2"/>
  <c r="J40" i="2"/>
  <c r="K40" i="2"/>
  <c r="A41" i="2"/>
  <c r="B41" i="2"/>
  <c r="C41" i="2"/>
  <c r="D41" i="2"/>
  <c r="E41" i="2"/>
  <c r="F41" i="2"/>
  <c r="G41" i="2"/>
  <c r="H41" i="2"/>
  <c r="I41" i="2"/>
  <c r="J41" i="2"/>
  <c r="K41" i="2"/>
  <c r="A42" i="2"/>
  <c r="B42" i="2"/>
  <c r="C42" i="2"/>
  <c r="D42" i="2"/>
  <c r="E42" i="2"/>
  <c r="F42" i="2"/>
  <c r="G42" i="2"/>
  <c r="H42" i="2"/>
  <c r="I42" i="2"/>
  <c r="J42" i="2"/>
  <c r="K42" i="2"/>
  <c r="A43" i="2"/>
  <c r="B43" i="2"/>
  <c r="C43" i="2"/>
  <c r="D43" i="2"/>
  <c r="E43" i="2"/>
  <c r="F43" i="2"/>
  <c r="G43" i="2"/>
  <c r="H43" i="2"/>
  <c r="I43" i="2"/>
  <c r="J43" i="2"/>
  <c r="K43" i="2"/>
  <c r="A44" i="2"/>
  <c r="B44" i="2"/>
  <c r="C44" i="2"/>
  <c r="D44" i="2"/>
  <c r="E44" i="2"/>
  <c r="F44" i="2"/>
  <c r="G44" i="2"/>
  <c r="H44" i="2"/>
  <c r="I44" i="2"/>
  <c r="J44" i="2"/>
  <c r="K44" i="2"/>
  <c r="A45" i="2"/>
  <c r="B45" i="2"/>
  <c r="C45" i="2"/>
  <c r="D45" i="2"/>
  <c r="E45" i="2"/>
  <c r="F45" i="2"/>
  <c r="G45" i="2"/>
  <c r="H45" i="2"/>
  <c r="I45" i="2"/>
  <c r="J45" i="2"/>
  <c r="K45" i="2"/>
  <c r="A46" i="2"/>
  <c r="B46" i="2"/>
  <c r="C46" i="2"/>
  <c r="D46" i="2"/>
  <c r="E46" i="2"/>
  <c r="F46" i="2"/>
  <c r="G46" i="2"/>
  <c r="H46" i="2"/>
  <c r="I46" i="2"/>
  <c r="J46" i="2"/>
  <c r="K46" i="2"/>
  <c r="A47" i="2"/>
  <c r="B47" i="2"/>
  <c r="C47" i="2"/>
  <c r="D47" i="2"/>
  <c r="E47" i="2"/>
  <c r="F47" i="2"/>
  <c r="G47" i="2"/>
  <c r="H47" i="2"/>
  <c r="I47" i="2"/>
  <c r="J47" i="2"/>
  <c r="K47" i="2"/>
  <c r="A48" i="2"/>
  <c r="B48" i="2"/>
  <c r="C48" i="2"/>
  <c r="D48" i="2"/>
  <c r="E48" i="2"/>
  <c r="F48" i="2"/>
  <c r="G48" i="2"/>
  <c r="H48" i="2"/>
  <c r="I48" i="2"/>
  <c r="J48" i="2"/>
  <c r="K48" i="2"/>
  <c r="A49" i="2"/>
  <c r="B49" i="2"/>
  <c r="C49" i="2"/>
  <c r="D49" i="2"/>
  <c r="E49" i="2"/>
  <c r="F49" i="2"/>
  <c r="G49" i="2"/>
  <c r="H49" i="2"/>
  <c r="I49" i="2"/>
  <c r="J49" i="2"/>
  <c r="K49" i="2"/>
  <c r="A50" i="2"/>
  <c r="B50" i="2"/>
  <c r="C50" i="2"/>
  <c r="D50" i="2"/>
  <c r="E50" i="2"/>
  <c r="F50" i="2"/>
  <c r="G50" i="2"/>
  <c r="H50" i="2"/>
  <c r="I50" i="2"/>
  <c r="J50" i="2"/>
  <c r="K50" i="2"/>
  <c r="A51" i="2"/>
  <c r="B51" i="2"/>
  <c r="C51" i="2"/>
  <c r="D51" i="2"/>
  <c r="E51" i="2"/>
  <c r="F51" i="2"/>
  <c r="G51" i="2"/>
  <c r="H51" i="2"/>
  <c r="I51" i="2"/>
  <c r="J51" i="2"/>
  <c r="K51" i="2"/>
  <c r="A52" i="2"/>
  <c r="B52" i="2"/>
  <c r="C52" i="2"/>
  <c r="D52" i="2"/>
  <c r="E52" i="2"/>
  <c r="F52" i="2"/>
  <c r="G52" i="2"/>
  <c r="H52" i="2"/>
  <c r="I52" i="2"/>
  <c r="J52" i="2"/>
  <c r="K52" i="2"/>
  <c r="A53" i="2"/>
  <c r="B53" i="2"/>
  <c r="C53" i="2"/>
  <c r="D53" i="2"/>
  <c r="E53" i="2"/>
  <c r="F53" i="2"/>
  <c r="G53" i="2"/>
  <c r="H53" i="2"/>
  <c r="I53" i="2"/>
  <c r="J53" i="2"/>
  <c r="K53" i="2"/>
  <c r="A54" i="2"/>
  <c r="B54" i="2"/>
  <c r="C54" i="2"/>
  <c r="D54" i="2"/>
  <c r="E54" i="2"/>
  <c r="F54" i="2"/>
  <c r="G54" i="2"/>
  <c r="H54" i="2"/>
  <c r="I54" i="2"/>
  <c r="J54" i="2"/>
  <c r="K54" i="2"/>
  <c r="A55" i="2"/>
  <c r="B55" i="2"/>
  <c r="C55" i="2"/>
  <c r="D55" i="2"/>
  <c r="E55" i="2"/>
  <c r="F55" i="2"/>
  <c r="G55" i="2"/>
  <c r="H55" i="2"/>
  <c r="I55" i="2"/>
  <c r="J55" i="2"/>
  <c r="K55" i="2"/>
  <c r="A56" i="2"/>
  <c r="C56" i="2"/>
  <c r="D56" i="2"/>
  <c r="E56" i="2"/>
  <c r="F56" i="2"/>
  <c r="G56" i="2"/>
  <c r="H56" i="2"/>
  <c r="I56" i="2"/>
  <c r="J56" i="2"/>
  <c r="K56" i="2"/>
  <c r="A1" i="3"/>
  <c r="B1" i="3"/>
  <c r="C1" i="3"/>
  <c r="D1" i="3"/>
  <c r="E1" i="3"/>
  <c r="A2" i="3"/>
  <c r="B2" i="3"/>
  <c r="C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H4" i="11"/>
  <c r="I4" i="11"/>
  <c r="C5" i="11"/>
  <c r="D5" i="11"/>
  <c r="E5" i="11"/>
  <c r="F5" i="11"/>
  <c r="H5" i="11"/>
  <c r="I5" i="11"/>
  <c r="K5" i="11"/>
  <c r="L5" i="11"/>
  <c r="C6" i="11"/>
  <c r="D6" i="11"/>
  <c r="E6" i="11"/>
  <c r="F6" i="11"/>
  <c r="H6" i="11"/>
  <c r="I6" i="11"/>
  <c r="J6" i="11"/>
  <c r="C7" i="11"/>
  <c r="D7" i="11"/>
  <c r="E7" i="11"/>
  <c r="F7" i="11"/>
  <c r="H7" i="11"/>
  <c r="I7" i="11"/>
  <c r="J7" i="11"/>
  <c r="C8" i="11"/>
  <c r="D8" i="11"/>
  <c r="E8" i="11"/>
  <c r="F8" i="11"/>
  <c r="H8" i="11"/>
  <c r="I8" i="11"/>
  <c r="J8" i="11"/>
  <c r="C9" i="11"/>
  <c r="D9" i="11"/>
  <c r="E9" i="11"/>
  <c r="F9" i="11"/>
  <c r="H9" i="11"/>
  <c r="I9" i="11"/>
  <c r="J9" i="11"/>
  <c r="C10" i="11"/>
  <c r="D10" i="11"/>
  <c r="E10" i="11"/>
  <c r="F10" i="11"/>
  <c r="H10" i="11"/>
  <c r="I10" i="11"/>
  <c r="J10" i="11"/>
  <c r="C11" i="11"/>
  <c r="D11" i="11"/>
  <c r="E11" i="11"/>
  <c r="F11" i="11"/>
  <c r="H11" i="11"/>
  <c r="I11" i="11"/>
  <c r="C12" i="11"/>
  <c r="D12" i="11"/>
  <c r="E12" i="11"/>
  <c r="F12" i="11"/>
  <c r="H12" i="11"/>
  <c r="I12" i="11"/>
  <c r="C13" i="11"/>
  <c r="D13" i="11"/>
  <c r="E13" i="11"/>
  <c r="F13" i="11"/>
  <c r="H13" i="11"/>
  <c r="I13" i="11"/>
  <c r="C14" i="11"/>
  <c r="D14" i="11"/>
  <c r="E14" i="11"/>
  <c r="F14" i="11"/>
  <c r="H14" i="11"/>
  <c r="I14" i="11"/>
  <c r="C15" i="11"/>
  <c r="D15" i="11"/>
  <c r="E15" i="11"/>
  <c r="F15" i="11"/>
  <c r="H15" i="11"/>
  <c r="I15" i="11"/>
  <c r="C16" i="11"/>
  <c r="D16" i="11"/>
  <c r="E16" i="11"/>
  <c r="F16" i="11"/>
  <c r="H16" i="11"/>
  <c r="I16" i="11"/>
  <c r="C17" i="11"/>
  <c r="D17" i="11"/>
  <c r="E17" i="11"/>
  <c r="F17" i="11"/>
  <c r="H17" i="11"/>
  <c r="I17" i="11"/>
  <c r="C18" i="11"/>
  <c r="D18" i="11"/>
  <c r="E18" i="11"/>
  <c r="F18" i="11"/>
  <c r="H18" i="11"/>
  <c r="I18" i="11"/>
  <c r="C19" i="11"/>
  <c r="D19" i="11"/>
  <c r="E19" i="11"/>
  <c r="F19" i="11"/>
  <c r="H19" i="11"/>
  <c r="I19" i="11"/>
  <c r="C20" i="11"/>
  <c r="D20" i="11"/>
  <c r="E20" i="11"/>
  <c r="F20" i="11"/>
  <c r="H20" i="11"/>
  <c r="I20" i="11"/>
  <c r="C21" i="11"/>
  <c r="D21" i="11"/>
  <c r="E21" i="11"/>
  <c r="F21" i="11"/>
  <c r="H21" i="11"/>
  <c r="I21" i="11"/>
  <c r="C22" i="11"/>
  <c r="D22" i="11"/>
  <c r="E22" i="11"/>
  <c r="F22" i="11"/>
  <c r="H22" i="11"/>
  <c r="I22" i="11"/>
  <c r="C23" i="11"/>
  <c r="D23" i="11"/>
  <c r="E23" i="11"/>
  <c r="F23" i="11"/>
  <c r="H23" i="11"/>
  <c r="I23" i="11"/>
  <c r="C24" i="11"/>
  <c r="D24" i="11"/>
  <c r="E24" i="11"/>
  <c r="F24" i="11"/>
  <c r="H24" i="11"/>
  <c r="I24" i="11"/>
  <c r="C25" i="11"/>
  <c r="D25" i="11"/>
  <c r="E25" i="11"/>
  <c r="F25" i="11"/>
  <c r="H25" i="11"/>
  <c r="I25" i="11"/>
  <c r="C26" i="11"/>
  <c r="D26" i="11"/>
  <c r="E26" i="11"/>
  <c r="F26" i="11"/>
  <c r="H26" i="11"/>
  <c r="I26" i="11"/>
  <c r="C27" i="11"/>
  <c r="D27" i="11"/>
  <c r="E27" i="11"/>
  <c r="F27" i="11"/>
  <c r="H27" i="11"/>
  <c r="I27" i="11"/>
  <c r="C28" i="11"/>
  <c r="D28" i="11"/>
  <c r="E28" i="11"/>
  <c r="F28" i="11"/>
  <c r="H28" i="11"/>
  <c r="I28" i="11"/>
  <c r="C29" i="11"/>
  <c r="D29" i="11"/>
  <c r="E29" i="11"/>
  <c r="F29" i="11"/>
  <c r="H29" i="11"/>
  <c r="I29" i="11"/>
  <c r="C30" i="11"/>
  <c r="D30" i="11"/>
  <c r="E30" i="11"/>
  <c r="F30" i="11"/>
  <c r="H30" i="11"/>
  <c r="I30" i="11"/>
  <c r="C31" i="11"/>
  <c r="D31" i="11"/>
  <c r="E31" i="11"/>
  <c r="F31" i="11"/>
  <c r="H31" i="11"/>
  <c r="I31" i="11"/>
  <c r="C32" i="11"/>
  <c r="D32" i="11"/>
  <c r="E32" i="11"/>
  <c r="F32" i="11"/>
  <c r="H32" i="11"/>
  <c r="I32" i="11"/>
  <c r="C33" i="11"/>
  <c r="D33" i="11"/>
  <c r="E33" i="11"/>
  <c r="F33" i="11"/>
  <c r="H33" i="11"/>
  <c r="I33" i="11"/>
  <c r="C34" i="11"/>
  <c r="D34" i="11"/>
  <c r="E34" i="11"/>
  <c r="F34" i="11"/>
  <c r="H34" i="11"/>
  <c r="I34" i="11"/>
  <c r="B4" i="9"/>
  <c r="F5" i="9"/>
  <c r="B6" i="9"/>
  <c r="F6" i="9"/>
  <c r="G6" i="9"/>
  <c r="B7" i="9"/>
  <c r="F7" i="9"/>
  <c r="G7" i="9"/>
  <c r="H7" i="9"/>
  <c r="B8" i="9"/>
  <c r="F8" i="9"/>
  <c r="G8" i="9"/>
  <c r="H8" i="9"/>
  <c r="I8" i="9"/>
  <c r="B9" i="9"/>
  <c r="F9" i="9"/>
  <c r="G9" i="9"/>
  <c r="H9" i="9"/>
  <c r="I9" i="9"/>
  <c r="J9" i="9"/>
  <c r="B10" i="9"/>
  <c r="F10" i="9"/>
  <c r="G10" i="9"/>
  <c r="H10" i="9"/>
  <c r="I10" i="9"/>
  <c r="J10" i="9"/>
  <c r="K10" i="9"/>
  <c r="B11" i="9"/>
  <c r="F11" i="9"/>
  <c r="G11" i="9"/>
  <c r="H11" i="9"/>
  <c r="I11" i="9"/>
  <c r="J11" i="9"/>
  <c r="K11" i="9"/>
  <c r="L11" i="9"/>
  <c r="B12" i="9"/>
  <c r="F12" i="9"/>
  <c r="G12" i="9"/>
  <c r="H12" i="9"/>
  <c r="I12" i="9"/>
  <c r="J12" i="9"/>
  <c r="K12" i="9"/>
  <c r="L12" i="9"/>
  <c r="M12" i="9"/>
  <c r="B13" i="9"/>
  <c r="F13" i="9"/>
  <c r="G13" i="9"/>
  <c r="H13" i="9"/>
  <c r="I13" i="9"/>
  <c r="J13" i="9"/>
  <c r="K13" i="9"/>
  <c r="L13" i="9"/>
  <c r="M13" i="9"/>
  <c r="N13" i="9"/>
  <c r="B14" i="9"/>
  <c r="F14" i="9"/>
  <c r="G14" i="9"/>
  <c r="H14" i="9"/>
  <c r="I14" i="9"/>
  <c r="J14" i="9"/>
  <c r="K14" i="9"/>
  <c r="L14" i="9"/>
  <c r="M14" i="9"/>
  <c r="N14" i="9"/>
  <c r="O14" i="9"/>
  <c r="B15" i="9"/>
  <c r="F15" i="9"/>
  <c r="G15" i="9"/>
  <c r="H15" i="9"/>
  <c r="I15" i="9"/>
  <c r="J15" i="9"/>
  <c r="K15" i="9"/>
  <c r="L15" i="9"/>
  <c r="M15" i="9"/>
  <c r="N15" i="9"/>
  <c r="O15" i="9"/>
  <c r="P15" i="9"/>
  <c r="B16" i="9"/>
  <c r="F16" i="9"/>
  <c r="G16" i="9"/>
  <c r="H16" i="9"/>
  <c r="I16" i="9"/>
  <c r="J16" i="9"/>
  <c r="K16" i="9"/>
  <c r="L16" i="9"/>
  <c r="M16" i="9"/>
  <c r="N16" i="9"/>
  <c r="O16" i="9"/>
  <c r="P16" i="9"/>
  <c r="Q16" i="9"/>
  <c r="B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B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B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B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B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B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B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B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C3" i="10"/>
  <c r="D3" i="10"/>
  <c r="E3" i="10"/>
  <c r="F3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J23" i="10"/>
  <c r="K23" i="10"/>
  <c r="L23" i="10"/>
  <c r="M23" i="10"/>
  <c r="B24" i="10"/>
  <c r="C24" i="10"/>
  <c r="J24" i="10"/>
  <c r="K24" i="10"/>
  <c r="L24" i="10"/>
  <c r="M24" i="10"/>
  <c r="B25" i="10"/>
  <c r="C25" i="10"/>
  <c r="J25" i="10"/>
  <c r="K25" i="10"/>
  <c r="L25" i="10"/>
  <c r="M25" i="10"/>
  <c r="J26" i="10"/>
  <c r="K26" i="10"/>
  <c r="L26" i="10"/>
  <c r="M26" i="10"/>
  <c r="J27" i="10"/>
  <c r="K27" i="10"/>
  <c r="L27" i="10"/>
  <c r="M27" i="10"/>
  <c r="J28" i="10"/>
  <c r="K28" i="10"/>
  <c r="L28" i="10"/>
  <c r="M28" i="10"/>
  <c r="J29" i="10"/>
  <c r="K29" i="10"/>
  <c r="L29" i="10"/>
  <c r="M29" i="10"/>
  <c r="J30" i="10"/>
  <c r="K30" i="10"/>
  <c r="L30" i="10"/>
  <c r="M30" i="10"/>
  <c r="J31" i="10"/>
  <c r="K31" i="10"/>
  <c r="L31" i="10"/>
  <c r="M31" i="10"/>
  <c r="J32" i="10"/>
  <c r="K32" i="10"/>
  <c r="L32" i="10"/>
  <c r="M32" i="10"/>
  <c r="J33" i="10"/>
  <c r="K33" i="10"/>
  <c r="L33" i="10"/>
  <c r="M33" i="10"/>
  <c r="J34" i="10"/>
  <c r="K34" i="10"/>
  <c r="L34" i="10"/>
  <c r="M34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C2" i="1"/>
  <c r="D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B4" i="12"/>
  <c r="C4" i="12"/>
  <c r="D4" i="12"/>
  <c r="E4" i="12"/>
  <c r="F4" i="12"/>
  <c r="G4" i="12"/>
  <c r="H4" i="12"/>
  <c r="K4" i="12"/>
  <c r="L4" i="12"/>
  <c r="M4" i="12"/>
  <c r="N4" i="12"/>
  <c r="O4" i="12"/>
  <c r="R4" i="12"/>
  <c r="T4" i="12"/>
  <c r="B5" i="12"/>
  <c r="C5" i="12"/>
  <c r="D5" i="12"/>
  <c r="E5" i="12"/>
  <c r="F5" i="12"/>
  <c r="G5" i="12"/>
  <c r="H5" i="12"/>
  <c r="K5" i="12"/>
  <c r="L5" i="12"/>
  <c r="M5" i="12"/>
  <c r="N5" i="12"/>
  <c r="O5" i="12"/>
  <c r="R5" i="12"/>
  <c r="T5" i="12"/>
  <c r="B6" i="12"/>
  <c r="C6" i="12"/>
  <c r="D6" i="12"/>
  <c r="E6" i="12"/>
  <c r="F6" i="12"/>
  <c r="G6" i="12"/>
  <c r="H6" i="12"/>
  <c r="K6" i="12"/>
  <c r="L6" i="12"/>
  <c r="M6" i="12"/>
  <c r="N6" i="12"/>
  <c r="O6" i="12"/>
  <c r="R6" i="12"/>
  <c r="T6" i="12"/>
  <c r="B7" i="12"/>
  <c r="C7" i="12"/>
  <c r="D7" i="12"/>
  <c r="E7" i="12"/>
  <c r="F7" i="12"/>
  <c r="G7" i="12"/>
  <c r="H7" i="12"/>
  <c r="K7" i="12"/>
  <c r="L7" i="12"/>
  <c r="M7" i="12"/>
  <c r="N7" i="12"/>
  <c r="O7" i="12"/>
  <c r="R7" i="12"/>
  <c r="T7" i="12"/>
  <c r="B8" i="12"/>
  <c r="C8" i="12"/>
  <c r="D8" i="12"/>
  <c r="E8" i="12"/>
  <c r="F8" i="12"/>
  <c r="G8" i="12"/>
  <c r="H8" i="12"/>
  <c r="K8" i="12"/>
  <c r="L8" i="12"/>
  <c r="M8" i="12"/>
  <c r="N8" i="12"/>
  <c r="O8" i="12"/>
  <c r="R8" i="12"/>
  <c r="T8" i="12"/>
  <c r="B9" i="12"/>
  <c r="C9" i="12"/>
  <c r="D9" i="12"/>
  <c r="E9" i="12"/>
  <c r="F9" i="12"/>
  <c r="G9" i="12"/>
  <c r="H9" i="12"/>
  <c r="K9" i="12"/>
  <c r="L9" i="12"/>
  <c r="M9" i="12"/>
  <c r="N9" i="12"/>
  <c r="O9" i="12"/>
  <c r="R9" i="12"/>
  <c r="T9" i="12"/>
  <c r="B10" i="12"/>
  <c r="C10" i="12"/>
  <c r="D10" i="12"/>
  <c r="E10" i="12"/>
  <c r="F10" i="12"/>
  <c r="G10" i="12"/>
  <c r="H10" i="12"/>
  <c r="K10" i="12"/>
  <c r="L10" i="12"/>
  <c r="M10" i="12"/>
  <c r="N10" i="12"/>
  <c r="O10" i="12"/>
  <c r="R10" i="12"/>
  <c r="T10" i="12"/>
  <c r="B11" i="12"/>
  <c r="C11" i="12"/>
  <c r="D11" i="12"/>
  <c r="E11" i="12"/>
  <c r="F11" i="12"/>
  <c r="G11" i="12"/>
  <c r="H11" i="12"/>
  <c r="K11" i="12"/>
  <c r="L11" i="12"/>
  <c r="M11" i="12"/>
  <c r="N11" i="12"/>
  <c r="O11" i="12"/>
  <c r="R11" i="12"/>
  <c r="T11" i="12"/>
  <c r="B12" i="12"/>
  <c r="C12" i="12"/>
  <c r="D12" i="12"/>
  <c r="E12" i="12"/>
  <c r="F12" i="12"/>
  <c r="G12" i="12"/>
  <c r="H12" i="12"/>
  <c r="K12" i="12"/>
  <c r="L12" i="12"/>
  <c r="M12" i="12"/>
  <c r="N12" i="12"/>
  <c r="O12" i="12"/>
  <c r="R12" i="12"/>
  <c r="T12" i="12"/>
  <c r="B13" i="12"/>
  <c r="C13" i="12"/>
  <c r="D13" i="12"/>
  <c r="E13" i="12"/>
  <c r="F13" i="12"/>
  <c r="G13" i="12"/>
  <c r="H13" i="12"/>
  <c r="K13" i="12"/>
  <c r="L13" i="12"/>
  <c r="M13" i="12"/>
  <c r="N13" i="12"/>
  <c r="O13" i="12"/>
  <c r="R13" i="12"/>
  <c r="T13" i="12"/>
  <c r="B14" i="12"/>
  <c r="C14" i="12"/>
  <c r="D14" i="12"/>
  <c r="E14" i="12"/>
  <c r="F14" i="12"/>
  <c r="G14" i="12"/>
  <c r="H14" i="12"/>
  <c r="K14" i="12"/>
  <c r="L14" i="12"/>
  <c r="N14" i="12"/>
  <c r="O14" i="12"/>
  <c r="R14" i="12"/>
  <c r="T14" i="12"/>
  <c r="B15" i="12"/>
  <c r="C15" i="12"/>
  <c r="D15" i="12"/>
  <c r="E15" i="12"/>
  <c r="F15" i="12"/>
  <c r="G15" i="12"/>
  <c r="H15" i="12"/>
  <c r="K15" i="12"/>
  <c r="L15" i="12"/>
  <c r="N15" i="12"/>
  <c r="O15" i="12"/>
  <c r="R15" i="12"/>
  <c r="T15" i="12"/>
  <c r="B16" i="12"/>
  <c r="C16" i="12"/>
  <c r="D16" i="12"/>
  <c r="E16" i="12"/>
  <c r="F16" i="12"/>
  <c r="G16" i="12"/>
  <c r="H16" i="12"/>
  <c r="K16" i="12"/>
  <c r="L16" i="12"/>
  <c r="N16" i="12"/>
  <c r="O16" i="12"/>
  <c r="R16" i="12"/>
  <c r="T16" i="12"/>
  <c r="B17" i="12"/>
  <c r="C17" i="12"/>
  <c r="D17" i="12"/>
  <c r="E17" i="12"/>
  <c r="F17" i="12"/>
  <c r="G17" i="12"/>
  <c r="H17" i="12"/>
  <c r="K17" i="12"/>
  <c r="L17" i="12"/>
  <c r="N17" i="12"/>
  <c r="O17" i="12"/>
  <c r="R17" i="12"/>
  <c r="T17" i="12"/>
  <c r="B18" i="12"/>
  <c r="C18" i="12"/>
  <c r="D18" i="12"/>
  <c r="E18" i="12"/>
  <c r="F18" i="12"/>
  <c r="G18" i="12"/>
  <c r="H18" i="12"/>
  <c r="K18" i="12"/>
  <c r="L18" i="12"/>
  <c r="N18" i="12"/>
  <c r="O18" i="12"/>
  <c r="R18" i="12"/>
  <c r="T18" i="12"/>
  <c r="B19" i="12"/>
  <c r="C19" i="12"/>
  <c r="D19" i="12"/>
  <c r="E19" i="12"/>
  <c r="F19" i="12"/>
  <c r="G19" i="12"/>
  <c r="H19" i="12"/>
  <c r="K19" i="12"/>
  <c r="L19" i="12"/>
  <c r="N19" i="12"/>
  <c r="O19" i="12"/>
  <c r="R19" i="12"/>
  <c r="T19" i="12"/>
  <c r="B20" i="12"/>
  <c r="C20" i="12"/>
  <c r="D20" i="12"/>
  <c r="E20" i="12"/>
  <c r="F20" i="12"/>
  <c r="G20" i="12"/>
  <c r="H20" i="12"/>
  <c r="K20" i="12"/>
  <c r="L20" i="12"/>
  <c r="N20" i="12"/>
  <c r="O20" i="12"/>
  <c r="R20" i="12"/>
  <c r="T20" i="12"/>
  <c r="B21" i="12"/>
  <c r="C21" i="12"/>
  <c r="D21" i="12"/>
  <c r="E21" i="12"/>
  <c r="F21" i="12"/>
  <c r="G21" i="12"/>
  <c r="H21" i="12"/>
  <c r="K21" i="12"/>
  <c r="L21" i="12"/>
  <c r="N21" i="12"/>
  <c r="O21" i="12"/>
  <c r="R21" i="12"/>
  <c r="T21" i="12"/>
  <c r="B22" i="12"/>
  <c r="C22" i="12"/>
  <c r="D22" i="12"/>
  <c r="E22" i="12"/>
  <c r="F22" i="12"/>
  <c r="G22" i="12"/>
  <c r="H22" i="12"/>
  <c r="K22" i="12"/>
  <c r="L22" i="12"/>
  <c r="N22" i="12"/>
  <c r="O22" i="12"/>
  <c r="R22" i="12"/>
  <c r="T22" i="12"/>
  <c r="B23" i="12"/>
  <c r="C23" i="12"/>
  <c r="D23" i="12"/>
  <c r="E23" i="12"/>
  <c r="F23" i="12"/>
  <c r="G23" i="12"/>
  <c r="H23" i="12"/>
  <c r="K23" i="12"/>
  <c r="L23" i="12"/>
  <c r="N23" i="12"/>
  <c r="O23" i="12"/>
  <c r="R23" i="12"/>
  <c r="T23" i="12"/>
  <c r="B24" i="12"/>
  <c r="C24" i="12"/>
  <c r="D24" i="12"/>
  <c r="E24" i="12"/>
  <c r="F24" i="12"/>
  <c r="G24" i="12"/>
  <c r="H24" i="12"/>
  <c r="K24" i="12"/>
  <c r="L24" i="12"/>
  <c r="N24" i="12"/>
  <c r="O24" i="12"/>
  <c r="R24" i="12"/>
  <c r="T24" i="12"/>
  <c r="B25" i="12"/>
  <c r="C25" i="12"/>
  <c r="D25" i="12"/>
  <c r="E25" i="12"/>
  <c r="F25" i="12"/>
  <c r="G25" i="12"/>
  <c r="H25" i="12"/>
  <c r="K25" i="12"/>
  <c r="L25" i="12"/>
  <c r="N25" i="12"/>
  <c r="O25" i="12"/>
  <c r="R25" i="12"/>
  <c r="T25" i="12"/>
  <c r="B26" i="12"/>
  <c r="C26" i="12"/>
  <c r="D26" i="12"/>
  <c r="E26" i="12"/>
  <c r="F26" i="12"/>
  <c r="G26" i="12"/>
  <c r="H26" i="12"/>
  <c r="K26" i="12"/>
  <c r="L26" i="12"/>
  <c r="N26" i="12"/>
  <c r="O26" i="12"/>
  <c r="R26" i="12"/>
  <c r="T26" i="12"/>
  <c r="B27" i="12"/>
  <c r="C27" i="12"/>
  <c r="D27" i="12"/>
  <c r="E27" i="12"/>
  <c r="F27" i="12"/>
  <c r="G27" i="12"/>
  <c r="H27" i="12"/>
  <c r="K27" i="12"/>
  <c r="L27" i="12"/>
  <c r="N27" i="12"/>
  <c r="O27" i="12"/>
  <c r="R27" i="12"/>
  <c r="T27" i="12"/>
  <c r="B28" i="12"/>
  <c r="C28" i="12"/>
  <c r="D28" i="12"/>
  <c r="E28" i="12"/>
  <c r="F28" i="12"/>
  <c r="G28" i="12"/>
  <c r="H28" i="12"/>
  <c r="K28" i="12"/>
  <c r="L28" i="12"/>
  <c r="N28" i="12"/>
  <c r="O28" i="12"/>
  <c r="R28" i="12"/>
  <c r="T28" i="12"/>
  <c r="B29" i="12"/>
  <c r="C29" i="12"/>
  <c r="D29" i="12"/>
  <c r="E29" i="12"/>
  <c r="F29" i="12"/>
  <c r="G29" i="12"/>
  <c r="H29" i="12"/>
  <c r="K29" i="12"/>
  <c r="L29" i="12"/>
  <c r="N29" i="12"/>
  <c r="O29" i="12"/>
  <c r="R29" i="12"/>
  <c r="T29" i="12"/>
  <c r="B30" i="12"/>
  <c r="C30" i="12"/>
  <c r="D30" i="12"/>
  <c r="E30" i="12"/>
  <c r="F30" i="12"/>
  <c r="G30" i="12"/>
  <c r="H30" i="12"/>
  <c r="K30" i="12"/>
  <c r="L30" i="12"/>
  <c r="N30" i="12"/>
  <c r="O30" i="12"/>
  <c r="R30" i="12"/>
  <c r="T30" i="12"/>
  <c r="B31" i="12"/>
  <c r="C31" i="12"/>
  <c r="D31" i="12"/>
  <c r="E31" i="12"/>
  <c r="F31" i="12"/>
  <c r="G31" i="12"/>
  <c r="H31" i="12"/>
  <c r="K31" i="12"/>
  <c r="L31" i="12"/>
  <c r="N31" i="12"/>
  <c r="O31" i="12"/>
  <c r="R31" i="12"/>
  <c r="T31" i="12"/>
  <c r="B32" i="12"/>
  <c r="C32" i="12"/>
  <c r="D32" i="12"/>
  <c r="E32" i="12"/>
  <c r="F32" i="12"/>
  <c r="G32" i="12"/>
  <c r="H32" i="12"/>
  <c r="K32" i="12"/>
  <c r="L32" i="12"/>
  <c r="N32" i="12"/>
  <c r="O32" i="12"/>
  <c r="R32" i="12"/>
  <c r="T32" i="12"/>
  <c r="B33" i="12"/>
  <c r="C33" i="12"/>
  <c r="D33" i="12"/>
  <c r="E33" i="12"/>
  <c r="F33" i="12"/>
  <c r="G33" i="12"/>
  <c r="H33" i="12"/>
  <c r="K33" i="12"/>
  <c r="L33" i="12"/>
  <c r="N33" i="12"/>
  <c r="O33" i="12"/>
  <c r="R33" i="12"/>
  <c r="T33" i="12"/>
  <c r="B3" i="7"/>
  <c r="C3" i="7"/>
  <c r="D3" i="7"/>
  <c r="E3" i="7"/>
  <c r="B4" i="7"/>
  <c r="C4" i="7"/>
  <c r="D4" i="7"/>
  <c r="E4" i="7"/>
  <c r="B5" i="7"/>
  <c r="C5" i="7"/>
  <c r="D5" i="7"/>
  <c r="E5" i="7"/>
  <c r="B6" i="7"/>
  <c r="C6" i="7"/>
  <c r="D6" i="7"/>
  <c r="E6" i="7"/>
  <c r="B7" i="7"/>
  <c r="C7" i="7"/>
  <c r="D7" i="7"/>
  <c r="E7" i="7"/>
  <c r="B8" i="7"/>
  <c r="C8" i="7"/>
  <c r="D8" i="7"/>
  <c r="E8" i="7"/>
  <c r="B9" i="7"/>
  <c r="C9" i="7"/>
  <c r="D9" i="7"/>
  <c r="E9" i="7"/>
  <c r="B10" i="7"/>
  <c r="C10" i="7"/>
  <c r="D10" i="7"/>
  <c r="E10" i="7"/>
  <c r="B11" i="7"/>
  <c r="C11" i="7"/>
  <c r="D11" i="7"/>
  <c r="E11" i="7"/>
  <c r="B12" i="7"/>
  <c r="C12" i="7"/>
  <c r="D12" i="7"/>
  <c r="E12" i="7"/>
  <c r="B13" i="7"/>
  <c r="C13" i="7"/>
  <c r="D13" i="7"/>
  <c r="E13" i="7"/>
  <c r="B14" i="7"/>
  <c r="C14" i="7"/>
  <c r="D14" i="7"/>
  <c r="E14" i="7"/>
  <c r="B15" i="7"/>
  <c r="C15" i="7"/>
  <c r="D15" i="7"/>
  <c r="E15" i="7"/>
  <c r="B16" i="7"/>
  <c r="C16" i="7"/>
  <c r="D16" i="7"/>
  <c r="E16" i="7"/>
  <c r="B17" i="7"/>
  <c r="C17" i="7"/>
  <c r="D17" i="7"/>
  <c r="E17" i="7"/>
  <c r="B18" i="7"/>
  <c r="C18" i="7"/>
  <c r="D18" i="7"/>
  <c r="E18" i="7"/>
  <c r="B19" i="7"/>
  <c r="C19" i="7"/>
  <c r="D19" i="7"/>
  <c r="E19" i="7"/>
  <c r="B20" i="7"/>
  <c r="C20" i="7"/>
  <c r="D20" i="7"/>
  <c r="E20" i="7"/>
  <c r="B21" i="7"/>
  <c r="C21" i="7"/>
  <c r="D21" i="7"/>
  <c r="E21" i="7"/>
  <c r="B22" i="7"/>
  <c r="C22" i="7"/>
  <c r="D22" i="7"/>
  <c r="E22" i="7"/>
  <c r="B23" i="7"/>
  <c r="C23" i="7"/>
  <c r="D23" i="7"/>
  <c r="E23" i="7"/>
  <c r="B24" i="7"/>
  <c r="C24" i="7"/>
  <c r="D24" i="7"/>
  <c r="E24" i="7"/>
  <c r="B25" i="7"/>
  <c r="C25" i="7"/>
  <c r="D25" i="7"/>
  <c r="E25" i="7"/>
  <c r="B26" i="7"/>
  <c r="C26" i="7"/>
  <c r="D26" i="7"/>
  <c r="E26" i="7"/>
  <c r="B27" i="7"/>
  <c r="C27" i="7"/>
  <c r="D27" i="7"/>
  <c r="E27" i="7"/>
  <c r="B28" i="7"/>
  <c r="C28" i="7"/>
  <c r="D28" i="7"/>
  <c r="E28" i="7"/>
  <c r="B29" i="7"/>
  <c r="C29" i="7"/>
  <c r="D29" i="7"/>
  <c r="E29" i="7"/>
  <c r="B30" i="7"/>
  <c r="C30" i="7"/>
  <c r="D30" i="7"/>
  <c r="E30" i="7"/>
  <c r="B31" i="7"/>
  <c r="C31" i="7"/>
  <c r="D31" i="7"/>
  <c r="E31" i="7"/>
  <c r="B32" i="7"/>
  <c r="C32" i="7"/>
  <c r="D32" i="7"/>
  <c r="E32" i="7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C6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W11" i="6"/>
  <c r="CX11" i="6"/>
  <c r="CY11" i="6"/>
  <c r="CZ11" i="6"/>
  <c r="DA11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BM13" i="6"/>
  <c r="BY13" i="6"/>
  <c r="CK13" i="6"/>
  <c r="B79" i="6"/>
  <c r="C79" i="6"/>
  <c r="E79" i="6"/>
  <c r="L79" i="6"/>
  <c r="M79" i="6"/>
  <c r="N79" i="6"/>
  <c r="O79" i="6"/>
  <c r="S79" i="6"/>
  <c r="T79" i="6"/>
  <c r="U79" i="6"/>
  <c r="Y79" i="6"/>
  <c r="Z79" i="6"/>
  <c r="AA79" i="6"/>
  <c r="AE79" i="6"/>
  <c r="AF79" i="6"/>
  <c r="AG79" i="6"/>
  <c r="AN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O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O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O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O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O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O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O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O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O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O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O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O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O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O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O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O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O107" i="6"/>
  <c r="A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O108" i="6"/>
  <c r="A109" i="6"/>
  <c r="C109" i="6"/>
  <c r="D109" i="6"/>
  <c r="E109" i="6"/>
  <c r="F109" i="6"/>
  <c r="G109" i="6"/>
  <c r="H109" i="6"/>
  <c r="I109" i="6"/>
  <c r="J109" i="6"/>
  <c r="K109" i="6"/>
  <c r="L109" i="6"/>
  <c r="N109" i="6"/>
  <c r="O109" i="6"/>
  <c r="P109" i="6"/>
  <c r="Q109" i="6"/>
  <c r="R109" i="6"/>
  <c r="T109" i="6"/>
  <c r="U109" i="6"/>
  <c r="V109" i="6"/>
  <c r="W109" i="6"/>
  <c r="X109" i="6"/>
  <c r="Z109" i="6"/>
  <c r="AA109" i="6"/>
  <c r="AB109" i="6"/>
  <c r="AC109" i="6"/>
  <c r="AD109" i="6"/>
  <c r="AF109" i="6"/>
  <c r="AG109" i="6"/>
  <c r="AH109" i="6"/>
  <c r="AI109" i="6"/>
  <c r="AJ109" i="6"/>
  <c r="AK109" i="6"/>
  <c r="AL109" i="6"/>
  <c r="AM109" i="6"/>
  <c r="AN109" i="6"/>
  <c r="AO109" i="6"/>
</calcChain>
</file>

<file path=xl/sharedStrings.xml><?xml version="1.0" encoding="utf-8"?>
<sst xmlns="http://schemas.openxmlformats.org/spreadsheetml/2006/main" count="157" uniqueCount="100">
  <si>
    <t>Month</t>
  </si>
  <si>
    <t>6) CMO example. Underlying pool 10% annual interest rate, 30 year loans</t>
  </si>
  <si>
    <t>Pool Interest rate</t>
  </si>
  <si>
    <t>% PSA</t>
  </si>
  <si>
    <t>Pool Balance</t>
  </si>
  <si>
    <t>Residual payment</t>
  </si>
  <si>
    <t>A balance</t>
  </si>
  <si>
    <t>A interest rate</t>
  </si>
  <si>
    <t xml:space="preserve"> </t>
  </si>
  <si>
    <t>B balance</t>
  </si>
  <si>
    <t>B interest rate</t>
  </si>
  <si>
    <t>C balance</t>
  </si>
  <si>
    <t>C interest rate</t>
  </si>
  <si>
    <t>Z balance</t>
  </si>
  <si>
    <t>Z interest rate</t>
  </si>
  <si>
    <t>WHOLE POOL</t>
  </si>
  <si>
    <t>Owed to</t>
  </si>
  <si>
    <t>Year</t>
  </si>
  <si>
    <t>Disc.</t>
  </si>
  <si>
    <t>AF</t>
  </si>
  <si>
    <t>Prep. %</t>
  </si>
  <si>
    <t>Sec</t>
  </si>
  <si>
    <t>Pool Principal</t>
  </si>
  <si>
    <t>EOY</t>
  </si>
  <si>
    <t>P&amp;I Payment</t>
  </si>
  <si>
    <t>Unscheduled Prepayment</t>
  </si>
  <si>
    <t>Scheduled Payment</t>
  </si>
  <si>
    <t>Interest Payment</t>
  </si>
  <si>
    <t>Servicing</t>
  </si>
  <si>
    <t>Net Interest</t>
  </si>
  <si>
    <t>TRANCHE A</t>
  </si>
  <si>
    <t>TRANCHE B</t>
  </si>
  <si>
    <t>TRANCHE C</t>
  </si>
  <si>
    <t>TRANCHE Z</t>
  </si>
  <si>
    <t>RESIDUAL</t>
  </si>
  <si>
    <t>Amort.</t>
  </si>
  <si>
    <t>Int.</t>
  </si>
  <si>
    <t>Accum.</t>
  </si>
  <si>
    <t>Total</t>
  </si>
  <si>
    <t>Initial</t>
  </si>
  <si>
    <t>Pool</t>
  </si>
  <si>
    <t>Payment</t>
  </si>
  <si>
    <t>Prep.</t>
  </si>
  <si>
    <t>exc. prep</t>
  </si>
  <si>
    <t>Owed</t>
  </si>
  <si>
    <t>Principal</t>
  </si>
  <si>
    <t>Expense</t>
  </si>
  <si>
    <t>Accrued</t>
  </si>
  <si>
    <t>paid</t>
  </si>
  <si>
    <t>Paid</t>
  </si>
  <si>
    <t>Interest</t>
  </si>
  <si>
    <t>Tranche A</t>
  </si>
  <si>
    <t>Tranche B</t>
  </si>
  <si>
    <t>Tranche C</t>
  </si>
  <si>
    <t>Z Bond</t>
  </si>
  <si>
    <t>Residual</t>
  </si>
  <si>
    <t>200% PSA</t>
  </si>
  <si>
    <t>100% PSA</t>
  </si>
  <si>
    <t>500% PSA</t>
  </si>
  <si>
    <t>Residual bond</t>
  </si>
  <si>
    <t>Par</t>
  </si>
  <si>
    <t>Coupon rate</t>
  </si>
  <si>
    <t>Calc</t>
  </si>
  <si>
    <t>d</t>
  </si>
  <si>
    <t>Par Bond</t>
  </si>
  <si>
    <t>Percent Par</t>
  </si>
  <si>
    <t>IRR</t>
  </si>
  <si>
    <t>PSA</t>
  </si>
  <si>
    <t>Premium</t>
  </si>
  <si>
    <t>Discount</t>
  </si>
  <si>
    <t>LIBOR</t>
  </si>
  <si>
    <t>Coupon C</t>
  </si>
  <si>
    <t>PO</t>
  </si>
  <si>
    <t>IO</t>
  </si>
  <si>
    <t>IO (90)</t>
  </si>
  <si>
    <t>PO (150)</t>
  </si>
  <si>
    <t>Floater</t>
  </si>
  <si>
    <t>Inverse Floater</t>
  </si>
  <si>
    <t>A</t>
  </si>
  <si>
    <t>B</t>
  </si>
  <si>
    <t>C</t>
  </si>
  <si>
    <t>Z</t>
  </si>
  <si>
    <t>Total Int.</t>
  </si>
  <si>
    <t>A-Z Int.</t>
  </si>
  <si>
    <t>residual Int.</t>
  </si>
  <si>
    <t>WAC on Bonds</t>
  </si>
  <si>
    <t>Residual Coup. Diff.</t>
  </si>
  <si>
    <t>Bond Face Value</t>
  </si>
  <si>
    <t>A-1A balance</t>
  </si>
  <si>
    <t>A-1A interest rate</t>
  </si>
  <si>
    <t>A-2B interest rate</t>
  </si>
  <si>
    <t>A-2B balance</t>
  </si>
  <si>
    <t>A-2A balance</t>
  </si>
  <si>
    <t>A-2A interest rate</t>
  </si>
  <si>
    <t>A-1B balance</t>
  </si>
  <si>
    <t>A-1B interest rate</t>
  </si>
  <si>
    <t>A-3B balance</t>
  </si>
  <si>
    <t>A-3B interest rate</t>
  </si>
  <si>
    <t>X balance</t>
  </si>
  <si>
    <t>X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</si>
</sst>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0_)"/>
    <numFmt numFmtId="165" formatCode="0.00000_)"/>
    <numFmt numFmtId="166" formatCode="0.000%"/>
    <numFmt numFmtId="167" formatCode="#,##0.0_);\(#,##0.0\)"/>
    <numFmt numFmtId="168" formatCode="&quot;$&quot;#,##0"/>
    <numFmt numFmtId="169" formatCode="0.000000%"/>
    <numFmt numFmtId="170" formatCode="0.0000%"/>
    <numFmt numFmtId="172" formatCode="0.00000000000000000%"/>
  </numFmts>
  <fonts count="3" x14ac:knownFonts="1">
    <font>
      <sz val="10"/>
      <name val="Arial"/>
    </font>
    <font>
      <b/>
      <sz val="10"/>
      <name val="Arial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Protection="1"/>
    <xf numFmtId="10" fontId="0" fillId="0" borderId="0" xfId="0" applyNumberFormat="1" applyProtection="1"/>
    <xf numFmtId="0" fontId="0" fillId="0" borderId="0" xfId="0" applyAlignment="1" applyProtection="1">
      <alignment horizontal="left"/>
    </xf>
    <xf numFmtId="5" fontId="0" fillId="0" borderId="0" xfId="0" applyNumberFormat="1" applyProtection="1"/>
    <xf numFmtId="0" fontId="0" fillId="0" borderId="0" xfId="0" applyAlignment="1" applyProtection="1">
      <alignment horizontal="right"/>
    </xf>
    <xf numFmtId="164" fontId="0" fillId="0" borderId="0" xfId="0" applyNumberFormat="1" applyProtection="1"/>
    <xf numFmtId="165" fontId="0" fillId="0" borderId="0" xfId="0" applyNumberFormat="1" applyProtection="1"/>
    <xf numFmtId="166" fontId="0" fillId="0" borderId="0" xfId="0" applyNumberFormat="1" applyProtection="1"/>
    <xf numFmtId="167" fontId="0" fillId="0" borderId="0" xfId="0" applyNumberFormat="1" applyProtection="1"/>
    <xf numFmtId="0" fontId="1" fillId="0" borderId="0" xfId="0" applyFont="1"/>
    <xf numFmtId="168" fontId="2" fillId="0" borderId="0" xfId="0" applyNumberFormat="1" applyFont="1"/>
    <xf numFmtId="3" fontId="2" fillId="0" borderId="0" xfId="0" applyNumberFormat="1" applyFont="1"/>
    <xf numFmtId="168" fontId="0" fillId="0" borderId="0" xfId="0" applyNumberFormat="1"/>
    <xf numFmtId="10" fontId="1" fillId="0" borderId="0" xfId="0" applyNumberFormat="1" applyFont="1" applyProtection="1"/>
    <xf numFmtId="10" fontId="0" fillId="0" borderId="0" xfId="0" applyNumberFormat="1"/>
    <xf numFmtId="9" fontId="0" fillId="0" borderId="0" xfId="0" applyNumberFormat="1"/>
    <xf numFmtId="169" fontId="0" fillId="0" borderId="0" xfId="0" applyNumberFormat="1"/>
    <xf numFmtId="170" fontId="0" fillId="0" borderId="0" xfId="0" applyNumberFormat="1"/>
    <xf numFmtId="5" fontId="0" fillId="0" borderId="0" xfId="0" applyNumberFormat="1"/>
    <xf numFmtId="7" fontId="0" fillId="0" borderId="0" xfId="0" applyNumberFormat="1"/>
    <xf numFmtId="3" fontId="0" fillId="0" borderId="0" xfId="0" applyNumberFormat="1"/>
    <xf numFmtId="172" fontId="0" fillId="0" borderId="0" xfId="0" applyNumberFormat="1"/>
    <xf numFmtId="9" fontId="1" fillId="0" borderId="0" xfId="0" applyNumberFormat="1" applyFont="1"/>
    <xf numFmtId="0" fontId="0" fillId="0" borderId="0" xfId="0" quotePrefix="1"/>
    <xf numFmtId="0" fontId="0" fillId="0" borderId="0" xfId="0" quotePrefix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406270146385302"/>
          <c:y val="0.23658536585365852"/>
          <c:w val="0.71406304478686888"/>
          <c:h val="0.50487804878048781"/>
        </c:manualLayout>
      </c:layout>
      <c:lineChart>
        <c:grouping val="standard"/>
        <c:varyColors val="0"/>
        <c:ser>
          <c:idx val="1"/>
          <c:order val="0"/>
          <c:tx>
            <c:strRef>
              <c:f>PSA!$B$1</c:f>
              <c:strCache>
                <c:ptCount val="1"/>
                <c:pt idx="0">
                  <c:v>100% PSA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PSA!$A$2:$A$62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PSA!$B$2:$B$62</c:f>
              <c:numCache>
                <c:formatCode>0.00%</c:formatCode>
                <c:ptCount val="6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B7F-841A-E2AC21CFE952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C3A-4B7F-841A-E2AC21CFE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106352"/>
        <c:axId val="1"/>
      </c:lineChart>
      <c:catAx>
        <c:axId val="104510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Month</a:t>
                </a:r>
              </a:p>
            </c:rich>
          </c:tx>
          <c:layout>
            <c:manualLayout>
              <c:xMode val="edge"/>
              <c:yMode val="edge"/>
              <c:x val="0.52031289696723704"/>
              <c:y val="0.86829268292682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CPR (Constant Prepayment Rate)
</a:t>
                </a:r>
              </a:p>
            </c:rich>
          </c:tx>
          <c:layout>
            <c:manualLayout>
              <c:xMode val="edge"/>
              <c:yMode val="edge"/>
              <c:x val="3.2812525033969905E-2"/>
              <c:y val="0.10731707317073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451063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35998994264948"/>
          <c:y val="7.8431560277746531E-2"/>
          <c:w val="0.65291652746358209"/>
          <c:h val="0.71568798753443708"/>
        </c:manualLayout>
      </c:layout>
      <c:lineChart>
        <c:grouping val="standard"/>
        <c:varyColors val="0"/>
        <c:ser>
          <c:idx val="0"/>
          <c:order val="0"/>
          <c:tx>
            <c:strRef>
              <c:f>PrepayCTranche!$D$4</c:f>
              <c:strCache>
                <c:ptCount val="1"/>
                <c:pt idx="0">
                  <c:v>Premium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PrepayCTranche!$B$5:$B$25</c:f>
              <c:numCache>
                <c:formatCode>0%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cat>
          <c:val>
            <c:numRef>
              <c:f>PrepayCTranche!$D$5:$D$25</c:f>
              <c:numCache>
                <c:formatCode>0.00%</c:formatCode>
                <c:ptCount val="21"/>
                <c:pt idx="0">
                  <c:v>4.7937613990335103E-2</c:v>
                </c:pt>
                <c:pt idx="1">
                  <c:v>4.528974295064285E-2</c:v>
                </c:pt>
                <c:pt idx="2">
                  <c:v>4.2665909303594554E-2</c:v>
                </c:pt>
                <c:pt idx="3">
                  <c:v>3.9856784035845881E-2</c:v>
                </c:pt>
                <c:pt idx="4">
                  <c:v>3.7059285648285832E-2</c:v>
                </c:pt>
                <c:pt idx="5">
                  <c:v>3.4151182523673905E-2</c:v>
                </c:pt>
                <c:pt idx="6">
                  <c:v>3.1266122806231429E-2</c:v>
                </c:pt>
                <c:pt idx="7">
                  <c:v>2.8481352972438284E-2</c:v>
                </c:pt>
                <c:pt idx="8">
                  <c:v>2.5766925061299854E-2</c:v>
                </c:pt>
                <c:pt idx="9">
                  <c:v>2.2853833440475244E-2</c:v>
                </c:pt>
                <c:pt idx="10">
                  <c:v>2.078359013222416E-2</c:v>
                </c:pt>
                <c:pt idx="11">
                  <c:v>1.766666070646257E-2</c:v>
                </c:pt>
                <c:pt idx="12">
                  <c:v>1.5118167224203217E-2</c:v>
                </c:pt>
                <c:pt idx="13">
                  <c:v>1.28938952857231E-2</c:v>
                </c:pt>
                <c:pt idx="14">
                  <c:v>1.0634516910507742E-2</c:v>
                </c:pt>
                <c:pt idx="15">
                  <c:v>8.1466714539870002E-3</c:v>
                </c:pt>
                <c:pt idx="16">
                  <c:v>5.7912029068286595E-3</c:v>
                </c:pt>
                <c:pt idx="17">
                  <c:v>3.3706991781055282E-3</c:v>
                </c:pt>
                <c:pt idx="18">
                  <c:v>8.8360403977350726E-4</c:v>
                </c:pt>
                <c:pt idx="19">
                  <c:v>-1.6717421926557771E-3</c:v>
                </c:pt>
                <c:pt idx="20">
                  <c:v>-3.3498990685120922E-3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9-4339-895A-F072F6804F9F}"/>
            </c:ext>
          </c:extLst>
        </c:ser>
        <c:ser>
          <c:idx val="1"/>
          <c:order val="1"/>
          <c:tx>
            <c:strRef>
              <c:f>PrepayCTranche!$E$4</c:f>
              <c:strCache>
                <c:ptCount val="1"/>
                <c:pt idx="0">
                  <c:v>Discount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PrepayCTranche!$B$5:$B$25</c:f>
              <c:numCache>
                <c:formatCode>0%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cat>
          <c:val>
            <c:numRef>
              <c:f>PrepayCTranche!$E$5:$E$25</c:f>
              <c:numCache>
                <c:formatCode>0.00%</c:formatCode>
                <c:ptCount val="21"/>
                <c:pt idx="0">
                  <c:v>0.11287033688489297</c:v>
                </c:pt>
                <c:pt idx="1">
                  <c:v>0.11460149426555466</c:v>
                </c:pt>
                <c:pt idx="2">
                  <c:v>0.11635480239687217</c:v>
                </c:pt>
                <c:pt idx="3">
                  <c:v>0.11826252435333147</c:v>
                </c:pt>
                <c:pt idx="4">
                  <c:v>0.12018183875208964</c:v>
                </c:pt>
                <c:pt idx="5">
                  <c:v>0.12221083173325743</c:v>
                </c:pt>
                <c:pt idx="6">
                  <c:v>0.12423910058806593</c:v>
                </c:pt>
                <c:pt idx="7">
                  <c:v>0.12618306101149851</c:v>
                </c:pt>
                <c:pt idx="8">
                  <c:v>0.12814812479370433</c:v>
                </c:pt>
                <c:pt idx="9">
                  <c:v>0.13020925988998522</c:v>
                </c:pt>
                <c:pt idx="10">
                  <c:v>0.13169450013081208</c:v>
                </c:pt>
                <c:pt idx="11">
                  <c:v>0.13397867901627256</c:v>
                </c:pt>
                <c:pt idx="12">
                  <c:v>0.13584356638255826</c:v>
                </c:pt>
                <c:pt idx="13">
                  <c:v>0.13746904343029753</c:v>
                </c:pt>
                <c:pt idx="14">
                  <c:v>0.13908152900895535</c:v>
                </c:pt>
                <c:pt idx="15">
                  <c:v>0.14091936787253054</c:v>
                </c:pt>
                <c:pt idx="16">
                  <c:v>0.14273441957289676</c:v>
                </c:pt>
                <c:pt idx="17">
                  <c:v>0.14456857613817806</c:v>
                </c:pt>
                <c:pt idx="18">
                  <c:v>0.14641777764411609</c:v>
                </c:pt>
                <c:pt idx="19">
                  <c:v>0.14827772816190199</c:v>
                </c:pt>
                <c:pt idx="20">
                  <c:v>0.14952414733220407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9-4339-895A-F072F6804F9F}"/>
            </c:ext>
          </c:extLst>
        </c:ser>
        <c:ser>
          <c:idx val="2"/>
          <c:order val="2"/>
          <c:tx>
            <c:strRef>
              <c:f>PrepayCTranche!$F$4</c:f>
              <c:strCache>
                <c:ptCount val="1"/>
                <c:pt idx="0">
                  <c:v>Par Bond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PrepayCTranche!$B$5:$B$25</c:f>
              <c:numCache>
                <c:formatCode>0%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cat>
          <c:val>
            <c:numRef>
              <c:f>PrepayCTranche!$F$5:$F$25</c:f>
              <c:numCache>
                <c:formatCode>0.00%</c:formatCode>
                <c:ptCount val="21"/>
                <c:pt idx="0">
                  <c:v>8.5000000000000048E-2</c:v>
                </c:pt>
                <c:pt idx="1">
                  <c:v>8.5000000000000062E-2</c:v>
                </c:pt>
                <c:pt idx="2">
                  <c:v>8.500000000000052E-2</c:v>
                </c:pt>
                <c:pt idx="3">
                  <c:v>8.5000000000000284E-2</c:v>
                </c:pt>
                <c:pt idx="4">
                  <c:v>8.5000000000000006E-2</c:v>
                </c:pt>
                <c:pt idx="5">
                  <c:v>8.4999999999999951E-2</c:v>
                </c:pt>
                <c:pt idx="6">
                  <c:v>8.5000000000000006E-2</c:v>
                </c:pt>
                <c:pt idx="7">
                  <c:v>8.5000000000000062E-2</c:v>
                </c:pt>
                <c:pt idx="8">
                  <c:v>8.5000000000000048E-2</c:v>
                </c:pt>
                <c:pt idx="9">
                  <c:v>8.4999999999999923E-2</c:v>
                </c:pt>
                <c:pt idx="10">
                  <c:v>8.4999999999999923E-2</c:v>
                </c:pt>
                <c:pt idx="11">
                  <c:v>8.4999999999999895E-2</c:v>
                </c:pt>
                <c:pt idx="12">
                  <c:v>8.5000000000000089E-2</c:v>
                </c:pt>
                <c:pt idx="13">
                  <c:v>8.5000000000000006E-2</c:v>
                </c:pt>
                <c:pt idx="14">
                  <c:v>8.5000000000000089E-2</c:v>
                </c:pt>
                <c:pt idx="15">
                  <c:v>8.5000000000000006E-2</c:v>
                </c:pt>
                <c:pt idx="16">
                  <c:v>8.4999999999999937E-2</c:v>
                </c:pt>
                <c:pt idx="17">
                  <c:v>8.5000000000000089E-2</c:v>
                </c:pt>
                <c:pt idx="18">
                  <c:v>8.4999999999999867E-2</c:v>
                </c:pt>
                <c:pt idx="19">
                  <c:v>8.4999999999999923E-2</c:v>
                </c:pt>
                <c:pt idx="20">
                  <c:v>8.4999999999999895E-2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69-4339-895A-F072F6804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107312"/>
        <c:axId val="1"/>
      </c:lineChart>
      <c:catAx>
        <c:axId val="104510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PSA Rate</a:t>
                </a:r>
              </a:p>
            </c:rich>
          </c:tx>
          <c:layout>
            <c:manualLayout>
              <c:xMode val="edge"/>
              <c:yMode val="edge"/>
              <c:x val="0.40825063917657528"/>
              <c:y val="0.8725511080899300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Cash Flow Yield</a:t>
                </a:r>
              </a:p>
            </c:rich>
          </c:tx>
          <c:layout>
            <c:manualLayout>
              <c:xMode val="edge"/>
              <c:yMode val="edge"/>
              <c:x val="2.2759617515070399E-2"/>
              <c:y val="0.2500005983853170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45107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92375444784238"/>
          <c:y val="0.32598117240438401"/>
          <c:w val="0.170697131363028"/>
          <c:h val="0.223039749539841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570532915360503"/>
          <c:y val="8.5051653425586723E-2"/>
          <c:w val="0.54545454545454541"/>
          <c:h val="0.62886677078312614"/>
        </c:manualLayout>
      </c:layout>
      <c:lineChart>
        <c:grouping val="standard"/>
        <c:varyColors val="0"/>
        <c:ser>
          <c:idx val="0"/>
          <c:order val="0"/>
          <c:tx>
            <c:strRef>
              <c:f>'Tranche Payments'!$B$4</c:f>
              <c:strCache>
                <c:ptCount val="1"/>
                <c:pt idx="0">
                  <c:v>Tranche A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'Tranche Payments'!$A$5:$A$34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Payments'!$B$5:$B$34</c:f>
              <c:numCache>
                <c:formatCode>"$"#,##0</c:formatCode>
                <c:ptCount val="30"/>
                <c:pt idx="0">
                  <c:v>30674632.215412028</c:v>
                </c:pt>
                <c:pt idx="1">
                  <c:v>48084621.250571936</c:v>
                </c:pt>
                <c:pt idx="2">
                  <c:v>60113025.427331276</c:v>
                </c:pt>
                <c:pt idx="3">
                  <c:v>44430250.142195113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1-47B8-BA82-B01BEC527A8E}"/>
            </c:ext>
          </c:extLst>
        </c:ser>
        <c:ser>
          <c:idx val="1"/>
          <c:order val="1"/>
          <c:tx>
            <c:strRef>
              <c:f>'Tranche Payments'!$C$4</c:f>
              <c:strCache>
                <c:ptCount val="1"/>
                <c:pt idx="0">
                  <c:v>Tranche B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'Tranche Payments'!$A$5:$A$34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Payments'!$C$5:$C$34</c:f>
              <c:numCache>
                <c:formatCode>"$"#,##0</c:formatCode>
                <c:ptCount val="30"/>
                <c:pt idx="0">
                  <c:v>21925716.931200001</c:v>
                </c:pt>
                <c:pt idx="1">
                  <c:v>21925716.931200001</c:v>
                </c:pt>
                <c:pt idx="2">
                  <c:v>21925716.931200001</c:v>
                </c:pt>
                <c:pt idx="3">
                  <c:v>32620545.741289247</c:v>
                </c:pt>
                <c:pt idx="4">
                  <c:v>70367800.67326954</c:v>
                </c:pt>
                <c:pt idx="5">
                  <c:v>64027844.494309209</c:v>
                </c:pt>
                <c:pt idx="6">
                  <c:v>58095841.855527058</c:v>
                </c:pt>
                <c:pt idx="7">
                  <c:v>52545631.089653656</c:v>
                </c:pt>
                <c:pt idx="8">
                  <c:v>47352776.378632851</c:v>
                </c:pt>
                <c:pt idx="9">
                  <c:v>42494459.350248441</c:v>
                </c:pt>
                <c:pt idx="10">
                  <c:v>32096927.24096816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1-47B8-BA82-B01BEC527A8E}"/>
            </c:ext>
          </c:extLst>
        </c:ser>
        <c:ser>
          <c:idx val="2"/>
          <c:order val="2"/>
          <c:tx>
            <c:strRef>
              <c:f>'Tranche Payments'!$D$4</c:f>
              <c:strCache>
                <c:ptCount val="1"/>
                <c:pt idx="0">
                  <c:v>Tranche C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'Tranche Payments'!$A$5:$A$34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Payments'!$D$5:$D$34</c:f>
              <c:numCache>
                <c:formatCode>"$"#,##0</c:formatCode>
                <c:ptCount val="30"/>
                <c:pt idx="0">
                  <c:v>2125000</c:v>
                </c:pt>
                <c:pt idx="1">
                  <c:v>2125000</c:v>
                </c:pt>
                <c:pt idx="2">
                  <c:v>2125000</c:v>
                </c:pt>
                <c:pt idx="3">
                  <c:v>2125000</c:v>
                </c:pt>
                <c:pt idx="4">
                  <c:v>2125000</c:v>
                </c:pt>
                <c:pt idx="5">
                  <c:v>2125000</c:v>
                </c:pt>
                <c:pt idx="6">
                  <c:v>2125000</c:v>
                </c:pt>
                <c:pt idx="7">
                  <c:v>2125000</c:v>
                </c:pt>
                <c:pt idx="8">
                  <c:v>2125000</c:v>
                </c:pt>
                <c:pt idx="9">
                  <c:v>2125000</c:v>
                </c:pt>
                <c:pt idx="10">
                  <c:v>7977450.7234641761</c:v>
                </c:pt>
                <c:pt idx="11">
                  <c:v>20775090.965041369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A1-47B8-BA82-B01BEC527A8E}"/>
            </c:ext>
          </c:extLst>
        </c:ser>
        <c:ser>
          <c:idx val="3"/>
          <c:order val="3"/>
          <c:tx>
            <c:strRef>
              <c:f>'Tranche Payments'!$E$4</c:f>
              <c:strCache>
                <c:ptCount val="1"/>
                <c:pt idx="0">
                  <c:v>Z Bond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'Tranche Payments'!$A$5:$A$34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Payments'!$E$5:$E$34</c:f>
              <c:numCache>
                <c:formatCode>"$"#,##0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14979263.167654622</c:v>
                </c:pt>
                <c:pt idx="12">
                  <c:v>29659672.329406779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A1-47B8-BA82-B01BEC527A8E}"/>
            </c:ext>
          </c:extLst>
        </c:ser>
        <c:ser>
          <c:idx val="4"/>
          <c:order val="4"/>
          <c:tx>
            <c:strRef>
              <c:f>'Tranche Payments'!$F$4</c:f>
              <c:strCache>
                <c:ptCount val="1"/>
                <c:pt idx="0">
                  <c:v>Residual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'Tranche Payments'!$A$5:$A$34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Payments'!$F$5:$F$34</c:f>
              <c:numCache>
                <c:formatCode>"$"#,##0</c:formatCode>
                <c:ptCount val="30"/>
                <c:pt idx="0">
                  <c:v>40014280.190824002</c:v>
                </c:pt>
                <c:pt idx="1">
                  <c:v>39548055.231253132</c:v>
                </c:pt>
                <c:pt idx="2">
                  <c:v>38632541.14397566</c:v>
                </c:pt>
                <c:pt idx="3">
                  <c:v>37364483.146692351</c:v>
                </c:pt>
                <c:pt idx="4">
                  <c:v>36149648.77518937</c:v>
                </c:pt>
                <c:pt idx="5">
                  <c:v>35092442.259932943</c:v>
                </c:pt>
                <c:pt idx="6">
                  <c:v>34095256.476002559</c:v>
                </c:pt>
                <c:pt idx="7">
                  <c:v>33153666.685532928</c:v>
                </c:pt>
                <c:pt idx="8">
                  <c:v>32263491.894521855</c:v>
                </c:pt>
                <c:pt idx="9">
                  <c:v>31420775.443205729</c:v>
                </c:pt>
                <c:pt idx="10">
                  <c:v>30621766.532649539</c:v>
                </c:pt>
                <c:pt idx="11">
                  <c:v>29931200.699117262</c:v>
                </c:pt>
                <c:pt idx="12">
                  <c:v>31326856.462566059</c:v>
                </c:pt>
                <c:pt idx="13">
                  <c:v>56578536.854798868</c:v>
                </c:pt>
                <c:pt idx="14">
                  <c:v>52442365.123901263</c:v>
                </c:pt>
                <c:pt idx="15">
                  <c:v>48560029.222380266</c:v>
                </c:pt>
                <c:pt idx="16">
                  <c:v>44914693.478633076</c:v>
                </c:pt>
                <c:pt idx="17">
                  <c:v>41490594.929792926</c:v>
                </c:pt>
                <c:pt idx="18">
                  <c:v>38272971.618105717</c:v>
                </c:pt>
                <c:pt idx="19">
                  <c:v>35247994.54902418</c:v>
                </c:pt>
                <c:pt idx="20">
                  <c:v>32402702.464869652</c:v>
                </c:pt>
                <c:pt idx="21">
                  <c:v>29724938.154087476</c:v>
                </c:pt>
                <c:pt idx="22">
                  <c:v>27203284.111040872</c:v>
                </c:pt>
                <c:pt idx="23">
                  <c:v>24826993.362989254</c:v>
                </c:pt>
                <c:pt idx="24">
                  <c:v>22585906.506616894</c:v>
                </c:pt>
                <c:pt idx="25">
                  <c:v>20470333.324892867</c:v>
                </c:pt>
                <c:pt idx="26">
                  <c:v>18470838.603933051</c:v>
                </c:pt>
                <c:pt idx="27">
                  <c:v>16577727.023496704</c:v>
                </c:pt>
                <c:pt idx="28">
                  <c:v>14779284.947210969</c:v>
                </c:pt>
                <c:pt idx="29">
                  <c:v>13051082.610974073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A1-47B8-BA82-B01BEC527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623728"/>
        <c:axId val="1"/>
      </c:lineChart>
      <c:catAx>
        <c:axId val="104262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End-of-Year</a:t>
                </a:r>
              </a:p>
            </c:rich>
          </c:tx>
          <c:layout>
            <c:manualLayout>
              <c:xMode val="edge"/>
              <c:yMode val="edge"/>
              <c:x val="0.40595611285266459"/>
              <c:y val="0.865980471242337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42623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40125391849525"/>
          <c:y val="0.20618582648627085"/>
          <c:w val="0.19905956112852666"/>
          <c:h val="0.389175747492836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294670846394983"/>
          <c:y val="8.4615596493380643E-2"/>
          <c:w val="0.50626959247648906"/>
          <c:h val="0.63077081022338299"/>
        </c:manualLayout>
      </c:layout>
      <c:lineChart>
        <c:grouping val="standard"/>
        <c:varyColors val="0"/>
        <c:ser>
          <c:idx val="0"/>
          <c:order val="0"/>
          <c:tx>
            <c:strRef>
              <c:f>'Tranche Balances'!$B$2</c:f>
              <c:strCache>
                <c:ptCount val="1"/>
                <c:pt idx="0">
                  <c:v>Tranche A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'Tranche Balances'!$A$3:$A$32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Balances'!$B$3:$B$32</c:f>
              <c:numCache>
                <c:formatCode>"$"#,##0</c:formatCode>
                <c:ptCount val="30"/>
                <c:pt idx="0">
                  <c:v>133449106.50351797</c:v>
                </c:pt>
                <c:pt idx="1">
                  <c:v>94851382.234281123</c:v>
                </c:pt>
                <c:pt idx="2">
                  <c:v>41481341.569984891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F-4AB1-AD27-82099E80DA30}"/>
            </c:ext>
          </c:extLst>
        </c:ser>
        <c:ser>
          <c:idx val="1"/>
          <c:order val="1"/>
          <c:tx>
            <c:strRef>
              <c:f>'Tranche Balances'!$C$2</c:f>
              <c:strCache>
                <c:ptCount val="1"/>
                <c:pt idx="0">
                  <c:v>Tranche B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'Tranche Balances'!$A$3:$A$32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Balances'!$C$3:$C$32</c:f>
              <c:numCache>
                <c:formatCode>"$"#,##0</c:formatCode>
                <c:ptCount val="30"/>
                <c:pt idx="0">
                  <c:v>299000640</c:v>
                </c:pt>
                <c:pt idx="1">
                  <c:v>299000640</c:v>
                </c:pt>
                <c:pt idx="2">
                  <c:v>299000640</c:v>
                </c:pt>
                <c:pt idx="3">
                  <c:v>288305811.18991077</c:v>
                </c:pt>
                <c:pt idx="4">
                  <c:v>239079475.65119737</c:v>
                </c:pt>
                <c:pt idx="5">
                  <c:v>192583329.10639048</c:v>
                </c:pt>
                <c:pt idx="6">
                  <c:v>148609622.77423504</c:v>
                </c:pt>
                <c:pt idx="7">
                  <c:v>106961535.32261604</c:v>
                </c:pt>
                <c:pt idx="8">
                  <c:v>67452248.329190627</c:v>
                </c:pt>
                <c:pt idx="9">
                  <c:v>29904062.348921731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F-4AB1-AD27-82099E80DA30}"/>
            </c:ext>
          </c:extLst>
        </c:ser>
        <c:ser>
          <c:idx val="2"/>
          <c:order val="2"/>
          <c:tx>
            <c:strRef>
              <c:f>'Tranche Balances'!$D$2</c:f>
              <c:strCache>
                <c:ptCount val="1"/>
                <c:pt idx="0">
                  <c:v>Tranche C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'Tranche Balances'!$A$3:$A$32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Balances'!$D$3:$D$32</c:f>
              <c:numCache>
                <c:formatCode>"$"#,##0</c:formatCode>
                <c:ptCount val="30"/>
                <c:pt idx="0">
                  <c:v>25000000</c:v>
                </c:pt>
                <c:pt idx="1">
                  <c:v>25000000</c:v>
                </c:pt>
                <c:pt idx="2">
                  <c:v>25000000</c:v>
                </c:pt>
                <c:pt idx="3">
                  <c:v>25000000</c:v>
                </c:pt>
                <c:pt idx="4">
                  <c:v>25000000</c:v>
                </c:pt>
                <c:pt idx="5">
                  <c:v>25000000</c:v>
                </c:pt>
                <c:pt idx="6">
                  <c:v>25000000</c:v>
                </c:pt>
                <c:pt idx="7">
                  <c:v>25000000</c:v>
                </c:pt>
                <c:pt idx="8">
                  <c:v>25000000</c:v>
                </c:pt>
                <c:pt idx="9">
                  <c:v>25000000</c:v>
                </c:pt>
                <c:pt idx="10">
                  <c:v>19147549.276535824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F-4AB1-AD27-82099E80DA30}"/>
            </c:ext>
          </c:extLst>
        </c:ser>
        <c:ser>
          <c:idx val="3"/>
          <c:order val="3"/>
          <c:tx>
            <c:strRef>
              <c:f>'Tranche Balances'!$E$2</c:f>
              <c:strCache>
                <c:ptCount val="1"/>
                <c:pt idx="0">
                  <c:v>Z Bond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'Tranche Balances'!$A$3:$A$32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Balances'!$E$3:$E$32</c:f>
              <c:numCache>
                <c:formatCode>"$"#,##0</c:formatCode>
                <c:ptCount val="30"/>
                <c:pt idx="0">
                  <c:v>16350000</c:v>
                </c:pt>
                <c:pt idx="1">
                  <c:v>17821500</c:v>
                </c:pt>
                <c:pt idx="2">
                  <c:v>19425435</c:v>
                </c:pt>
                <c:pt idx="3">
                  <c:v>21173724.149999999</c:v>
                </c:pt>
                <c:pt idx="4">
                  <c:v>23079359.3235</c:v>
                </c:pt>
                <c:pt idx="5">
                  <c:v>25156501.662615001</c:v>
                </c:pt>
                <c:pt idx="6">
                  <c:v>27420586.81225035</c:v>
                </c:pt>
                <c:pt idx="7">
                  <c:v>29888439.625352882</c:v>
                </c:pt>
                <c:pt idx="8">
                  <c:v>32578399.19163464</c:v>
                </c:pt>
                <c:pt idx="9">
                  <c:v>35510455.118881755</c:v>
                </c:pt>
                <c:pt idx="10">
                  <c:v>38706396.079581112</c:v>
                </c:pt>
                <c:pt idx="11">
                  <c:v>27210708.559088789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F-4AB1-AD27-82099E80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630448"/>
        <c:axId val="1"/>
      </c:lineChart>
      <c:catAx>
        <c:axId val="104263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End-of-Year</a:t>
                </a:r>
              </a:p>
            </c:rich>
          </c:tx>
          <c:layout>
            <c:manualLayout>
              <c:xMode val="edge"/>
              <c:yMode val="edge"/>
              <c:x val="0.40282131661442006"/>
              <c:y val="0.866668836810989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42630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645768025078365"/>
          <c:y val="0.22564159064901504"/>
          <c:w val="0.22100313479623823"/>
          <c:h val="0.351282930896762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8928999692706"/>
          <c:y val="7.9012536199209588E-2"/>
          <c:w val="0.55520547491549421"/>
          <c:h val="0.67654484120573211"/>
        </c:manualLayout>
      </c:layout>
      <c:lineChart>
        <c:grouping val="standard"/>
        <c:varyColors val="0"/>
        <c:ser>
          <c:idx val="1"/>
          <c:order val="0"/>
          <c:tx>
            <c:strRef>
              <c:f>PSA!$B$1</c:f>
              <c:strCache>
                <c:ptCount val="1"/>
                <c:pt idx="0">
                  <c:v>100% PSA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PSA!$B$2:$B$62</c:f>
              <c:numCache>
                <c:formatCode>0.00%</c:formatCode>
                <c:ptCount val="6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1-481F-A2A0-CD1EF7FB8725}"/>
            </c:ext>
          </c:extLst>
        </c:ser>
        <c:ser>
          <c:idx val="2"/>
          <c:order val="1"/>
          <c:tx>
            <c:strRef>
              <c:f>PSA!$C$1</c:f>
              <c:strCache>
                <c:ptCount val="1"/>
                <c:pt idx="0">
                  <c:v>200% PSA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PSA!$C$2:$C$62</c:f>
              <c:numCache>
                <c:formatCode>0.00%</c:formatCode>
                <c:ptCount val="61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3.6000000000000004E-2</c:v>
                </c:pt>
                <c:pt idx="10">
                  <c:v>4.0000000000000008E-2</c:v>
                </c:pt>
                <c:pt idx="11">
                  <c:v>4.4000000000000011E-2</c:v>
                </c:pt>
                <c:pt idx="12">
                  <c:v>4.8000000000000015E-2</c:v>
                </c:pt>
                <c:pt idx="13">
                  <c:v>5.2000000000000018E-2</c:v>
                </c:pt>
                <c:pt idx="14">
                  <c:v>5.6000000000000022E-2</c:v>
                </c:pt>
                <c:pt idx="15">
                  <c:v>6.0000000000000026E-2</c:v>
                </c:pt>
                <c:pt idx="16">
                  <c:v>6.4000000000000029E-2</c:v>
                </c:pt>
                <c:pt idx="17">
                  <c:v>6.8000000000000033E-2</c:v>
                </c:pt>
                <c:pt idx="18">
                  <c:v>7.2000000000000036E-2</c:v>
                </c:pt>
                <c:pt idx="19">
                  <c:v>7.600000000000004E-2</c:v>
                </c:pt>
                <c:pt idx="20">
                  <c:v>8.0000000000000043E-2</c:v>
                </c:pt>
                <c:pt idx="21">
                  <c:v>8.4000000000000047E-2</c:v>
                </c:pt>
                <c:pt idx="22">
                  <c:v>8.800000000000005E-2</c:v>
                </c:pt>
                <c:pt idx="23">
                  <c:v>9.2000000000000054E-2</c:v>
                </c:pt>
                <c:pt idx="24">
                  <c:v>9.6000000000000058E-2</c:v>
                </c:pt>
                <c:pt idx="25">
                  <c:v>0.10000000000000006</c:v>
                </c:pt>
                <c:pt idx="26">
                  <c:v>0.10400000000000006</c:v>
                </c:pt>
                <c:pt idx="27">
                  <c:v>0.10800000000000007</c:v>
                </c:pt>
                <c:pt idx="28">
                  <c:v>0.11200000000000007</c:v>
                </c:pt>
                <c:pt idx="29">
                  <c:v>0.11600000000000008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1-481F-A2A0-CD1EF7FB8725}"/>
            </c:ext>
          </c:extLst>
        </c:ser>
        <c:ser>
          <c:idx val="3"/>
          <c:order val="2"/>
          <c:tx>
            <c:strRef>
              <c:f>PSA!$D$1</c:f>
              <c:strCache>
                <c:ptCount val="1"/>
                <c:pt idx="0">
                  <c:v>500% PSA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PSA!$D$2:$D$62</c:f>
              <c:numCache>
                <c:formatCode>0.00%</c:formatCode>
                <c:ptCount val="6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9.0000000000000011E-2</c:v>
                </c:pt>
                <c:pt idx="10">
                  <c:v>0.10000000000000002</c:v>
                </c:pt>
                <c:pt idx="11">
                  <c:v>0.11000000000000003</c:v>
                </c:pt>
                <c:pt idx="12">
                  <c:v>0.12000000000000004</c:v>
                </c:pt>
                <c:pt idx="13">
                  <c:v>0.13000000000000006</c:v>
                </c:pt>
                <c:pt idx="14">
                  <c:v>0.14000000000000007</c:v>
                </c:pt>
                <c:pt idx="15">
                  <c:v>0.15000000000000008</c:v>
                </c:pt>
                <c:pt idx="16">
                  <c:v>0.16000000000000009</c:v>
                </c:pt>
                <c:pt idx="17">
                  <c:v>0.1700000000000001</c:v>
                </c:pt>
                <c:pt idx="18">
                  <c:v>0.1800000000000001</c:v>
                </c:pt>
                <c:pt idx="19">
                  <c:v>0.19000000000000011</c:v>
                </c:pt>
                <c:pt idx="20">
                  <c:v>0.20000000000000012</c:v>
                </c:pt>
                <c:pt idx="21">
                  <c:v>0.21000000000000013</c:v>
                </c:pt>
                <c:pt idx="22">
                  <c:v>0.22000000000000014</c:v>
                </c:pt>
                <c:pt idx="23">
                  <c:v>0.23000000000000015</c:v>
                </c:pt>
                <c:pt idx="24">
                  <c:v>0.24000000000000016</c:v>
                </c:pt>
                <c:pt idx="25">
                  <c:v>0.25000000000000017</c:v>
                </c:pt>
                <c:pt idx="26">
                  <c:v>0.26000000000000018</c:v>
                </c:pt>
                <c:pt idx="27">
                  <c:v>0.27000000000000018</c:v>
                </c:pt>
                <c:pt idx="28">
                  <c:v>0.28000000000000019</c:v>
                </c:pt>
                <c:pt idx="29">
                  <c:v>0.2900000000000002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1-481F-A2A0-CD1EF7FB8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104912"/>
        <c:axId val="1"/>
      </c:lineChart>
      <c:catAx>
        <c:axId val="104510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Month</a:t>
                </a:r>
              </a:p>
            </c:rich>
          </c:tx>
          <c:layout>
            <c:manualLayout>
              <c:xMode val="edge"/>
              <c:yMode val="edge"/>
              <c:x val="0.37854918744238236"/>
              <c:y val="0.871607039947530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CPR (Constant Prepayment Rate)</a:t>
                </a:r>
              </a:p>
            </c:rich>
          </c:tx>
          <c:layout>
            <c:manualLayout>
              <c:xMode val="edge"/>
              <c:yMode val="edge"/>
              <c:x val="2.5236612496158824E-2"/>
              <c:y val="3.209884283092889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451049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444854597587398"/>
          <c:y val="0.30617357777193716"/>
          <c:w val="0.21293391793634009"/>
          <c:h val="0.224691899816502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57680250783699"/>
          <c:y val="7.3710073710073709E-2"/>
          <c:w val="0.58620689655172409"/>
          <c:h val="0.69041769041769041"/>
        </c:manualLayout>
      </c:layout>
      <c:lineChart>
        <c:grouping val="standard"/>
        <c:varyColors val="0"/>
        <c:ser>
          <c:idx val="1"/>
          <c:order val="0"/>
          <c:tx>
            <c:strRef>
              <c:f>PSA!$B$1</c:f>
              <c:strCache>
                <c:ptCount val="1"/>
                <c:pt idx="0">
                  <c:v>100% PSA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PSA!$B$2:$B$62</c:f>
              <c:numCache>
                <c:formatCode>0.00%</c:formatCode>
                <c:ptCount val="6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3-4491-904A-BA4D5D4496D0}"/>
            </c:ext>
          </c:extLst>
        </c:ser>
        <c:ser>
          <c:idx val="2"/>
          <c:order val="1"/>
          <c:tx>
            <c:strRef>
              <c:f>PSA!$C$1</c:f>
              <c:strCache>
                <c:ptCount val="1"/>
                <c:pt idx="0">
                  <c:v>200% PSA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PSA!$C$2:$C$62</c:f>
              <c:numCache>
                <c:formatCode>0.00%</c:formatCode>
                <c:ptCount val="61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3.6000000000000004E-2</c:v>
                </c:pt>
                <c:pt idx="10">
                  <c:v>4.0000000000000008E-2</c:v>
                </c:pt>
                <c:pt idx="11">
                  <c:v>4.4000000000000011E-2</c:v>
                </c:pt>
                <c:pt idx="12">
                  <c:v>4.8000000000000015E-2</c:v>
                </c:pt>
                <c:pt idx="13">
                  <c:v>5.2000000000000018E-2</c:v>
                </c:pt>
                <c:pt idx="14">
                  <c:v>5.6000000000000022E-2</c:v>
                </c:pt>
                <c:pt idx="15">
                  <c:v>6.0000000000000026E-2</c:v>
                </c:pt>
                <c:pt idx="16">
                  <c:v>6.4000000000000029E-2</c:v>
                </c:pt>
                <c:pt idx="17">
                  <c:v>6.8000000000000033E-2</c:v>
                </c:pt>
                <c:pt idx="18">
                  <c:v>7.2000000000000036E-2</c:v>
                </c:pt>
                <c:pt idx="19">
                  <c:v>7.600000000000004E-2</c:v>
                </c:pt>
                <c:pt idx="20">
                  <c:v>8.0000000000000043E-2</c:v>
                </c:pt>
                <c:pt idx="21">
                  <c:v>8.4000000000000047E-2</c:v>
                </c:pt>
                <c:pt idx="22">
                  <c:v>8.800000000000005E-2</c:v>
                </c:pt>
                <c:pt idx="23">
                  <c:v>9.2000000000000054E-2</c:v>
                </c:pt>
                <c:pt idx="24">
                  <c:v>9.6000000000000058E-2</c:v>
                </c:pt>
                <c:pt idx="25">
                  <c:v>0.10000000000000006</c:v>
                </c:pt>
                <c:pt idx="26">
                  <c:v>0.10400000000000006</c:v>
                </c:pt>
                <c:pt idx="27">
                  <c:v>0.10800000000000007</c:v>
                </c:pt>
                <c:pt idx="28">
                  <c:v>0.11200000000000007</c:v>
                </c:pt>
                <c:pt idx="29">
                  <c:v>0.11600000000000008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3-4491-904A-BA4D5D449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103952"/>
        <c:axId val="1"/>
      </c:lineChart>
      <c:catAx>
        <c:axId val="104510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Month</a:t>
                </a:r>
              </a:p>
            </c:rich>
          </c:tx>
          <c:layout>
            <c:manualLayout>
              <c:xMode val="edge"/>
              <c:yMode val="edge"/>
              <c:x val="0.35109717868338558"/>
              <c:y val="0.86977886977886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Constant Prepayment Rate</a:t>
                </a:r>
              </a:p>
            </c:rich>
          </c:tx>
          <c:layout>
            <c:manualLayout>
              <c:xMode val="edge"/>
              <c:yMode val="edge"/>
              <c:x val="2.5078369905956112E-2"/>
              <c:y val="0.10073710073710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451039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802507836990597"/>
          <c:y val="0.34152334152334152"/>
          <c:w val="0.21943573667711599"/>
          <c:h val="0.154791154791154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43763232241236"/>
          <c:y val="8.2474330594508344E-2"/>
          <c:w val="0.61093796610867779"/>
          <c:h val="0.73969165251949665"/>
        </c:manualLayout>
      </c:layout>
      <c:lineChart>
        <c:grouping val="standard"/>
        <c:varyColors val="0"/>
        <c:ser>
          <c:idx val="0"/>
          <c:order val="0"/>
          <c:tx>
            <c:strRef>
              <c:f>PrepayBOND!$C$5</c:f>
              <c:strCache>
                <c:ptCount val="1"/>
                <c:pt idx="0">
                  <c:v>Premium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PrepayBOND!$C$6:$C$25</c:f>
              <c:numCache>
                <c:formatCode>0.000000%</c:formatCode>
                <c:ptCount val="20"/>
                <c:pt idx="0">
                  <c:v>-8.3333333333331538E-2</c:v>
                </c:pt>
                <c:pt idx="1">
                  <c:v>-3.4370753217225301E-17</c:v>
                </c:pt>
                <c:pt idx="2">
                  <c:v>2.937841031405573E-2</c:v>
                </c:pt>
                <c:pt idx="3">
                  <c:v>4.4337640658721429E-2</c:v>
                </c:pt>
                <c:pt idx="4">
                  <c:v>5.337342469727533E-2</c:v>
                </c:pt>
                <c:pt idx="5">
                  <c:v>5.9403649765944422E-2</c:v>
                </c:pt>
                <c:pt idx="6">
                  <c:v>6.3700380326913122E-2</c:v>
                </c:pt>
                <c:pt idx="7">
                  <c:v>6.6906826493917618E-2</c:v>
                </c:pt>
                <c:pt idx="8">
                  <c:v>6.9383201569574879E-2</c:v>
                </c:pt>
                <c:pt idx="9">
                  <c:v>7.1346945692897443E-2</c:v>
                </c:pt>
                <c:pt idx="10">
                  <c:v>7.2937091533088971E-2</c:v>
                </c:pt>
                <c:pt idx="11">
                  <c:v>7.4246688557445317E-2</c:v>
                </c:pt>
                <c:pt idx="12">
                  <c:v>7.5340365665480219E-2</c:v>
                </c:pt>
                <c:pt idx="13">
                  <c:v>7.6264415206872493E-2</c:v>
                </c:pt>
                <c:pt idx="14">
                  <c:v>7.7052867493484931E-2</c:v>
                </c:pt>
                <c:pt idx="15">
                  <c:v>7.7731300128923222E-2</c:v>
                </c:pt>
                <c:pt idx="16">
                  <c:v>7.8319309964379885E-2</c:v>
                </c:pt>
                <c:pt idx="17">
                  <c:v>7.8832165187626327E-2</c:v>
                </c:pt>
                <c:pt idx="18">
                  <c:v>7.928193818294961E-2</c:v>
                </c:pt>
                <c:pt idx="19">
                  <c:v>7.967830008318319E-2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0-492A-BBD3-5C65C8542115}"/>
            </c:ext>
          </c:extLst>
        </c:ser>
        <c:ser>
          <c:idx val="1"/>
          <c:order val="1"/>
          <c:tx>
            <c:strRef>
              <c:f>PrepayBOND!$D$5</c:f>
              <c:strCache>
                <c:ptCount val="1"/>
                <c:pt idx="0">
                  <c:v>Discount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PrepayBOND!$D$6:$D$25</c:f>
              <c:numCache>
                <c:formatCode>0.000000%</c:formatCode>
                <c:ptCount val="20"/>
                <c:pt idx="0">
                  <c:v>0.37499999999999739</c:v>
                </c:pt>
                <c:pt idx="1">
                  <c:v>0.23676838925349597</c:v>
                </c:pt>
                <c:pt idx="2">
                  <c:v>0.19406360655643856</c:v>
                </c:pt>
                <c:pt idx="3">
                  <c:v>0.17339479292361851</c:v>
                </c:pt>
                <c:pt idx="4">
                  <c:v>0.16126175673908644</c:v>
                </c:pt>
                <c:pt idx="5">
                  <c:v>0.15332084290468076</c:v>
                </c:pt>
                <c:pt idx="6">
                  <c:v>0.14774769679163283</c:v>
                </c:pt>
                <c:pt idx="7">
                  <c:v>0.14364208444947807</c:v>
                </c:pt>
                <c:pt idx="8">
                  <c:v>0.14050848278234057</c:v>
                </c:pt>
                <c:pt idx="9">
                  <c:v>0.13805158611821708</c:v>
                </c:pt>
                <c:pt idx="10">
                  <c:v>0.13608442395793599</c:v>
                </c:pt>
                <c:pt idx="11">
                  <c:v>0.13448282525400662</c:v>
                </c:pt>
                <c:pt idx="12">
                  <c:v>0.1331610711032388</c:v>
                </c:pt>
                <c:pt idx="13">
                  <c:v>0.13205806165933237</c:v>
                </c:pt>
                <c:pt idx="14">
                  <c:v>0.13112905594532157</c:v>
                </c:pt>
                <c:pt idx="15">
                  <c:v>0.13034053020095743</c:v>
                </c:pt>
                <c:pt idx="16">
                  <c:v>0.12966686257579954</c:v>
                </c:pt>
                <c:pt idx="17">
                  <c:v>0.12908812966126165</c:v>
                </c:pt>
                <c:pt idx="18">
                  <c:v>0.12858860287751059</c:v>
                </c:pt>
                <c:pt idx="19">
                  <c:v>0.12815569839967275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0-492A-BBD3-5C65C8542115}"/>
            </c:ext>
          </c:extLst>
        </c:ser>
        <c:ser>
          <c:idx val="2"/>
          <c:order val="2"/>
          <c:tx>
            <c:strRef>
              <c:f>PrepayBOND!$E$5</c:f>
              <c:strCache>
                <c:ptCount val="1"/>
                <c:pt idx="0">
                  <c:v>Par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PrepayBOND!$E$6:$E$25</c:f>
              <c:numCache>
                <c:formatCode>0.000000%</c:formatCode>
                <c:ptCount val="2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0-492A-BBD3-5C65C854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110192"/>
        <c:axId val="1"/>
      </c:lineChart>
      <c:catAx>
        <c:axId val="104511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3906283497835918"/>
              <c:y val="0.865980471242337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Cash Flow Yield</a:t>
                </a:r>
              </a:p>
            </c:rich>
          </c:tx>
          <c:layout>
            <c:manualLayout>
              <c:xMode val="edge"/>
              <c:yMode val="edge"/>
              <c:x val="2.5000019073500881E-2"/>
              <c:y val="0.2551549602767601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451101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156311154412196"/>
          <c:y val="0.33505196804019011"/>
          <c:w val="0.18593764185916278"/>
          <c:h val="0.234536377628133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3842236247768"/>
          <c:y val="8.1841534428866325E-2"/>
          <c:w val="0.4672371172168765"/>
          <c:h val="0.66496246723453889"/>
        </c:manualLayout>
      </c:layout>
      <c:areaChart>
        <c:grouping val="stacked"/>
        <c:varyColors val="0"/>
        <c:ser>
          <c:idx val="1"/>
          <c:order val="0"/>
          <c:tx>
            <c:strRef>
              <c:f>'GNMA graph'!$B$2</c:f>
              <c:strCache>
                <c:ptCount val="1"/>
                <c:pt idx="0">
                  <c:v>Unscheduled Prepayment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'GNMA graph'!$B$3:$B$32</c:f>
              <c:numCache>
                <c:formatCode>"$"#,##0</c:formatCode>
                <c:ptCount val="30"/>
                <c:pt idx="0">
                  <c:v>1240413.0981807129</c:v>
                </c:pt>
                <c:pt idx="1">
                  <c:v>3651848.0883160289</c:v>
                </c:pt>
                <c:pt idx="2">
                  <c:v>5580935.8611168433</c:v>
                </c:pt>
                <c:pt idx="3">
                  <c:v>5443405.1333007691</c:v>
                </c:pt>
                <c:pt idx="4">
                  <c:v>5069935.8491995987</c:v>
                </c:pt>
                <c:pt idx="5">
                  <c:v>4717281.3129569935</c:v>
                </c:pt>
                <c:pt idx="6">
                  <c:v>4384138.4637890626</c:v>
                </c:pt>
                <c:pt idx="7">
                  <c:v>4069280.5825779298</c:v>
                </c:pt>
                <c:pt idx="8">
                  <c:v>3771552.6487444164</c:v>
                </c:pt>
                <c:pt idx="9">
                  <c:v>3489866.9735790333</c:v>
                </c:pt>
                <c:pt idx="10">
                  <c:v>3223199.093371389</c:v>
                </c:pt>
                <c:pt idx="11">
                  <c:v>2970583.9066752442</c:v>
                </c:pt>
                <c:pt idx="12">
                  <c:v>2731112.0409836774</c:v>
                </c:pt>
                <c:pt idx="13">
                  <c:v>2503926.4349697083</c:v>
                </c:pt>
                <c:pt idx="14">
                  <c:v>2288219.1232757093</c:v>
                </c:pt>
                <c:pt idx="15">
                  <c:v>2083228.2116130928</c:v>
                </c:pt>
                <c:pt idx="16">
                  <c:v>1888235.0306651865</c:v>
                </c:pt>
                <c:pt idx="17">
                  <c:v>1702561.4579736167</c:v>
                </c:pt>
                <c:pt idx="18">
                  <c:v>1525567.3976345842</c:v>
                </c:pt>
                <c:pt idx="19">
                  <c:v>1356648.4082386331</c:v>
                </c:pt>
                <c:pt idx="20">
                  <c:v>1195233.4700581508</c:v>
                </c:pt>
                <c:pt idx="21">
                  <c:v>1040782.8830231682</c:v>
                </c:pt>
                <c:pt idx="22">
                  <c:v>892786.28753001383</c:v>
                </c:pt>
                <c:pt idx="23">
                  <c:v>750760.80060104863</c:v>
                </c:pt>
                <c:pt idx="24">
                  <c:v>614249.26035879785</c:v>
                </c:pt>
                <c:pt idx="25">
                  <c:v>482818.57219607173</c:v>
                </c:pt>
                <c:pt idx="26">
                  <c:v>356058.15041670843</c:v>
                </c:pt>
                <c:pt idx="27">
                  <c:v>233578.44949088845</c:v>
                </c:pt>
                <c:pt idx="28">
                  <c:v>115009.57941598991</c:v>
                </c:pt>
                <c:pt idx="29">
                  <c:v>4.1909515857696532E-11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3-48A6-AA23-537149720AD9}"/>
            </c:ext>
          </c:extLst>
        </c:ser>
        <c:ser>
          <c:idx val="2"/>
          <c:order val="1"/>
          <c:tx>
            <c:strRef>
              <c:f>'GNMA graph'!$C$2</c:f>
              <c:strCache>
                <c:ptCount val="1"/>
                <c:pt idx="0">
                  <c:v>Scheduled Payment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'GNMA graph'!$C$3:$C$32</c:f>
              <c:numCache>
                <c:formatCode>"$"#,##0</c:formatCode>
                <c:ptCount val="30"/>
                <c:pt idx="0">
                  <c:v>632241.81827392615</c:v>
                </c:pt>
                <c:pt idx="1">
                  <c:v>687120.4081001021</c:v>
                </c:pt>
                <c:pt idx="2">
                  <c:v>728622.48074935004</c:v>
                </c:pt>
                <c:pt idx="3">
                  <c:v>755399.35691688769</c:v>
                </c:pt>
                <c:pt idx="4">
                  <c:v>781082.93505206332</c:v>
                </c:pt>
                <c:pt idx="5">
                  <c:v>807639.75484383292</c:v>
                </c:pt>
                <c:pt idx="6">
                  <c:v>835099.50650852174</c:v>
                </c:pt>
                <c:pt idx="7">
                  <c:v>863492.88972981181</c:v>
                </c:pt>
                <c:pt idx="8">
                  <c:v>892851.64798062667</c:v>
                </c:pt>
                <c:pt idx="9">
                  <c:v>923208.60401196778</c:v>
                </c:pt>
                <c:pt idx="10">
                  <c:v>954597.69654837251</c:v>
                </c:pt>
                <c:pt idx="11">
                  <c:v>987054.01823101845</c:v>
                </c:pt>
                <c:pt idx="12">
                  <c:v>1020613.8548508734</c:v>
                </c:pt>
                <c:pt idx="13">
                  <c:v>1055314.7259158026</c:v>
                </c:pt>
                <c:pt idx="14">
                  <c:v>1091195.42659694</c:v>
                </c:pt>
                <c:pt idx="15">
                  <c:v>1128296.0711012366</c:v>
                </c:pt>
                <c:pt idx="16">
                  <c:v>1166658.1375186783</c:v>
                </c:pt>
                <c:pt idx="17">
                  <c:v>1206324.514194313</c:v>
                </c:pt>
                <c:pt idx="18">
                  <c:v>1247339.5476769214</c:v>
                </c:pt>
                <c:pt idx="19">
                  <c:v>1289749.0922979368</c:v>
                </c:pt>
                <c:pt idx="20">
                  <c:v>1333600.5614360664</c:v>
                </c:pt>
                <c:pt idx="21">
                  <c:v>1378942.9805248925</c:v>
                </c:pt>
                <c:pt idx="22">
                  <c:v>1425827.0418627381</c:v>
                </c:pt>
                <c:pt idx="23">
                  <c:v>1474305.1612860721</c:v>
                </c:pt>
                <c:pt idx="24">
                  <c:v>1524431.5367697985</c:v>
                </c:pt>
                <c:pt idx="25">
                  <c:v>1576262.2090199713</c:v>
                </c:pt>
                <c:pt idx="26">
                  <c:v>1629855.1241266499</c:v>
                </c:pt>
                <c:pt idx="27">
                  <c:v>1685270.1983469576</c:v>
                </c:pt>
                <c:pt idx="28">
                  <c:v>1742569.3850907541</c:v>
                </c:pt>
                <c:pt idx="29">
                  <c:v>1801816.7441838414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3-48A6-AA23-537149720AD9}"/>
            </c:ext>
          </c:extLst>
        </c:ser>
        <c:ser>
          <c:idx val="3"/>
          <c:order val="2"/>
          <c:tx>
            <c:strRef>
              <c:f>'GNMA graph'!$D$2</c:f>
              <c:strCache>
                <c:ptCount val="1"/>
                <c:pt idx="0">
                  <c:v>Interest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'GNMA graph'!$D$3:$D$32</c:f>
              <c:numCache>
                <c:formatCode>"$"#,##0</c:formatCode>
                <c:ptCount val="30"/>
                <c:pt idx="0">
                  <c:v>10400000</c:v>
                </c:pt>
                <c:pt idx="1">
                  <c:v>10212734.508354537</c:v>
                </c:pt>
                <c:pt idx="2">
                  <c:v>9778837.6587129235</c:v>
                </c:pt>
                <c:pt idx="3">
                  <c:v>9147881.8245263044</c:v>
                </c:pt>
                <c:pt idx="4">
                  <c:v>8528001.3755045384</c:v>
                </c:pt>
                <c:pt idx="5">
                  <c:v>7942899.4970793724</c:v>
                </c:pt>
                <c:pt idx="6">
                  <c:v>7390407.3902992904</c:v>
                </c:pt>
                <c:pt idx="7">
                  <c:v>6868483.5932695316</c:v>
                </c:pt>
                <c:pt idx="8">
                  <c:v>6375206.2460387573</c:v>
                </c:pt>
                <c:pt idx="9">
                  <c:v>5908765.8163662525</c:v>
                </c:pt>
                <c:pt idx="10">
                  <c:v>5467458.2586071528</c:v>
                </c:pt>
                <c:pt idx="11">
                  <c:v>5049678.5796151757</c:v>
                </c:pt>
                <c:pt idx="12">
                  <c:v>4653914.78712455</c:v>
                </c:pt>
                <c:pt idx="13">
                  <c:v>4278742.1975410944</c:v>
                </c:pt>
                <c:pt idx="14">
                  <c:v>3922818.0814525434</c:v>
                </c:pt>
                <c:pt idx="15">
                  <c:v>3584876.6264652782</c:v>
                </c:pt>
                <c:pt idx="16">
                  <c:v>3263724.1981938458</c:v>
                </c:pt>
                <c:pt idx="17">
                  <c:v>2958234.8813754595</c:v>
                </c:pt>
                <c:pt idx="18">
                  <c:v>2667346.2841586662</c:v>
                </c:pt>
                <c:pt idx="19">
                  <c:v>2390055.5896275155</c:v>
                </c:pt>
                <c:pt idx="20">
                  <c:v>2125415.8395738583</c:v>
                </c:pt>
                <c:pt idx="21">
                  <c:v>1872532.4364244365</c:v>
                </c:pt>
                <c:pt idx="22">
                  <c:v>1630559.8500696302</c:v>
                </c:pt>
                <c:pt idx="23">
                  <c:v>1398698.5171303551</c:v>
                </c:pt>
                <c:pt idx="24">
                  <c:v>1176191.920941643</c:v>
                </c:pt>
                <c:pt idx="25">
                  <c:v>962323.84122878336</c:v>
                </c:pt>
                <c:pt idx="26">
                  <c:v>756415.76310717908</c:v>
                </c:pt>
                <c:pt idx="27">
                  <c:v>557824.43565284321</c:v>
                </c:pt>
                <c:pt idx="28">
                  <c:v>365939.5708690586</c:v>
                </c:pt>
                <c:pt idx="29">
                  <c:v>180181.67441838421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03-48A6-AA23-537149720AD9}"/>
            </c:ext>
          </c:extLst>
        </c:ser>
        <c:ser>
          <c:idx val="4"/>
          <c:order val="3"/>
          <c:tx>
            <c:strRef>
              <c:f>'GNMA graph'!$E$2</c:f>
              <c:strCache>
                <c:ptCount val="1"/>
                <c:pt idx="0">
                  <c:v>Servicing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'GNMA graph'!$E$3:$E$32</c:f>
              <c:numCache>
                <c:formatCode>"$"#,##0</c:formatCode>
                <c:ptCount val="30"/>
                <c:pt idx="0">
                  <c:v>520000</c:v>
                </c:pt>
                <c:pt idx="1">
                  <c:v>510636.72541772679</c:v>
                </c:pt>
                <c:pt idx="2">
                  <c:v>488941.88293564616</c:v>
                </c:pt>
                <c:pt idx="3">
                  <c:v>457394.09122631518</c:v>
                </c:pt>
                <c:pt idx="4">
                  <c:v>426400.06877522694</c:v>
                </c:pt>
                <c:pt idx="5">
                  <c:v>397144.97485396866</c:v>
                </c:pt>
                <c:pt idx="6">
                  <c:v>369520.36951496452</c:v>
                </c:pt>
                <c:pt idx="7">
                  <c:v>343424.17966347659</c:v>
                </c:pt>
                <c:pt idx="8">
                  <c:v>318760.3123019379</c:v>
                </c:pt>
                <c:pt idx="9">
                  <c:v>295438.29081831261</c:v>
                </c:pt>
                <c:pt idx="10">
                  <c:v>273372.91293035762</c:v>
                </c:pt>
                <c:pt idx="11">
                  <c:v>252483.92898075879</c:v>
                </c:pt>
                <c:pt idx="12">
                  <c:v>232695.73935622748</c:v>
                </c:pt>
                <c:pt idx="13">
                  <c:v>213937.10987705473</c:v>
                </c:pt>
                <c:pt idx="14">
                  <c:v>196140.90407262716</c:v>
                </c:pt>
                <c:pt idx="15">
                  <c:v>179243.8313232639</c:v>
                </c:pt>
                <c:pt idx="16">
                  <c:v>163186.20990969229</c:v>
                </c:pt>
                <c:pt idx="17">
                  <c:v>147911.74406877297</c:v>
                </c:pt>
                <c:pt idx="18">
                  <c:v>133367.31420793332</c:v>
                </c:pt>
                <c:pt idx="19">
                  <c:v>119502.77948137578</c:v>
                </c:pt>
                <c:pt idx="20">
                  <c:v>106270.79197869291</c:v>
                </c:pt>
                <c:pt idx="21">
                  <c:v>93626.621821221823</c:v>
                </c:pt>
                <c:pt idx="22">
                  <c:v>81527.99250348151</c:v>
                </c:pt>
                <c:pt idx="23">
                  <c:v>69934.925856517744</c:v>
                </c:pt>
                <c:pt idx="24">
                  <c:v>58809.596047082145</c:v>
                </c:pt>
                <c:pt idx="25">
                  <c:v>48116.192061439164</c:v>
                </c:pt>
                <c:pt idx="26">
                  <c:v>37820.788155358954</c:v>
                </c:pt>
                <c:pt idx="27">
                  <c:v>27891.221782642162</c:v>
                </c:pt>
                <c:pt idx="28">
                  <c:v>18296.978543452929</c:v>
                </c:pt>
                <c:pt idx="29">
                  <c:v>9009.0837209192105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03-48A6-AA23-537149720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872720"/>
        <c:axId val="1"/>
      </c:areaChart>
      <c:catAx>
        <c:axId val="104187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Year</a:t>
                </a:r>
              </a:p>
            </c:rich>
          </c:tx>
          <c:layout>
            <c:manualLayout>
              <c:xMode val="edge"/>
              <c:yMode val="edge"/>
              <c:x val="0.32906028682042215"/>
              <c:y val="0.867008755355802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4187272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663911792078146"/>
          <c:y val="0.2711000827956197"/>
          <c:w val="0.31196624594663397"/>
          <c:h val="0.289002918451934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11899689148126"/>
          <c:y val="8.2262210796915161E-2"/>
          <c:w val="0.49499353847228528"/>
          <c:h val="0.69151670951156807"/>
        </c:manualLayout>
      </c:layout>
      <c:areaChart>
        <c:grouping val="stacked"/>
        <c:varyColors val="0"/>
        <c:ser>
          <c:idx val="0"/>
          <c:order val="0"/>
          <c:tx>
            <c:strRef>
              <c:f>'Total Coupon'!$K$3</c:f>
              <c:strCache>
                <c:ptCount val="1"/>
                <c:pt idx="0">
                  <c:v>WAC on Bonds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'Total Coupon'!$J$4:$J$33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'Total Coupon'!$K$4:$K$33</c:f>
              <c:numCache>
                <c:formatCode>0.00%</c:formatCode>
                <c:ptCount val="30"/>
                <c:pt idx="0">
                  <c:v>7.3222114156312634E-2</c:v>
                </c:pt>
                <c:pt idx="1">
                  <c:v>7.3314313034114176E-2</c:v>
                </c:pt>
                <c:pt idx="2">
                  <c:v>7.3519286190794286E-2</c:v>
                </c:pt>
                <c:pt idx="3">
                  <c:v>7.3874026258227893E-2</c:v>
                </c:pt>
                <c:pt idx="4">
                  <c:v>7.4261198814640425E-2</c:v>
                </c:pt>
                <c:pt idx="5">
                  <c:v>7.4434781048510382E-2</c:v>
                </c:pt>
                <c:pt idx="6">
                  <c:v>7.4670865594796312E-2</c:v>
                </c:pt>
                <c:pt idx="7">
                  <c:v>7.5010494406576741E-2</c:v>
                </c:pt>
                <c:pt idx="8">
                  <c:v>7.5540871518634103E-2</c:v>
                </c:pt>
                <c:pt idx="9">
                  <c:v>7.6485683125857351E-2</c:v>
                </c:pt>
                <c:pt idx="10">
                  <c:v>7.8643814452305824E-2</c:v>
                </c:pt>
                <c:pt idx="11">
                  <c:v>8.8345182065054151E-2</c:v>
                </c:pt>
                <c:pt idx="12">
                  <c:v>0.09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1-4A11-8EB5-9247917BDB63}"/>
            </c:ext>
          </c:extLst>
        </c:ser>
        <c:ser>
          <c:idx val="1"/>
          <c:order val="1"/>
          <c:tx>
            <c:strRef>
              <c:f>'Total Coupon'!$L$3</c:f>
              <c:strCache>
                <c:ptCount val="1"/>
                <c:pt idx="0">
                  <c:v>Residual Coup. Diff.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'Total Coupon'!$J$4:$J$33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'Total Coupon'!$L$4:$L$33</c:f>
              <c:numCache>
                <c:formatCode>0.00000000000000000%</c:formatCode>
                <c:ptCount val="30"/>
                <c:pt idx="0">
                  <c:v>2.1777885843687367E-2</c:v>
                </c:pt>
                <c:pt idx="1">
                  <c:v>2.1685686965885825E-2</c:v>
                </c:pt>
                <c:pt idx="2">
                  <c:v>2.1480713809205715E-2</c:v>
                </c:pt>
                <c:pt idx="3">
                  <c:v>2.1125973741772108E-2</c:v>
                </c:pt>
                <c:pt idx="4">
                  <c:v>2.0738801185359576E-2</c:v>
                </c:pt>
                <c:pt idx="5">
                  <c:v>2.0565218951489619E-2</c:v>
                </c:pt>
                <c:pt idx="6">
                  <c:v>2.0329134405203689E-2</c:v>
                </c:pt>
                <c:pt idx="7">
                  <c:v>1.998950559342326E-2</c:v>
                </c:pt>
                <c:pt idx="8">
                  <c:v>1.9459128481365898E-2</c:v>
                </c:pt>
                <c:pt idx="9">
                  <c:v>1.851431687414265E-2</c:v>
                </c:pt>
                <c:pt idx="10">
                  <c:v>2.1356185547694181E-2</c:v>
                </c:pt>
                <c:pt idx="11">
                  <c:v>1.1654817934945855E-2</c:v>
                </c:pt>
                <c:pt idx="12">
                  <c:v>1.0000000000000009E-2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1-4A11-8EB5-9247917BDB63}"/>
            </c:ext>
          </c:extLst>
        </c:ser>
        <c:ser>
          <c:idx val="2"/>
          <c:order val="2"/>
          <c:tx>
            <c:strRef>
              <c:f>'Total Coupon'!$M$3</c:f>
              <c:strCache>
                <c:ptCount val="1"/>
                <c:pt idx="0">
                  <c:v>Servicing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'Total Coupon'!$J$4:$J$33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'Total Coupon'!$M$4:$M$33</c:f>
              <c:numCache>
                <c:formatCode>0%</c:formatCode>
                <c:ptCount val="30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91-4A11-8EB5-9247917BD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27088"/>
        <c:axId val="1"/>
      </c:areaChart>
      <c:catAx>
        <c:axId val="104262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Year</a:t>
                </a:r>
              </a:p>
            </c:rich>
          </c:tx>
          <c:layout>
            <c:manualLayout>
              <c:xMode val="edge"/>
              <c:yMode val="edge"/>
              <c:x val="0.34907058782438616"/>
              <c:y val="0.866323907455012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Coupon Rate</a:t>
                </a:r>
              </a:p>
            </c:rich>
          </c:tx>
          <c:layout>
            <c:manualLayout>
              <c:xMode val="edge"/>
              <c:yMode val="edge"/>
              <c:x val="2.2889874611435157E-2"/>
              <c:y val="0.2673521850899742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4262708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384932415912826"/>
          <c:y val="0.3110539845758355"/>
          <c:w val="0.29470713562222767"/>
          <c:h val="0.23393316195372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25019550338402"/>
          <c:y val="8.1841534428866325E-2"/>
          <c:w val="0.60000045776402111"/>
          <c:h val="0.64705963157822433"/>
        </c:manualLayout>
      </c:layout>
      <c:lineChart>
        <c:grouping val="standard"/>
        <c:varyColors val="0"/>
        <c:ser>
          <c:idx val="0"/>
          <c:order val="0"/>
          <c:tx>
            <c:strRef>
              <c:f>IOPO!$H$3</c:f>
              <c:strCache>
                <c:ptCount val="1"/>
                <c:pt idx="0">
                  <c:v>PO</c:v>
                </c:pt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IOPO!$A$5:$A$34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IOPO!$H$5:$H$34</c:f>
              <c:numCache>
                <c:formatCode>#,##0</c:formatCode>
                <c:ptCount val="30"/>
                <c:pt idx="0">
                  <c:v>1872654.9164546391</c:v>
                </c:pt>
                <c:pt idx="1">
                  <c:v>4338968.496416131</c:v>
                </c:pt>
                <c:pt idx="2">
                  <c:v>6309558.3418661933</c:v>
                </c:pt>
                <c:pt idx="3">
                  <c:v>6198804.4902176568</c:v>
                </c:pt>
                <c:pt idx="4">
                  <c:v>5851018.784251662</c:v>
                </c:pt>
                <c:pt idx="5">
                  <c:v>5524921.0678008264</c:v>
                </c:pt>
                <c:pt idx="6">
                  <c:v>5219237.9702975843</c:v>
                </c:pt>
                <c:pt idx="7">
                  <c:v>4932773.4723077416</c:v>
                </c:pt>
                <c:pt idx="8">
                  <c:v>4664404.2967250431</c:v>
                </c:pt>
                <c:pt idx="9">
                  <c:v>4413075.5775910011</c:v>
                </c:pt>
                <c:pt idx="10">
                  <c:v>4177796.7899197615</c:v>
                </c:pt>
                <c:pt idx="11">
                  <c:v>3957637.9249062627</c:v>
                </c:pt>
                <c:pt idx="12">
                  <c:v>3751725.8958345507</c:v>
                </c:pt>
                <c:pt idx="13">
                  <c:v>3559241.160885511</c:v>
                </c:pt>
                <c:pt idx="14">
                  <c:v>3379414.5498726494</c:v>
                </c:pt>
                <c:pt idx="15">
                  <c:v>3211524.2827143297</c:v>
                </c:pt>
                <c:pt idx="16">
                  <c:v>3054893.168183865</c:v>
                </c:pt>
                <c:pt idx="17">
                  <c:v>2908885.9721679296</c:v>
                </c:pt>
                <c:pt idx="18">
                  <c:v>2772906.9453115053</c:v>
                </c:pt>
                <c:pt idx="19">
                  <c:v>2646397.5005365699</c:v>
                </c:pt>
                <c:pt idx="20">
                  <c:v>2528834.031494217</c:v>
                </c:pt>
                <c:pt idx="21">
                  <c:v>2419725.8635480609</c:v>
                </c:pt>
                <c:pt idx="22">
                  <c:v>2318613.3293927517</c:v>
                </c:pt>
                <c:pt idx="23">
                  <c:v>2225065.9618871207</c:v>
                </c:pt>
                <c:pt idx="24">
                  <c:v>2138680.7971285963</c:v>
                </c:pt>
                <c:pt idx="25">
                  <c:v>2059080.781216043</c:v>
                </c:pt>
                <c:pt idx="26">
                  <c:v>1985913.2745433585</c:v>
                </c:pt>
                <c:pt idx="27">
                  <c:v>1918848.6478378461</c:v>
                </c:pt>
                <c:pt idx="28">
                  <c:v>1857578.9645067439</c:v>
                </c:pt>
                <c:pt idx="29">
                  <c:v>1801816.7441838414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6-49B1-B739-016ABA587106}"/>
            </c:ext>
          </c:extLst>
        </c:ser>
        <c:ser>
          <c:idx val="1"/>
          <c:order val="1"/>
          <c:tx>
            <c:strRef>
              <c:f>IOPO!$I$3</c:f>
              <c:strCache>
                <c:ptCount val="1"/>
                <c:pt idx="0">
                  <c:v>IO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IOPO!$A$5:$A$34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IOPO!$I$5:$I$34</c:f>
              <c:numCache>
                <c:formatCode>#,##0</c:formatCode>
                <c:ptCount val="30"/>
                <c:pt idx="0">
                  <c:v>9880000</c:v>
                </c:pt>
                <c:pt idx="1">
                  <c:v>9702097.7829368096</c:v>
                </c:pt>
                <c:pt idx="2">
                  <c:v>9289895.7757772766</c:v>
                </c:pt>
                <c:pt idx="3">
                  <c:v>8690487.7332999893</c:v>
                </c:pt>
                <c:pt idx="4">
                  <c:v>8101601.3067293111</c:v>
                </c:pt>
                <c:pt idx="5">
                  <c:v>7545754.5222254042</c:v>
                </c:pt>
                <c:pt idx="6">
                  <c:v>7020887.0207843259</c:v>
                </c:pt>
                <c:pt idx="7">
                  <c:v>6525059.4136060551</c:v>
                </c:pt>
                <c:pt idx="8">
                  <c:v>6056445.9337368198</c:v>
                </c:pt>
                <c:pt idx="9">
                  <c:v>5613327.5255479403</c:v>
                </c:pt>
                <c:pt idx="10">
                  <c:v>5194085.3456767956</c:v>
                </c:pt>
                <c:pt idx="11">
                  <c:v>4797194.6506344173</c:v>
                </c:pt>
                <c:pt idx="12">
                  <c:v>4421219.0477683228</c:v>
                </c:pt>
                <c:pt idx="13">
                  <c:v>4064805.0876640398</c:v>
                </c:pt>
                <c:pt idx="14">
                  <c:v>3726677.1773799164</c:v>
                </c:pt>
                <c:pt idx="15">
                  <c:v>3405632.7951420145</c:v>
                </c:pt>
                <c:pt idx="16">
                  <c:v>3100537.9882841534</c:v>
                </c:pt>
                <c:pt idx="17">
                  <c:v>2810323.1373066865</c:v>
                </c:pt>
                <c:pt idx="18">
                  <c:v>2533978.9699507328</c:v>
                </c:pt>
                <c:pt idx="19">
                  <c:v>2270552.8101461399</c:v>
                </c:pt>
                <c:pt idx="20">
                  <c:v>2019145.0475951654</c:v>
                </c:pt>
                <c:pt idx="21">
                  <c:v>1778905.8146032146</c:v>
                </c:pt>
                <c:pt idx="22">
                  <c:v>1549031.8575661487</c:v>
                </c:pt>
                <c:pt idx="23">
                  <c:v>1328763.5912738373</c:v>
                </c:pt>
                <c:pt idx="24">
                  <c:v>1117382.3248945607</c:v>
                </c:pt>
                <c:pt idx="25">
                  <c:v>914207.64916734421</c:v>
                </c:pt>
                <c:pt idx="26">
                  <c:v>718594.9749518201</c:v>
                </c:pt>
                <c:pt idx="27">
                  <c:v>529933.21387020103</c:v>
                </c:pt>
                <c:pt idx="28">
                  <c:v>347642.59232560568</c:v>
                </c:pt>
                <c:pt idx="29">
                  <c:v>171172.590697465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6-49B1-B739-016ABA587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872240"/>
        <c:axId val="1"/>
      </c:lineChart>
      <c:catAx>
        <c:axId val="104187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Year</a:t>
                </a:r>
              </a:p>
            </c:rich>
          </c:tx>
          <c:layout>
            <c:manualLayout>
              <c:xMode val="edge"/>
              <c:yMode val="edge"/>
              <c:x val="0.45781284928348487"/>
              <c:y val="0.861893659453998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Cash Flow</a:t>
                </a:r>
              </a:p>
            </c:rich>
          </c:tx>
          <c:layout>
            <c:manualLayout>
              <c:xMode val="edge"/>
              <c:yMode val="edge"/>
              <c:x val="2.5000019073500881E-2"/>
              <c:y val="0.26086989099201141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41872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43816638043703"/>
          <c:y val="0.31713594591185701"/>
          <c:w val="0.11406258702284776"/>
          <c:h val="0.176470808612243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47672931764418"/>
          <c:y val="8.5333555556134255E-2"/>
          <c:w val="0.49273059869323527"/>
          <c:h val="0.64800168750439457"/>
        </c:manualLayout>
      </c:layout>
      <c:lineChart>
        <c:grouping val="standard"/>
        <c:varyColors val="0"/>
        <c:ser>
          <c:idx val="0"/>
          <c:order val="0"/>
          <c:tx>
            <c:strRef>
              <c:f>IOPO!$C$4</c:f>
              <c:strCache>
                <c:ptCount val="1"/>
                <c:pt idx="0">
                  <c:v>Floater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IOPO!$C$5:$C$34</c:f>
              <c:numCache>
                <c:formatCode>"$"#,##0.00_);\("$"#,##0.00\)</c:formatCode>
                <c:ptCount val="30"/>
                <c:pt idx="0" formatCode="&quot;$&quot;#,##0_);\(&quot;$&quot;#,##0\)">
                  <c:v>5200000</c:v>
                </c:pt>
                <c:pt idx="1">
                  <c:v>5149452.3751591677</c:v>
                </c:pt>
                <c:pt idx="2">
                  <c:v>4975642.8514344515</c:v>
                </c:pt>
                <c:pt idx="3">
                  <c:v>4704115.6083396003</c:v>
                </c:pt>
                <c:pt idx="4">
                  <c:v>4466550.4205357572</c:v>
                </c:pt>
                <c:pt idx="5">
                  <c:v>4230330.0656113029</c:v>
                </c:pt>
                <c:pt idx="6">
                  <c:v>3971720.4616105855</c:v>
                </c:pt>
                <c:pt idx="7">
                  <c:v>3748986.8246222986</c:v>
                </c:pt>
                <c:pt idx="8">
                  <c:v>3517292.8910968392</c:v>
                </c:pt>
                <c:pt idx="9">
                  <c:v>3296752.1277552741</c:v>
                </c:pt>
                <c:pt idx="10">
                  <c:v>3102537.9124332387</c:v>
                </c:pt>
                <c:pt idx="11">
                  <c:v>2895468.6154370424</c:v>
                </c:pt>
                <c:pt idx="12">
                  <c:v>2678989.447964258</c:v>
                </c:pt>
                <c:pt idx="13">
                  <c:v>2485922.9007753427</c:v>
                </c:pt>
                <c:pt idx="14">
                  <c:v>2284210.4836919224</c:v>
                </c:pt>
                <c:pt idx="15">
                  <c:v>2099756.6523704156</c:v>
                </c:pt>
                <c:pt idx="16">
                  <c:v>1939521.1158437338</c:v>
                </c:pt>
                <c:pt idx="17">
                  <c:v>1765470.9013675461</c:v>
                </c:pt>
                <c:pt idx="18">
                  <c:v>1602384.2653645424</c:v>
                </c:pt>
                <c:pt idx="19">
                  <c:v>1456945.6010197497</c:v>
                </c:pt>
                <c:pt idx="20">
                  <c:v>1303522.789690003</c:v>
                </c:pt>
                <c:pt idx="21">
                  <c:v>1161096.4294071037</c:v>
                </c:pt>
                <c:pt idx="22">
                  <c:v>1012757.8134397959</c:v>
                </c:pt>
                <c:pt idx="23">
                  <c:v>876632.34204510332</c:v>
                </c:pt>
                <c:pt idx="24">
                  <c:v>742008.85342042125</c:v>
                </c:pt>
                <c:pt idx="25">
                  <c:v>607312.59105198213</c:v>
                </c:pt>
                <c:pt idx="26">
                  <c:v>482780.1291253239</c:v>
                </c:pt>
                <c:pt idx="27">
                  <c:v>358925.75786493771</c:v>
                </c:pt>
                <c:pt idx="28">
                  <c:v>238404.12336338576</c:v>
                </c:pt>
                <c:pt idx="29">
                  <c:v>118396.15379619991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D-4F4F-A70D-6C37F80BA9BA}"/>
            </c:ext>
          </c:extLst>
        </c:ser>
        <c:ser>
          <c:idx val="1"/>
          <c:order val="1"/>
          <c:tx>
            <c:strRef>
              <c:f>IOPO!$E$4</c:f>
              <c:strCache>
                <c:ptCount val="1"/>
                <c:pt idx="0">
                  <c:v>Inverse Floater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IOPO!$E$5:$E$34</c:f>
              <c:numCache>
                <c:formatCode>"$"#,##0.00_);\("$"#,##0.00\)</c:formatCode>
                <c:ptCount val="30"/>
                <c:pt idx="0" formatCode="&quot;$&quot;#,##0_);\(&quot;$&quot;#,##0\)">
                  <c:v>4680000</c:v>
                </c:pt>
                <c:pt idx="1">
                  <c:v>4552645.407777641</c:v>
                </c:pt>
                <c:pt idx="2">
                  <c:v>4314252.924342826</c:v>
                </c:pt>
                <c:pt idx="3">
                  <c:v>3986372.124960389</c:v>
                </c:pt>
                <c:pt idx="4">
                  <c:v>3635050.8861935544</c:v>
                </c:pt>
                <c:pt idx="5">
                  <c:v>3315424.4566141008</c:v>
                </c:pt>
                <c:pt idx="6">
                  <c:v>3049166.559173739</c:v>
                </c:pt>
                <c:pt idx="7">
                  <c:v>2776072.5889837551</c:v>
                </c:pt>
                <c:pt idx="8">
                  <c:v>2539153.0426399792</c:v>
                </c:pt>
                <c:pt idx="9">
                  <c:v>2316575.3977926658</c:v>
                </c:pt>
                <c:pt idx="10">
                  <c:v>2091547.4332435559</c:v>
                </c:pt>
                <c:pt idx="11">
                  <c:v>1901726.0351973749</c:v>
                </c:pt>
                <c:pt idx="12">
                  <c:v>1742229.599804064</c:v>
                </c:pt>
                <c:pt idx="13">
                  <c:v>1578882.1868886973</c:v>
                </c:pt>
                <c:pt idx="14">
                  <c:v>1442466.6936879938</c:v>
                </c:pt>
                <c:pt idx="15">
                  <c:v>1305876.1427715993</c:v>
                </c:pt>
                <c:pt idx="16">
                  <c:v>1161016.8724404192</c:v>
                </c:pt>
                <c:pt idx="17">
                  <c:v>1044852.2359391398</c:v>
                </c:pt>
                <c:pt idx="18">
                  <c:v>931594.70458619075</c:v>
                </c:pt>
                <c:pt idx="19">
                  <c:v>813607.20912639075</c:v>
                </c:pt>
                <c:pt idx="20">
                  <c:v>715622.25790516287</c:v>
                </c:pt>
                <c:pt idx="21">
                  <c:v>617809.38519611175</c:v>
                </c:pt>
                <c:pt idx="22">
                  <c:v>536274.04412635416</c:v>
                </c:pt>
                <c:pt idx="23">
                  <c:v>452131.24922873592</c:v>
                </c:pt>
                <c:pt idx="24">
                  <c:v>375373.47147414141</c:v>
                </c:pt>
                <c:pt idx="25">
                  <c:v>306895.0581153633</c:v>
                </c:pt>
                <c:pt idx="26">
                  <c:v>235814.84582649768</c:v>
                </c:pt>
                <c:pt idx="27">
                  <c:v>171007.45600526468</c:v>
                </c:pt>
                <c:pt idx="28">
                  <c:v>109238.46896222112</c:v>
                </c:pt>
                <c:pt idx="29">
                  <c:v>52776.436901266155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D-4F4F-A70D-6C37F80BA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869360"/>
        <c:axId val="1"/>
      </c:lineChart>
      <c:catAx>
        <c:axId val="104186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Year</a:t>
                </a:r>
              </a:p>
            </c:rich>
          </c:tx>
          <c:layout>
            <c:manualLayout>
              <c:xMode val="edge"/>
              <c:yMode val="edge"/>
              <c:x val="0.34410366400543974"/>
              <c:y val="0.858668902783600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_);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41869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597793976702894"/>
          <c:y val="0.32533418055776187"/>
          <c:w val="0.2810987677790916"/>
          <c:h val="0.168000437501139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Simulated LIBOR Index</a:t>
            </a:r>
          </a:p>
        </c:rich>
      </c:tx>
      <c:layout>
        <c:manualLayout>
          <c:xMode val="edge"/>
          <c:yMode val="edge"/>
          <c:x val="0.29468645375159419"/>
          <c:y val="3.6065573770491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87622168789895"/>
          <c:y val="0.27868852459016391"/>
          <c:w val="0.66183678957325254"/>
          <c:h val="0.3737704918032787"/>
        </c:manualLayout>
      </c:layout>
      <c:lineChart>
        <c:grouping val="standard"/>
        <c:varyColors val="0"/>
        <c:ser>
          <c:idx val="0"/>
          <c:order val="0"/>
          <c:tx>
            <c:strRef>
              <c:f>IOPO!$B$4</c:f>
              <c:strCache>
                <c:ptCount val="1"/>
                <c:pt idx="0">
                  <c:v>LIBOR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IOPO!$A$5:$A$34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IOPO!$B$5:$B$34</c:f>
              <c:numCache>
                <c:formatCode>General</c:formatCode>
                <c:ptCount val="30"/>
                <c:pt idx="0">
                  <c:v>0.05</c:v>
                </c:pt>
                <c:pt idx="1">
                  <c:v>5.0421876442069989E-2</c:v>
                </c:pt>
                <c:pt idx="2">
                  <c:v>5.0881741011429553E-2</c:v>
                </c:pt>
                <c:pt idx="3">
                  <c:v>5.1423003691711863E-2</c:v>
                </c:pt>
                <c:pt idx="4">
                  <c:v>5.23751137442975E-2</c:v>
                </c:pt>
                <c:pt idx="5">
                  <c:v>5.3259267187842525E-2</c:v>
                </c:pt>
                <c:pt idx="6">
                  <c:v>5.3741563243508053E-2</c:v>
                </c:pt>
                <c:pt idx="7">
                  <c:v>5.4582452934676208E-2</c:v>
                </c:pt>
                <c:pt idx="8">
                  <c:v>5.5171436897156298E-2</c:v>
                </c:pt>
                <c:pt idx="9">
                  <c:v>5.5794259414103785E-2</c:v>
                </c:pt>
                <c:pt idx="10">
                  <c:v>5.6745525355389133E-2</c:v>
                </c:pt>
                <c:pt idx="11">
                  <c:v>5.7339661718780112E-2</c:v>
                </c:pt>
                <c:pt idx="12">
                  <c:v>5.7564213581561698E-2</c:v>
                </c:pt>
                <c:pt idx="13">
                  <c:v>5.8099384959532069E-2</c:v>
                </c:pt>
                <c:pt idx="14">
                  <c:v>5.8228815006535393E-2</c:v>
                </c:pt>
                <c:pt idx="15">
                  <c:v>5.8572633626189669E-2</c:v>
                </c:pt>
                <c:pt idx="16">
                  <c:v>5.9426624250819682E-2</c:v>
                </c:pt>
                <c:pt idx="17">
                  <c:v>5.9679875742208607E-2</c:v>
                </c:pt>
                <c:pt idx="18">
                  <c:v>6.0074099672812672E-2</c:v>
                </c:pt>
                <c:pt idx="19">
                  <c:v>6.0958649135303619E-2</c:v>
                </c:pt>
                <c:pt idx="20">
                  <c:v>6.1330247258877889E-2</c:v>
                </c:pt>
                <c:pt idx="21">
                  <c:v>6.2006745881753256E-2</c:v>
                </c:pt>
                <c:pt idx="22">
                  <c:v>6.2111048140707434E-2</c:v>
                </c:pt>
                <c:pt idx="23">
                  <c:v>6.267486032970479E-2</c:v>
                </c:pt>
                <c:pt idx="24">
                  <c:v>6.3085695472757372E-2</c:v>
                </c:pt>
                <c:pt idx="25">
                  <c:v>6.3108962392172355E-2</c:v>
                </c:pt>
                <c:pt idx="26">
                  <c:v>6.3824704966773171E-2</c:v>
                </c:pt>
                <c:pt idx="27">
                  <c:v>6.4343857121438627E-2</c:v>
                </c:pt>
                <c:pt idx="28">
                  <c:v>6.514849509092617E-2</c:v>
                </c:pt>
                <c:pt idx="29">
                  <c:v>6.5709320428048501E-2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D-4532-93D1-4B67A2C97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870800"/>
        <c:axId val="1"/>
      </c:lineChart>
      <c:catAx>
        <c:axId val="104187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42351113298726378"/>
              <c:y val="0.832786885245901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418708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642640465605598"/>
          <c:y val="0.4163934426229508"/>
          <c:w val="0.17069269998726222"/>
          <c:h val="9.83606557377049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9525</xdr:rowOff>
    </xdr:from>
    <xdr:to>
      <xdr:col>15</xdr:col>
      <xdr:colOff>9525</xdr:colOff>
      <xdr:row>24</xdr:row>
      <xdr:rowOff>28575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349D5A1D-67BF-2FA3-6723-6696C9531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26</xdr:row>
      <xdr:rowOff>19050</xdr:rowOff>
    </xdr:from>
    <xdr:to>
      <xdr:col>14</xdr:col>
      <xdr:colOff>590550</xdr:colOff>
      <xdr:row>49</xdr:row>
      <xdr:rowOff>152400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1B6102F1-B6C8-5354-E3FF-04DC539EF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52</xdr:row>
      <xdr:rowOff>19050</xdr:rowOff>
    </xdr:from>
    <xdr:to>
      <xdr:col>15</xdr:col>
      <xdr:colOff>0</xdr:colOff>
      <xdr:row>76</xdr:row>
      <xdr:rowOff>9525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55FF0963-E2AD-0047-6D26-C3457DC8F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19050</xdr:colOff>
      <xdr:row>2</xdr:row>
      <xdr:rowOff>28575</xdr:rowOff>
    </xdr:from>
    <xdr:to>
      <xdr:col>38</xdr:col>
      <xdr:colOff>19050</xdr:colOff>
      <xdr:row>25</xdr:row>
      <xdr:rowOff>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947C5093-EAFF-11AF-E731-C90EE6066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28575</xdr:rowOff>
    </xdr:from>
    <xdr:to>
      <xdr:col>17</xdr:col>
      <xdr:colOff>600075</xdr:colOff>
      <xdr:row>24</xdr:row>
      <xdr:rowOff>28575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31CDC183-517D-4CA0-AC98-5F6ECB0A0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2</xdr:row>
      <xdr:rowOff>9525</xdr:rowOff>
    </xdr:from>
    <xdr:to>
      <xdr:col>31</xdr:col>
      <xdr:colOff>600075</xdr:colOff>
      <xdr:row>24</xdr:row>
      <xdr:rowOff>152400</xdr:rowOff>
    </xdr:to>
    <xdr:graphicFrame macro="">
      <xdr:nvGraphicFramePr>
        <xdr:cNvPr id="8196" name="Chart 4">
          <a:extLst>
            <a:ext uri="{FF2B5EF4-FFF2-40B4-BE49-F238E27FC236}">
              <a16:creationId xmlns:a16="http://schemas.microsoft.com/office/drawing/2014/main" id="{276C53CF-7A08-EBA4-72C3-3516BAA2D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9525</xdr:rowOff>
    </xdr:from>
    <xdr:to>
      <xdr:col>23</xdr:col>
      <xdr:colOff>0</xdr:colOff>
      <xdr:row>23</xdr:row>
      <xdr:rowOff>9525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4F71DC01-48A1-6CF1-2D2E-911BEF834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37</xdr:row>
      <xdr:rowOff>9525</xdr:rowOff>
    </xdr:from>
    <xdr:to>
      <xdr:col>7</xdr:col>
      <xdr:colOff>809625</xdr:colOff>
      <xdr:row>59</xdr:row>
      <xdr:rowOff>19050</xdr:rowOff>
    </xdr:to>
    <xdr:graphicFrame macro="">
      <xdr:nvGraphicFramePr>
        <xdr:cNvPr id="7170" name="Chart 2">
          <a:extLst>
            <a:ext uri="{FF2B5EF4-FFF2-40B4-BE49-F238E27FC236}">
              <a16:creationId xmlns:a16="http://schemas.microsoft.com/office/drawing/2014/main" id="{34FE3EF0-2A20-EDA8-DF4C-06547EFC6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61</xdr:row>
      <xdr:rowOff>19050</xdr:rowOff>
    </xdr:from>
    <xdr:to>
      <xdr:col>8</xdr:col>
      <xdr:colOff>0</xdr:colOff>
      <xdr:row>79</xdr:row>
      <xdr:rowOff>9525</xdr:rowOff>
    </xdr:to>
    <xdr:graphicFrame macro="">
      <xdr:nvGraphicFramePr>
        <xdr:cNvPr id="7171" name="Chart 3">
          <a:extLst>
            <a:ext uri="{FF2B5EF4-FFF2-40B4-BE49-F238E27FC236}">
              <a16:creationId xmlns:a16="http://schemas.microsoft.com/office/drawing/2014/main" id="{33534100-47C1-368F-57E1-778401C6C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9525</xdr:colOff>
      <xdr:row>0</xdr:row>
      <xdr:rowOff>19050</xdr:rowOff>
    </xdr:from>
    <xdr:to>
      <xdr:col>41</xdr:col>
      <xdr:colOff>0</xdr:colOff>
      <xdr:row>24</xdr:row>
      <xdr:rowOff>19050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845C9AE9-1099-ED3A-84BD-BB17C513D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19050</xdr:rowOff>
    </xdr:from>
    <xdr:to>
      <xdr:col>17</xdr:col>
      <xdr:colOff>600075</xdr:colOff>
      <xdr:row>25</xdr:row>
      <xdr:rowOff>152400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6A78955F-2D85-DD8B-2D70-A4D90BC32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19050</xdr:rowOff>
    </xdr:from>
    <xdr:to>
      <xdr:col>17</xdr:col>
      <xdr:colOff>0</xdr:colOff>
      <xdr:row>24</xdr:row>
      <xdr:rowOff>9525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665DEC50-44FE-3989-6195-F76ABE54A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E54" workbookViewId="0">
      <selection activeCell="P72" sqref="P72"/>
    </sheetView>
  </sheetViews>
  <sheetFormatPr defaultRowHeight="12.75" x14ac:dyDescent="0.2"/>
  <sheetData>
    <row r="1" spans="1:4" x14ac:dyDescent="0.2">
      <c r="A1" t="s">
        <v>0</v>
      </c>
      <c r="B1" t="s">
        <v>57</v>
      </c>
      <c r="C1" t="s">
        <v>56</v>
      </c>
      <c r="D1" t="s">
        <v>58</v>
      </c>
    </row>
    <row r="2" spans="1:4" x14ac:dyDescent="0.2">
      <c r="A2" s="1">
        <v>0</v>
      </c>
      <c r="B2" s="2">
        <v>0</v>
      </c>
      <c r="C2" s="15">
        <f>B2*2</f>
        <v>0</v>
      </c>
      <c r="D2" s="15">
        <f>B2*5</f>
        <v>0</v>
      </c>
    </row>
    <row r="3" spans="1:4" x14ac:dyDescent="0.2">
      <c r="A3" s="1">
        <f t="shared" ref="A3:A62" si="0">A2+1</f>
        <v>1</v>
      </c>
      <c r="B3" s="2">
        <f t="shared" ref="B3:B62" si="1">MINA(0.06,+B2+0.002)</f>
        <v>2E-3</v>
      </c>
      <c r="C3" s="15">
        <f t="shared" ref="C3:C62" si="2">B3*2</f>
        <v>4.0000000000000001E-3</v>
      </c>
      <c r="D3" s="15">
        <f t="shared" ref="D3:D62" si="3">B3*5</f>
        <v>0.01</v>
      </c>
    </row>
    <row r="4" spans="1:4" x14ac:dyDescent="0.2">
      <c r="A4" s="1">
        <f t="shared" si="0"/>
        <v>2</v>
      </c>
      <c r="B4" s="2">
        <f t="shared" si="1"/>
        <v>4.0000000000000001E-3</v>
      </c>
      <c r="C4" s="15">
        <f t="shared" si="2"/>
        <v>8.0000000000000002E-3</v>
      </c>
      <c r="D4" s="15">
        <f t="shared" si="3"/>
        <v>0.02</v>
      </c>
    </row>
    <row r="5" spans="1:4" x14ac:dyDescent="0.2">
      <c r="A5" s="1">
        <f t="shared" si="0"/>
        <v>3</v>
      </c>
      <c r="B5" s="2">
        <f t="shared" si="1"/>
        <v>6.0000000000000001E-3</v>
      </c>
      <c r="C5" s="15">
        <f t="shared" si="2"/>
        <v>1.2E-2</v>
      </c>
      <c r="D5" s="15">
        <f t="shared" si="3"/>
        <v>0.03</v>
      </c>
    </row>
    <row r="6" spans="1:4" x14ac:dyDescent="0.2">
      <c r="A6" s="1">
        <f t="shared" si="0"/>
        <v>4</v>
      </c>
      <c r="B6" s="2">
        <f t="shared" si="1"/>
        <v>8.0000000000000002E-3</v>
      </c>
      <c r="C6" s="15">
        <f t="shared" si="2"/>
        <v>1.6E-2</v>
      </c>
      <c r="D6" s="15">
        <f t="shared" si="3"/>
        <v>0.04</v>
      </c>
    </row>
    <row r="7" spans="1:4" x14ac:dyDescent="0.2">
      <c r="A7" s="1">
        <f t="shared" si="0"/>
        <v>5</v>
      </c>
      <c r="B7" s="2">
        <f t="shared" si="1"/>
        <v>0.01</v>
      </c>
      <c r="C7" s="15">
        <f t="shared" si="2"/>
        <v>0.02</v>
      </c>
      <c r="D7" s="15">
        <f t="shared" si="3"/>
        <v>0.05</v>
      </c>
    </row>
    <row r="8" spans="1:4" x14ac:dyDescent="0.2">
      <c r="A8" s="1">
        <f t="shared" si="0"/>
        <v>6</v>
      </c>
      <c r="B8" s="2">
        <f t="shared" si="1"/>
        <v>1.2E-2</v>
      </c>
      <c r="C8" s="15">
        <f t="shared" si="2"/>
        <v>2.4E-2</v>
      </c>
      <c r="D8" s="15">
        <f t="shared" si="3"/>
        <v>0.06</v>
      </c>
    </row>
    <row r="9" spans="1:4" x14ac:dyDescent="0.2">
      <c r="A9" s="1">
        <f t="shared" si="0"/>
        <v>7</v>
      </c>
      <c r="B9" s="2">
        <f t="shared" si="1"/>
        <v>1.4E-2</v>
      </c>
      <c r="C9" s="15">
        <f t="shared" si="2"/>
        <v>2.8000000000000001E-2</v>
      </c>
      <c r="D9" s="15">
        <f t="shared" si="3"/>
        <v>7.0000000000000007E-2</v>
      </c>
    </row>
    <row r="10" spans="1:4" x14ac:dyDescent="0.2">
      <c r="A10" s="1">
        <f t="shared" si="0"/>
        <v>8</v>
      </c>
      <c r="B10" s="2">
        <f t="shared" si="1"/>
        <v>1.6E-2</v>
      </c>
      <c r="C10" s="15">
        <f t="shared" si="2"/>
        <v>3.2000000000000001E-2</v>
      </c>
      <c r="D10" s="15">
        <f t="shared" si="3"/>
        <v>0.08</v>
      </c>
    </row>
    <row r="11" spans="1:4" x14ac:dyDescent="0.2">
      <c r="A11" s="1">
        <f t="shared" si="0"/>
        <v>9</v>
      </c>
      <c r="B11" s="2">
        <f t="shared" si="1"/>
        <v>1.8000000000000002E-2</v>
      </c>
      <c r="C11" s="15">
        <f t="shared" si="2"/>
        <v>3.6000000000000004E-2</v>
      </c>
      <c r="D11" s="15">
        <f t="shared" si="3"/>
        <v>9.0000000000000011E-2</v>
      </c>
    </row>
    <row r="12" spans="1:4" x14ac:dyDescent="0.2">
      <c r="A12" s="1">
        <f t="shared" si="0"/>
        <v>10</v>
      </c>
      <c r="B12" s="2">
        <f t="shared" si="1"/>
        <v>2.0000000000000004E-2</v>
      </c>
      <c r="C12" s="15">
        <f t="shared" si="2"/>
        <v>4.0000000000000008E-2</v>
      </c>
      <c r="D12" s="15">
        <f t="shared" si="3"/>
        <v>0.10000000000000002</v>
      </c>
    </row>
    <row r="13" spans="1:4" x14ac:dyDescent="0.2">
      <c r="A13" s="1">
        <f t="shared" si="0"/>
        <v>11</v>
      </c>
      <c r="B13" s="2">
        <f t="shared" si="1"/>
        <v>2.2000000000000006E-2</v>
      </c>
      <c r="C13" s="15">
        <f t="shared" si="2"/>
        <v>4.4000000000000011E-2</v>
      </c>
      <c r="D13" s="15">
        <f t="shared" si="3"/>
        <v>0.11000000000000003</v>
      </c>
    </row>
    <row r="14" spans="1:4" x14ac:dyDescent="0.2">
      <c r="A14" s="1">
        <f t="shared" si="0"/>
        <v>12</v>
      </c>
      <c r="B14" s="2">
        <f t="shared" si="1"/>
        <v>2.4000000000000007E-2</v>
      </c>
      <c r="C14" s="15">
        <f t="shared" si="2"/>
        <v>4.8000000000000015E-2</v>
      </c>
      <c r="D14" s="15">
        <f t="shared" si="3"/>
        <v>0.12000000000000004</v>
      </c>
    </row>
    <row r="15" spans="1:4" x14ac:dyDescent="0.2">
      <c r="A15" s="1">
        <f t="shared" si="0"/>
        <v>13</v>
      </c>
      <c r="B15" s="2">
        <f t="shared" si="1"/>
        <v>2.6000000000000009E-2</v>
      </c>
      <c r="C15" s="15">
        <f t="shared" si="2"/>
        <v>5.2000000000000018E-2</v>
      </c>
      <c r="D15" s="15">
        <f t="shared" si="3"/>
        <v>0.13000000000000006</v>
      </c>
    </row>
    <row r="16" spans="1:4" x14ac:dyDescent="0.2">
      <c r="A16" s="1">
        <f t="shared" si="0"/>
        <v>14</v>
      </c>
      <c r="B16" s="2">
        <f t="shared" si="1"/>
        <v>2.8000000000000011E-2</v>
      </c>
      <c r="C16" s="15">
        <f t="shared" si="2"/>
        <v>5.6000000000000022E-2</v>
      </c>
      <c r="D16" s="15">
        <f t="shared" si="3"/>
        <v>0.14000000000000007</v>
      </c>
    </row>
    <row r="17" spans="1:4" x14ac:dyDescent="0.2">
      <c r="A17" s="1">
        <f t="shared" si="0"/>
        <v>15</v>
      </c>
      <c r="B17" s="2">
        <f t="shared" si="1"/>
        <v>3.0000000000000013E-2</v>
      </c>
      <c r="C17" s="15">
        <f t="shared" si="2"/>
        <v>6.0000000000000026E-2</v>
      </c>
      <c r="D17" s="15">
        <f t="shared" si="3"/>
        <v>0.15000000000000008</v>
      </c>
    </row>
    <row r="18" spans="1:4" x14ac:dyDescent="0.2">
      <c r="A18" s="1">
        <f t="shared" si="0"/>
        <v>16</v>
      </c>
      <c r="B18" s="2">
        <f t="shared" si="1"/>
        <v>3.2000000000000015E-2</v>
      </c>
      <c r="C18" s="15">
        <f t="shared" si="2"/>
        <v>6.4000000000000029E-2</v>
      </c>
      <c r="D18" s="15">
        <f t="shared" si="3"/>
        <v>0.16000000000000009</v>
      </c>
    </row>
    <row r="19" spans="1:4" x14ac:dyDescent="0.2">
      <c r="A19" s="1">
        <f t="shared" si="0"/>
        <v>17</v>
      </c>
      <c r="B19" s="2">
        <f t="shared" si="1"/>
        <v>3.4000000000000016E-2</v>
      </c>
      <c r="C19" s="15">
        <f t="shared" si="2"/>
        <v>6.8000000000000033E-2</v>
      </c>
      <c r="D19" s="15">
        <f t="shared" si="3"/>
        <v>0.1700000000000001</v>
      </c>
    </row>
    <row r="20" spans="1:4" x14ac:dyDescent="0.2">
      <c r="A20" s="1">
        <f t="shared" si="0"/>
        <v>18</v>
      </c>
      <c r="B20" s="2">
        <f t="shared" si="1"/>
        <v>3.6000000000000018E-2</v>
      </c>
      <c r="C20" s="15">
        <f t="shared" si="2"/>
        <v>7.2000000000000036E-2</v>
      </c>
      <c r="D20" s="15">
        <f t="shared" si="3"/>
        <v>0.1800000000000001</v>
      </c>
    </row>
    <row r="21" spans="1:4" x14ac:dyDescent="0.2">
      <c r="A21" s="1">
        <f t="shared" si="0"/>
        <v>19</v>
      </c>
      <c r="B21" s="2">
        <f t="shared" si="1"/>
        <v>3.800000000000002E-2</v>
      </c>
      <c r="C21" s="15">
        <f t="shared" si="2"/>
        <v>7.600000000000004E-2</v>
      </c>
      <c r="D21" s="15">
        <f t="shared" si="3"/>
        <v>0.19000000000000011</v>
      </c>
    </row>
    <row r="22" spans="1:4" x14ac:dyDescent="0.2">
      <c r="A22" s="1">
        <f t="shared" si="0"/>
        <v>20</v>
      </c>
      <c r="B22" s="2">
        <f t="shared" si="1"/>
        <v>4.0000000000000022E-2</v>
      </c>
      <c r="C22" s="15">
        <f t="shared" si="2"/>
        <v>8.0000000000000043E-2</v>
      </c>
      <c r="D22" s="15">
        <f t="shared" si="3"/>
        <v>0.20000000000000012</v>
      </c>
    </row>
    <row r="23" spans="1:4" x14ac:dyDescent="0.2">
      <c r="A23" s="1">
        <f t="shared" si="0"/>
        <v>21</v>
      </c>
      <c r="B23" s="2">
        <f t="shared" si="1"/>
        <v>4.2000000000000023E-2</v>
      </c>
      <c r="C23" s="15">
        <f t="shared" si="2"/>
        <v>8.4000000000000047E-2</v>
      </c>
      <c r="D23" s="15">
        <f t="shared" si="3"/>
        <v>0.21000000000000013</v>
      </c>
    </row>
    <row r="24" spans="1:4" x14ac:dyDescent="0.2">
      <c r="A24" s="1">
        <f t="shared" si="0"/>
        <v>22</v>
      </c>
      <c r="B24" s="2">
        <f t="shared" si="1"/>
        <v>4.4000000000000025E-2</v>
      </c>
      <c r="C24" s="15">
        <f t="shared" si="2"/>
        <v>8.800000000000005E-2</v>
      </c>
      <c r="D24" s="15">
        <f t="shared" si="3"/>
        <v>0.22000000000000014</v>
      </c>
    </row>
    <row r="25" spans="1:4" x14ac:dyDescent="0.2">
      <c r="A25" s="1">
        <f t="shared" si="0"/>
        <v>23</v>
      </c>
      <c r="B25" s="2">
        <f t="shared" si="1"/>
        <v>4.6000000000000027E-2</v>
      </c>
      <c r="C25" s="15">
        <f t="shared" si="2"/>
        <v>9.2000000000000054E-2</v>
      </c>
      <c r="D25" s="15">
        <f t="shared" si="3"/>
        <v>0.23000000000000015</v>
      </c>
    </row>
    <row r="26" spans="1:4" x14ac:dyDescent="0.2">
      <c r="A26" s="1">
        <f t="shared" si="0"/>
        <v>24</v>
      </c>
      <c r="B26" s="2">
        <f t="shared" si="1"/>
        <v>4.8000000000000029E-2</v>
      </c>
      <c r="C26" s="15">
        <f t="shared" si="2"/>
        <v>9.6000000000000058E-2</v>
      </c>
      <c r="D26" s="15">
        <f t="shared" si="3"/>
        <v>0.24000000000000016</v>
      </c>
    </row>
    <row r="27" spans="1:4" x14ac:dyDescent="0.2">
      <c r="A27" s="1">
        <f t="shared" si="0"/>
        <v>25</v>
      </c>
      <c r="B27" s="2">
        <f t="shared" si="1"/>
        <v>5.0000000000000031E-2</v>
      </c>
      <c r="C27" s="15">
        <f t="shared" si="2"/>
        <v>0.10000000000000006</v>
      </c>
      <c r="D27" s="15">
        <f t="shared" si="3"/>
        <v>0.25000000000000017</v>
      </c>
    </row>
    <row r="28" spans="1:4" x14ac:dyDescent="0.2">
      <c r="A28" s="1">
        <f t="shared" si="0"/>
        <v>26</v>
      </c>
      <c r="B28" s="2">
        <f t="shared" si="1"/>
        <v>5.2000000000000032E-2</v>
      </c>
      <c r="C28" s="15">
        <f t="shared" si="2"/>
        <v>0.10400000000000006</v>
      </c>
      <c r="D28" s="15">
        <f t="shared" si="3"/>
        <v>0.26000000000000018</v>
      </c>
    </row>
    <row r="29" spans="1:4" x14ac:dyDescent="0.2">
      <c r="A29" s="1">
        <f t="shared" si="0"/>
        <v>27</v>
      </c>
      <c r="B29" s="2">
        <f t="shared" si="1"/>
        <v>5.4000000000000034E-2</v>
      </c>
      <c r="C29" s="15">
        <f t="shared" si="2"/>
        <v>0.10800000000000007</v>
      </c>
      <c r="D29" s="15">
        <f t="shared" si="3"/>
        <v>0.27000000000000018</v>
      </c>
    </row>
    <row r="30" spans="1:4" x14ac:dyDescent="0.2">
      <c r="A30" s="1">
        <f t="shared" si="0"/>
        <v>28</v>
      </c>
      <c r="B30" s="2">
        <f t="shared" si="1"/>
        <v>5.6000000000000036E-2</v>
      </c>
      <c r="C30" s="15">
        <f t="shared" si="2"/>
        <v>0.11200000000000007</v>
      </c>
      <c r="D30" s="15">
        <f t="shared" si="3"/>
        <v>0.28000000000000019</v>
      </c>
    </row>
    <row r="31" spans="1:4" x14ac:dyDescent="0.2">
      <c r="A31" s="1">
        <f t="shared" si="0"/>
        <v>29</v>
      </c>
      <c r="B31" s="2">
        <f t="shared" si="1"/>
        <v>5.8000000000000038E-2</v>
      </c>
      <c r="C31" s="15">
        <f t="shared" si="2"/>
        <v>0.11600000000000008</v>
      </c>
      <c r="D31" s="15">
        <f t="shared" si="3"/>
        <v>0.2900000000000002</v>
      </c>
    </row>
    <row r="32" spans="1:4" x14ac:dyDescent="0.2">
      <c r="A32" s="1">
        <f t="shared" si="0"/>
        <v>30</v>
      </c>
      <c r="B32" s="2">
        <f t="shared" si="1"/>
        <v>0.06</v>
      </c>
      <c r="C32" s="15">
        <f t="shared" si="2"/>
        <v>0.12</v>
      </c>
      <c r="D32" s="15">
        <f t="shared" si="3"/>
        <v>0.3</v>
      </c>
    </row>
    <row r="33" spans="1:4" x14ac:dyDescent="0.2">
      <c r="A33" s="1">
        <f t="shared" si="0"/>
        <v>31</v>
      </c>
      <c r="B33" s="2">
        <f t="shared" si="1"/>
        <v>0.06</v>
      </c>
      <c r="C33" s="15">
        <f t="shared" si="2"/>
        <v>0.12</v>
      </c>
      <c r="D33" s="15">
        <f t="shared" si="3"/>
        <v>0.3</v>
      </c>
    </row>
    <row r="34" spans="1:4" x14ac:dyDescent="0.2">
      <c r="A34" s="1">
        <f t="shared" si="0"/>
        <v>32</v>
      </c>
      <c r="B34" s="2">
        <f t="shared" si="1"/>
        <v>0.06</v>
      </c>
      <c r="C34" s="15">
        <f t="shared" si="2"/>
        <v>0.12</v>
      </c>
      <c r="D34" s="15">
        <f t="shared" si="3"/>
        <v>0.3</v>
      </c>
    </row>
    <row r="35" spans="1:4" x14ac:dyDescent="0.2">
      <c r="A35" s="1">
        <f t="shared" si="0"/>
        <v>33</v>
      </c>
      <c r="B35" s="2">
        <f t="shared" si="1"/>
        <v>0.06</v>
      </c>
      <c r="C35" s="15">
        <f t="shared" si="2"/>
        <v>0.12</v>
      </c>
      <c r="D35" s="15">
        <f t="shared" si="3"/>
        <v>0.3</v>
      </c>
    </row>
    <row r="36" spans="1:4" x14ac:dyDescent="0.2">
      <c r="A36" s="1">
        <f t="shared" si="0"/>
        <v>34</v>
      </c>
      <c r="B36" s="2">
        <f t="shared" si="1"/>
        <v>0.06</v>
      </c>
      <c r="C36" s="15">
        <f t="shared" si="2"/>
        <v>0.12</v>
      </c>
      <c r="D36" s="15">
        <f t="shared" si="3"/>
        <v>0.3</v>
      </c>
    </row>
    <row r="37" spans="1:4" x14ac:dyDescent="0.2">
      <c r="A37" s="1">
        <f t="shared" si="0"/>
        <v>35</v>
      </c>
      <c r="B37" s="2">
        <f t="shared" si="1"/>
        <v>0.06</v>
      </c>
      <c r="C37" s="15">
        <f t="shared" si="2"/>
        <v>0.12</v>
      </c>
      <c r="D37" s="15">
        <f t="shared" si="3"/>
        <v>0.3</v>
      </c>
    </row>
    <row r="38" spans="1:4" x14ac:dyDescent="0.2">
      <c r="A38" s="1">
        <f t="shared" si="0"/>
        <v>36</v>
      </c>
      <c r="B38" s="2">
        <f t="shared" si="1"/>
        <v>0.06</v>
      </c>
      <c r="C38" s="15">
        <f t="shared" si="2"/>
        <v>0.12</v>
      </c>
      <c r="D38" s="15">
        <f t="shared" si="3"/>
        <v>0.3</v>
      </c>
    </row>
    <row r="39" spans="1:4" x14ac:dyDescent="0.2">
      <c r="A39" s="1">
        <f t="shared" si="0"/>
        <v>37</v>
      </c>
      <c r="B39" s="2">
        <f t="shared" si="1"/>
        <v>0.06</v>
      </c>
      <c r="C39" s="15">
        <f t="shared" si="2"/>
        <v>0.12</v>
      </c>
      <c r="D39" s="15">
        <f t="shared" si="3"/>
        <v>0.3</v>
      </c>
    </row>
    <row r="40" spans="1:4" x14ac:dyDescent="0.2">
      <c r="A40" s="1">
        <f t="shared" si="0"/>
        <v>38</v>
      </c>
      <c r="B40" s="2">
        <f t="shared" si="1"/>
        <v>0.06</v>
      </c>
      <c r="C40" s="15">
        <f t="shared" si="2"/>
        <v>0.12</v>
      </c>
      <c r="D40" s="15">
        <f t="shared" si="3"/>
        <v>0.3</v>
      </c>
    </row>
    <row r="41" spans="1:4" x14ac:dyDescent="0.2">
      <c r="A41" s="1">
        <f t="shared" si="0"/>
        <v>39</v>
      </c>
      <c r="B41" s="2">
        <f t="shared" si="1"/>
        <v>0.06</v>
      </c>
      <c r="C41" s="15">
        <f t="shared" si="2"/>
        <v>0.12</v>
      </c>
      <c r="D41" s="15">
        <f t="shared" si="3"/>
        <v>0.3</v>
      </c>
    </row>
    <row r="42" spans="1:4" x14ac:dyDescent="0.2">
      <c r="A42" s="1">
        <f t="shared" si="0"/>
        <v>40</v>
      </c>
      <c r="B42" s="2">
        <f t="shared" si="1"/>
        <v>0.06</v>
      </c>
      <c r="C42" s="15">
        <f t="shared" si="2"/>
        <v>0.12</v>
      </c>
      <c r="D42" s="15">
        <f t="shared" si="3"/>
        <v>0.3</v>
      </c>
    </row>
    <row r="43" spans="1:4" x14ac:dyDescent="0.2">
      <c r="A43" s="1">
        <f t="shared" si="0"/>
        <v>41</v>
      </c>
      <c r="B43" s="2">
        <f t="shared" si="1"/>
        <v>0.06</v>
      </c>
      <c r="C43" s="15">
        <f t="shared" si="2"/>
        <v>0.12</v>
      </c>
      <c r="D43" s="15">
        <f t="shared" si="3"/>
        <v>0.3</v>
      </c>
    </row>
    <row r="44" spans="1:4" x14ac:dyDescent="0.2">
      <c r="A44" s="1">
        <f t="shared" si="0"/>
        <v>42</v>
      </c>
      <c r="B44" s="2">
        <f t="shared" si="1"/>
        <v>0.06</v>
      </c>
      <c r="C44" s="15">
        <f t="shared" si="2"/>
        <v>0.12</v>
      </c>
      <c r="D44" s="15">
        <f t="shared" si="3"/>
        <v>0.3</v>
      </c>
    </row>
    <row r="45" spans="1:4" x14ac:dyDescent="0.2">
      <c r="A45" s="1">
        <f t="shared" si="0"/>
        <v>43</v>
      </c>
      <c r="B45" s="2">
        <f t="shared" si="1"/>
        <v>0.06</v>
      </c>
      <c r="C45" s="15">
        <f t="shared" si="2"/>
        <v>0.12</v>
      </c>
      <c r="D45" s="15">
        <f t="shared" si="3"/>
        <v>0.3</v>
      </c>
    </row>
    <row r="46" spans="1:4" x14ac:dyDescent="0.2">
      <c r="A46" s="1">
        <f t="shared" si="0"/>
        <v>44</v>
      </c>
      <c r="B46" s="2">
        <f t="shared" si="1"/>
        <v>0.06</v>
      </c>
      <c r="C46" s="15">
        <f t="shared" si="2"/>
        <v>0.12</v>
      </c>
      <c r="D46" s="15">
        <f t="shared" si="3"/>
        <v>0.3</v>
      </c>
    </row>
    <row r="47" spans="1:4" x14ac:dyDescent="0.2">
      <c r="A47" s="1">
        <f t="shared" si="0"/>
        <v>45</v>
      </c>
      <c r="B47" s="2">
        <f t="shared" si="1"/>
        <v>0.06</v>
      </c>
      <c r="C47" s="15">
        <f t="shared" si="2"/>
        <v>0.12</v>
      </c>
      <c r="D47" s="15">
        <f t="shared" si="3"/>
        <v>0.3</v>
      </c>
    </row>
    <row r="48" spans="1:4" x14ac:dyDescent="0.2">
      <c r="A48" s="1">
        <f t="shared" si="0"/>
        <v>46</v>
      </c>
      <c r="B48" s="2">
        <f t="shared" si="1"/>
        <v>0.06</v>
      </c>
      <c r="C48" s="15">
        <f t="shared" si="2"/>
        <v>0.12</v>
      </c>
      <c r="D48" s="15">
        <f t="shared" si="3"/>
        <v>0.3</v>
      </c>
    </row>
    <row r="49" spans="1:4" x14ac:dyDescent="0.2">
      <c r="A49" s="1">
        <f t="shared" si="0"/>
        <v>47</v>
      </c>
      <c r="B49" s="2">
        <f t="shared" si="1"/>
        <v>0.06</v>
      </c>
      <c r="C49" s="15">
        <f t="shared" si="2"/>
        <v>0.12</v>
      </c>
      <c r="D49" s="15">
        <f t="shared" si="3"/>
        <v>0.3</v>
      </c>
    </row>
    <row r="50" spans="1:4" x14ac:dyDescent="0.2">
      <c r="A50" s="1">
        <f t="shared" si="0"/>
        <v>48</v>
      </c>
      <c r="B50" s="2">
        <f t="shared" si="1"/>
        <v>0.06</v>
      </c>
      <c r="C50" s="15">
        <f t="shared" si="2"/>
        <v>0.12</v>
      </c>
      <c r="D50" s="15">
        <f t="shared" si="3"/>
        <v>0.3</v>
      </c>
    </row>
    <row r="51" spans="1:4" x14ac:dyDescent="0.2">
      <c r="A51" s="1">
        <f t="shared" si="0"/>
        <v>49</v>
      </c>
      <c r="B51" s="2">
        <f t="shared" si="1"/>
        <v>0.06</v>
      </c>
      <c r="C51" s="15">
        <f t="shared" si="2"/>
        <v>0.12</v>
      </c>
      <c r="D51" s="15">
        <f t="shared" si="3"/>
        <v>0.3</v>
      </c>
    </row>
    <row r="52" spans="1:4" x14ac:dyDescent="0.2">
      <c r="A52" s="1">
        <f t="shared" si="0"/>
        <v>50</v>
      </c>
      <c r="B52" s="2">
        <f t="shared" si="1"/>
        <v>0.06</v>
      </c>
      <c r="C52" s="15">
        <f t="shared" si="2"/>
        <v>0.12</v>
      </c>
      <c r="D52" s="15">
        <f t="shared" si="3"/>
        <v>0.3</v>
      </c>
    </row>
    <row r="53" spans="1:4" x14ac:dyDescent="0.2">
      <c r="A53" s="1">
        <f t="shared" si="0"/>
        <v>51</v>
      </c>
      <c r="B53" s="2">
        <f t="shared" si="1"/>
        <v>0.06</v>
      </c>
      <c r="C53" s="15">
        <f t="shared" si="2"/>
        <v>0.12</v>
      </c>
      <c r="D53" s="15">
        <f t="shared" si="3"/>
        <v>0.3</v>
      </c>
    </row>
    <row r="54" spans="1:4" x14ac:dyDescent="0.2">
      <c r="A54" s="1">
        <f t="shared" si="0"/>
        <v>52</v>
      </c>
      <c r="B54" s="2">
        <f t="shared" si="1"/>
        <v>0.06</v>
      </c>
      <c r="C54" s="15">
        <f t="shared" si="2"/>
        <v>0.12</v>
      </c>
      <c r="D54" s="15">
        <f t="shared" si="3"/>
        <v>0.3</v>
      </c>
    </row>
    <row r="55" spans="1:4" x14ac:dyDescent="0.2">
      <c r="A55" s="1">
        <f t="shared" si="0"/>
        <v>53</v>
      </c>
      <c r="B55" s="2">
        <f t="shared" si="1"/>
        <v>0.06</v>
      </c>
      <c r="C55" s="15">
        <f t="shared" si="2"/>
        <v>0.12</v>
      </c>
      <c r="D55" s="15">
        <f t="shared" si="3"/>
        <v>0.3</v>
      </c>
    </row>
    <row r="56" spans="1:4" x14ac:dyDescent="0.2">
      <c r="A56" s="1">
        <f t="shared" si="0"/>
        <v>54</v>
      </c>
      <c r="B56" s="2">
        <f t="shared" si="1"/>
        <v>0.06</v>
      </c>
      <c r="C56" s="15">
        <f t="shared" si="2"/>
        <v>0.12</v>
      </c>
      <c r="D56" s="15">
        <f t="shared" si="3"/>
        <v>0.3</v>
      </c>
    </row>
    <row r="57" spans="1:4" x14ac:dyDescent="0.2">
      <c r="A57" s="1">
        <f t="shared" si="0"/>
        <v>55</v>
      </c>
      <c r="B57" s="2">
        <f t="shared" si="1"/>
        <v>0.06</v>
      </c>
      <c r="C57" s="15">
        <f t="shared" si="2"/>
        <v>0.12</v>
      </c>
      <c r="D57" s="15">
        <f t="shared" si="3"/>
        <v>0.3</v>
      </c>
    </row>
    <row r="58" spans="1:4" x14ac:dyDescent="0.2">
      <c r="A58" s="1">
        <f t="shared" si="0"/>
        <v>56</v>
      </c>
      <c r="B58" s="2">
        <f t="shared" si="1"/>
        <v>0.06</v>
      </c>
      <c r="C58" s="15">
        <f t="shared" si="2"/>
        <v>0.12</v>
      </c>
      <c r="D58" s="15">
        <f t="shared" si="3"/>
        <v>0.3</v>
      </c>
    </row>
    <row r="59" spans="1:4" x14ac:dyDescent="0.2">
      <c r="A59" s="1">
        <f t="shared" si="0"/>
        <v>57</v>
      </c>
      <c r="B59" s="2">
        <f t="shared" si="1"/>
        <v>0.06</v>
      </c>
      <c r="C59" s="15">
        <f t="shared" si="2"/>
        <v>0.12</v>
      </c>
      <c r="D59" s="15">
        <f t="shared" si="3"/>
        <v>0.3</v>
      </c>
    </row>
    <row r="60" spans="1:4" x14ac:dyDescent="0.2">
      <c r="A60" s="1">
        <f t="shared" si="0"/>
        <v>58</v>
      </c>
      <c r="B60" s="2">
        <f t="shared" si="1"/>
        <v>0.06</v>
      </c>
      <c r="C60" s="15">
        <f t="shared" si="2"/>
        <v>0.12</v>
      </c>
      <c r="D60" s="15">
        <f t="shared" si="3"/>
        <v>0.3</v>
      </c>
    </row>
    <row r="61" spans="1:4" x14ac:dyDescent="0.2">
      <c r="A61" s="1">
        <f t="shared" si="0"/>
        <v>59</v>
      </c>
      <c r="B61" s="2">
        <f t="shared" si="1"/>
        <v>0.06</v>
      </c>
      <c r="C61" s="15">
        <f t="shared" si="2"/>
        <v>0.12</v>
      </c>
      <c r="D61" s="15">
        <f t="shared" si="3"/>
        <v>0.3</v>
      </c>
    </row>
    <row r="62" spans="1:4" x14ac:dyDescent="0.2">
      <c r="A62" s="1">
        <f t="shared" si="0"/>
        <v>60</v>
      </c>
      <c r="B62" s="2">
        <f t="shared" si="1"/>
        <v>0.06</v>
      </c>
      <c r="C62" s="15">
        <f t="shared" si="2"/>
        <v>0.12</v>
      </c>
      <c r="D62" s="15">
        <f t="shared" si="3"/>
        <v>0.3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4"/>
  <sheetViews>
    <sheetView workbookViewId="0"/>
  </sheetViews>
  <sheetFormatPr defaultRowHeight="12.75" x14ac:dyDescent="0.2"/>
  <cols>
    <col min="2" max="4" width="11.140625" bestFit="1" customWidth="1"/>
    <col min="5" max="5" width="13.5703125" customWidth="1"/>
    <col min="6" max="6" width="10.140625" bestFit="1" customWidth="1"/>
  </cols>
  <sheetData>
    <row r="4" spans="1:6" x14ac:dyDescent="0.2">
      <c r="B4" t="s">
        <v>51</v>
      </c>
      <c r="C4" t="s">
        <v>52</v>
      </c>
      <c r="D4" t="s">
        <v>53</v>
      </c>
      <c r="E4" t="s">
        <v>54</v>
      </c>
      <c r="F4" t="s">
        <v>55</v>
      </c>
    </row>
    <row r="5" spans="1:6" x14ac:dyDescent="0.2">
      <c r="A5">
        <v>1</v>
      </c>
      <c r="B5" s="13">
        <f>Tranches!R80</f>
        <v>30674632.215412028</v>
      </c>
      <c r="C5" s="13">
        <f>Tranches!X80</f>
        <v>21925716.931200001</v>
      </c>
      <c r="D5" s="13">
        <f>Tranches!AD80</f>
        <v>2125000</v>
      </c>
      <c r="E5" s="13">
        <f>Tranches!AM80</f>
        <v>0</v>
      </c>
      <c r="F5" s="13">
        <f>Tranches!AO80</f>
        <v>40014280.190824002</v>
      </c>
    </row>
    <row r="6" spans="1:6" x14ac:dyDescent="0.2">
      <c r="A6">
        <v>2</v>
      </c>
      <c r="B6" s="13">
        <f>Tranches!R81</f>
        <v>48084621.250571936</v>
      </c>
      <c r="C6" s="13">
        <f>Tranches!X81</f>
        <v>21925716.931200001</v>
      </c>
      <c r="D6" s="13">
        <f>Tranches!AD81</f>
        <v>2125000</v>
      </c>
      <c r="E6" s="13">
        <f>Tranches!AM81</f>
        <v>0</v>
      </c>
      <c r="F6" s="13">
        <f>Tranches!AO81</f>
        <v>39548055.231253132</v>
      </c>
    </row>
    <row r="7" spans="1:6" x14ac:dyDescent="0.2">
      <c r="A7">
        <v>3</v>
      </c>
      <c r="B7" s="13">
        <f>Tranches!R82</f>
        <v>60113025.427331276</v>
      </c>
      <c r="C7" s="13">
        <f>Tranches!X82</f>
        <v>21925716.931200001</v>
      </c>
      <c r="D7" s="13">
        <f>Tranches!AD82</f>
        <v>2125000</v>
      </c>
      <c r="E7" s="13">
        <f>Tranches!AM82</f>
        <v>0</v>
      </c>
      <c r="F7" s="13">
        <f>Tranches!AO82</f>
        <v>38632541.14397566</v>
      </c>
    </row>
    <row r="8" spans="1:6" x14ac:dyDescent="0.2">
      <c r="A8">
        <v>4</v>
      </c>
      <c r="B8" s="13">
        <f>Tranches!R83</f>
        <v>44430250.142195113</v>
      </c>
      <c r="C8" s="13">
        <f>Tranches!X83</f>
        <v>32620545.741289247</v>
      </c>
      <c r="D8" s="13">
        <f>Tranches!AD83</f>
        <v>2125000</v>
      </c>
      <c r="E8" s="13">
        <f>Tranches!AM83</f>
        <v>0</v>
      </c>
      <c r="F8" s="13">
        <f>Tranches!AO83</f>
        <v>37364483.146692351</v>
      </c>
    </row>
    <row r="9" spans="1:6" x14ac:dyDescent="0.2">
      <c r="A9">
        <v>5</v>
      </c>
      <c r="B9" s="13">
        <f>Tranches!R84</f>
        <v>0</v>
      </c>
      <c r="C9" s="13">
        <f>Tranches!X84</f>
        <v>70367800.67326954</v>
      </c>
      <c r="D9" s="13">
        <f>Tranches!AD84</f>
        <v>2125000</v>
      </c>
      <c r="E9" s="13">
        <f>Tranches!AM84</f>
        <v>0</v>
      </c>
      <c r="F9" s="13">
        <f>Tranches!AO84</f>
        <v>36149648.77518937</v>
      </c>
    </row>
    <row r="10" spans="1:6" x14ac:dyDescent="0.2">
      <c r="A10">
        <v>6</v>
      </c>
      <c r="B10" s="13">
        <f>Tranches!R85</f>
        <v>0</v>
      </c>
      <c r="C10" s="13">
        <f>Tranches!X85</f>
        <v>64027844.494309209</v>
      </c>
      <c r="D10" s="13">
        <f>Tranches!AD85</f>
        <v>2125000</v>
      </c>
      <c r="E10" s="13">
        <f>Tranches!AM85</f>
        <v>0</v>
      </c>
      <c r="F10" s="13">
        <f>Tranches!AO85</f>
        <v>35092442.259932943</v>
      </c>
    </row>
    <row r="11" spans="1:6" x14ac:dyDescent="0.2">
      <c r="A11">
        <v>7</v>
      </c>
      <c r="B11" s="13">
        <f>Tranches!R86</f>
        <v>0</v>
      </c>
      <c r="C11" s="13">
        <f>Tranches!X86</f>
        <v>58095841.855527058</v>
      </c>
      <c r="D11" s="13">
        <f>Tranches!AD86</f>
        <v>2125000</v>
      </c>
      <c r="E11" s="13">
        <f>Tranches!AM86</f>
        <v>0</v>
      </c>
      <c r="F11" s="13">
        <f>Tranches!AO86</f>
        <v>34095256.476002559</v>
      </c>
    </row>
    <row r="12" spans="1:6" x14ac:dyDescent="0.2">
      <c r="A12">
        <v>8</v>
      </c>
      <c r="B12" s="13">
        <f>Tranches!R87</f>
        <v>0</v>
      </c>
      <c r="C12" s="13">
        <f>Tranches!X87</f>
        <v>52545631.089653656</v>
      </c>
      <c r="D12" s="13">
        <f>Tranches!AD87</f>
        <v>2125000</v>
      </c>
      <c r="E12" s="13">
        <f>Tranches!AM87</f>
        <v>0</v>
      </c>
      <c r="F12" s="13">
        <f>Tranches!AO87</f>
        <v>33153666.685532928</v>
      </c>
    </row>
    <row r="13" spans="1:6" x14ac:dyDescent="0.2">
      <c r="A13">
        <v>9</v>
      </c>
      <c r="B13" s="13">
        <f>Tranches!R88</f>
        <v>0</v>
      </c>
      <c r="C13" s="13">
        <f>Tranches!X88</f>
        <v>47352776.378632851</v>
      </c>
      <c r="D13" s="13">
        <f>Tranches!AD88</f>
        <v>2125000</v>
      </c>
      <c r="E13" s="13">
        <f>Tranches!AM88</f>
        <v>0</v>
      </c>
      <c r="F13" s="13">
        <f>Tranches!AO88</f>
        <v>32263491.894521855</v>
      </c>
    </row>
    <row r="14" spans="1:6" x14ac:dyDescent="0.2">
      <c r="A14">
        <v>10</v>
      </c>
      <c r="B14" s="13">
        <f>Tranches!R89</f>
        <v>0</v>
      </c>
      <c r="C14" s="13">
        <f>Tranches!X89</f>
        <v>42494459.350248441</v>
      </c>
      <c r="D14" s="13">
        <f>Tranches!AD89</f>
        <v>2125000</v>
      </c>
      <c r="E14" s="13">
        <f>Tranches!AM89</f>
        <v>0</v>
      </c>
      <c r="F14" s="13">
        <f>Tranches!AO89</f>
        <v>31420775.443205729</v>
      </c>
    </row>
    <row r="15" spans="1:6" x14ac:dyDescent="0.2">
      <c r="A15">
        <v>11</v>
      </c>
      <c r="B15" s="13">
        <f>Tranches!R90</f>
        <v>0</v>
      </c>
      <c r="C15" s="13">
        <f>Tranches!X90</f>
        <v>32096927.24096816</v>
      </c>
      <c r="D15" s="13">
        <f>Tranches!AD90</f>
        <v>7977450.7234641761</v>
      </c>
      <c r="E15" s="13">
        <f>Tranches!AM90</f>
        <v>0</v>
      </c>
      <c r="F15" s="13">
        <f>Tranches!AO90</f>
        <v>30621766.532649539</v>
      </c>
    </row>
    <row r="16" spans="1:6" x14ac:dyDescent="0.2">
      <c r="A16">
        <v>12</v>
      </c>
      <c r="B16" s="13">
        <f>Tranches!R91</f>
        <v>0</v>
      </c>
      <c r="C16" s="13">
        <f>Tranches!X91</f>
        <v>0</v>
      </c>
      <c r="D16" s="13">
        <f>Tranches!AD91</f>
        <v>20775090.965041369</v>
      </c>
      <c r="E16" s="13">
        <f>Tranches!AM91</f>
        <v>14979263.167654622</v>
      </c>
      <c r="F16" s="13">
        <f>Tranches!AO91</f>
        <v>29931200.699117262</v>
      </c>
    </row>
    <row r="17" spans="1:6" x14ac:dyDescent="0.2">
      <c r="A17">
        <v>13</v>
      </c>
      <c r="B17" s="13">
        <f>Tranches!R92</f>
        <v>0</v>
      </c>
      <c r="C17" s="13">
        <f>Tranches!X92</f>
        <v>0</v>
      </c>
      <c r="D17" s="13">
        <f>Tranches!AD92</f>
        <v>0</v>
      </c>
      <c r="E17" s="13">
        <f>Tranches!AM92</f>
        <v>29659672.329406779</v>
      </c>
      <c r="F17" s="13">
        <f>Tranches!AO92</f>
        <v>31326856.462566059</v>
      </c>
    </row>
    <row r="18" spans="1:6" x14ac:dyDescent="0.2">
      <c r="A18">
        <v>14</v>
      </c>
      <c r="B18" s="13">
        <f>Tranches!R93</f>
        <v>0</v>
      </c>
      <c r="C18" s="13">
        <f>Tranches!X93</f>
        <v>0</v>
      </c>
      <c r="D18" s="13">
        <f>Tranches!AD93</f>
        <v>0</v>
      </c>
      <c r="E18" s="13">
        <f>Tranches!AM93</f>
        <v>0</v>
      </c>
      <c r="F18" s="13">
        <f>Tranches!AO93</f>
        <v>56578536.854798868</v>
      </c>
    </row>
    <row r="19" spans="1:6" x14ac:dyDescent="0.2">
      <c r="A19">
        <v>15</v>
      </c>
      <c r="B19" s="13">
        <f>Tranches!R94</f>
        <v>0</v>
      </c>
      <c r="C19" s="13">
        <f>Tranches!X94</f>
        <v>0</v>
      </c>
      <c r="D19" s="13">
        <f>Tranches!AD94</f>
        <v>0</v>
      </c>
      <c r="E19" s="13">
        <f>Tranches!AM94</f>
        <v>0</v>
      </c>
      <c r="F19" s="13">
        <f>Tranches!AO94</f>
        <v>52442365.123901263</v>
      </c>
    </row>
    <row r="20" spans="1:6" x14ac:dyDescent="0.2">
      <c r="A20">
        <v>16</v>
      </c>
      <c r="B20" s="13">
        <f>Tranches!R95</f>
        <v>0</v>
      </c>
      <c r="C20" s="13">
        <f>Tranches!X95</f>
        <v>0</v>
      </c>
      <c r="D20" s="13">
        <f>Tranches!AD95</f>
        <v>0</v>
      </c>
      <c r="E20" s="13">
        <f>Tranches!AM95</f>
        <v>0</v>
      </c>
      <c r="F20" s="13">
        <f>Tranches!AO95</f>
        <v>48560029.222380266</v>
      </c>
    </row>
    <row r="21" spans="1:6" x14ac:dyDescent="0.2">
      <c r="A21">
        <v>17</v>
      </c>
      <c r="B21" s="13">
        <f>Tranches!R96</f>
        <v>0</v>
      </c>
      <c r="C21" s="13">
        <f>Tranches!X96</f>
        <v>0</v>
      </c>
      <c r="D21" s="13">
        <f>Tranches!AD96</f>
        <v>0</v>
      </c>
      <c r="E21" s="13">
        <f>Tranches!AM96</f>
        <v>0</v>
      </c>
      <c r="F21" s="13">
        <f>Tranches!AO96</f>
        <v>44914693.478633076</v>
      </c>
    </row>
    <row r="22" spans="1:6" x14ac:dyDescent="0.2">
      <c r="A22">
        <v>18</v>
      </c>
      <c r="B22" s="13">
        <f>Tranches!R97</f>
        <v>0</v>
      </c>
      <c r="C22" s="13">
        <f>Tranches!X97</f>
        <v>0</v>
      </c>
      <c r="D22" s="13">
        <f>Tranches!AD97</f>
        <v>0</v>
      </c>
      <c r="E22" s="13">
        <f>Tranches!AM97</f>
        <v>0</v>
      </c>
      <c r="F22" s="13">
        <f>Tranches!AO97</f>
        <v>41490594.929792926</v>
      </c>
    </row>
    <row r="23" spans="1:6" x14ac:dyDescent="0.2">
      <c r="A23">
        <v>19</v>
      </c>
      <c r="B23" s="13">
        <f>Tranches!R98</f>
        <v>0</v>
      </c>
      <c r="C23" s="13">
        <f>Tranches!X98</f>
        <v>0</v>
      </c>
      <c r="D23" s="13">
        <f>Tranches!AD98</f>
        <v>0</v>
      </c>
      <c r="E23" s="13">
        <f>Tranches!AM98</f>
        <v>0</v>
      </c>
      <c r="F23" s="13">
        <f>Tranches!AO98</f>
        <v>38272971.618105717</v>
      </c>
    </row>
    <row r="24" spans="1:6" x14ac:dyDescent="0.2">
      <c r="A24">
        <v>20</v>
      </c>
      <c r="B24" s="13">
        <f>Tranches!R99</f>
        <v>0</v>
      </c>
      <c r="C24" s="13">
        <f>Tranches!X99</f>
        <v>0</v>
      </c>
      <c r="D24" s="13">
        <f>Tranches!AD99</f>
        <v>0</v>
      </c>
      <c r="E24" s="13">
        <f>Tranches!AM99</f>
        <v>0</v>
      </c>
      <c r="F24" s="13">
        <f>Tranches!AO99</f>
        <v>35247994.54902418</v>
      </c>
    </row>
    <row r="25" spans="1:6" x14ac:dyDescent="0.2">
      <c r="A25">
        <v>21</v>
      </c>
      <c r="B25" s="13">
        <f>Tranches!R100</f>
        <v>0</v>
      </c>
      <c r="C25" s="13">
        <f>Tranches!X100</f>
        <v>0</v>
      </c>
      <c r="D25" s="13">
        <f>Tranches!AD100</f>
        <v>0</v>
      </c>
      <c r="E25" s="13">
        <f>Tranches!AM100</f>
        <v>0</v>
      </c>
      <c r="F25" s="13">
        <f>Tranches!AO100</f>
        <v>32402702.464869652</v>
      </c>
    </row>
    <row r="26" spans="1:6" x14ac:dyDescent="0.2">
      <c r="A26">
        <v>22</v>
      </c>
      <c r="B26" s="13">
        <f>Tranches!R101</f>
        <v>0</v>
      </c>
      <c r="C26" s="13">
        <f>Tranches!X101</f>
        <v>0</v>
      </c>
      <c r="D26" s="13">
        <f>Tranches!AD101</f>
        <v>0</v>
      </c>
      <c r="E26" s="13">
        <f>Tranches!AM101</f>
        <v>0</v>
      </c>
      <c r="F26" s="13">
        <f>Tranches!AO101</f>
        <v>29724938.154087476</v>
      </c>
    </row>
    <row r="27" spans="1:6" x14ac:dyDescent="0.2">
      <c r="A27">
        <v>23</v>
      </c>
      <c r="B27" s="13">
        <f>Tranches!R102</f>
        <v>0</v>
      </c>
      <c r="C27" s="13">
        <f>Tranches!X102</f>
        <v>0</v>
      </c>
      <c r="D27" s="13">
        <f>Tranches!AD102</f>
        <v>0</v>
      </c>
      <c r="E27" s="13">
        <f>Tranches!AM102</f>
        <v>0</v>
      </c>
      <c r="F27" s="13">
        <f>Tranches!AO102</f>
        <v>27203284.111040872</v>
      </c>
    </row>
    <row r="28" spans="1:6" x14ac:dyDescent="0.2">
      <c r="A28">
        <v>24</v>
      </c>
      <c r="B28" s="13">
        <f>Tranches!R103</f>
        <v>0</v>
      </c>
      <c r="C28" s="13">
        <f>Tranches!X103</f>
        <v>0</v>
      </c>
      <c r="D28" s="13">
        <f>Tranches!AD103</f>
        <v>0</v>
      </c>
      <c r="E28" s="13">
        <f>Tranches!AM103</f>
        <v>0</v>
      </c>
      <c r="F28" s="13">
        <f>Tranches!AO103</f>
        <v>24826993.362989254</v>
      </c>
    </row>
    <row r="29" spans="1:6" x14ac:dyDescent="0.2">
      <c r="A29">
        <v>25</v>
      </c>
      <c r="B29" s="13">
        <f>Tranches!R104</f>
        <v>0</v>
      </c>
      <c r="C29" s="13">
        <f>Tranches!X104</f>
        <v>0</v>
      </c>
      <c r="D29" s="13">
        <f>Tranches!AD104</f>
        <v>0</v>
      </c>
      <c r="E29" s="13">
        <f>Tranches!AM104</f>
        <v>0</v>
      </c>
      <c r="F29" s="13">
        <f>Tranches!AO104</f>
        <v>22585906.506616894</v>
      </c>
    </row>
    <row r="30" spans="1:6" x14ac:dyDescent="0.2">
      <c r="A30">
        <v>26</v>
      </c>
      <c r="B30" s="13">
        <f>Tranches!R105</f>
        <v>0</v>
      </c>
      <c r="C30" s="13">
        <f>Tranches!X105</f>
        <v>0</v>
      </c>
      <c r="D30" s="13">
        <f>Tranches!AD105</f>
        <v>0</v>
      </c>
      <c r="E30" s="13">
        <f>Tranches!AM105</f>
        <v>0</v>
      </c>
      <c r="F30" s="13">
        <f>Tranches!AO105</f>
        <v>20470333.324892867</v>
      </c>
    </row>
    <row r="31" spans="1:6" x14ac:dyDescent="0.2">
      <c r="A31">
        <v>27</v>
      </c>
      <c r="B31" s="13">
        <f>Tranches!R106</f>
        <v>0</v>
      </c>
      <c r="C31" s="13">
        <f>Tranches!X106</f>
        <v>0</v>
      </c>
      <c r="D31" s="13">
        <f>Tranches!AD106</f>
        <v>0</v>
      </c>
      <c r="E31" s="13">
        <f>Tranches!AM106</f>
        <v>0</v>
      </c>
      <c r="F31" s="13">
        <f>Tranches!AO106</f>
        <v>18470838.603933051</v>
      </c>
    </row>
    <row r="32" spans="1:6" x14ac:dyDescent="0.2">
      <c r="A32">
        <v>28</v>
      </c>
      <c r="B32" s="13">
        <f>Tranches!R107</f>
        <v>0</v>
      </c>
      <c r="C32" s="13">
        <f>Tranches!X107</f>
        <v>0</v>
      </c>
      <c r="D32" s="13">
        <f>Tranches!AD107</f>
        <v>0</v>
      </c>
      <c r="E32" s="13">
        <f>Tranches!AM107</f>
        <v>0</v>
      </c>
      <c r="F32" s="13">
        <f>Tranches!AO107</f>
        <v>16577727.023496704</v>
      </c>
    </row>
    <row r="33" spans="1:6" x14ac:dyDescent="0.2">
      <c r="A33">
        <v>29</v>
      </c>
      <c r="B33" s="13">
        <f>Tranches!R108</f>
        <v>0</v>
      </c>
      <c r="C33" s="13">
        <f>Tranches!X108</f>
        <v>0</v>
      </c>
      <c r="D33" s="13">
        <f>Tranches!AD108</f>
        <v>0</v>
      </c>
      <c r="E33" s="13">
        <f>Tranches!AM108</f>
        <v>0</v>
      </c>
      <c r="F33" s="13">
        <f>Tranches!AO108</f>
        <v>14779284.947210969</v>
      </c>
    </row>
    <row r="34" spans="1:6" x14ac:dyDescent="0.2">
      <c r="A34">
        <v>30</v>
      </c>
      <c r="B34" s="13">
        <f>Tranches!R109</f>
        <v>0</v>
      </c>
      <c r="C34" s="13">
        <f>Tranches!X109</f>
        <v>0</v>
      </c>
      <c r="D34" s="13">
        <f>Tranches!AD109</f>
        <v>0</v>
      </c>
      <c r="E34" s="13">
        <f>Tranches!AM109</f>
        <v>0</v>
      </c>
      <c r="F34" s="13">
        <f>Tranches!AO109</f>
        <v>13051082.610974073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>
      <selection activeCell="A38" sqref="A38"/>
    </sheetView>
  </sheetViews>
  <sheetFormatPr defaultRowHeight="12.75" x14ac:dyDescent="0.2"/>
  <cols>
    <col min="2" max="5" width="11.140625" bestFit="1" customWidth="1"/>
  </cols>
  <sheetData>
    <row r="2" spans="1:6" x14ac:dyDescent="0.2">
      <c r="B2" t="s">
        <v>51</v>
      </c>
      <c r="C2" t="s">
        <v>52</v>
      </c>
      <c r="D2" t="s">
        <v>53</v>
      </c>
      <c r="E2" t="s">
        <v>54</v>
      </c>
      <c r="F2" t="s">
        <v>55</v>
      </c>
    </row>
    <row r="3" spans="1:6" x14ac:dyDescent="0.2">
      <c r="A3">
        <v>1</v>
      </c>
      <c r="B3" s="13">
        <f>Tranches!O80</f>
        <v>133449106.50351797</v>
      </c>
      <c r="C3" s="13">
        <f>Tranches!U80</f>
        <v>299000640</v>
      </c>
      <c r="D3" s="13">
        <f>Tranches!AA80</f>
        <v>25000000</v>
      </c>
      <c r="E3" s="13">
        <f>Tranches!AG80</f>
        <v>16350000</v>
      </c>
    </row>
    <row r="4" spans="1:6" x14ac:dyDescent="0.2">
      <c r="A4">
        <v>2</v>
      </c>
      <c r="B4" s="13">
        <f>Tranches!O81</f>
        <v>94851382.234281123</v>
      </c>
      <c r="C4" s="13">
        <f>Tranches!U81</f>
        <v>299000640</v>
      </c>
      <c r="D4" s="13">
        <f>Tranches!AA81</f>
        <v>25000000</v>
      </c>
      <c r="E4" s="13">
        <f>Tranches!AG81</f>
        <v>17821500</v>
      </c>
    </row>
    <row r="5" spans="1:6" x14ac:dyDescent="0.2">
      <c r="A5">
        <v>3</v>
      </c>
      <c r="B5" s="13">
        <f>Tranches!O82</f>
        <v>41481341.569984891</v>
      </c>
      <c r="C5" s="13">
        <f>Tranches!U82</f>
        <v>299000640</v>
      </c>
      <c r="D5" s="13">
        <f>Tranches!AA82</f>
        <v>25000000</v>
      </c>
      <c r="E5" s="13">
        <f>Tranches!AG82</f>
        <v>19425435</v>
      </c>
    </row>
    <row r="6" spans="1:6" x14ac:dyDescent="0.2">
      <c r="A6">
        <v>4</v>
      </c>
      <c r="B6" s="13">
        <f>Tranches!O83</f>
        <v>0</v>
      </c>
      <c r="C6" s="13">
        <f>Tranches!U83</f>
        <v>288305811.18991077</v>
      </c>
      <c r="D6" s="13">
        <f>Tranches!AA83</f>
        <v>25000000</v>
      </c>
      <c r="E6" s="13">
        <f>Tranches!AG83</f>
        <v>21173724.149999999</v>
      </c>
    </row>
    <row r="7" spans="1:6" x14ac:dyDescent="0.2">
      <c r="A7">
        <v>5</v>
      </c>
      <c r="B7" s="13">
        <f>Tranches!O84</f>
        <v>0</v>
      </c>
      <c r="C7" s="13">
        <f>Tranches!U84</f>
        <v>239079475.65119737</v>
      </c>
      <c r="D7" s="13">
        <f>Tranches!AA84</f>
        <v>25000000</v>
      </c>
      <c r="E7" s="13">
        <f>Tranches!AG84</f>
        <v>23079359.3235</v>
      </c>
    </row>
    <row r="8" spans="1:6" x14ac:dyDescent="0.2">
      <c r="A8">
        <v>6</v>
      </c>
      <c r="B8" s="13">
        <f>Tranches!O85</f>
        <v>0</v>
      </c>
      <c r="C8" s="13">
        <f>Tranches!U85</f>
        <v>192583329.10639048</v>
      </c>
      <c r="D8" s="13">
        <f>Tranches!AA85</f>
        <v>25000000</v>
      </c>
      <c r="E8" s="13">
        <f>Tranches!AG85</f>
        <v>25156501.662615001</v>
      </c>
    </row>
    <row r="9" spans="1:6" x14ac:dyDescent="0.2">
      <c r="A9">
        <v>7</v>
      </c>
      <c r="B9" s="13">
        <f>Tranches!O86</f>
        <v>0</v>
      </c>
      <c r="C9" s="13">
        <f>Tranches!U86</f>
        <v>148609622.77423504</v>
      </c>
      <c r="D9" s="13">
        <f>Tranches!AA86</f>
        <v>25000000</v>
      </c>
      <c r="E9" s="13">
        <f>Tranches!AG86</f>
        <v>27420586.81225035</v>
      </c>
    </row>
    <row r="10" spans="1:6" x14ac:dyDescent="0.2">
      <c r="A10">
        <v>8</v>
      </c>
      <c r="B10" s="13">
        <f>Tranches!O87</f>
        <v>0</v>
      </c>
      <c r="C10" s="13">
        <f>Tranches!U87</f>
        <v>106961535.32261604</v>
      </c>
      <c r="D10" s="13">
        <f>Tranches!AA87</f>
        <v>25000000</v>
      </c>
      <c r="E10" s="13">
        <f>Tranches!AG87</f>
        <v>29888439.625352882</v>
      </c>
    </row>
    <row r="11" spans="1:6" x14ac:dyDescent="0.2">
      <c r="A11">
        <v>9</v>
      </c>
      <c r="B11" s="13">
        <f>Tranches!O88</f>
        <v>0</v>
      </c>
      <c r="C11" s="13">
        <f>Tranches!U88</f>
        <v>67452248.329190627</v>
      </c>
      <c r="D11" s="13">
        <f>Tranches!AA88</f>
        <v>25000000</v>
      </c>
      <c r="E11" s="13">
        <f>Tranches!AG88</f>
        <v>32578399.19163464</v>
      </c>
    </row>
    <row r="12" spans="1:6" x14ac:dyDescent="0.2">
      <c r="A12">
        <v>10</v>
      </c>
      <c r="B12" s="13">
        <f>Tranches!O89</f>
        <v>0</v>
      </c>
      <c r="C12" s="13">
        <f>Tranches!U89</f>
        <v>29904062.348921731</v>
      </c>
      <c r="D12" s="13">
        <f>Tranches!AA89</f>
        <v>25000000</v>
      </c>
      <c r="E12" s="13">
        <f>Tranches!AG89</f>
        <v>35510455.118881755</v>
      </c>
    </row>
    <row r="13" spans="1:6" x14ac:dyDescent="0.2">
      <c r="A13">
        <v>11</v>
      </c>
      <c r="B13" s="13">
        <f>Tranches!O90</f>
        <v>0</v>
      </c>
      <c r="C13" s="13">
        <f>Tranches!U90</f>
        <v>0</v>
      </c>
      <c r="D13" s="13">
        <f>Tranches!AA90</f>
        <v>19147549.276535824</v>
      </c>
      <c r="E13" s="13">
        <f>Tranches!AG90</f>
        <v>38706396.079581112</v>
      </c>
    </row>
    <row r="14" spans="1:6" x14ac:dyDescent="0.2">
      <c r="A14">
        <v>12</v>
      </c>
      <c r="B14" s="13">
        <f>Tranches!O91</f>
        <v>0</v>
      </c>
      <c r="C14" s="13">
        <f>Tranches!U91</f>
        <v>0</v>
      </c>
      <c r="D14" s="13">
        <f>Tranches!AA91</f>
        <v>0</v>
      </c>
      <c r="E14" s="13">
        <f>Tranches!AG91</f>
        <v>27210708.559088789</v>
      </c>
    </row>
    <row r="15" spans="1:6" x14ac:dyDescent="0.2">
      <c r="A15">
        <v>13</v>
      </c>
      <c r="B15" s="13">
        <f>Tranches!O92</f>
        <v>0</v>
      </c>
      <c r="C15" s="13">
        <f>Tranches!U92</f>
        <v>0</v>
      </c>
      <c r="D15" s="13">
        <f>Tranches!AA92</f>
        <v>0</v>
      </c>
      <c r="E15" s="13">
        <f>Tranches!AG92</f>
        <v>0</v>
      </c>
    </row>
    <row r="16" spans="1:6" x14ac:dyDescent="0.2">
      <c r="A16">
        <v>14</v>
      </c>
      <c r="B16" s="13">
        <f>Tranches!O93</f>
        <v>0</v>
      </c>
      <c r="C16" s="13">
        <f>Tranches!U93</f>
        <v>0</v>
      </c>
      <c r="D16" s="13">
        <f>Tranches!AA93</f>
        <v>0</v>
      </c>
      <c r="E16" s="13">
        <f>Tranches!AG93</f>
        <v>0</v>
      </c>
    </row>
    <row r="17" spans="1:5" x14ac:dyDescent="0.2">
      <c r="A17">
        <v>15</v>
      </c>
      <c r="B17" s="13">
        <f>Tranches!O94</f>
        <v>0</v>
      </c>
      <c r="C17" s="13">
        <f>Tranches!U94</f>
        <v>0</v>
      </c>
      <c r="D17" s="13">
        <f>Tranches!AA94</f>
        <v>0</v>
      </c>
      <c r="E17" s="13">
        <f>Tranches!AG94</f>
        <v>0</v>
      </c>
    </row>
    <row r="18" spans="1:5" x14ac:dyDescent="0.2">
      <c r="A18">
        <v>16</v>
      </c>
      <c r="B18" s="13">
        <f>Tranches!O95</f>
        <v>0</v>
      </c>
      <c r="C18" s="13">
        <f>Tranches!U95</f>
        <v>0</v>
      </c>
      <c r="D18" s="13">
        <f>Tranches!AA95</f>
        <v>0</v>
      </c>
      <c r="E18" s="13">
        <f>Tranches!AG95</f>
        <v>0</v>
      </c>
    </row>
    <row r="19" spans="1:5" x14ac:dyDescent="0.2">
      <c r="A19">
        <v>17</v>
      </c>
      <c r="B19" s="13">
        <f>Tranches!O96</f>
        <v>0</v>
      </c>
      <c r="C19" s="13">
        <f>Tranches!U96</f>
        <v>0</v>
      </c>
      <c r="D19" s="13">
        <f>Tranches!AA96</f>
        <v>0</v>
      </c>
      <c r="E19" s="13">
        <f>Tranches!AG96</f>
        <v>0</v>
      </c>
    </row>
    <row r="20" spans="1:5" x14ac:dyDescent="0.2">
      <c r="A20">
        <v>18</v>
      </c>
      <c r="B20" s="13">
        <f>Tranches!O97</f>
        <v>0</v>
      </c>
      <c r="C20" s="13">
        <f>Tranches!U97</f>
        <v>0</v>
      </c>
      <c r="D20" s="13">
        <f>Tranches!AA97</f>
        <v>0</v>
      </c>
      <c r="E20" s="13">
        <f>Tranches!AG97</f>
        <v>0</v>
      </c>
    </row>
    <row r="21" spans="1:5" x14ac:dyDescent="0.2">
      <c r="A21">
        <v>19</v>
      </c>
      <c r="B21" s="13">
        <f>Tranches!O98</f>
        <v>0</v>
      </c>
      <c r="C21" s="13">
        <f>Tranches!U98</f>
        <v>0</v>
      </c>
      <c r="D21" s="13">
        <f>Tranches!AA98</f>
        <v>0</v>
      </c>
      <c r="E21" s="13">
        <f>Tranches!AG98</f>
        <v>0</v>
      </c>
    </row>
    <row r="22" spans="1:5" x14ac:dyDescent="0.2">
      <c r="A22">
        <v>20</v>
      </c>
      <c r="B22" s="13">
        <f>Tranches!O99</f>
        <v>0</v>
      </c>
      <c r="C22" s="13">
        <f>Tranches!U99</f>
        <v>0</v>
      </c>
      <c r="D22" s="13">
        <f>Tranches!AA99</f>
        <v>0</v>
      </c>
      <c r="E22" s="13">
        <f>Tranches!AG99</f>
        <v>0</v>
      </c>
    </row>
    <row r="23" spans="1:5" x14ac:dyDescent="0.2">
      <c r="A23">
        <v>21</v>
      </c>
      <c r="B23" s="13">
        <f>Tranches!O100</f>
        <v>0</v>
      </c>
      <c r="C23" s="13">
        <f>Tranches!U100</f>
        <v>0</v>
      </c>
      <c r="D23" s="13">
        <f>Tranches!AA100</f>
        <v>0</v>
      </c>
      <c r="E23" s="13">
        <f>Tranches!AG100</f>
        <v>0</v>
      </c>
    </row>
    <row r="24" spans="1:5" x14ac:dyDescent="0.2">
      <c r="A24">
        <v>22</v>
      </c>
      <c r="B24" s="13">
        <f>Tranches!O101</f>
        <v>0</v>
      </c>
      <c r="C24" s="13">
        <f>Tranches!U101</f>
        <v>0</v>
      </c>
      <c r="D24" s="13">
        <f>Tranches!AA101</f>
        <v>0</v>
      </c>
      <c r="E24" s="13">
        <f>Tranches!AG101</f>
        <v>0</v>
      </c>
    </row>
    <row r="25" spans="1:5" x14ac:dyDescent="0.2">
      <c r="A25">
        <v>23</v>
      </c>
      <c r="B25" s="13">
        <f>Tranches!O102</f>
        <v>0</v>
      </c>
      <c r="C25" s="13">
        <f>Tranches!U102</f>
        <v>0</v>
      </c>
      <c r="D25" s="13">
        <f>Tranches!AA102</f>
        <v>0</v>
      </c>
      <c r="E25" s="13">
        <f>Tranches!AG102</f>
        <v>0</v>
      </c>
    </row>
    <row r="26" spans="1:5" x14ac:dyDescent="0.2">
      <c r="A26">
        <v>24</v>
      </c>
      <c r="B26" s="13">
        <f>Tranches!O103</f>
        <v>0</v>
      </c>
      <c r="C26" s="13">
        <f>Tranches!U103</f>
        <v>0</v>
      </c>
      <c r="D26" s="13">
        <f>Tranches!AA103</f>
        <v>0</v>
      </c>
      <c r="E26" s="13">
        <f>Tranches!AG103</f>
        <v>0</v>
      </c>
    </row>
    <row r="27" spans="1:5" x14ac:dyDescent="0.2">
      <c r="A27">
        <v>25</v>
      </c>
      <c r="B27" s="13">
        <f>Tranches!O104</f>
        <v>0</v>
      </c>
      <c r="C27" s="13">
        <f>Tranches!U104</f>
        <v>0</v>
      </c>
      <c r="D27" s="13">
        <f>Tranches!AA104</f>
        <v>0</v>
      </c>
      <c r="E27" s="13">
        <f>Tranches!AG104</f>
        <v>0</v>
      </c>
    </row>
    <row r="28" spans="1:5" x14ac:dyDescent="0.2">
      <c r="A28">
        <v>26</v>
      </c>
      <c r="B28" s="13">
        <f>Tranches!O105</f>
        <v>0</v>
      </c>
      <c r="C28" s="13">
        <f>Tranches!U105</f>
        <v>0</v>
      </c>
      <c r="D28" s="13">
        <f>Tranches!AA105</f>
        <v>0</v>
      </c>
      <c r="E28" s="13">
        <f>Tranches!AG105</f>
        <v>0</v>
      </c>
    </row>
    <row r="29" spans="1:5" x14ac:dyDescent="0.2">
      <c r="A29">
        <v>27</v>
      </c>
      <c r="B29" s="13">
        <f>Tranches!O106</f>
        <v>0</v>
      </c>
      <c r="C29" s="13">
        <f>Tranches!U106</f>
        <v>0</v>
      </c>
      <c r="D29" s="13">
        <f>Tranches!AA106</f>
        <v>0</v>
      </c>
      <c r="E29" s="13">
        <f>Tranches!AG106</f>
        <v>0</v>
      </c>
    </row>
    <row r="30" spans="1:5" x14ac:dyDescent="0.2">
      <c r="A30">
        <v>28</v>
      </c>
      <c r="B30" s="13">
        <f>Tranches!O107</f>
        <v>0</v>
      </c>
      <c r="C30" s="13">
        <f>Tranches!U107</f>
        <v>0</v>
      </c>
      <c r="D30" s="13">
        <f>Tranches!AA107</f>
        <v>0</v>
      </c>
      <c r="E30" s="13">
        <f>Tranches!AG107</f>
        <v>0</v>
      </c>
    </row>
    <row r="31" spans="1:5" x14ac:dyDescent="0.2">
      <c r="A31">
        <v>29</v>
      </c>
      <c r="B31" s="13">
        <f>Tranches!O108</f>
        <v>0</v>
      </c>
      <c r="C31" s="13">
        <f>Tranches!U108</f>
        <v>0</v>
      </c>
      <c r="D31" s="13">
        <f>Tranches!AA108</f>
        <v>0</v>
      </c>
      <c r="E31" s="13">
        <f>Tranches!AG108</f>
        <v>0</v>
      </c>
    </row>
    <row r="32" spans="1:5" x14ac:dyDescent="0.2">
      <c r="A32">
        <v>30</v>
      </c>
      <c r="B32" s="13">
        <f>Tranches!O109</f>
        <v>0</v>
      </c>
      <c r="C32" s="13">
        <f>Tranches!U109</f>
        <v>0</v>
      </c>
      <c r="D32" s="13">
        <f>Tranches!AA109</f>
        <v>0</v>
      </c>
      <c r="E32" s="13">
        <f>Tranches!AG109</f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workbookViewId="0">
      <selection activeCell="E12" sqref="E12"/>
    </sheetView>
  </sheetViews>
  <sheetFormatPr defaultRowHeight="12.75" x14ac:dyDescent="0.2"/>
  <cols>
    <col min="1" max="1" width="9.28515625" bestFit="1" customWidth="1"/>
    <col min="2" max="3" width="12.42578125" bestFit="1" customWidth="1"/>
    <col min="4" max="4" width="9.5703125" bestFit="1" customWidth="1"/>
    <col min="5" max="5" width="12.42578125" bestFit="1" customWidth="1"/>
    <col min="6" max="6" width="9.5703125" bestFit="1" customWidth="1"/>
  </cols>
  <sheetData>
    <row r="2" spans="1:6" x14ac:dyDescent="0.2">
      <c r="B2" s="10"/>
      <c r="C2" s="10"/>
      <c r="D2" s="10"/>
      <c r="E2" s="10"/>
      <c r="F2" s="10"/>
    </row>
    <row r="3" spans="1:6" x14ac:dyDescent="0.2">
      <c r="C3" s="10"/>
      <c r="D3" s="10"/>
      <c r="E3" s="10"/>
      <c r="F3" s="10"/>
    </row>
    <row r="4" spans="1:6" ht="15.75" x14ac:dyDescent="0.25">
      <c r="A4" s="12"/>
      <c r="B4" s="11"/>
      <c r="C4" s="11"/>
      <c r="D4" s="11"/>
      <c r="E4" s="11"/>
      <c r="F4" s="11"/>
    </row>
    <row r="5" spans="1:6" ht="15.75" x14ac:dyDescent="0.25">
      <c r="A5" s="12"/>
      <c r="B5" s="11"/>
      <c r="C5" s="11"/>
      <c r="D5" s="11"/>
      <c r="E5" s="11"/>
      <c r="F5" s="11"/>
    </row>
    <row r="6" spans="1:6" ht="15.75" x14ac:dyDescent="0.25">
      <c r="A6" s="12"/>
      <c r="B6" s="11"/>
      <c r="C6" s="11"/>
      <c r="D6" s="11"/>
      <c r="E6" s="11"/>
      <c r="F6" s="11"/>
    </row>
    <row r="7" spans="1:6" ht="15.75" x14ac:dyDescent="0.25">
      <c r="A7" s="12"/>
      <c r="B7" s="11"/>
      <c r="C7" s="11"/>
      <c r="D7" s="11"/>
      <c r="E7" s="11"/>
      <c r="F7" s="11"/>
    </row>
    <row r="8" spans="1:6" ht="15.75" x14ac:dyDescent="0.25">
      <c r="A8" s="12"/>
      <c r="B8" s="11"/>
      <c r="C8" s="11"/>
      <c r="D8" s="11"/>
      <c r="E8" s="11"/>
      <c r="F8" s="11"/>
    </row>
    <row r="9" spans="1:6" ht="15.75" x14ac:dyDescent="0.25">
      <c r="A9" s="12"/>
      <c r="B9" s="11"/>
      <c r="C9" s="11"/>
      <c r="D9" s="11"/>
      <c r="E9" s="11"/>
      <c r="F9" s="11"/>
    </row>
    <row r="10" spans="1:6" ht="15.75" x14ac:dyDescent="0.25">
      <c r="A10" s="12"/>
      <c r="B10" s="11"/>
      <c r="C10" s="11"/>
      <c r="D10" s="11"/>
      <c r="E10" s="11"/>
      <c r="F10" s="11"/>
    </row>
    <row r="11" spans="1:6" ht="15.75" x14ac:dyDescent="0.25">
      <c r="A11" s="12"/>
      <c r="B11" s="11"/>
      <c r="C11" s="11"/>
      <c r="D11" s="11"/>
      <c r="E11" s="11"/>
      <c r="F11" s="11"/>
    </row>
    <row r="12" spans="1:6" ht="15.75" x14ac:dyDescent="0.25">
      <c r="A12" s="12"/>
      <c r="B12" s="11"/>
      <c r="C12" s="11"/>
      <c r="D12" s="11"/>
      <c r="E12" s="11"/>
      <c r="F12" s="11"/>
    </row>
    <row r="13" spans="1:6" ht="15.75" x14ac:dyDescent="0.25">
      <c r="A13" s="12"/>
      <c r="B13" s="11"/>
      <c r="C13" s="11"/>
      <c r="D13" s="11"/>
      <c r="E13" s="11"/>
      <c r="F13" s="11"/>
    </row>
    <row r="14" spans="1:6" ht="15.75" x14ac:dyDescent="0.25">
      <c r="A14" s="12"/>
      <c r="B14" s="11"/>
      <c r="C14" s="11"/>
      <c r="D14" s="11"/>
      <c r="E14" s="11"/>
      <c r="F14" s="11"/>
    </row>
    <row r="15" spans="1:6" ht="15.75" x14ac:dyDescent="0.25">
      <c r="A15" s="12"/>
      <c r="B15" s="11"/>
      <c r="C15" s="11"/>
      <c r="D15" s="11"/>
      <c r="E15" s="11"/>
      <c r="F15" s="11"/>
    </row>
    <row r="16" spans="1:6" ht="15.75" x14ac:dyDescent="0.25">
      <c r="A16" s="12"/>
      <c r="B16" s="11"/>
      <c r="C16" s="11"/>
      <c r="D16" s="11"/>
      <c r="E16" s="11"/>
      <c r="F16" s="11"/>
    </row>
    <row r="17" spans="1:6" ht="15.75" x14ac:dyDescent="0.25">
      <c r="A17" s="12"/>
      <c r="B17" s="11"/>
      <c r="C17" s="11"/>
      <c r="D17" s="11"/>
      <c r="E17" s="11"/>
      <c r="F17" s="11"/>
    </row>
    <row r="18" spans="1:6" ht="15.75" x14ac:dyDescent="0.25">
      <c r="A18" s="12"/>
      <c r="B18" s="11"/>
      <c r="C18" s="11"/>
      <c r="D18" s="11"/>
      <c r="E18" s="11"/>
      <c r="F18" s="11"/>
    </row>
    <row r="19" spans="1:6" ht="15.75" x14ac:dyDescent="0.25">
      <c r="A19" s="12"/>
      <c r="B19" s="11"/>
      <c r="C19" s="11"/>
      <c r="D19" s="11"/>
      <c r="E19" s="11"/>
      <c r="F19" s="11"/>
    </row>
    <row r="20" spans="1:6" ht="15.75" x14ac:dyDescent="0.25">
      <c r="A20" s="12"/>
      <c r="B20" s="11"/>
      <c r="C20" s="11"/>
      <c r="D20" s="11"/>
      <c r="E20" s="11"/>
      <c r="F20" s="11"/>
    </row>
    <row r="21" spans="1:6" ht="15.75" x14ac:dyDescent="0.25">
      <c r="A21" s="12"/>
      <c r="B21" s="11"/>
      <c r="C21" s="11"/>
      <c r="D21" s="11"/>
      <c r="E21" s="11"/>
      <c r="F21" s="11"/>
    </row>
    <row r="22" spans="1:6" ht="15.75" x14ac:dyDescent="0.25">
      <c r="A22" s="12"/>
      <c r="B22" s="11"/>
      <c r="C22" s="11"/>
      <c r="D22" s="11"/>
      <c r="E22" s="11"/>
      <c r="F22" s="11"/>
    </row>
    <row r="23" spans="1:6" ht="15.75" x14ac:dyDescent="0.25">
      <c r="A23" s="12"/>
      <c r="B23" s="11"/>
      <c r="C23" s="11"/>
      <c r="D23" s="11"/>
      <c r="E23" s="11"/>
      <c r="F23" s="11"/>
    </row>
    <row r="24" spans="1:6" ht="15.75" x14ac:dyDescent="0.25">
      <c r="A24" s="12"/>
      <c r="B24" s="11"/>
      <c r="C24" s="11"/>
      <c r="D24" s="11"/>
      <c r="E24" s="11"/>
      <c r="F24" s="11"/>
    </row>
    <row r="25" spans="1:6" ht="15.75" x14ac:dyDescent="0.25">
      <c r="A25" s="12"/>
      <c r="B25" s="11"/>
      <c r="C25" s="11"/>
      <c r="D25" s="11"/>
      <c r="E25" s="11"/>
      <c r="F25" s="11"/>
    </row>
    <row r="26" spans="1:6" ht="15.75" x14ac:dyDescent="0.25">
      <c r="A26" s="12"/>
      <c r="B26" s="11"/>
      <c r="C26" s="11"/>
      <c r="D26" s="11"/>
      <c r="E26" s="11"/>
      <c r="F26" s="11"/>
    </row>
    <row r="27" spans="1:6" ht="15.75" x14ac:dyDescent="0.25">
      <c r="A27" s="12"/>
      <c r="B27" s="11"/>
      <c r="C27" s="11"/>
      <c r="D27" s="11"/>
      <c r="E27" s="11"/>
      <c r="F27" s="11"/>
    </row>
    <row r="28" spans="1:6" ht="15.75" x14ac:dyDescent="0.25">
      <c r="A28" s="12"/>
      <c r="B28" s="11"/>
      <c r="C28" s="11"/>
      <c r="D28" s="11"/>
      <c r="E28" s="11"/>
      <c r="F28" s="11"/>
    </row>
    <row r="29" spans="1:6" ht="15.75" x14ac:dyDescent="0.25">
      <c r="A29" s="12"/>
      <c r="B29" s="11"/>
      <c r="C29" s="11"/>
      <c r="D29" s="11"/>
      <c r="E29" s="11"/>
      <c r="F29" s="11"/>
    </row>
    <row r="30" spans="1:6" ht="15.75" x14ac:dyDescent="0.25">
      <c r="A30" s="12"/>
      <c r="B30" s="11"/>
      <c r="C30" s="11"/>
      <c r="D30" s="11"/>
      <c r="E30" s="11"/>
      <c r="F30" s="11"/>
    </row>
    <row r="31" spans="1:6" ht="15.75" x14ac:dyDescent="0.25">
      <c r="A31" s="12"/>
      <c r="B31" s="11"/>
      <c r="C31" s="11"/>
      <c r="D31" s="11"/>
      <c r="E31" s="11"/>
      <c r="F31" s="11"/>
    </row>
    <row r="32" spans="1:6" ht="15.75" x14ac:dyDescent="0.25">
      <c r="A32" s="12"/>
      <c r="B32" s="11"/>
      <c r="C32" s="11"/>
      <c r="D32" s="11"/>
      <c r="E32" s="11"/>
      <c r="F32" s="11"/>
    </row>
    <row r="33" spans="1:6" ht="15.75" x14ac:dyDescent="0.25">
      <c r="A33" s="12"/>
      <c r="B33" s="11"/>
      <c r="C33" s="11"/>
      <c r="D33" s="11"/>
      <c r="E33" s="11"/>
      <c r="F33" s="1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25"/>
  <sheetViews>
    <sheetView topLeftCell="AC3" workbookViewId="0">
      <selection activeCell="D6" sqref="D6"/>
    </sheetView>
  </sheetViews>
  <sheetFormatPr defaultRowHeight="12.75" x14ac:dyDescent="0.2"/>
  <cols>
    <col min="2" max="2" width="15.42578125" customWidth="1"/>
    <col min="3" max="3" width="11.85546875" bestFit="1" customWidth="1"/>
    <col min="4" max="5" width="11.28515625" bestFit="1" customWidth="1"/>
  </cols>
  <sheetData>
    <row r="2" spans="1:39" x14ac:dyDescent="0.2">
      <c r="A2" t="s">
        <v>61</v>
      </c>
      <c r="B2">
        <v>0.1</v>
      </c>
    </row>
    <row r="3" spans="1:39" x14ac:dyDescent="0.2">
      <c r="A3" t="s">
        <v>45</v>
      </c>
      <c r="B3">
        <v>100000</v>
      </c>
    </row>
    <row r="4" spans="1:39" x14ac:dyDescent="0.2">
      <c r="A4" t="s">
        <v>41</v>
      </c>
      <c r="B4">
        <f>B2*B3</f>
        <v>10000</v>
      </c>
    </row>
    <row r="5" spans="1:39" x14ac:dyDescent="0.2">
      <c r="B5" s="10" t="s">
        <v>62</v>
      </c>
      <c r="C5" s="10" t="s">
        <v>68</v>
      </c>
      <c r="D5" s="10" t="s">
        <v>69</v>
      </c>
      <c r="E5" s="10" t="s">
        <v>60</v>
      </c>
      <c r="F5">
        <f>-0.8*100000</f>
        <v>-80000</v>
      </c>
      <c r="G5">
        <v>1</v>
      </c>
      <c r="H5">
        <v>2</v>
      </c>
      <c r="I5">
        <v>3</v>
      </c>
      <c r="J5">
        <v>4</v>
      </c>
      <c r="K5">
        <v>5</v>
      </c>
      <c r="L5">
        <v>6</v>
      </c>
      <c r="M5">
        <v>7</v>
      </c>
      <c r="N5">
        <v>8</v>
      </c>
      <c r="O5">
        <v>9</v>
      </c>
      <c r="P5">
        <v>10</v>
      </c>
      <c r="Q5">
        <v>11</v>
      </c>
      <c r="R5">
        <v>12</v>
      </c>
      <c r="S5">
        <v>13</v>
      </c>
      <c r="T5">
        <v>14</v>
      </c>
      <c r="U5">
        <v>15</v>
      </c>
      <c r="V5">
        <v>16</v>
      </c>
      <c r="W5">
        <v>17</v>
      </c>
      <c r="X5">
        <v>18</v>
      </c>
      <c r="Y5">
        <v>19</v>
      </c>
      <c r="Z5">
        <v>20</v>
      </c>
      <c r="AM5" t="s">
        <v>63</v>
      </c>
    </row>
    <row r="6" spans="1:39" x14ac:dyDescent="0.2">
      <c r="A6">
        <v>1</v>
      </c>
      <c r="B6" s="17">
        <f>IRR(F6:G6,0.1)</f>
        <v>0.37499999999999739</v>
      </c>
      <c r="C6" s="17">
        <v>-8.3333333333331538E-2</v>
      </c>
      <c r="D6" s="17">
        <v>0.37499999999999739</v>
      </c>
      <c r="E6" s="17">
        <v>0.1</v>
      </c>
      <c r="F6">
        <f>$F$5</f>
        <v>-80000</v>
      </c>
      <c r="G6">
        <f>B3+B4</f>
        <v>110000</v>
      </c>
    </row>
    <row r="7" spans="1:39" x14ac:dyDescent="0.2">
      <c r="A7">
        <v>2</v>
      </c>
      <c r="B7" s="17">
        <f>IRR(F7:H7,0.1)</f>
        <v>0.23676838925349597</v>
      </c>
      <c r="C7" s="17">
        <v>-3.4370753217225301E-17</v>
      </c>
      <c r="D7" s="17">
        <v>0.23676838925349597</v>
      </c>
      <c r="E7" s="17">
        <v>0.1</v>
      </c>
      <c r="F7">
        <f t="shared" ref="F7:F25" si="0">$F$5</f>
        <v>-80000</v>
      </c>
      <c r="G7">
        <f>$B$4</f>
        <v>10000</v>
      </c>
      <c r="H7">
        <f>$B$4+$B$3</f>
        <v>110000</v>
      </c>
    </row>
    <row r="8" spans="1:39" x14ac:dyDescent="0.2">
      <c r="A8">
        <v>3</v>
      </c>
      <c r="B8" s="17">
        <f>IRR(F8:I8,0.1)</f>
        <v>0.19406360655643856</v>
      </c>
      <c r="C8" s="17">
        <v>2.937841031405573E-2</v>
      </c>
      <c r="D8" s="17">
        <v>0.19406360655643856</v>
      </c>
      <c r="E8" s="17">
        <v>0.1</v>
      </c>
      <c r="F8">
        <f t="shared" si="0"/>
        <v>-80000</v>
      </c>
      <c r="G8">
        <f t="shared" ref="G8:Y25" si="1">$B$4</f>
        <v>10000</v>
      </c>
      <c r="H8">
        <f t="shared" si="1"/>
        <v>10000</v>
      </c>
      <c r="I8">
        <f>H7</f>
        <v>110000</v>
      </c>
    </row>
    <row r="9" spans="1:39" x14ac:dyDescent="0.2">
      <c r="A9">
        <v>4</v>
      </c>
      <c r="B9" s="17">
        <f>IRR($F9:J9,0.1)</f>
        <v>0.17339479292361851</v>
      </c>
      <c r="C9" s="17">
        <v>4.4337640658721429E-2</v>
      </c>
      <c r="D9" s="17">
        <v>0.17339479292361851</v>
      </c>
      <c r="E9" s="17">
        <v>0.1</v>
      </c>
      <c r="F9">
        <f t="shared" si="0"/>
        <v>-80000</v>
      </c>
      <c r="G9">
        <f t="shared" si="1"/>
        <v>10000</v>
      </c>
      <c r="H9">
        <f t="shared" si="1"/>
        <v>10000</v>
      </c>
      <c r="I9">
        <f t="shared" si="1"/>
        <v>10000</v>
      </c>
      <c r="J9">
        <f>I8</f>
        <v>110000</v>
      </c>
    </row>
    <row r="10" spans="1:39" x14ac:dyDescent="0.2">
      <c r="A10">
        <v>5</v>
      </c>
      <c r="B10" s="17">
        <f>IRR($F10:K10,0.1)</f>
        <v>0.16126175673908644</v>
      </c>
      <c r="C10" s="17">
        <v>5.337342469727533E-2</v>
      </c>
      <c r="D10" s="17">
        <v>0.16126175673908644</v>
      </c>
      <c r="E10" s="17">
        <v>0.1</v>
      </c>
      <c r="F10">
        <f t="shared" si="0"/>
        <v>-80000</v>
      </c>
      <c r="G10">
        <f t="shared" si="1"/>
        <v>10000</v>
      </c>
      <c r="H10">
        <f t="shared" si="1"/>
        <v>10000</v>
      </c>
      <c r="I10">
        <f t="shared" si="1"/>
        <v>10000</v>
      </c>
      <c r="J10">
        <f t="shared" si="1"/>
        <v>10000</v>
      </c>
      <c r="K10">
        <f>J9</f>
        <v>110000</v>
      </c>
    </row>
    <row r="11" spans="1:39" x14ac:dyDescent="0.2">
      <c r="A11">
        <v>6</v>
      </c>
      <c r="B11" s="17">
        <f>IRR($F11:L11,0.1)</f>
        <v>0.15332084290468076</v>
      </c>
      <c r="C11" s="17">
        <v>5.9403649765944422E-2</v>
      </c>
      <c r="D11" s="17">
        <v>0.15332084290468076</v>
      </c>
      <c r="E11" s="17">
        <v>0.1</v>
      </c>
      <c r="F11">
        <f t="shared" si="0"/>
        <v>-80000</v>
      </c>
      <c r="G11">
        <f t="shared" si="1"/>
        <v>10000</v>
      </c>
      <c r="H11">
        <f t="shared" si="1"/>
        <v>10000</v>
      </c>
      <c r="I11">
        <f t="shared" si="1"/>
        <v>10000</v>
      </c>
      <c r="J11">
        <f t="shared" si="1"/>
        <v>10000</v>
      </c>
      <c r="K11">
        <f t="shared" si="1"/>
        <v>10000</v>
      </c>
      <c r="L11">
        <f>K10</f>
        <v>110000</v>
      </c>
    </row>
    <row r="12" spans="1:39" x14ac:dyDescent="0.2">
      <c r="A12">
        <v>7</v>
      </c>
      <c r="B12" s="17">
        <f>IRR($F12:M12,0.1)</f>
        <v>0.14774769679163283</v>
      </c>
      <c r="C12" s="17">
        <v>6.3700380326913122E-2</v>
      </c>
      <c r="D12" s="17">
        <v>0.14774769679163283</v>
      </c>
      <c r="E12" s="17">
        <v>0.1</v>
      </c>
      <c r="F12">
        <f t="shared" si="0"/>
        <v>-80000</v>
      </c>
      <c r="G12">
        <f t="shared" si="1"/>
        <v>10000</v>
      </c>
      <c r="H12">
        <f t="shared" si="1"/>
        <v>10000</v>
      </c>
      <c r="I12">
        <f t="shared" si="1"/>
        <v>10000</v>
      </c>
      <c r="J12">
        <f t="shared" si="1"/>
        <v>10000</v>
      </c>
      <c r="K12">
        <f t="shared" si="1"/>
        <v>10000</v>
      </c>
      <c r="L12">
        <f t="shared" si="1"/>
        <v>10000</v>
      </c>
      <c r="M12">
        <f>L11</f>
        <v>110000</v>
      </c>
    </row>
    <row r="13" spans="1:39" x14ac:dyDescent="0.2">
      <c r="A13">
        <v>8</v>
      </c>
      <c r="B13" s="18">
        <f>IRR($F13:N13,0.1)</f>
        <v>0.14364208444947807</v>
      </c>
      <c r="C13" s="17">
        <v>6.6906826493917618E-2</v>
      </c>
      <c r="D13" s="17">
        <v>0.14364208444947807</v>
      </c>
      <c r="E13" s="17">
        <v>0.1</v>
      </c>
      <c r="F13">
        <f t="shared" si="0"/>
        <v>-80000</v>
      </c>
      <c r="G13">
        <f t="shared" si="1"/>
        <v>10000</v>
      </c>
      <c r="H13">
        <f t="shared" si="1"/>
        <v>10000</v>
      </c>
      <c r="I13">
        <f t="shared" si="1"/>
        <v>10000</v>
      </c>
      <c r="J13">
        <f t="shared" si="1"/>
        <v>10000</v>
      </c>
      <c r="K13">
        <f t="shared" si="1"/>
        <v>10000</v>
      </c>
      <c r="L13">
        <f t="shared" si="1"/>
        <v>10000</v>
      </c>
      <c r="M13">
        <f t="shared" si="1"/>
        <v>10000</v>
      </c>
      <c r="N13">
        <f>M12</f>
        <v>110000</v>
      </c>
    </row>
    <row r="14" spans="1:39" x14ac:dyDescent="0.2">
      <c r="A14">
        <v>9</v>
      </c>
      <c r="B14" s="18">
        <f>IRR($F14:O14,0.1)</f>
        <v>0.14050848278234057</v>
      </c>
      <c r="C14" s="17">
        <v>6.9383201569574879E-2</v>
      </c>
      <c r="D14" s="17">
        <v>0.14050848278234057</v>
      </c>
      <c r="E14" s="17">
        <v>0.1</v>
      </c>
      <c r="F14">
        <f t="shared" si="0"/>
        <v>-80000</v>
      </c>
      <c r="G14">
        <f t="shared" si="1"/>
        <v>10000</v>
      </c>
      <c r="H14">
        <f t="shared" si="1"/>
        <v>10000</v>
      </c>
      <c r="I14">
        <f t="shared" si="1"/>
        <v>10000</v>
      </c>
      <c r="J14">
        <f t="shared" si="1"/>
        <v>10000</v>
      </c>
      <c r="K14">
        <f t="shared" si="1"/>
        <v>10000</v>
      </c>
      <c r="L14">
        <f t="shared" si="1"/>
        <v>10000</v>
      </c>
      <c r="M14">
        <f t="shared" si="1"/>
        <v>10000</v>
      </c>
      <c r="N14">
        <f t="shared" si="1"/>
        <v>10000</v>
      </c>
      <c r="O14">
        <f>N13</f>
        <v>110000</v>
      </c>
    </row>
    <row r="15" spans="1:39" x14ac:dyDescent="0.2">
      <c r="A15">
        <v>10</v>
      </c>
      <c r="B15" s="18">
        <f>IRR($F15:P15,0.1)</f>
        <v>0.13805158611821708</v>
      </c>
      <c r="C15" s="17">
        <v>7.1346945692897443E-2</v>
      </c>
      <c r="D15" s="17">
        <v>0.13805158611821708</v>
      </c>
      <c r="E15" s="17">
        <v>0.1</v>
      </c>
      <c r="F15">
        <f t="shared" si="0"/>
        <v>-80000</v>
      </c>
      <c r="G15">
        <f t="shared" si="1"/>
        <v>10000</v>
      </c>
      <c r="H15">
        <f t="shared" si="1"/>
        <v>10000</v>
      </c>
      <c r="I15">
        <f t="shared" si="1"/>
        <v>10000</v>
      </c>
      <c r="J15">
        <f t="shared" si="1"/>
        <v>10000</v>
      </c>
      <c r="K15">
        <f t="shared" si="1"/>
        <v>10000</v>
      </c>
      <c r="L15">
        <f t="shared" si="1"/>
        <v>10000</v>
      </c>
      <c r="M15">
        <f t="shared" si="1"/>
        <v>10000</v>
      </c>
      <c r="N15">
        <f t="shared" si="1"/>
        <v>10000</v>
      </c>
      <c r="O15">
        <f t="shared" si="1"/>
        <v>10000</v>
      </c>
      <c r="P15">
        <f>O14</f>
        <v>110000</v>
      </c>
    </row>
    <row r="16" spans="1:39" x14ac:dyDescent="0.2">
      <c r="A16">
        <v>11</v>
      </c>
      <c r="B16" s="18">
        <f>IRR($F16:Q16,0.1)</f>
        <v>0.13608442395793599</v>
      </c>
      <c r="C16" s="17">
        <v>7.2937091533088971E-2</v>
      </c>
      <c r="D16" s="17">
        <v>0.13608442395793599</v>
      </c>
      <c r="E16" s="17">
        <v>0.1</v>
      </c>
      <c r="F16">
        <f t="shared" si="0"/>
        <v>-80000</v>
      </c>
      <c r="G16">
        <f t="shared" si="1"/>
        <v>10000</v>
      </c>
      <c r="H16">
        <f t="shared" si="1"/>
        <v>10000</v>
      </c>
      <c r="I16">
        <f t="shared" si="1"/>
        <v>10000</v>
      </c>
      <c r="J16">
        <f t="shared" si="1"/>
        <v>10000</v>
      </c>
      <c r="K16">
        <f t="shared" si="1"/>
        <v>10000</v>
      </c>
      <c r="L16">
        <f t="shared" si="1"/>
        <v>10000</v>
      </c>
      <c r="M16">
        <f t="shared" si="1"/>
        <v>10000</v>
      </c>
      <c r="N16">
        <f t="shared" si="1"/>
        <v>10000</v>
      </c>
      <c r="O16">
        <f t="shared" si="1"/>
        <v>10000</v>
      </c>
      <c r="P16">
        <f t="shared" si="1"/>
        <v>10000</v>
      </c>
      <c r="Q16">
        <f>P15</f>
        <v>110000</v>
      </c>
    </row>
    <row r="17" spans="1:26" x14ac:dyDescent="0.2">
      <c r="A17">
        <v>12</v>
      </c>
      <c r="B17" s="18">
        <f>IRR($F17:R17,0.1)</f>
        <v>0.13448282525400662</v>
      </c>
      <c r="C17" s="17">
        <v>7.4246688557445317E-2</v>
      </c>
      <c r="D17" s="17">
        <v>0.13448282525400662</v>
      </c>
      <c r="E17" s="17">
        <v>0.1</v>
      </c>
      <c r="F17">
        <f t="shared" si="0"/>
        <v>-80000</v>
      </c>
      <c r="G17">
        <f t="shared" si="1"/>
        <v>10000</v>
      </c>
      <c r="H17">
        <f t="shared" si="1"/>
        <v>10000</v>
      </c>
      <c r="I17">
        <f t="shared" si="1"/>
        <v>10000</v>
      </c>
      <c r="J17">
        <f t="shared" si="1"/>
        <v>10000</v>
      </c>
      <c r="K17">
        <f t="shared" si="1"/>
        <v>10000</v>
      </c>
      <c r="L17">
        <f t="shared" si="1"/>
        <v>10000</v>
      </c>
      <c r="M17">
        <f t="shared" si="1"/>
        <v>10000</v>
      </c>
      <c r="N17">
        <f t="shared" si="1"/>
        <v>10000</v>
      </c>
      <c r="O17">
        <f t="shared" si="1"/>
        <v>10000</v>
      </c>
      <c r="P17">
        <f t="shared" si="1"/>
        <v>10000</v>
      </c>
      <c r="Q17">
        <f t="shared" si="1"/>
        <v>10000</v>
      </c>
      <c r="R17">
        <f>Q16</f>
        <v>110000</v>
      </c>
    </row>
    <row r="18" spans="1:26" x14ac:dyDescent="0.2">
      <c r="A18">
        <v>13</v>
      </c>
      <c r="B18" s="18">
        <f>IRR($F18:S18,0.1)</f>
        <v>0.1331610711032388</v>
      </c>
      <c r="C18" s="17">
        <v>7.5340365665480219E-2</v>
      </c>
      <c r="D18" s="17">
        <v>0.1331610711032388</v>
      </c>
      <c r="E18" s="17">
        <v>0.1</v>
      </c>
      <c r="F18">
        <f t="shared" si="0"/>
        <v>-80000</v>
      </c>
      <c r="G18">
        <f t="shared" si="1"/>
        <v>10000</v>
      </c>
      <c r="H18">
        <f t="shared" si="1"/>
        <v>10000</v>
      </c>
      <c r="I18">
        <f t="shared" si="1"/>
        <v>10000</v>
      </c>
      <c r="J18">
        <f t="shared" si="1"/>
        <v>10000</v>
      </c>
      <c r="K18">
        <f t="shared" si="1"/>
        <v>10000</v>
      </c>
      <c r="L18">
        <f t="shared" si="1"/>
        <v>10000</v>
      </c>
      <c r="M18">
        <f t="shared" si="1"/>
        <v>10000</v>
      </c>
      <c r="N18">
        <f t="shared" si="1"/>
        <v>10000</v>
      </c>
      <c r="O18">
        <f t="shared" si="1"/>
        <v>10000</v>
      </c>
      <c r="P18">
        <f t="shared" si="1"/>
        <v>10000</v>
      </c>
      <c r="Q18">
        <f t="shared" si="1"/>
        <v>10000</v>
      </c>
      <c r="R18">
        <f t="shared" si="1"/>
        <v>10000</v>
      </c>
      <c r="S18">
        <f>R17</f>
        <v>110000</v>
      </c>
    </row>
    <row r="19" spans="1:26" x14ac:dyDescent="0.2">
      <c r="A19">
        <v>14</v>
      </c>
      <c r="B19" s="18">
        <f>IRR($F19:T19,0.1)</f>
        <v>0.13205806165933237</v>
      </c>
      <c r="C19" s="17">
        <v>7.6264415206872493E-2</v>
      </c>
      <c r="D19" s="17">
        <v>0.13205806165933237</v>
      </c>
      <c r="E19" s="17">
        <v>0.1</v>
      </c>
      <c r="F19">
        <f t="shared" si="0"/>
        <v>-80000</v>
      </c>
      <c r="G19">
        <f t="shared" si="1"/>
        <v>10000</v>
      </c>
      <c r="H19">
        <f t="shared" si="1"/>
        <v>10000</v>
      </c>
      <c r="I19">
        <f t="shared" si="1"/>
        <v>10000</v>
      </c>
      <c r="J19">
        <f t="shared" si="1"/>
        <v>10000</v>
      </c>
      <c r="K19">
        <f t="shared" si="1"/>
        <v>10000</v>
      </c>
      <c r="L19">
        <f t="shared" si="1"/>
        <v>10000</v>
      </c>
      <c r="M19">
        <f t="shared" si="1"/>
        <v>10000</v>
      </c>
      <c r="N19">
        <f t="shared" si="1"/>
        <v>10000</v>
      </c>
      <c r="O19">
        <f t="shared" si="1"/>
        <v>10000</v>
      </c>
      <c r="P19">
        <f t="shared" si="1"/>
        <v>10000</v>
      </c>
      <c r="Q19">
        <f t="shared" si="1"/>
        <v>10000</v>
      </c>
      <c r="R19">
        <f t="shared" si="1"/>
        <v>10000</v>
      </c>
      <c r="S19">
        <f t="shared" si="1"/>
        <v>10000</v>
      </c>
      <c r="T19">
        <f>S18</f>
        <v>110000</v>
      </c>
    </row>
    <row r="20" spans="1:26" x14ac:dyDescent="0.2">
      <c r="A20">
        <v>15</v>
      </c>
      <c r="B20" s="18">
        <f>IRR($F20:U20,0.1)</f>
        <v>0.13112905594532157</v>
      </c>
      <c r="C20" s="17">
        <v>7.7052867493484931E-2</v>
      </c>
      <c r="D20" s="17">
        <v>0.13112905594532157</v>
      </c>
      <c r="E20" s="17">
        <v>0.1</v>
      </c>
      <c r="F20">
        <f t="shared" si="0"/>
        <v>-80000</v>
      </c>
      <c r="G20">
        <f t="shared" si="1"/>
        <v>10000</v>
      </c>
      <c r="H20">
        <f t="shared" si="1"/>
        <v>10000</v>
      </c>
      <c r="I20">
        <f t="shared" si="1"/>
        <v>10000</v>
      </c>
      <c r="J20">
        <f t="shared" si="1"/>
        <v>10000</v>
      </c>
      <c r="K20">
        <f t="shared" si="1"/>
        <v>10000</v>
      </c>
      <c r="L20">
        <f t="shared" si="1"/>
        <v>10000</v>
      </c>
      <c r="M20">
        <f t="shared" si="1"/>
        <v>10000</v>
      </c>
      <c r="N20">
        <f t="shared" si="1"/>
        <v>10000</v>
      </c>
      <c r="O20">
        <f t="shared" si="1"/>
        <v>10000</v>
      </c>
      <c r="P20">
        <f t="shared" si="1"/>
        <v>10000</v>
      </c>
      <c r="Q20">
        <f t="shared" si="1"/>
        <v>10000</v>
      </c>
      <c r="R20">
        <f t="shared" si="1"/>
        <v>10000</v>
      </c>
      <c r="S20">
        <f t="shared" si="1"/>
        <v>10000</v>
      </c>
      <c r="T20">
        <f t="shared" si="1"/>
        <v>10000</v>
      </c>
      <c r="U20">
        <f>T19</f>
        <v>110000</v>
      </c>
    </row>
    <row r="21" spans="1:26" x14ac:dyDescent="0.2">
      <c r="A21">
        <v>16</v>
      </c>
      <c r="B21" s="18">
        <f>IRR($F21:V21,0.1)</f>
        <v>0.13034053020095743</v>
      </c>
      <c r="C21" s="17">
        <v>7.7731300128923222E-2</v>
      </c>
      <c r="D21" s="17">
        <v>0.13034053020095743</v>
      </c>
      <c r="E21" s="17">
        <v>0.1</v>
      </c>
      <c r="F21">
        <f t="shared" si="0"/>
        <v>-80000</v>
      </c>
      <c r="G21">
        <f t="shared" si="1"/>
        <v>10000</v>
      </c>
      <c r="H21">
        <f t="shared" si="1"/>
        <v>10000</v>
      </c>
      <c r="I21">
        <f t="shared" si="1"/>
        <v>10000</v>
      </c>
      <c r="J21">
        <f t="shared" si="1"/>
        <v>10000</v>
      </c>
      <c r="K21">
        <f t="shared" si="1"/>
        <v>10000</v>
      </c>
      <c r="L21">
        <f t="shared" si="1"/>
        <v>10000</v>
      </c>
      <c r="M21">
        <f t="shared" si="1"/>
        <v>10000</v>
      </c>
      <c r="N21">
        <f t="shared" si="1"/>
        <v>10000</v>
      </c>
      <c r="O21">
        <f t="shared" si="1"/>
        <v>10000</v>
      </c>
      <c r="P21">
        <f t="shared" si="1"/>
        <v>10000</v>
      </c>
      <c r="Q21">
        <f t="shared" si="1"/>
        <v>10000</v>
      </c>
      <c r="R21">
        <f t="shared" si="1"/>
        <v>10000</v>
      </c>
      <c r="S21">
        <f t="shared" si="1"/>
        <v>10000</v>
      </c>
      <c r="T21">
        <f t="shared" si="1"/>
        <v>10000</v>
      </c>
      <c r="U21">
        <f t="shared" si="1"/>
        <v>10000</v>
      </c>
      <c r="V21">
        <f>U20</f>
        <v>110000</v>
      </c>
    </row>
    <row r="22" spans="1:26" x14ac:dyDescent="0.2">
      <c r="A22">
        <v>17</v>
      </c>
      <c r="B22" s="18">
        <f>IRR($F22:W22,0.1)</f>
        <v>0.12966686257579954</v>
      </c>
      <c r="C22" s="17">
        <v>7.8319309964379885E-2</v>
      </c>
      <c r="D22" s="17">
        <v>0.12966686257579954</v>
      </c>
      <c r="E22" s="17">
        <v>0.1</v>
      </c>
      <c r="F22">
        <f t="shared" si="0"/>
        <v>-80000</v>
      </c>
      <c r="G22">
        <f t="shared" si="1"/>
        <v>10000</v>
      </c>
      <c r="H22">
        <f t="shared" si="1"/>
        <v>10000</v>
      </c>
      <c r="I22">
        <f t="shared" si="1"/>
        <v>10000</v>
      </c>
      <c r="J22">
        <f t="shared" si="1"/>
        <v>10000</v>
      </c>
      <c r="K22">
        <f t="shared" si="1"/>
        <v>10000</v>
      </c>
      <c r="L22">
        <f t="shared" si="1"/>
        <v>10000</v>
      </c>
      <c r="M22">
        <f t="shared" si="1"/>
        <v>10000</v>
      </c>
      <c r="N22">
        <f t="shared" si="1"/>
        <v>10000</v>
      </c>
      <c r="O22">
        <f t="shared" si="1"/>
        <v>10000</v>
      </c>
      <c r="P22">
        <f t="shared" si="1"/>
        <v>10000</v>
      </c>
      <c r="Q22">
        <f t="shared" si="1"/>
        <v>10000</v>
      </c>
      <c r="R22">
        <f t="shared" si="1"/>
        <v>10000</v>
      </c>
      <c r="S22">
        <f t="shared" si="1"/>
        <v>10000</v>
      </c>
      <c r="T22">
        <f t="shared" si="1"/>
        <v>10000</v>
      </c>
      <c r="U22">
        <f t="shared" si="1"/>
        <v>10000</v>
      </c>
      <c r="V22">
        <f t="shared" si="1"/>
        <v>10000</v>
      </c>
      <c r="W22">
        <f>V21</f>
        <v>110000</v>
      </c>
    </row>
    <row r="23" spans="1:26" x14ac:dyDescent="0.2">
      <c r="A23">
        <v>18</v>
      </c>
      <c r="B23" s="18">
        <f>IRR($F23:X23,0.1)</f>
        <v>0.12908812966126165</v>
      </c>
      <c r="C23" s="17">
        <v>7.8832165187626327E-2</v>
      </c>
      <c r="D23" s="17">
        <v>0.12908812966126165</v>
      </c>
      <c r="E23" s="17">
        <v>0.1</v>
      </c>
      <c r="F23">
        <f t="shared" si="0"/>
        <v>-80000</v>
      </c>
      <c r="G23">
        <f t="shared" si="1"/>
        <v>10000</v>
      </c>
      <c r="H23">
        <f t="shared" si="1"/>
        <v>10000</v>
      </c>
      <c r="I23">
        <f t="shared" si="1"/>
        <v>10000</v>
      </c>
      <c r="J23">
        <f t="shared" si="1"/>
        <v>10000</v>
      </c>
      <c r="K23">
        <f t="shared" si="1"/>
        <v>10000</v>
      </c>
      <c r="L23">
        <f t="shared" si="1"/>
        <v>10000</v>
      </c>
      <c r="M23">
        <f t="shared" si="1"/>
        <v>10000</v>
      </c>
      <c r="N23">
        <f t="shared" si="1"/>
        <v>10000</v>
      </c>
      <c r="O23">
        <f t="shared" si="1"/>
        <v>10000</v>
      </c>
      <c r="P23">
        <f t="shared" si="1"/>
        <v>10000</v>
      </c>
      <c r="Q23">
        <f t="shared" si="1"/>
        <v>10000</v>
      </c>
      <c r="R23">
        <f t="shared" si="1"/>
        <v>10000</v>
      </c>
      <c r="S23">
        <f t="shared" si="1"/>
        <v>10000</v>
      </c>
      <c r="T23">
        <f t="shared" si="1"/>
        <v>10000</v>
      </c>
      <c r="U23">
        <f t="shared" si="1"/>
        <v>10000</v>
      </c>
      <c r="V23">
        <f t="shared" si="1"/>
        <v>10000</v>
      </c>
      <c r="W23">
        <f t="shared" si="1"/>
        <v>10000</v>
      </c>
      <c r="X23">
        <f>W22</f>
        <v>110000</v>
      </c>
    </row>
    <row r="24" spans="1:26" x14ac:dyDescent="0.2">
      <c r="A24">
        <v>19</v>
      </c>
      <c r="B24" s="18">
        <f>IRR($F24:Y24,0.1)</f>
        <v>0.12858860287751059</v>
      </c>
      <c r="C24" s="17">
        <v>7.928193818294961E-2</v>
      </c>
      <c r="D24" s="17">
        <v>0.12858860287751059</v>
      </c>
      <c r="E24" s="17">
        <v>0.1</v>
      </c>
      <c r="F24">
        <f t="shared" si="0"/>
        <v>-80000</v>
      </c>
      <c r="G24">
        <f t="shared" si="1"/>
        <v>10000</v>
      </c>
      <c r="H24">
        <f t="shared" si="1"/>
        <v>10000</v>
      </c>
      <c r="I24">
        <f t="shared" si="1"/>
        <v>10000</v>
      </c>
      <c r="J24">
        <f t="shared" si="1"/>
        <v>10000</v>
      </c>
      <c r="K24">
        <f t="shared" si="1"/>
        <v>10000</v>
      </c>
      <c r="L24">
        <f t="shared" si="1"/>
        <v>10000</v>
      </c>
      <c r="M24">
        <f t="shared" si="1"/>
        <v>10000</v>
      </c>
      <c r="N24">
        <f t="shared" si="1"/>
        <v>10000</v>
      </c>
      <c r="O24">
        <f t="shared" si="1"/>
        <v>10000</v>
      </c>
      <c r="P24">
        <f t="shared" si="1"/>
        <v>10000</v>
      </c>
      <c r="Q24">
        <f t="shared" si="1"/>
        <v>10000</v>
      </c>
      <c r="R24">
        <f t="shared" si="1"/>
        <v>10000</v>
      </c>
      <c r="S24">
        <f t="shared" si="1"/>
        <v>10000</v>
      </c>
      <c r="T24">
        <f t="shared" si="1"/>
        <v>10000</v>
      </c>
      <c r="U24">
        <f t="shared" si="1"/>
        <v>10000</v>
      </c>
      <c r="V24">
        <f t="shared" si="1"/>
        <v>10000</v>
      </c>
      <c r="W24">
        <f t="shared" si="1"/>
        <v>10000</v>
      </c>
      <c r="X24">
        <f t="shared" si="1"/>
        <v>10000</v>
      </c>
      <c r="Y24">
        <f>X23</f>
        <v>110000</v>
      </c>
    </row>
    <row r="25" spans="1:26" x14ac:dyDescent="0.2">
      <c r="A25">
        <v>20</v>
      </c>
      <c r="B25" s="18">
        <f>IRR($F25:Z25,0.1)</f>
        <v>0.12815569839967275</v>
      </c>
      <c r="C25" s="17">
        <v>7.967830008318319E-2</v>
      </c>
      <c r="D25" s="17">
        <v>0.12815569839967275</v>
      </c>
      <c r="E25" s="17">
        <v>0.1</v>
      </c>
      <c r="F25">
        <f t="shared" si="0"/>
        <v>-80000</v>
      </c>
      <c r="G25">
        <f t="shared" si="1"/>
        <v>10000</v>
      </c>
      <c r="H25">
        <f t="shared" si="1"/>
        <v>10000</v>
      </c>
      <c r="I25">
        <f t="shared" si="1"/>
        <v>10000</v>
      </c>
      <c r="J25">
        <f t="shared" si="1"/>
        <v>10000</v>
      </c>
      <c r="K25">
        <f t="shared" si="1"/>
        <v>10000</v>
      </c>
      <c r="L25">
        <f t="shared" si="1"/>
        <v>10000</v>
      </c>
      <c r="M25">
        <f t="shared" si="1"/>
        <v>10000</v>
      </c>
      <c r="N25">
        <f t="shared" si="1"/>
        <v>10000</v>
      </c>
      <c r="O25">
        <f t="shared" si="1"/>
        <v>10000</v>
      </c>
      <c r="P25">
        <f t="shared" si="1"/>
        <v>10000</v>
      </c>
      <c r="Q25">
        <f t="shared" si="1"/>
        <v>10000</v>
      </c>
      <c r="R25">
        <f t="shared" si="1"/>
        <v>10000</v>
      </c>
      <c r="S25">
        <f t="shared" si="1"/>
        <v>10000</v>
      </c>
      <c r="T25">
        <f t="shared" si="1"/>
        <v>10000</v>
      </c>
      <c r="U25">
        <f t="shared" si="1"/>
        <v>10000</v>
      </c>
      <c r="V25">
        <f t="shared" si="1"/>
        <v>10000</v>
      </c>
      <c r="W25">
        <f t="shared" si="1"/>
        <v>10000</v>
      </c>
      <c r="X25">
        <f t="shared" si="1"/>
        <v>10000</v>
      </c>
      <c r="Y25">
        <f t="shared" si="1"/>
        <v>10000</v>
      </c>
      <c r="Z25">
        <f>Y24</f>
        <v>110000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Q24" workbookViewId="0">
      <selection activeCell="D3" sqref="D3"/>
    </sheetView>
  </sheetViews>
  <sheetFormatPr defaultRowHeight="12.75" x14ac:dyDescent="0.2"/>
  <cols>
    <col min="2" max="2" width="11.7109375" customWidth="1"/>
    <col min="3" max="3" width="19.42578125" customWidth="1"/>
    <col min="4" max="4" width="11.140625" bestFit="1" customWidth="1"/>
    <col min="5" max="5" width="9" bestFit="1" customWidth="1"/>
  </cols>
  <sheetData>
    <row r="1" spans="1:5" x14ac:dyDescent="0.2">
      <c r="A1" t="str">
        <f>GNMA!A24</f>
        <v>Year</v>
      </c>
      <c r="B1">
        <f>GNMA!G24</f>
        <v>0</v>
      </c>
      <c r="C1">
        <f>GNMA!H24</f>
        <v>0</v>
      </c>
      <c r="D1">
        <f>GNMA!I24-GNMA!J24</f>
        <v>0</v>
      </c>
      <c r="E1">
        <f>GNMA!J24</f>
        <v>0</v>
      </c>
    </row>
    <row r="2" spans="1:5" x14ac:dyDescent="0.2">
      <c r="A2" t="str">
        <f>GNMA!A25</f>
        <v>EOY</v>
      </c>
      <c r="B2" t="str">
        <f>GNMA!G25</f>
        <v>Unscheduled Prepayment</v>
      </c>
      <c r="C2" t="str">
        <f>GNMA!H25</f>
        <v>Scheduled Payment</v>
      </c>
      <c r="D2" t="s">
        <v>50</v>
      </c>
      <c r="E2" t="str">
        <f>GNMA!J25</f>
        <v>Servicing</v>
      </c>
    </row>
    <row r="3" spans="1:5" x14ac:dyDescent="0.2">
      <c r="A3">
        <f>GNMA!A27</f>
        <v>1</v>
      </c>
      <c r="B3" s="13">
        <f>GNMA!G27</f>
        <v>1240413.0981807129</v>
      </c>
      <c r="C3" s="13">
        <f>GNMA!H27</f>
        <v>632241.81827392615</v>
      </c>
      <c r="D3" s="13">
        <f>GNMA!I27</f>
        <v>10400000</v>
      </c>
      <c r="E3" s="13">
        <f>GNMA!J27</f>
        <v>520000</v>
      </c>
    </row>
    <row r="4" spans="1:5" x14ac:dyDescent="0.2">
      <c r="A4">
        <f>GNMA!A28</f>
        <v>2</v>
      </c>
      <c r="B4" s="13">
        <f>GNMA!G28</f>
        <v>3651848.0883160289</v>
      </c>
      <c r="C4" s="13">
        <f>GNMA!H28</f>
        <v>687120.4081001021</v>
      </c>
      <c r="D4" s="13">
        <f>GNMA!I28</f>
        <v>10212734.508354537</v>
      </c>
      <c r="E4" s="13">
        <f>GNMA!J28</f>
        <v>510636.72541772679</v>
      </c>
    </row>
    <row r="5" spans="1:5" x14ac:dyDescent="0.2">
      <c r="A5">
        <f>GNMA!A29</f>
        <v>3</v>
      </c>
      <c r="B5" s="13">
        <f>GNMA!G29</f>
        <v>5580935.8611168433</v>
      </c>
      <c r="C5" s="13">
        <f>GNMA!H29</f>
        <v>728622.48074935004</v>
      </c>
      <c r="D5" s="13">
        <f>GNMA!I29</f>
        <v>9778837.6587129235</v>
      </c>
      <c r="E5" s="13">
        <f>GNMA!J29</f>
        <v>488941.88293564616</v>
      </c>
    </row>
    <row r="6" spans="1:5" x14ac:dyDescent="0.2">
      <c r="A6">
        <f>GNMA!A30</f>
        <v>4</v>
      </c>
      <c r="B6" s="13">
        <f>GNMA!G30</f>
        <v>5443405.1333007691</v>
      </c>
      <c r="C6" s="13">
        <f>GNMA!H30</f>
        <v>755399.35691688769</v>
      </c>
      <c r="D6" s="13">
        <f>GNMA!I30</f>
        <v>9147881.8245263044</v>
      </c>
      <c r="E6" s="13">
        <f>GNMA!J30</f>
        <v>457394.09122631518</v>
      </c>
    </row>
    <row r="7" spans="1:5" x14ac:dyDescent="0.2">
      <c r="A7">
        <f>GNMA!A31</f>
        <v>5</v>
      </c>
      <c r="B7" s="13">
        <f>GNMA!G31</f>
        <v>5069935.8491995987</v>
      </c>
      <c r="C7" s="13">
        <f>GNMA!H31</f>
        <v>781082.93505206332</v>
      </c>
      <c r="D7" s="13">
        <f>GNMA!I31</f>
        <v>8528001.3755045384</v>
      </c>
      <c r="E7" s="13">
        <f>GNMA!J31</f>
        <v>426400.06877522694</v>
      </c>
    </row>
    <row r="8" spans="1:5" x14ac:dyDescent="0.2">
      <c r="A8">
        <f>GNMA!A32</f>
        <v>6</v>
      </c>
      <c r="B8" s="13">
        <f>GNMA!G32</f>
        <v>4717281.3129569935</v>
      </c>
      <c r="C8" s="13">
        <f>GNMA!H32</f>
        <v>807639.75484383292</v>
      </c>
      <c r="D8" s="13">
        <f>GNMA!I32</f>
        <v>7942899.4970793724</v>
      </c>
      <c r="E8" s="13">
        <f>GNMA!J32</f>
        <v>397144.97485396866</v>
      </c>
    </row>
    <row r="9" spans="1:5" x14ac:dyDescent="0.2">
      <c r="A9">
        <f>GNMA!A33</f>
        <v>7</v>
      </c>
      <c r="B9" s="13">
        <f>GNMA!G33</f>
        <v>4384138.4637890626</v>
      </c>
      <c r="C9" s="13">
        <f>GNMA!H33</f>
        <v>835099.50650852174</v>
      </c>
      <c r="D9" s="13">
        <f>GNMA!I33</f>
        <v>7390407.3902992904</v>
      </c>
      <c r="E9" s="13">
        <f>GNMA!J33</f>
        <v>369520.36951496452</v>
      </c>
    </row>
    <row r="10" spans="1:5" x14ac:dyDescent="0.2">
      <c r="A10">
        <f>GNMA!A34</f>
        <v>8</v>
      </c>
      <c r="B10" s="13">
        <f>GNMA!G34</f>
        <v>4069280.5825779298</v>
      </c>
      <c r="C10" s="13">
        <f>GNMA!H34</f>
        <v>863492.88972981181</v>
      </c>
      <c r="D10" s="13">
        <f>GNMA!I34</f>
        <v>6868483.5932695316</v>
      </c>
      <c r="E10" s="13">
        <f>GNMA!J34</f>
        <v>343424.17966347659</v>
      </c>
    </row>
    <row r="11" spans="1:5" x14ac:dyDescent="0.2">
      <c r="A11">
        <f>GNMA!A35</f>
        <v>9</v>
      </c>
      <c r="B11" s="13">
        <f>GNMA!G35</f>
        <v>3771552.6487444164</v>
      </c>
      <c r="C11" s="13">
        <f>GNMA!H35</f>
        <v>892851.64798062667</v>
      </c>
      <c r="D11" s="13">
        <f>GNMA!I35</f>
        <v>6375206.2460387573</v>
      </c>
      <c r="E11" s="13">
        <f>GNMA!J35</f>
        <v>318760.3123019379</v>
      </c>
    </row>
    <row r="12" spans="1:5" x14ac:dyDescent="0.2">
      <c r="A12">
        <f>GNMA!A36</f>
        <v>10</v>
      </c>
      <c r="B12" s="13">
        <f>GNMA!G36</f>
        <v>3489866.9735790333</v>
      </c>
      <c r="C12" s="13">
        <f>GNMA!H36</f>
        <v>923208.60401196778</v>
      </c>
      <c r="D12" s="13">
        <f>GNMA!I36</f>
        <v>5908765.8163662525</v>
      </c>
      <c r="E12" s="13">
        <f>GNMA!J36</f>
        <v>295438.29081831261</v>
      </c>
    </row>
    <row r="13" spans="1:5" x14ac:dyDescent="0.2">
      <c r="A13">
        <f>GNMA!A37</f>
        <v>11</v>
      </c>
      <c r="B13" s="13">
        <f>GNMA!G37</f>
        <v>3223199.093371389</v>
      </c>
      <c r="C13" s="13">
        <f>GNMA!H37</f>
        <v>954597.69654837251</v>
      </c>
      <c r="D13" s="13">
        <f>GNMA!I37</f>
        <v>5467458.2586071528</v>
      </c>
      <c r="E13" s="13">
        <f>GNMA!J37</f>
        <v>273372.91293035762</v>
      </c>
    </row>
    <row r="14" spans="1:5" x14ac:dyDescent="0.2">
      <c r="A14">
        <f>GNMA!A38</f>
        <v>12</v>
      </c>
      <c r="B14" s="13">
        <f>GNMA!G38</f>
        <v>2970583.9066752442</v>
      </c>
      <c r="C14" s="13">
        <f>GNMA!H38</f>
        <v>987054.01823101845</v>
      </c>
      <c r="D14" s="13">
        <f>GNMA!I38</f>
        <v>5049678.5796151757</v>
      </c>
      <c r="E14" s="13">
        <f>GNMA!J38</f>
        <v>252483.92898075879</v>
      </c>
    </row>
    <row r="15" spans="1:5" x14ac:dyDescent="0.2">
      <c r="A15">
        <f>GNMA!A39</f>
        <v>13</v>
      </c>
      <c r="B15" s="13">
        <f>GNMA!G39</f>
        <v>2731112.0409836774</v>
      </c>
      <c r="C15" s="13">
        <f>GNMA!H39</f>
        <v>1020613.8548508734</v>
      </c>
      <c r="D15" s="13">
        <f>GNMA!I39</f>
        <v>4653914.78712455</v>
      </c>
      <c r="E15" s="13">
        <f>GNMA!J39</f>
        <v>232695.73935622748</v>
      </c>
    </row>
    <row r="16" spans="1:5" x14ac:dyDescent="0.2">
      <c r="A16">
        <f>GNMA!A40</f>
        <v>14</v>
      </c>
      <c r="B16" s="13">
        <f>GNMA!G40</f>
        <v>2503926.4349697083</v>
      </c>
      <c r="C16" s="13">
        <f>GNMA!H40</f>
        <v>1055314.7259158026</v>
      </c>
      <c r="D16" s="13">
        <f>GNMA!I40</f>
        <v>4278742.1975410944</v>
      </c>
      <c r="E16" s="13">
        <f>GNMA!J40</f>
        <v>213937.10987705473</v>
      </c>
    </row>
    <row r="17" spans="1:5" x14ac:dyDescent="0.2">
      <c r="A17">
        <f>GNMA!A41</f>
        <v>15</v>
      </c>
      <c r="B17" s="13">
        <f>GNMA!G41</f>
        <v>2288219.1232757093</v>
      </c>
      <c r="C17" s="13">
        <f>GNMA!H41</f>
        <v>1091195.42659694</v>
      </c>
      <c r="D17" s="13">
        <f>GNMA!I41</f>
        <v>3922818.0814525434</v>
      </c>
      <c r="E17" s="13">
        <f>GNMA!J41</f>
        <v>196140.90407262716</v>
      </c>
    </row>
    <row r="18" spans="1:5" x14ac:dyDescent="0.2">
      <c r="A18">
        <f>GNMA!A42</f>
        <v>16</v>
      </c>
      <c r="B18" s="13">
        <f>GNMA!G42</f>
        <v>2083228.2116130928</v>
      </c>
      <c r="C18" s="13">
        <f>GNMA!H42</f>
        <v>1128296.0711012366</v>
      </c>
      <c r="D18" s="13">
        <f>GNMA!I42</f>
        <v>3584876.6264652782</v>
      </c>
      <c r="E18" s="13">
        <f>GNMA!J42</f>
        <v>179243.8313232639</v>
      </c>
    </row>
    <row r="19" spans="1:5" x14ac:dyDescent="0.2">
      <c r="A19">
        <f>GNMA!A43</f>
        <v>17</v>
      </c>
      <c r="B19" s="13">
        <f>GNMA!G43</f>
        <v>1888235.0306651865</v>
      </c>
      <c r="C19" s="13">
        <f>GNMA!H43</f>
        <v>1166658.1375186783</v>
      </c>
      <c r="D19" s="13">
        <f>GNMA!I43</f>
        <v>3263724.1981938458</v>
      </c>
      <c r="E19" s="13">
        <f>GNMA!J43</f>
        <v>163186.20990969229</v>
      </c>
    </row>
    <row r="20" spans="1:5" x14ac:dyDescent="0.2">
      <c r="A20">
        <f>GNMA!A44</f>
        <v>18</v>
      </c>
      <c r="B20" s="13">
        <f>GNMA!G44</f>
        <v>1702561.4579736167</v>
      </c>
      <c r="C20" s="13">
        <f>GNMA!H44</f>
        <v>1206324.514194313</v>
      </c>
      <c r="D20" s="13">
        <f>GNMA!I44</f>
        <v>2958234.8813754595</v>
      </c>
      <c r="E20" s="13">
        <f>GNMA!J44</f>
        <v>147911.74406877297</v>
      </c>
    </row>
    <row r="21" spans="1:5" x14ac:dyDescent="0.2">
      <c r="A21">
        <f>GNMA!A45</f>
        <v>19</v>
      </c>
      <c r="B21" s="13">
        <f>GNMA!G45</f>
        <v>1525567.3976345842</v>
      </c>
      <c r="C21" s="13">
        <f>GNMA!H45</f>
        <v>1247339.5476769214</v>
      </c>
      <c r="D21" s="13">
        <f>GNMA!I45</f>
        <v>2667346.2841586662</v>
      </c>
      <c r="E21" s="13">
        <f>GNMA!J45</f>
        <v>133367.31420793332</v>
      </c>
    </row>
    <row r="22" spans="1:5" x14ac:dyDescent="0.2">
      <c r="A22">
        <f>GNMA!A46</f>
        <v>20</v>
      </c>
      <c r="B22" s="13">
        <f>GNMA!G46</f>
        <v>1356648.4082386331</v>
      </c>
      <c r="C22" s="13">
        <f>GNMA!H46</f>
        <v>1289749.0922979368</v>
      </c>
      <c r="D22" s="13">
        <f>GNMA!I46</f>
        <v>2390055.5896275155</v>
      </c>
      <c r="E22" s="13">
        <f>GNMA!J46</f>
        <v>119502.77948137578</v>
      </c>
    </row>
    <row r="23" spans="1:5" x14ac:dyDescent="0.2">
      <c r="A23">
        <f>GNMA!A47</f>
        <v>21</v>
      </c>
      <c r="B23" s="13">
        <f>GNMA!G47</f>
        <v>1195233.4700581508</v>
      </c>
      <c r="C23" s="13">
        <f>GNMA!H47</f>
        <v>1333600.5614360664</v>
      </c>
      <c r="D23" s="13">
        <f>GNMA!I47</f>
        <v>2125415.8395738583</v>
      </c>
      <c r="E23" s="13">
        <f>GNMA!J47</f>
        <v>106270.79197869291</v>
      </c>
    </row>
    <row r="24" spans="1:5" x14ac:dyDescent="0.2">
      <c r="A24">
        <f>GNMA!A48</f>
        <v>22</v>
      </c>
      <c r="B24" s="13">
        <f>GNMA!G48</f>
        <v>1040782.8830231682</v>
      </c>
      <c r="C24" s="13">
        <f>GNMA!H48</f>
        <v>1378942.9805248925</v>
      </c>
      <c r="D24" s="13">
        <f>GNMA!I48</f>
        <v>1872532.4364244365</v>
      </c>
      <c r="E24" s="13">
        <f>GNMA!J48</f>
        <v>93626.621821221823</v>
      </c>
    </row>
    <row r="25" spans="1:5" x14ac:dyDescent="0.2">
      <c r="A25">
        <f>GNMA!A49</f>
        <v>23</v>
      </c>
      <c r="B25" s="13">
        <f>GNMA!G49</f>
        <v>892786.28753001383</v>
      </c>
      <c r="C25" s="13">
        <f>GNMA!H49</f>
        <v>1425827.0418627381</v>
      </c>
      <c r="D25" s="13">
        <f>GNMA!I49</f>
        <v>1630559.8500696302</v>
      </c>
      <c r="E25" s="13">
        <f>GNMA!J49</f>
        <v>81527.99250348151</v>
      </c>
    </row>
    <row r="26" spans="1:5" x14ac:dyDescent="0.2">
      <c r="A26">
        <f>GNMA!A50</f>
        <v>24</v>
      </c>
      <c r="B26" s="13">
        <f>GNMA!G50</f>
        <v>750760.80060104863</v>
      </c>
      <c r="C26" s="13">
        <f>GNMA!H50</f>
        <v>1474305.1612860721</v>
      </c>
      <c r="D26" s="13">
        <f>GNMA!I50</f>
        <v>1398698.5171303551</v>
      </c>
      <c r="E26" s="13">
        <f>GNMA!J50</f>
        <v>69934.925856517744</v>
      </c>
    </row>
    <row r="27" spans="1:5" x14ac:dyDescent="0.2">
      <c r="A27">
        <f>GNMA!A51</f>
        <v>25</v>
      </c>
      <c r="B27" s="13">
        <f>GNMA!G51</f>
        <v>614249.26035879785</v>
      </c>
      <c r="C27" s="13">
        <f>GNMA!H51</f>
        <v>1524431.5367697985</v>
      </c>
      <c r="D27" s="13">
        <f>GNMA!I51</f>
        <v>1176191.920941643</v>
      </c>
      <c r="E27" s="13">
        <f>GNMA!J51</f>
        <v>58809.596047082145</v>
      </c>
    </row>
    <row r="28" spans="1:5" x14ac:dyDescent="0.2">
      <c r="A28">
        <f>GNMA!A52</f>
        <v>26</v>
      </c>
      <c r="B28" s="13">
        <f>GNMA!G52</f>
        <v>482818.57219607173</v>
      </c>
      <c r="C28" s="13">
        <f>GNMA!H52</f>
        <v>1576262.2090199713</v>
      </c>
      <c r="D28" s="13">
        <f>GNMA!I52</f>
        <v>962323.84122878336</v>
      </c>
      <c r="E28" s="13">
        <f>GNMA!J52</f>
        <v>48116.192061439164</v>
      </c>
    </row>
    <row r="29" spans="1:5" x14ac:dyDescent="0.2">
      <c r="A29">
        <f>GNMA!A53</f>
        <v>27</v>
      </c>
      <c r="B29" s="13">
        <f>GNMA!G53</f>
        <v>356058.15041670843</v>
      </c>
      <c r="C29" s="13">
        <f>GNMA!H53</f>
        <v>1629855.1241266499</v>
      </c>
      <c r="D29" s="13">
        <f>GNMA!I53</f>
        <v>756415.76310717908</v>
      </c>
      <c r="E29" s="13">
        <f>GNMA!J53</f>
        <v>37820.788155358954</v>
      </c>
    </row>
    <row r="30" spans="1:5" x14ac:dyDescent="0.2">
      <c r="A30">
        <f>GNMA!A54</f>
        <v>28</v>
      </c>
      <c r="B30" s="13">
        <f>GNMA!G54</f>
        <v>233578.44949088845</v>
      </c>
      <c r="C30" s="13">
        <f>GNMA!H54</f>
        <v>1685270.1983469576</v>
      </c>
      <c r="D30" s="13">
        <f>GNMA!I54</f>
        <v>557824.43565284321</v>
      </c>
      <c r="E30" s="13">
        <f>GNMA!J54</f>
        <v>27891.221782642162</v>
      </c>
    </row>
    <row r="31" spans="1:5" x14ac:dyDescent="0.2">
      <c r="A31">
        <f>GNMA!A55</f>
        <v>29</v>
      </c>
      <c r="B31" s="13">
        <f>GNMA!G55</f>
        <v>115009.57941598991</v>
      </c>
      <c r="C31" s="13">
        <f>GNMA!H55</f>
        <v>1742569.3850907541</v>
      </c>
      <c r="D31" s="13">
        <f>GNMA!I55</f>
        <v>365939.5708690586</v>
      </c>
      <c r="E31" s="13">
        <f>GNMA!J55</f>
        <v>18296.978543452929</v>
      </c>
    </row>
    <row r="32" spans="1:5" x14ac:dyDescent="0.2">
      <c r="A32">
        <f>GNMA!A56</f>
        <v>30</v>
      </c>
      <c r="B32" s="13">
        <f>GNMA!G56</f>
        <v>4.1909515857696532E-11</v>
      </c>
      <c r="C32" s="13">
        <f>GNMA!H56</f>
        <v>1801816.7441838414</v>
      </c>
      <c r="D32" s="13">
        <f>GNMA!I56</f>
        <v>180181.67441838421</v>
      </c>
      <c r="E32" s="13">
        <f>GNMA!J56</f>
        <v>9009.0837209192105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47" workbookViewId="0">
      <selection activeCell="A69" sqref="A69"/>
    </sheetView>
  </sheetViews>
  <sheetFormatPr defaultRowHeight="12.75" x14ac:dyDescent="0.2"/>
  <cols>
    <col min="1" max="1" width="16.42578125" customWidth="1"/>
    <col min="2" max="2" width="13.28515625" customWidth="1"/>
    <col min="3" max="3" width="17.7109375" customWidth="1"/>
    <col min="5" max="5" width="16.42578125" customWidth="1"/>
    <col min="6" max="6" width="19" customWidth="1"/>
    <col min="7" max="7" width="14.140625" customWidth="1"/>
    <col min="8" max="8" width="18.140625" customWidth="1"/>
    <col min="9" max="10" width="17.85546875" customWidth="1"/>
    <col min="11" max="11" width="16.28515625" customWidth="1"/>
  </cols>
  <sheetData>
    <row r="1" spans="1:5" x14ac:dyDescent="0.2">
      <c r="A1" s="3" t="s">
        <v>1</v>
      </c>
    </row>
    <row r="3" spans="1:5" x14ac:dyDescent="0.2">
      <c r="A3" s="3" t="s">
        <v>2</v>
      </c>
      <c r="C3" s="2">
        <v>0.1</v>
      </c>
    </row>
    <row r="4" spans="1:5" x14ac:dyDescent="0.2">
      <c r="A4" s="3" t="s">
        <v>3</v>
      </c>
      <c r="C4" s="14">
        <v>1</v>
      </c>
    </row>
    <row r="5" spans="1:5" x14ac:dyDescent="0.2">
      <c r="A5" s="3" t="s">
        <v>4</v>
      </c>
      <c r="C5" s="4">
        <v>100000000</v>
      </c>
    </row>
    <row r="6" spans="1:5" x14ac:dyDescent="0.2">
      <c r="A6" s="3" t="s">
        <v>5</v>
      </c>
      <c r="C6" s="4">
        <v>4000000</v>
      </c>
    </row>
    <row r="7" spans="1:5" x14ac:dyDescent="0.2">
      <c r="A7" t="s">
        <v>28</v>
      </c>
      <c r="C7" s="2">
        <v>5.0000000000000001E-3</v>
      </c>
    </row>
    <row r="8" spans="1:5" x14ac:dyDescent="0.2">
      <c r="C8" s="4"/>
    </row>
    <row r="9" spans="1:5" x14ac:dyDescent="0.2">
      <c r="A9" s="3" t="s">
        <v>6</v>
      </c>
      <c r="C9" s="4">
        <v>30000000</v>
      </c>
    </row>
    <row r="10" spans="1:5" x14ac:dyDescent="0.2">
      <c r="A10" s="3" t="s">
        <v>7</v>
      </c>
      <c r="C10" s="2">
        <v>0.09</v>
      </c>
    </row>
    <row r="11" spans="1:5" x14ac:dyDescent="0.2">
      <c r="E11" s="3" t="s">
        <v>8</v>
      </c>
    </row>
    <row r="12" spans="1:5" x14ac:dyDescent="0.2">
      <c r="A12" s="3" t="s">
        <v>9</v>
      </c>
      <c r="C12" s="4">
        <v>30000000</v>
      </c>
    </row>
    <row r="13" spans="1:5" x14ac:dyDescent="0.2">
      <c r="A13" s="3" t="s">
        <v>10</v>
      </c>
      <c r="C13" s="2">
        <v>9.2499999999999999E-2</v>
      </c>
    </row>
    <row r="15" spans="1:5" x14ac:dyDescent="0.2">
      <c r="A15" s="3" t="s">
        <v>11</v>
      </c>
      <c r="C15" s="4">
        <v>25000000</v>
      </c>
    </row>
    <row r="16" spans="1:5" x14ac:dyDescent="0.2">
      <c r="A16" s="3" t="s">
        <v>12</v>
      </c>
      <c r="C16" s="2">
        <v>9.7500000000000003E-2</v>
      </c>
    </row>
    <row r="18" spans="1:11" x14ac:dyDescent="0.2">
      <c r="A18" s="3" t="s">
        <v>13</v>
      </c>
      <c r="C18" s="4">
        <v>15000000</v>
      </c>
    </row>
    <row r="19" spans="1:11" x14ac:dyDescent="0.2">
      <c r="A19" s="3" t="s">
        <v>14</v>
      </c>
      <c r="C19" s="2">
        <v>0.105</v>
      </c>
    </row>
    <row r="22" spans="1:11" x14ac:dyDescent="0.2">
      <c r="B22" s="3" t="s">
        <v>15</v>
      </c>
    </row>
    <row r="23" spans="1:11" x14ac:dyDescent="0.2">
      <c r="H23" s="5"/>
      <c r="K23" s="3" t="s">
        <v>16</v>
      </c>
    </row>
    <row r="24" spans="1:11" x14ac:dyDescent="0.2">
      <c r="A24" s="5" t="s">
        <v>17</v>
      </c>
      <c r="B24" s="5" t="s">
        <v>18</v>
      </c>
      <c r="C24" s="5" t="s">
        <v>19</v>
      </c>
      <c r="D24" s="5" t="s">
        <v>20</v>
      </c>
      <c r="E24" s="5"/>
      <c r="F24" s="5"/>
      <c r="G24" s="5"/>
      <c r="H24" s="5"/>
      <c r="I24" s="5"/>
      <c r="J24" s="5"/>
      <c r="K24" s="3" t="s">
        <v>21</v>
      </c>
    </row>
    <row r="25" spans="1:11" x14ac:dyDescent="0.2">
      <c r="A25" s="10" t="s">
        <v>23</v>
      </c>
      <c r="E25" s="10" t="s">
        <v>22</v>
      </c>
      <c r="F25" s="10" t="s">
        <v>24</v>
      </c>
      <c r="G25" s="10" t="s">
        <v>25</v>
      </c>
      <c r="H25" s="10" t="s">
        <v>26</v>
      </c>
      <c r="I25" s="10" t="s">
        <v>27</v>
      </c>
      <c r="J25" s="10" t="s">
        <v>28</v>
      </c>
    </row>
    <row r="26" spans="1:11" x14ac:dyDescent="0.2">
      <c r="A26" s="6">
        <v>0</v>
      </c>
      <c r="B26" s="7">
        <f t="shared" ref="B26:B55" si="0">1/(1+$C$3)*B27</f>
        <v>5.7308553301168033E-2</v>
      </c>
      <c r="C26" s="7">
        <f t="shared" ref="C26:C56" si="1">1/$C$3*(1-B26)</f>
        <v>9.42691446698832</v>
      </c>
      <c r="D26" s="8">
        <f>0*$C$4</f>
        <v>0</v>
      </c>
      <c r="E26" s="9">
        <f>C5+C6</f>
        <v>104000000</v>
      </c>
      <c r="F26" s="9"/>
      <c r="G26" s="9"/>
      <c r="H26" s="9"/>
      <c r="I26" s="9"/>
      <c r="J26" s="9"/>
      <c r="K26" s="9">
        <f t="shared" ref="K26:K56" si="2">MAXA(0,+E26-$C$6)</f>
        <v>100000000</v>
      </c>
    </row>
    <row r="27" spans="1:11" x14ac:dyDescent="0.2">
      <c r="A27" s="6">
        <f t="shared" ref="A27:A56" si="3">A26+1</f>
        <v>1</v>
      </c>
      <c r="B27" s="7">
        <f t="shared" si="0"/>
        <v>6.3039408631284835E-2</v>
      </c>
      <c r="C27" s="7">
        <f t="shared" si="1"/>
        <v>9.3696059136871508</v>
      </c>
      <c r="D27" s="8">
        <f>0.012*$C$4</f>
        <v>1.2E-2</v>
      </c>
      <c r="E27" s="9">
        <f t="shared" ref="E27:E56" si="4">E26-H27-G27</f>
        <v>102127345.08354536</v>
      </c>
      <c r="F27" s="9">
        <f t="shared" ref="F27:F56" si="5">E26/C26</f>
        <v>11032241.818273926</v>
      </c>
      <c r="G27" s="9">
        <f t="shared" ref="G27:G56" si="6">(E26-H27)*D27</f>
        <v>1240413.0981807129</v>
      </c>
      <c r="H27" s="9">
        <f t="shared" ref="H27:H56" si="7">F27-I27</f>
        <v>632241.81827392615</v>
      </c>
      <c r="I27" s="9">
        <f t="shared" ref="I27:I56" si="8">E26*C$3</f>
        <v>10400000</v>
      </c>
      <c r="J27" s="9">
        <f>$C$7*E26</f>
        <v>520000</v>
      </c>
      <c r="K27" s="9">
        <f t="shared" si="2"/>
        <v>98127345.083545357</v>
      </c>
    </row>
    <row r="28" spans="1:11" x14ac:dyDescent="0.2">
      <c r="A28" s="6">
        <f t="shared" si="3"/>
        <v>2</v>
      </c>
      <c r="B28" s="7">
        <f t="shared" si="0"/>
        <v>6.9343349494413314E-2</v>
      </c>
      <c r="C28" s="7">
        <f t="shared" si="1"/>
        <v>9.3065665050558657</v>
      </c>
      <c r="D28" s="8">
        <f>0.036*$C$4</f>
        <v>3.5999999999999997E-2</v>
      </c>
      <c r="E28" s="9">
        <f t="shared" si="4"/>
        <v>97788376.587129235</v>
      </c>
      <c r="F28" s="9">
        <f t="shared" si="5"/>
        <v>10899854.916454639</v>
      </c>
      <c r="G28" s="9">
        <f t="shared" si="6"/>
        <v>3651848.0883160289</v>
      </c>
      <c r="H28" s="9">
        <f t="shared" si="7"/>
        <v>687120.4081001021</v>
      </c>
      <c r="I28" s="9">
        <f t="shared" si="8"/>
        <v>10212734.508354537</v>
      </c>
      <c r="J28" s="9">
        <f t="shared" ref="J28:J56" si="9">$C$7*E27</f>
        <v>510636.72541772679</v>
      </c>
      <c r="K28" s="9">
        <f t="shared" si="2"/>
        <v>93788376.587129235</v>
      </c>
    </row>
    <row r="29" spans="1:11" x14ac:dyDescent="0.2">
      <c r="A29" s="6">
        <f t="shared" si="3"/>
        <v>3</v>
      </c>
      <c r="B29" s="7">
        <f t="shared" si="0"/>
        <v>7.6277684443854646E-2</v>
      </c>
      <c r="C29" s="7">
        <f t="shared" si="1"/>
        <v>9.2372231555614537</v>
      </c>
      <c r="D29" s="8">
        <f>0.0575*C4</f>
        <v>5.7500000000000002E-2</v>
      </c>
      <c r="E29" s="9">
        <f t="shared" si="4"/>
        <v>91478818.24526304</v>
      </c>
      <c r="F29" s="9">
        <f t="shared" si="5"/>
        <v>10507460.139462274</v>
      </c>
      <c r="G29" s="9">
        <f t="shared" si="6"/>
        <v>5580935.8611168433</v>
      </c>
      <c r="H29" s="9">
        <f t="shared" si="7"/>
        <v>728622.48074935004</v>
      </c>
      <c r="I29" s="9">
        <f t="shared" si="8"/>
        <v>9778837.6587129235</v>
      </c>
      <c r="J29" s="9">
        <f t="shared" si="9"/>
        <v>488941.88293564616</v>
      </c>
      <c r="K29" s="9">
        <f t="shared" si="2"/>
        <v>87478818.24526304</v>
      </c>
    </row>
    <row r="30" spans="1:11" x14ac:dyDescent="0.2">
      <c r="A30" s="6">
        <f t="shared" si="3"/>
        <v>4</v>
      </c>
      <c r="B30" s="7">
        <f t="shared" si="0"/>
        <v>8.3905452888240112E-2</v>
      </c>
      <c r="C30" s="7">
        <f t="shared" si="1"/>
        <v>9.1609454711175982</v>
      </c>
      <c r="D30" s="8">
        <f>0.06*$C$4</f>
        <v>0.06</v>
      </c>
      <c r="E30" s="9">
        <f t="shared" si="4"/>
        <v>85280013.755045384</v>
      </c>
      <c r="F30" s="9">
        <f t="shared" si="5"/>
        <v>9903281.1814431921</v>
      </c>
      <c r="G30" s="9">
        <f t="shared" si="6"/>
        <v>5443405.1333007691</v>
      </c>
      <c r="H30" s="9">
        <f t="shared" si="7"/>
        <v>755399.35691688769</v>
      </c>
      <c r="I30" s="9">
        <f t="shared" si="8"/>
        <v>9147881.8245263044</v>
      </c>
      <c r="J30" s="9">
        <f t="shared" si="9"/>
        <v>457394.09122631518</v>
      </c>
      <c r="K30" s="9">
        <f t="shared" si="2"/>
        <v>81280013.755045384</v>
      </c>
    </row>
    <row r="31" spans="1:11" x14ac:dyDescent="0.2">
      <c r="A31" s="6">
        <f t="shared" si="3"/>
        <v>5</v>
      </c>
      <c r="B31" s="7">
        <f t="shared" si="0"/>
        <v>9.2295998177064131E-2</v>
      </c>
      <c r="C31" s="7">
        <f t="shared" si="1"/>
        <v>9.0770400182293578</v>
      </c>
      <c r="D31" s="8">
        <f t="shared" ref="D31:D56" si="10">0.06*$C$4</f>
        <v>0.06</v>
      </c>
      <c r="E31" s="9">
        <f t="shared" si="4"/>
        <v>79428994.970793724</v>
      </c>
      <c r="F31" s="9">
        <f t="shared" si="5"/>
        <v>9309084.3105566017</v>
      </c>
      <c r="G31" s="9">
        <f t="shared" si="6"/>
        <v>5069935.8491995987</v>
      </c>
      <c r="H31" s="9">
        <f t="shared" si="7"/>
        <v>781082.93505206332</v>
      </c>
      <c r="I31" s="9">
        <f t="shared" si="8"/>
        <v>8528001.3755045384</v>
      </c>
      <c r="J31" s="9">
        <f t="shared" si="9"/>
        <v>426400.06877522694</v>
      </c>
      <c r="K31" s="9">
        <f t="shared" si="2"/>
        <v>75428994.970793724</v>
      </c>
    </row>
    <row r="32" spans="1:11" x14ac:dyDescent="0.2">
      <c r="A32" s="6">
        <f t="shared" si="3"/>
        <v>6</v>
      </c>
      <c r="B32" s="7">
        <f t="shared" si="0"/>
        <v>0.10152559799477055</v>
      </c>
      <c r="C32" s="7">
        <f t="shared" si="1"/>
        <v>8.984744020052295</v>
      </c>
      <c r="D32" s="8">
        <f t="shared" si="10"/>
        <v>0.06</v>
      </c>
      <c r="E32" s="9">
        <f t="shared" si="4"/>
        <v>73904073.902992904</v>
      </c>
      <c r="F32" s="9">
        <f t="shared" si="5"/>
        <v>8750539.2519232053</v>
      </c>
      <c r="G32" s="9">
        <f t="shared" si="6"/>
        <v>4717281.3129569935</v>
      </c>
      <c r="H32" s="9">
        <f t="shared" si="7"/>
        <v>807639.75484383292</v>
      </c>
      <c r="I32" s="9">
        <f t="shared" si="8"/>
        <v>7942899.4970793724</v>
      </c>
      <c r="J32" s="9">
        <f t="shared" si="9"/>
        <v>397144.97485396866</v>
      </c>
      <c r="K32" s="9">
        <f t="shared" si="2"/>
        <v>69904073.902992904</v>
      </c>
    </row>
    <row r="33" spans="1:11" x14ac:dyDescent="0.2">
      <c r="A33" s="6">
        <f t="shared" si="3"/>
        <v>7</v>
      </c>
      <c r="B33" s="7">
        <f t="shared" si="0"/>
        <v>0.11167815779424761</v>
      </c>
      <c r="C33" s="7">
        <f t="shared" si="1"/>
        <v>8.8832184220575243</v>
      </c>
      <c r="D33" s="8">
        <f t="shared" si="10"/>
        <v>0.06</v>
      </c>
      <c r="E33" s="9">
        <f t="shared" si="4"/>
        <v>68684835.932695314</v>
      </c>
      <c r="F33" s="9">
        <f t="shared" si="5"/>
        <v>8225506.8968078122</v>
      </c>
      <c r="G33" s="9">
        <f t="shared" si="6"/>
        <v>4384138.4637890626</v>
      </c>
      <c r="H33" s="9">
        <f t="shared" si="7"/>
        <v>835099.50650852174</v>
      </c>
      <c r="I33" s="9">
        <f t="shared" si="8"/>
        <v>7390407.3902992904</v>
      </c>
      <c r="J33" s="9">
        <f t="shared" si="9"/>
        <v>369520.36951496452</v>
      </c>
      <c r="K33" s="9">
        <f t="shared" si="2"/>
        <v>64684835.932695314</v>
      </c>
    </row>
    <row r="34" spans="1:11" x14ac:dyDescent="0.2">
      <c r="A34" s="6">
        <f t="shared" si="3"/>
        <v>8</v>
      </c>
      <c r="B34" s="7">
        <f t="shared" si="0"/>
        <v>0.12284597357367237</v>
      </c>
      <c r="C34" s="7">
        <f t="shared" si="1"/>
        <v>8.771540264263276</v>
      </c>
      <c r="D34" s="8">
        <f t="shared" si="10"/>
        <v>0.06</v>
      </c>
      <c r="E34" s="9">
        <f t="shared" si="4"/>
        <v>63752062.460387573</v>
      </c>
      <c r="F34" s="9">
        <f t="shared" si="5"/>
        <v>7731976.4829993434</v>
      </c>
      <c r="G34" s="9">
        <f t="shared" si="6"/>
        <v>4069280.5825779298</v>
      </c>
      <c r="H34" s="9">
        <f t="shared" si="7"/>
        <v>863492.88972981181</v>
      </c>
      <c r="I34" s="9">
        <f t="shared" si="8"/>
        <v>6868483.5932695316</v>
      </c>
      <c r="J34" s="9">
        <f t="shared" si="9"/>
        <v>343424.17966347659</v>
      </c>
      <c r="K34" s="9">
        <f t="shared" si="2"/>
        <v>59752062.460387573</v>
      </c>
    </row>
    <row r="35" spans="1:11" x14ac:dyDescent="0.2">
      <c r="A35" s="6">
        <f t="shared" si="3"/>
        <v>9</v>
      </c>
      <c r="B35" s="7">
        <f t="shared" si="0"/>
        <v>0.13513057093103961</v>
      </c>
      <c r="C35" s="7">
        <f t="shared" si="1"/>
        <v>8.6486942906896029</v>
      </c>
      <c r="D35" s="8">
        <f t="shared" si="10"/>
        <v>0.06</v>
      </c>
      <c r="E35" s="9">
        <f t="shared" si="4"/>
        <v>59087658.163662523</v>
      </c>
      <c r="F35" s="9">
        <f t="shared" si="5"/>
        <v>7268057.8940193839</v>
      </c>
      <c r="G35" s="9">
        <f t="shared" si="6"/>
        <v>3771552.6487444164</v>
      </c>
      <c r="H35" s="9">
        <f t="shared" si="7"/>
        <v>892851.64798062667</v>
      </c>
      <c r="I35" s="9">
        <f t="shared" si="8"/>
        <v>6375206.2460387573</v>
      </c>
      <c r="J35" s="9">
        <f t="shared" si="9"/>
        <v>318760.3123019379</v>
      </c>
      <c r="K35" s="9">
        <f t="shared" si="2"/>
        <v>55087658.163662523</v>
      </c>
    </row>
    <row r="36" spans="1:11" x14ac:dyDescent="0.2">
      <c r="A36" s="6">
        <f t="shared" si="3"/>
        <v>10</v>
      </c>
      <c r="B36" s="7">
        <f t="shared" si="0"/>
        <v>0.14864362802414358</v>
      </c>
      <c r="C36" s="7">
        <f t="shared" si="1"/>
        <v>8.5135637197585652</v>
      </c>
      <c r="D36" s="8">
        <f t="shared" si="10"/>
        <v>0.06</v>
      </c>
      <c r="E36" s="9">
        <f t="shared" si="4"/>
        <v>54674582.586071521</v>
      </c>
      <c r="F36" s="9">
        <f t="shared" si="5"/>
        <v>6831974.4203782203</v>
      </c>
      <c r="G36" s="9">
        <f t="shared" si="6"/>
        <v>3489866.9735790333</v>
      </c>
      <c r="H36" s="9">
        <f t="shared" si="7"/>
        <v>923208.60401196778</v>
      </c>
      <c r="I36" s="9">
        <f t="shared" si="8"/>
        <v>5908765.8163662525</v>
      </c>
      <c r="J36" s="9">
        <f t="shared" si="9"/>
        <v>295438.29081831261</v>
      </c>
      <c r="K36" s="9">
        <f t="shared" si="2"/>
        <v>50674582.586071521</v>
      </c>
    </row>
    <row r="37" spans="1:11" x14ac:dyDescent="0.2">
      <c r="A37" s="6">
        <f t="shared" si="3"/>
        <v>11</v>
      </c>
      <c r="B37" s="7">
        <f t="shared" si="0"/>
        <v>0.16350799082655793</v>
      </c>
      <c r="C37" s="7">
        <f t="shared" si="1"/>
        <v>8.3649200917344206</v>
      </c>
      <c r="D37" s="8">
        <f t="shared" si="10"/>
        <v>0.06</v>
      </c>
      <c r="E37" s="9">
        <f t="shared" si="4"/>
        <v>50496785.796151757</v>
      </c>
      <c r="F37" s="9">
        <f t="shared" si="5"/>
        <v>6422055.9551555254</v>
      </c>
      <c r="G37" s="9">
        <f t="shared" si="6"/>
        <v>3223199.093371389</v>
      </c>
      <c r="H37" s="9">
        <f t="shared" si="7"/>
        <v>954597.69654837251</v>
      </c>
      <c r="I37" s="9">
        <f t="shared" si="8"/>
        <v>5467458.2586071528</v>
      </c>
      <c r="J37" s="9">
        <f t="shared" si="9"/>
        <v>273372.91293035762</v>
      </c>
      <c r="K37" s="9">
        <f t="shared" si="2"/>
        <v>46496785.796151757</v>
      </c>
    </row>
    <row r="38" spans="1:11" x14ac:dyDescent="0.2">
      <c r="A38" s="6">
        <f t="shared" si="3"/>
        <v>12</v>
      </c>
      <c r="B38" s="7">
        <f t="shared" si="0"/>
        <v>0.17985878990921372</v>
      </c>
      <c r="C38" s="7">
        <f t="shared" si="1"/>
        <v>8.2014121009078629</v>
      </c>
      <c r="D38" s="8">
        <f t="shared" si="10"/>
        <v>0.06</v>
      </c>
      <c r="E38" s="9">
        <f t="shared" si="4"/>
        <v>46539147.871245496</v>
      </c>
      <c r="F38" s="9">
        <f t="shared" si="5"/>
        <v>6036732.5978461942</v>
      </c>
      <c r="G38" s="9">
        <f t="shared" si="6"/>
        <v>2970583.9066752442</v>
      </c>
      <c r="H38" s="9">
        <f t="shared" si="7"/>
        <v>987054.01823101845</v>
      </c>
      <c r="I38" s="9">
        <f t="shared" si="8"/>
        <v>5049678.5796151757</v>
      </c>
      <c r="J38" s="9">
        <f t="shared" si="9"/>
        <v>252483.92898075879</v>
      </c>
      <c r="K38" s="9">
        <f t="shared" si="2"/>
        <v>42539147.871245496</v>
      </c>
    </row>
    <row r="39" spans="1:11" x14ac:dyDescent="0.2">
      <c r="A39" s="6">
        <f t="shared" si="3"/>
        <v>13</v>
      </c>
      <c r="B39" s="7">
        <f t="shared" si="0"/>
        <v>0.19784466890013511</v>
      </c>
      <c r="C39" s="7">
        <f t="shared" si="1"/>
        <v>8.0215533109986499</v>
      </c>
      <c r="D39" s="8">
        <f t="shared" si="10"/>
        <v>0.06</v>
      </c>
      <c r="E39" s="9">
        <f t="shared" si="4"/>
        <v>42787421.975410946</v>
      </c>
      <c r="F39" s="9">
        <f t="shared" si="5"/>
        <v>5674528.6419754233</v>
      </c>
      <c r="G39" s="9">
        <f t="shared" si="6"/>
        <v>2731112.0409836774</v>
      </c>
      <c r="H39" s="9">
        <f t="shared" si="7"/>
        <v>1020613.8548508734</v>
      </c>
      <c r="I39" s="9">
        <f t="shared" si="8"/>
        <v>4653914.78712455</v>
      </c>
      <c r="J39" s="9">
        <f t="shared" si="9"/>
        <v>232695.73935622748</v>
      </c>
      <c r="K39" s="9">
        <f t="shared" si="2"/>
        <v>38787421.975410946</v>
      </c>
    </row>
    <row r="40" spans="1:11" x14ac:dyDescent="0.2">
      <c r="A40" s="6">
        <f t="shared" si="3"/>
        <v>14</v>
      </c>
      <c r="B40" s="7">
        <f t="shared" si="0"/>
        <v>0.21762913579014861</v>
      </c>
      <c r="C40" s="7">
        <f t="shared" si="1"/>
        <v>7.8237086420985138</v>
      </c>
      <c r="D40" s="8">
        <f t="shared" si="10"/>
        <v>0.06</v>
      </c>
      <c r="E40" s="9">
        <f t="shared" si="4"/>
        <v>39228180.814525433</v>
      </c>
      <c r="F40" s="9">
        <f t="shared" si="5"/>
        <v>5334056.923456897</v>
      </c>
      <c r="G40" s="9">
        <f t="shared" si="6"/>
        <v>2503926.4349697083</v>
      </c>
      <c r="H40" s="9">
        <f t="shared" si="7"/>
        <v>1055314.7259158026</v>
      </c>
      <c r="I40" s="9">
        <f t="shared" si="8"/>
        <v>4278742.1975410944</v>
      </c>
      <c r="J40" s="9">
        <f t="shared" si="9"/>
        <v>213937.10987705473</v>
      </c>
      <c r="K40" s="9">
        <f t="shared" si="2"/>
        <v>35228180.814525433</v>
      </c>
    </row>
    <row r="41" spans="1:11" x14ac:dyDescent="0.2">
      <c r="A41" s="6">
        <f t="shared" si="3"/>
        <v>15</v>
      </c>
      <c r="B41" s="7">
        <f t="shared" si="0"/>
        <v>0.23939204936916347</v>
      </c>
      <c r="C41" s="7">
        <f t="shared" si="1"/>
        <v>7.6060795063083653</v>
      </c>
      <c r="D41" s="8">
        <f t="shared" si="10"/>
        <v>0.06</v>
      </c>
      <c r="E41" s="9">
        <f t="shared" si="4"/>
        <v>35848766.264652781</v>
      </c>
      <c r="F41" s="9">
        <f t="shared" si="5"/>
        <v>5014013.5080494834</v>
      </c>
      <c r="G41" s="9">
        <f t="shared" si="6"/>
        <v>2288219.1232757093</v>
      </c>
      <c r="H41" s="9">
        <f t="shared" si="7"/>
        <v>1091195.42659694</v>
      </c>
      <c r="I41" s="9">
        <f t="shared" si="8"/>
        <v>3922818.0814525434</v>
      </c>
      <c r="J41" s="9">
        <f t="shared" si="9"/>
        <v>196140.90407262716</v>
      </c>
      <c r="K41" s="9">
        <f t="shared" si="2"/>
        <v>31848766.264652781</v>
      </c>
    </row>
    <row r="42" spans="1:11" x14ac:dyDescent="0.2">
      <c r="A42" s="6">
        <f t="shared" si="3"/>
        <v>16</v>
      </c>
      <c r="B42" s="7">
        <f t="shared" si="0"/>
        <v>0.26333125430607984</v>
      </c>
      <c r="C42" s="7">
        <f t="shared" si="1"/>
        <v>7.3666874569392018</v>
      </c>
      <c r="D42" s="8">
        <f t="shared" si="10"/>
        <v>0.06</v>
      </c>
      <c r="E42" s="9">
        <f t="shared" si="4"/>
        <v>32637241.981938455</v>
      </c>
      <c r="F42" s="9">
        <f t="shared" si="5"/>
        <v>4713172.6975665148</v>
      </c>
      <c r="G42" s="9">
        <f t="shared" si="6"/>
        <v>2083228.2116130928</v>
      </c>
      <c r="H42" s="9">
        <f t="shared" si="7"/>
        <v>1128296.0711012366</v>
      </c>
      <c r="I42" s="9">
        <f t="shared" si="8"/>
        <v>3584876.6264652782</v>
      </c>
      <c r="J42" s="9">
        <f t="shared" si="9"/>
        <v>179243.8313232639</v>
      </c>
      <c r="K42" s="9">
        <f t="shared" si="2"/>
        <v>28637241.981938455</v>
      </c>
    </row>
    <row r="43" spans="1:11" x14ac:dyDescent="0.2">
      <c r="A43" s="6">
        <f t="shared" si="3"/>
        <v>17</v>
      </c>
      <c r="B43" s="7">
        <f t="shared" si="0"/>
        <v>0.28966437973668785</v>
      </c>
      <c r="C43" s="7">
        <f t="shared" si="1"/>
        <v>7.1033562026331225</v>
      </c>
      <c r="D43" s="8">
        <f t="shared" si="10"/>
        <v>0.06</v>
      </c>
      <c r="E43" s="9">
        <f t="shared" si="4"/>
        <v>29582348.813754592</v>
      </c>
      <c r="F43" s="9">
        <f t="shared" si="5"/>
        <v>4430382.3357125241</v>
      </c>
      <c r="G43" s="9">
        <f t="shared" si="6"/>
        <v>1888235.0306651865</v>
      </c>
      <c r="H43" s="9">
        <f t="shared" si="7"/>
        <v>1166658.1375186783</v>
      </c>
      <c r="I43" s="9">
        <f t="shared" si="8"/>
        <v>3263724.1981938458</v>
      </c>
      <c r="J43" s="9">
        <f t="shared" si="9"/>
        <v>163186.20990969229</v>
      </c>
      <c r="K43" s="9">
        <f t="shared" si="2"/>
        <v>25582348.813754592</v>
      </c>
    </row>
    <row r="44" spans="1:11" x14ac:dyDescent="0.2">
      <c r="A44" s="6">
        <f t="shared" si="3"/>
        <v>18</v>
      </c>
      <c r="B44" s="7">
        <f t="shared" si="0"/>
        <v>0.31863081771035667</v>
      </c>
      <c r="C44" s="7">
        <f t="shared" si="1"/>
        <v>6.8136918228964323</v>
      </c>
      <c r="D44" s="8">
        <f t="shared" si="10"/>
        <v>0.06</v>
      </c>
      <c r="E44" s="9">
        <f t="shared" si="4"/>
        <v>26673462.841586661</v>
      </c>
      <c r="F44" s="9">
        <f t="shared" si="5"/>
        <v>4164559.3955697725</v>
      </c>
      <c r="G44" s="9">
        <f t="shared" si="6"/>
        <v>1702561.4579736167</v>
      </c>
      <c r="H44" s="9">
        <f t="shared" si="7"/>
        <v>1206324.514194313</v>
      </c>
      <c r="I44" s="9">
        <f t="shared" si="8"/>
        <v>2958234.8813754595</v>
      </c>
      <c r="J44" s="9">
        <f t="shared" si="9"/>
        <v>147911.74406877297</v>
      </c>
      <c r="K44" s="9">
        <f t="shared" si="2"/>
        <v>22673462.841586661</v>
      </c>
    </row>
    <row r="45" spans="1:11" x14ac:dyDescent="0.2">
      <c r="A45" s="6">
        <f t="shared" si="3"/>
        <v>19</v>
      </c>
      <c r="B45" s="7">
        <f t="shared" si="0"/>
        <v>0.35049389948139237</v>
      </c>
      <c r="C45" s="7">
        <f t="shared" si="1"/>
        <v>6.4950610051860753</v>
      </c>
      <c r="D45" s="8">
        <f t="shared" si="10"/>
        <v>0.06</v>
      </c>
      <c r="E45" s="9">
        <f t="shared" si="4"/>
        <v>23900555.896275155</v>
      </c>
      <c r="F45" s="9">
        <f t="shared" si="5"/>
        <v>3914685.8318355875</v>
      </c>
      <c r="G45" s="9">
        <f t="shared" si="6"/>
        <v>1525567.3976345842</v>
      </c>
      <c r="H45" s="9">
        <f t="shared" si="7"/>
        <v>1247339.5476769214</v>
      </c>
      <c r="I45" s="9">
        <f t="shared" si="8"/>
        <v>2667346.2841586662</v>
      </c>
      <c r="J45" s="9">
        <f t="shared" si="9"/>
        <v>133367.31420793332</v>
      </c>
      <c r="K45" s="9">
        <f t="shared" si="2"/>
        <v>19900555.896275155</v>
      </c>
    </row>
    <row r="46" spans="1:11" x14ac:dyDescent="0.2">
      <c r="A46" s="6">
        <f t="shared" si="3"/>
        <v>20</v>
      </c>
      <c r="B46" s="7">
        <f t="shared" si="0"/>
        <v>0.38554328942953164</v>
      </c>
      <c r="C46" s="7">
        <f t="shared" si="1"/>
        <v>6.1445671057046836</v>
      </c>
      <c r="D46" s="8">
        <f t="shared" si="10"/>
        <v>0.06</v>
      </c>
      <c r="E46" s="9">
        <f t="shared" si="4"/>
        <v>21254158.395738583</v>
      </c>
      <c r="F46" s="9">
        <f t="shared" si="5"/>
        <v>3679804.6819254523</v>
      </c>
      <c r="G46" s="9">
        <f t="shared" si="6"/>
        <v>1356648.4082386331</v>
      </c>
      <c r="H46" s="9">
        <f t="shared" si="7"/>
        <v>1289749.0922979368</v>
      </c>
      <c r="I46" s="9">
        <f t="shared" si="8"/>
        <v>2390055.5896275155</v>
      </c>
      <c r="J46" s="9">
        <f t="shared" si="9"/>
        <v>119502.77948137578</v>
      </c>
      <c r="K46" s="9">
        <f t="shared" si="2"/>
        <v>17254158.395738583</v>
      </c>
    </row>
    <row r="47" spans="1:11" x14ac:dyDescent="0.2">
      <c r="A47" s="6">
        <f t="shared" si="3"/>
        <v>21</v>
      </c>
      <c r="B47" s="7">
        <f t="shared" si="0"/>
        <v>0.42409761837248483</v>
      </c>
      <c r="C47" s="7">
        <f t="shared" si="1"/>
        <v>5.7590238162751515</v>
      </c>
      <c r="D47" s="8">
        <f t="shared" si="10"/>
        <v>0.06</v>
      </c>
      <c r="E47" s="9">
        <f t="shared" si="4"/>
        <v>18725324.364244364</v>
      </c>
      <c r="F47" s="9">
        <f t="shared" si="5"/>
        <v>3459016.4010099247</v>
      </c>
      <c r="G47" s="9">
        <f t="shared" si="6"/>
        <v>1195233.4700581508</v>
      </c>
      <c r="H47" s="9">
        <f t="shared" si="7"/>
        <v>1333600.5614360664</v>
      </c>
      <c r="I47" s="9">
        <f t="shared" si="8"/>
        <v>2125415.8395738583</v>
      </c>
      <c r="J47" s="9">
        <f t="shared" si="9"/>
        <v>106270.79197869291</v>
      </c>
      <c r="K47" s="9">
        <f t="shared" si="2"/>
        <v>14725324.364244364</v>
      </c>
    </row>
    <row r="48" spans="1:11" x14ac:dyDescent="0.2">
      <c r="A48" s="6">
        <f t="shared" si="3"/>
        <v>22</v>
      </c>
      <c r="B48" s="7">
        <f t="shared" si="0"/>
        <v>0.46650738020973331</v>
      </c>
      <c r="C48" s="7">
        <f t="shared" si="1"/>
        <v>5.3349261979026679</v>
      </c>
      <c r="D48" s="8">
        <f t="shared" si="10"/>
        <v>0.06</v>
      </c>
      <c r="E48" s="9">
        <f t="shared" si="4"/>
        <v>16305598.500696301</v>
      </c>
      <c r="F48" s="9">
        <f t="shared" si="5"/>
        <v>3251475.416949329</v>
      </c>
      <c r="G48" s="9">
        <f t="shared" si="6"/>
        <v>1040782.8830231682</v>
      </c>
      <c r="H48" s="9">
        <f t="shared" si="7"/>
        <v>1378942.9805248925</v>
      </c>
      <c r="I48" s="9">
        <f t="shared" si="8"/>
        <v>1872532.4364244365</v>
      </c>
      <c r="J48" s="9">
        <f t="shared" si="9"/>
        <v>93626.621821221823</v>
      </c>
      <c r="K48" s="9">
        <f t="shared" si="2"/>
        <v>12305598.500696301</v>
      </c>
    </row>
    <row r="49" spans="1:11" x14ac:dyDescent="0.2">
      <c r="A49" s="6">
        <f t="shared" si="3"/>
        <v>23</v>
      </c>
      <c r="B49" s="7">
        <f t="shared" si="0"/>
        <v>0.51315811823070667</v>
      </c>
      <c r="C49" s="7">
        <f t="shared" si="1"/>
        <v>4.8684188176929331</v>
      </c>
      <c r="D49" s="8">
        <f t="shared" si="10"/>
        <v>0.06</v>
      </c>
      <c r="E49" s="9">
        <f t="shared" si="4"/>
        <v>13986985.17130355</v>
      </c>
      <c r="F49" s="9">
        <f t="shared" si="5"/>
        <v>3056386.8919323683</v>
      </c>
      <c r="G49" s="9">
        <f t="shared" si="6"/>
        <v>892786.28753001383</v>
      </c>
      <c r="H49" s="9">
        <f t="shared" si="7"/>
        <v>1425827.0418627381</v>
      </c>
      <c r="I49" s="9">
        <f t="shared" si="8"/>
        <v>1630559.8500696302</v>
      </c>
      <c r="J49" s="9">
        <f t="shared" si="9"/>
        <v>81527.99250348151</v>
      </c>
      <c r="K49" s="9">
        <f t="shared" si="2"/>
        <v>9986985.1713035498</v>
      </c>
    </row>
    <row r="50" spans="1:11" x14ac:dyDescent="0.2">
      <c r="A50" s="6">
        <f t="shared" si="3"/>
        <v>24</v>
      </c>
      <c r="B50" s="7">
        <f t="shared" si="0"/>
        <v>0.56447393005377733</v>
      </c>
      <c r="C50" s="7">
        <f t="shared" si="1"/>
        <v>4.3552606994622263</v>
      </c>
      <c r="D50" s="8">
        <f t="shared" si="10"/>
        <v>0.06</v>
      </c>
      <c r="E50" s="9">
        <f t="shared" si="4"/>
        <v>11761919.209416429</v>
      </c>
      <c r="F50" s="9">
        <f t="shared" si="5"/>
        <v>2873003.6784164272</v>
      </c>
      <c r="G50" s="9">
        <f t="shared" si="6"/>
        <v>750760.80060104863</v>
      </c>
      <c r="H50" s="9">
        <f t="shared" si="7"/>
        <v>1474305.1612860721</v>
      </c>
      <c r="I50" s="9">
        <f t="shared" si="8"/>
        <v>1398698.5171303551</v>
      </c>
      <c r="J50" s="9">
        <f t="shared" si="9"/>
        <v>69934.925856517744</v>
      </c>
      <c r="K50" s="9">
        <f t="shared" si="2"/>
        <v>7761919.2094164286</v>
      </c>
    </row>
    <row r="51" spans="1:11" x14ac:dyDescent="0.2">
      <c r="A51" s="6">
        <f t="shared" si="3"/>
        <v>25</v>
      </c>
      <c r="B51" s="7">
        <f t="shared" si="0"/>
        <v>0.62092132305915504</v>
      </c>
      <c r="C51" s="7">
        <f t="shared" si="1"/>
        <v>3.7907867694084496</v>
      </c>
      <c r="D51" s="8">
        <f t="shared" si="10"/>
        <v>0.06</v>
      </c>
      <c r="E51" s="9">
        <f t="shared" si="4"/>
        <v>9623238.4122878332</v>
      </c>
      <c r="F51" s="9">
        <f t="shared" si="5"/>
        <v>2700623.4577114414</v>
      </c>
      <c r="G51" s="9">
        <f t="shared" si="6"/>
        <v>614249.26035879785</v>
      </c>
      <c r="H51" s="9">
        <f t="shared" si="7"/>
        <v>1524431.5367697985</v>
      </c>
      <c r="I51" s="9">
        <f t="shared" si="8"/>
        <v>1176191.920941643</v>
      </c>
      <c r="J51" s="9">
        <f t="shared" si="9"/>
        <v>58809.596047082145</v>
      </c>
      <c r="K51" s="9">
        <f t="shared" si="2"/>
        <v>5623238.4122878332</v>
      </c>
    </row>
    <row r="52" spans="1:11" x14ac:dyDescent="0.2">
      <c r="A52" s="6">
        <f t="shared" si="3"/>
        <v>26</v>
      </c>
      <c r="B52" s="7">
        <f t="shared" si="0"/>
        <v>0.68301345536507052</v>
      </c>
      <c r="C52" s="7">
        <f t="shared" si="1"/>
        <v>3.169865446349295</v>
      </c>
      <c r="D52" s="8">
        <f t="shared" si="10"/>
        <v>0.06</v>
      </c>
      <c r="E52" s="9">
        <f t="shared" si="4"/>
        <v>7564157.6310717901</v>
      </c>
      <c r="F52" s="9">
        <f t="shared" si="5"/>
        <v>2538586.0502487547</v>
      </c>
      <c r="G52" s="9">
        <f t="shared" si="6"/>
        <v>482818.57219607173</v>
      </c>
      <c r="H52" s="9">
        <f t="shared" si="7"/>
        <v>1576262.2090199713</v>
      </c>
      <c r="I52" s="9">
        <f t="shared" si="8"/>
        <v>962323.84122878336</v>
      </c>
      <c r="J52" s="9">
        <f t="shared" si="9"/>
        <v>48116.192061439164</v>
      </c>
      <c r="K52" s="9">
        <f t="shared" si="2"/>
        <v>3564157.6310717901</v>
      </c>
    </row>
    <row r="53" spans="1:11" x14ac:dyDescent="0.2">
      <c r="A53" s="6">
        <f t="shared" si="3"/>
        <v>27</v>
      </c>
      <c r="B53" s="7">
        <f t="shared" si="0"/>
        <v>0.75131480090157765</v>
      </c>
      <c r="C53" s="7">
        <f t="shared" si="1"/>
        <v>2.4868519909842233</v>
      </c>
      <c r="D53" s="8">
        <f t="shared" si="10"/>
        <v>0.06</v>
      </c>
      <c r="E53" s="9">
        <f t="shared" si="4"/>
        <v>5578244.3565284321</v>
      </c>
      <c r="F53" s="9">
        <f t="shared" si="5"/>
        <v>2386270.8872338291</v>
      </c>
      <c r="G53" s="9">
        <f t="shared" si="6"/>
        <v>356058.15041670843</v>
      </c>
      <c r="H53" s="9">
        <f t="shared" si="7"/>
        <v>1629855.1241266499</v>
      </c>
      <c r="I53" s="9">
        <f t="shared" si="8"/>
        <v>756415.76310717908</v>
      </c>
      <c r="J53" s="9">
        <f t="shared" si="9"/>
        <v>37820.788155358954</v>
      </c>
      <c r="K53" s="9">
        <f t="shared" si="2"/>
        <v>1578244.3565284321</v>
      </c>
    </row>
    <row r="54" spans="1:11" x14ac:dyDescent="0.2">
      <c r="A54" s="6">
        <f t="shared" si="3"/>
        <v>28</v>
      </c>
      <c r="B54" s="7">
        <f t="shared" si="0"/>
        <v>0.82644628099173545</v>
      </c>
      <c r="C54" s="7">
        <f t="shared" si="1"/>
        <v>1.7355371900826455</v>
      </c>
      <c r="D54" s="8">
        <f t="shared" si="10"/>
        <v>0.06</v>
      </c>
      <c r="E54" s="9">
        <f t="shared" si="4"/>
        <v>3659395.708690586</v>
      </c>
      <c r="F54" s="9">
        <f t="shared" si="5"/>
        <v>2243094.6339998008</v>
      </c>
      <c r="G54" s="9">
        <f t="shared" si="6"/>
        <v>233578.44949088845</v>
      </c>
      <c r="H54" s="9">
        <f t="shared" si="7"/>
        <v>1685270.1983469576</v>
      </c>
      <c r="I54" s="9">
        <f t="shared" si="8"/>
        <v>557824.43565284321</v>
      </c>
      <c r="J54" s="9">
        <f t="shared" si="9"/>
        <v>27891.221782642162</v>
      </c>
      <c r="K54" s="9">
        <f t="shared" si="2"/>
        <v>0</v>
      </c>
    </row>
    <row r="55" spans="1:11" x14ac:dyDescent="0.2">
      <c r="A55" s="6">
        <f t="shared" si="3"/>
        <v>29</v>
      </c>
      <c r="B55" s="7">
        <f t="shared" si="0"/>
        <v>0.90909090909090906</v>
      </c>
      <c r="C55" s="7">
        <f t="shared" si="1"/>
        <v>0.90909090909090939</v>
      </c>
      <c r="D55" s="8">
        <f t="shared" si="10"/>
        <v>0.06</v>
      </c>
      <c r="E55" s="9">
        <f t="shared" si="4"/>
        <v>1801816.7441838421</v>
      </c>
      <c r="F55" s="9">
        <f t="shared" si="5"/>
        <v>2108508.9559598127</v>
      </c>
      <c r="G55" s="9">
        <f t="shared" si="6"/>
        <v>115009.57941598991</v>
      </c>
      <c r="H55" s="9">
        <f t="shared" si="7"/>
        <v>1742569.3850907541</v>
      </c>
      <c r="I55" s="9">
        <f t="shared" si="8"/>
        <v>365939.5708690586</v>
      </c>
      <c r="J55" s="9">
        <f t="shared" si="9"/>
        <v>18296.978543452929</v>
      </c>
      <c r="K55" s="9">
        <f t="shared" si="2"/>
        <v>0</v>
      </c>
    </row>
    <row r="56" spans="1:11" x14ac:dyDescent="0.2">
      <c r="A56" s="6">
        <f t="shared" si="3"/>
        <v>30</v>
      </c>
      <c r="B56" s="7">
        <v>1</v>
      </c>
      <c r="C56" s="7">
        <f t="shared" si="1"/>
        <v>0</v>
      </c>
      <c r="D56" s="8">
        <f t="shared" si="10"/>
        <v>0.06</v>
      </c>
      <c r="E56" s="9">
        <f t="shared" si="4"/>
        <v>6.5658241510391232E-10</v>
      </c>
      <c r="F56" s="9">
        <f t="shared" si="5"/>
        <v>1981998.4186022256</v>
      </c>
      <c r="G56" s="9">
        <f t="shared" si="6"/>
        <v>4.1909515857696532E-11</v>
      </c>
      <c r="H56" s="9">
        <f t="shared" si="7"/>
        <v>1801816.7441838414</v>
      </c>
      <c r="I56" s="9">
        <f t="shared" si="8"/>
        <v>180181.67441838421</v>
      </c>
      <c r="J56" s="9">
        <f t="shared" si="9"/>
        <v>9009.0837209192105</v>
      </c>
      <c r="K56" s="9">
        <f t="shared" si="2"/>
        <v>0</v>
      </c>
    </row>
  </sheetData>
  <phoneticPr fontId="0" type="noConversion"/>
  <pageMargins left="0.75" right="0.75" top="1" bottom="1" header="0.5" footer="0.5"/>
  <pageSetup orientation="portrait" horizontalDpi="300" verticalDpi="300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3"/>
  <sheetViews>
    <sheetView topLeftCell="T20" workbookViewId="0">
      <selection activeCell="M14" sqref="M14:M33"/>
    </sheetView>
  </sheetViews>
  <sheetFormatPr defaultRowHeight="12.75" x14ac:dyDescent="0.2"/>
  <cols>
    <col min="11" max="11" width="14.28515625" bestFit="1" customWidth="1"/>
    <col min="12" max="12" width="32.5703125" customWidth="1"/>
    <col min="13" max="13" width="11.7109375" bestFit="1" customWidth="1"/>
  </cols>
  <sheetData>
    <row r="3" spans="1:20" x14ac:dyDescent="0.2">
      <c r="B3" t="s">
        <v>78</v>
      </c>
      <c r="C3" t="s">
        <v>79</v>
      </c>
      <c r="D3" t="s">
        <v>80</v>
      </c>
      <c r="E3" t="s">
        <v>81</v>
      </c>
      <c r="F3" t="s">
        <v>82</v>
      </c>
      <c r="G3" t="s">
        <v>83</v>
      </c>
      <c r="H3" t="s">
        <v>84</v>
      </c>
      <c r="K3" t="s">
        <v>85</v>
      </c>
      <c r="L3" t="s">
        <v>86</v>
      </c>
      <c r="M3" t="s">
        <v>28</v>
      </c>
    </row>
    <row r="4" spans="1:20" x14ac:dyDescent="0.2">
      <c r="A4">
        <v>1</v>
      </c>
      <c r="B4">
        <f>Tranches!Q80</f>
        <v>10893161.71893</v>
      </c>
      <c r="C4">
        <f>Tranches!W80</f>
        <v>21925716.931200001</v>
      </c>
      <c r="D4">
        <f>Tranches!AC80</f>
        <v>2125000</v>
      </c>
      <c r="E4">
        <f>Tranches!AL80</f>
        <v>0</v>
      </c>
      <c r="F4">
        <f>Tranches!K80</f>
        <v>76308158.840954006</v>
      </c>
      <c r="G4">
        <f>SUM(B4:E4)</f>
        <v>34943878.650130004</v>
      </c>
      <c r="H4">
        <f>F4-G4</f>
        <v>41364280.190824002</v>
      </c>
      <c r="J4">
        <v>1</v>
      </c>
      <c r="K4" s="15">
        <f>((SUM(B4:E4))/(Tranches!O79+Tranches!U79+Tranches!AA79+IF(E4=0,0,Tranches!AG79)))</f>
        <v>7.3222114156312634E-2</v>
      </c>
      <c r="L4" s="22">
        <f>N4-M4-K4</f>
        <v>2.1777885843687367E-2</v>
      </c>
      <c r="M4" s="16">
        <f>Tranches!$C$5</f>
        <v>5.0000000000000001E-3</v>
      </c>
      <c r="N4" s="16">
        <f>Tranches!$C$3</f>
        <v>0.1</v>
      </c>
      <c r="O4">
        <f>H4/Tranches!E79</f>
        <v>5.1496546081246694E-2</v>
      </c>
      <c r="Q4">
        <v>1</v>
      </c>
      <c r="R4" s="16">
        <f>N4</f>
        <v>0.1</v>
      </c>
      <c r="S4" s="16">
        <v>0.01</v>
      </c>
      <c r="T4" s="15">
        <f>K4</f>
        <v>7.3222114156312634E-2</v>
      </c>
    </row>
    <row r="5" spans="1:20" x14ac:dyDescent="0.2">
      <c r="A5">
        <v>2</v>
      </c>
      <c r="B5">
        <f>Tranches!Q81</f>
        <v>9486896.9813350923</v>
      </c>
      <c r="C5">
        <f>Tranches!W81</f>
        <v>21925716.931200001</v>
      </c>
      <c r="D5">
        <f>Tranches!AC81</f>
        <v>2125000</v>
      </c>
      <c r="E5">
        <f>Tranches!AL81</f>
        <v>0</v>
      </c>
      <c r="F5">
        <f>Tranches!K81</f>
        <v>74557169.143788218</v>
      </c>
      <c r="G5">
        <f t="shared" ref="G5:G33" si="0">SUM(B5:E5)</f>
        <v>33537613.912535094</v>
      </c>
      <c r="H5">
        <f t="shared" ref="H5:H33" si="1">F5-G5</f>
        <v>41019555.231253125</v>
      </c>
      <c r="J5">
        <v>2</v>
      </c>
      <c r="K5" s="15">
        <f>((SUM(B5:E5))/(Tranches!O80+Tranches!U80+Tranches!AA80+IF(E5=0,0,Tranches!AG80)))</f>
        <v>7.3314313034114176E-2</v>
      </c>
      <c r="L5" s="22">
        <f t="shared" ref="L5:L33" si="2">N5-M5-K5</f>
        <v>2.1685686965885825E-2</v>
      </c>
      <c r="M5" s="16">
        <f>Tranches!$C$5</f>
        <v>5.0000000000000001E-3</v>
      </c>
      <c r="N5" s="16">
        <f>Tranches!$C$3</f>
        <v>0.1</v>
      </c>
      <c r="O5">
        <f>H5/Tranches!E80</f>
        <v>5.2266707436996573E-2</v>
      </c>
      <c r="Q5">
        <v>2</v>
      </c>
      <c r="R5" s="16">
        <f t="shared" ref="R5:R33" si="3">N5</f>
        <v>0.1</v>
      </c>
      <c r="S5" s="16">
        <v>0.01</v>
      </c>
      <c r="T5" s="15">
        <f t="shared" ref="T5:T33" si="4">K5</f>
        <v>7.3314313034114176E-2</v>
      </c>
    </row>
    <row r="6" spans="1:20" x14ac:dyDescent="0.2">
      <c r="A6">
        <v>3</v>
      </c>
      <c r="B6">
        <f>Tranches!Q82</f>
        <v>6742984.763035045</v>
      </c>
      <c r="C6">
        <f>Tranches!W82</f>
        <v>21925716.931200001</v>
      </c>
      <c r="D6">
        <f>Tranches!AC82</f>
        <v>2125000</v>
      </c>
      <c r="E6">
        <f>Tranches!AL82</f>
        <v>0</v>
      </c>
      <c r="F6">
        <f>Tranches!K82</f>
        <v>71030177.838210702</v>
      </c>
      <c r="G6">
        <f t="shared" si="0"/>
        <v>30793701.694235045</v>
      </c>
      <c r="H6">
        <f t="shared" si="1"/>
        <v>40236476.14397566</v>
      </c>
      <c r="J6">
        <v>3</v>
      </c>
      <c r="K6" s="15">
        <f>((SUM(B6:E6))/(Tranches!O81+Tranches!U81+Tranches!AA81+IF(E6=0,0,Tranches!AG81)))</f>
        <v>7.3519286190794286E-2</v>
      </c>
      <c r="L6" s="22">
        <f t="shared" si="2"/>
        <v>2.1480713809205715E-2</v>
      </c>
      <c r="M6" s="16">
        <f>Tranches!$C$5</f>
        <v>5.0000000000000001E-3</v>
      </c>
      <c r="N6" s="16">
        <f>Tranches!$C$3</f>
        <v>0.1</v>
      </c>
      <c r="O6">
        <f>H6/Tranches!E81</f>
        <v>5.3814665118596838E-2</v>
      </c>
      <c r="Q6">
        <v>3</v>
      </c>
      <c r="R6" s="16">
        <f t="shared" si="3"/>
        <v>0.1</v>
      </c>
      <c r="S6" s="16">
        <v>0.01</v>
      </c>
      <c r="T6" s="15">
        <f t="shared" si="4"/>
        <v>7.3519286190794286E-2</v>
      </c>
    </row>
    <row r="7" spans="1:20" x14ac:dyDescent="0.2">
      <c r="A7">
        <v>4</v>
      </c>
      <c r="B7">
        <f>Tranches!Q83</f>
        <v>2948908.5722102257</v>
      </c>
      <c r="C7">
        <f>Tranches!W83</f>
        <v>21925716.931200001</v>
      </c>
      <c r="D7">
        <f>Tranches!AC83</f>
        <v>2125000</v>
      </c>
      <c r="E7">
        <f>Tranches!AL83</f>
        <v>0</v>
      </c>
      <c r="F7">
        <f>Tranches!K83</f>
        <v>66112397.800102577</v>
      </c>
      <c r="G7">
        <f t="shared" si="0"/>
        <v>26999625.503410228</v>
      </c>
      <c r="H7">
        <f t="shared" si="1"/>
        <v>39112772.296692349</v>
      </c>
      <c r="J7">
        <v>4</v>
      </c>
      <c r="K7" s="15">
        <f>((SUM(B7:E7))/(Tranches!O82+Tranches!U82+Tranches!AA82+IF(E7=0,0,Tranches!AG82)))</f>
        <v>7.3874026258227893E-2</v>
      </c>
      <c r="L7" s="22">
        <f t="shared" si="2"/>
        <v>2.1125973741772108E-2</v>
      </c>
      <c r="M7" s="16">
        <f>Tranches!$C$5</f>
        <v>5.0000000000000001E-3</v>
      </c>
      <c r="N7" s="16">
        <f>Tranches!$C$3</f>
        <v>0.1</v>
      </c>
      <c r="O7">
        <f>H7/Tranches!E82</f>
        <v>5.6202973902423008E-2</v>
      </c>
      <c r="Q7">
        <v>4</v>
      </c>
      <c r="R7" s="16">
        <f t="shared" si="3"/>
        <v>0.1</v>
      </c>
      <c r="S7" s="16">
        <v>0.01</v>
      </c>
      <c r="T7" s="15">
        <f t="shared" si="4"/>
        <v>7.3874026258227893E-2</v>
      </c>
    </row>
    <row r="8" spans="1:20" x14ac:dyDescent="0.2">
      <c r="A8">
        <v>5</v>
      </c>
      <c r="B8">
        <f>Tranches!Q84</f>
        <v>0</v>
      </c>
      <c r="C8">
        <f>Tranches!W84</f>
        <v>21141465.134556159</v>
      </c>
      <c r="D8">
        <f>Tranches!AC84</f>
        <v>2125000</v>
      </c>
      <c r="E8">
        <f>Tranches!AL84</f>
        <v>0</v>
      </c>
      <c r="F8">
        <f>Tranches!K84</f>
        <v>61321749.083245531</v>
      </c>
      <c r="G8">
        <f t="shared" si="0"/>
        <v>23266465.134556159</v>
      </c>
      <c r="H8">
        <f t="shared" si="1"/>
        <v>38055283.948689371</v>
      </c>
      <c r="J8">
        <v>5</v>
      </c>
      <c r="K8" s="15">
        <f>((SUM(B8:E8))/(Tranches!O83+Tranches!U83+Tranches!AA83+IF(E8=0,0,Tranches!AG83)))</f>
        <v>7.4261198814640425E-2</v>
      </c>
      <c r="L8" s="22">
        <f t="shared" si="2"/>
        <v>2.0738801185359576E-2</v>
      </c>
      <c r="M8" s="16">
        <f>Tranches!$C$5</f>
        <v>5.0000000000000001E-3</v>
      </c>
      <c r="N8" s="16">
        <f>Tranches!$C$3</f>
        <v>0.1</v>
      </c>
      <c r="O8">
        <f>H8/Tranches!E83</f>
        <v>5.8955460814036992E-2</v>
      </c>
      <c r="Q8">
        <v>5</v>
      </c>
      <c r="R8" s="16">
        <f t="shared" si="3"/>
        <v>0.1</v>
      </c>
      <c r="S8" s="16">
        <v>0.01</v>
      </c>
      <c r="T8" s="15">
        <f t="shared" si="4"/>
        <v>7.4261198814640425E-2</v>
      </c>
    </row>
    <row r="9" spans="1:20" x14ac:dyDescent="0.2">
      <c r="A9">
        <v>6</v>
      </c>
      <c r="B9">
        <f>Tranches!Q85</f>
        <v>0</v>
      </c>
      <c r="C9">
        <f>Tranches!W85</f>
        <v>17531697.949502304</v>
      </c>
      <c r="D9">
        <f>Tranches!AC85</f>
        <v>2125000</v>
      </c>
      <c r="E9">
        <f>Tranches!AL85</f>
        <v>0</v>
      </c>
      <c r="F9">
        <f>Tranches!K85</f>
        <v>56826282.548550256</v>
      </c>
      <c r="G9">
        <f t="shared" si="0"/>
        <v>19656697.949502304</v>
      </c>
      <c r="H9">
        <f t="shared" si="1"/>
        <v>37169584.599047951</v>
      </c>
      <c r="J9">
        <v>6</v>
      </c>
      <c r="K9" s="15">
        <f>((SUM(B9:E9))/(Tranches!O84+Tranches!U84+Tranches!AA84+IF(E9=0,0,Tranches!AG84)))</f>
        <v>7.4434781048510382E-2</v>
      </c>
      <c r="L9" s="22">
        <f t="shared" si="2"/>
        <v>2.0565218951489619E-2</v>
      </c>
      <c r="M9" s="16">
        <f>Tranches!$C$5</f>
        <v>5.0000000000000001E-3</v>
      </c>
      <c r="N9" s="16">
        <f>Tranches!$C$3</f>
        <v>0.1</v>
      </c>
      <c r="O9">
        <f>H9/Tranches!E84</f>
        <v>6.213868615974847E-2</v>
      </c>
      <c r="Q9">
        <v>6</v>
      </c>
      <c r="R9" s="16">
        <f t="shared" si="3"/>
        <v>0.1</v>
      </c>
      <c r="S9" s="16">
        <v>0.01</v>
      </c>
      <c r="T9" s="15">
        <f t="shared" si="4"/>
        <v>7.4434781048510382E-2</v>
      </c>
    </row>
    <row r="10" spans="1:20" x14ac:dyDescent="0.2">
      <c r="A10">
        <v>7</v>
      </c>
      <c r="B10">
        <f>Tranches!Q86</f>
        <v>0</v>
      </c>
      <c r="C10">
        <f>Tranches!W86</f>
        <v>14122135.523371615</v>
      </c>
      <c r="D10">
        <f>Tranches!AC86</f>
        <v>2125000</v>
      </c>
      <c r="E10">
        <f>Tranches!AL86</f>
        <v>0</v>
      </c>
      <c r="F10">
        <f>Tranches!K86</f>
        <v>52606477.149009518</v>
      </c>
      <c r="G10">
        <f t="shared" si="0"/>
        <v>16247135.523371615</v>
      </c>
      <c r="H10">
        <f t="shared" si="1"/>
        <v>36359341.625637904</v>
      </c>
      <c r="J10">
        <v>7</v>
      </c>
      <c r="K10" s="15">
        <f>((SUM(B10:E10))/(Tranches!O85+Tranches!U85+Tranches!AA85+IF(E10=0,0,Tranches!AG85)))</f>
        <v>7.4670865594796312E-2</v>
      </c>
      <c r="L10" s="22">
        <f t="shared" si="2"/>
        <v>2.0329134405203689E-2</v>
      </c>
      <c r="M10" s="16">
        <f>Tranches!$C$5</f>
        <v>5.0000000000000001E-3</v>
      </c>
      <c r="N10" s="16">
        <f>Tranches!$C$3</f>
        <v>0.1</v>
      </c>
      <c r="O10">
        <f>H10/Tranches!E85</f>
        <v>6.5659927097031168E-2</v>
      </c>
      <c r="Q10">
        <v>7</v>
      </c>
      <c r="R10" s="16">
        <f t="shared" si="3"/>
        <v>0.1</v>
      </c>
      <c r="S10" s="16">
        <v>0.01</v>
      </c>
      <c r="T10" s="15">
        <f t="shared" si="4"/>
        <v>7.4670865594796312E-2</v>
      </c>
    </row>
    <row r="11" spans="1:20" x14ac:dyDescent="0.2">
      <c r="A11">
        <v>8</v>
      </c>
      <c r="B11">
        <f>Tranches!Q87</f>
        <v>0</v>
      </c>
      <c r="C11">
        <f>Tranches!W87</f>
        <v>10897543.638034657</v>
      </c>
      <c r="D11">
        <f>Tranches!AC87</f>
        <v>2125000</v>
      </c>
      <c r="E11">
        <f>Tranches!AL87</f>
        <v>0</v>
      </c>
      <c r="F11">
        <f>Tranches!K87</f>
        <v>48644063.136670113</v>
      </c>
      <c r="G11">
        <f t="shared" si="0"/>
        <v>13022543.638034657</v>
      </c>
      <c r="H11">
        <f t="shared" si="1"/>
        <v>35621519.498635456</v>
      </c>
      <c r="J11">
        <v>8</v>
      </c>
      <c r="K11" s="15">
        <f>((SUM(B11:E11))/(Tranches!O86+Tranches!U86+Tranches!AA86+IF(E11=0,0,Tranches!AG86)))</f>
        <v>7.5010494406576741E-2</v>
      </c>
      <c r="L11" s="22">
        <f t="shared" si="2"/>
        <v>1.998950559342326E-2</v>
      </c>
      <c r="M11" s="16">
        <f>Tranches!$C$5</f>
        <v>5.0000000000000001E-3</v>
      </c>
      <c r="N11" s="16">
        <f>Tranches!$C$3</f>
        <v>0.1</v>
      </c>
      <c r="O11">
        <f>H11/Tranches!E86</f>
        <v>6.9567468960447951E-2</v>
      </c>
      <c r="Q11">
        <v>8</v>
      </c>
      <c r="R11" s="16">
        <f t="shared" si="3"/>
        <v>0.1</v>
      </c>
      <c r="S11" s="16">
        <v>0.01</v>
      </c>
      <c r="T11" s="15">
        <f t="shared" si="4"/>
        <v>7.5010494406576741E-2</v>
      </c>
    </row>
    <row r="12" spans="1:20" x14ac:dyDescent="0.2">
      <c r="A12">
        <v>9</v>
      </c>
      <c r="B12">
        <f>Tranches!Q88</f>
        <v>0</v>
      </c>
      <c r="C12">
        <f>Tranches!W88</f>
        <v>7843489.3852074351</v>
      </c>
      <c r="D12">
        <f>Tranches!AC88</f>
        <v>2125000</v>
      </c>
      <c r="E12">
        <f>Tranches!AL88</f>
        <v>0</v>
      </c>
      <c r="F12">
        <f>Tranches!K88</f>
        <v>44921940.84601105</v>
      </c>
      <c r="G12">
        <f t="shared" si="0"/>
        <v>9968489.3852074351</v>
      </c>
      <c r="H12">
        <f t="shared" si="1"/>
        <v>34953451.460803613</v>
      </c>
      <c r="J12">
        <v>9</v>
      </c>
      <c r="K12" s="15">
        <f>((SUM(B12:E12))/(Tranches!O87+Tranches!U87+Tranches!AA87+IF(E12=0,0,Tranches!AG87)))</f>
        <v>7.5540871518634103E-2</v>
      </c>
      <c r="L12" s="22">
        <f t="shared" si="2"/>
        <v>1.9459128481365898E-2</v>
      </c>
      <c r="M12" s="16">
        <f>Tranches!$C$5</f>
        <v>5.0000000000000001E-3</v>
      </c>
      <c r="N12" s="16">
        <f>Tranches!$C$3</f>
        <v>0.1</v>
      </c>
      <c r="O12">
        <f>H12/Tranches!E87</f>
        <v>7.3918842913734045E-2</v>
      </c>
      <c r="Q12">
        <v>9</v>
      </c>
      <c r="R12" s="16">
        <f t="shared" si="3"/>
        <v>0.1</v>
      </c>
      <c r="S12" s="16">
        <v>0.01</v>
      </c>
      <c r="T12" s="15">
        <f t="shared" si="4"/>
        <v>7.5540871518634103E-2</v>
      </c>
    </row>
    <row r="13" spans="1:20" x14ac:dyDescent="0.2">
      <c r="A13">
        <v>10</v>
      </c>
      <c r="B13">
        <f>Tranches!Q89</f>
        <v>0</v>
      </c>
      <c r="C13">
        <f>Tranches!W89</f>
        <v>4946273.3699795492</v>
      </c>
      <c r="D13">
        <f>Tranches!AC89</f>
        <v>2125000</v>
      </c>
      <c r="E13">
        <f>Tranches!AL89</f>
        <v>0</v>
      </c>
      <c r="F13">
        <f>Tranches!K89</f>
        <v>41424104.740432397</v>
      </c>
      <c r="G13">
        <f t="shared" si="0"/>
        <v>7071273.3699795492</v>
      </c>
      <c r="H13">
        <f t="shared" si="1"/>
        <v>34352831.370452851</v>
      </c>
      <c r="J13">
        <v>10</v>
      </c>
      <c r="K13" s="15">
        <f>((SUM(B13:E13))/(Tranches!O88+Tranches!U88+Tranches!AA88+IF(E13=0,0,Tranches!AG88)))</f>
        <v>7.6485683125857351E-2</v>
      </c>
      <c r="L13" s="22">
        <f t="shared" si="2"/>
        <v>1.851431687414265E-2</v>
      </c>
      <c r="M13" s="16">
        <f>Tranches!$C$5</f>
        <v>5.0000000000000001E-3</v>
      </c>
      <c r="N13" s="16">
        <f>Tranches!$C$3</f>
        <v>0.1</v>
      </c>
      <c r="O13">
        <f>H13/Tranches!E88</f>
        <v>7.8783090199355144E-2</v>
      </c>
      <c r="Q13">
        <v>10</v>
      </c>
      <c r="R13" s="16">
        <f t="shared" si="3"/>
        <v>0.1</v>
      </c>
      <c r="S13" s="16">
        <v>0.01</v>
      </c>
      <c r="T13" s="15">
        <f t="shared" si="4"/>
        <v>7.6485683125857351E-2</v>
      </c>
    </row>
    <row r="14" spans="1:20" x14ac:dyDescent="0.2">
      <c r="A14">
        <v>11</v>
      </c>
      <c r="B14">
        <f>Tranches!Q90</f>
        <v>0</v>
      </c>
      <c r="C14">
        <f>Tranches!W90</f>
        <v>2192864.8920464306</v>
      </c>
      <c r="D14">
        <f>Tranches!AC90</f>
        <v>2125000</v>
      </c>
      <c r="E14">
        <f>Tranches!AL90</f>
        <v>0</v>
      </c>
      <c r="F14">
        <f>Tranches!K90</f>
        <v>38135572.385395333</v>
      </c>
      <c r="G14">
        <f t="shared" si="0"/>
        <v>4317864.8920464311</v>
      </c>
      <c r="H14">
        <f t="shared" si="1"/>
        <v>33817707.493348904</v>
      </c>
      <c r="J14">
        <v>11</v>
      </c>
      <c r="K14" s="15">
        <f>((SUM(B14:E14))/(Tranches!O89+Tranches!U89+Tranches!AA89+IF(E14=0,0,Tranches!AG89)))</f>
        <v>7.8643814452305824E-2</v>
      </c>
      <c r="L14" s="22">
        <f t="shared" si="2"/>
        <v>2.1356185547694181E-2</v>
      </c>
      <c r="M14" s="16">
        <v>0</v>
      </c>
      <c r="N14" s="16">
        <f>Tranches!$C$3</f>
        <v>0.1</v>
      </c>
      <c r="O14">
        <f>H14/Tranches!E89</f>
        <v>8.4243712914572583E-2</v>
      </c>
      <c r="Q14">
        <v>11</v>
      </c>
      <c r="R14" s="16">
        <f t="shared" si="3"/>
        <v>0.1</v>
      </c>
      <c r="S14" s="16">
        <v>0.01</v>
      </c>
      <c r="T14" s="15">
        <f t="shared" si="4"/>
        <v>7.8643814452305824E-2</v>
      </c>
    </row>
    <row r="15" spans="1:20" x14ac:dyDescent="0.2">
      <c r="A15">
        <v>12</v>
      </c>
      <c r="B15">
        <f>Tranches!Q91</f>
        <v>0</v>
      </c>
      <c r="C15">
        <f>Tranches!W91</f>
        <v>0</v>
      </c>
      <c r="D15">
        <f>Tranches!AC91</f>
        <v>1627541.6885055453</v>
      </c>
      <c r="E15">
        <f>Tranches!AL91</f>
        <v>3483575.6471623001</v>
      </c>
      <c r="F15">
        <f>Tranches!K91</f>
        <v>35042318.034785107</v>
      </c>
      <c r="G15">
        <f t="shared" si="0"/>
        <v>5111117.3356678449</v>
      </c>
      <c r="H15">
        <f t="shared" si="1"/>
        <v>29931200.699117262</v>
      </c>
      <c r="J15">
        <v>12</v>
      </c>
      <c r="K15" s="15">
        <f>((SUM(B15:E15))/(Tranches!O90+Tranches!U90+Tranches!AA90+IF(E15=0,0,Tranches!AG90)))</f>
        <v>8.8345182065054151E-2</v>
      </c>
      <c r="L15" s="22">
        <f t="shared" si="2"/>
        <v>1.1654817934945855E-2</v>
      </c>
      <c r="M15" s="16">
        <v>0</v>
      </c>
      <c r="N15" s="16">
        <f>Tranches!$C$3</f>
        <v>0.1</v>
      </c>
      <c r="O15">
        <f>H15/Tranches!E90</f>
        <v>8.1143720674915015E-2</v>
      </c>
      <c r="Q15">
        <v>12</v>
      </c>
      <c r="R15" s="16">
        <f t="shared" si="3"/>
        <v>0.1</v>
      </c>
      <c r="S15" s="16">
        <v>0.01</v>
      </c>
      <c r="T15" s="15">
        <f t="shared" si="4"/>
        <v>8.8345182065054151E-2</v>
      </c>
    </row>
    <row r="16" spans="1:20" x14ac:dyDescent="0.2">
      <c r="A16">
        <v>13</v>
      </c>
      <c r="B16">
        <f>Tranches!Q92</f>
        <v>0</v>
      </c>
      <c r="C16">
        <f>Tranches!W92</f>
        <v>0</v>
      </c>
      <c r="D16">
        <f>Tranches!AC92</f>
        <v>0</v>
      </c>
      <c r="E16">
        <f>Tranches!AL92</f>
        <v>2448963.7703179908</v>
      </c>
      <c r="F16">
        <f>Tranches!K92</f>
        <v>32131210.53906744</v>
      </c>
      <c r="G16">
        <f t="shared" si="0"/>
        <v>2448963.7703179908</v>
      </c>
      <c r="H16">
        <f t="shared" si="1"/>
        <v>29682246.768749449</v>
      </c>
      <c r="J16">
        <v>13</v>
      </c>
      <c r="K16" s="15">
        <f>((SUM(B16:E16))/(Tranches!O91+Tranches!U91+Tranches!AA91+IF(E16=0,0,Tranches!AG91)))</f>
        <v>0.09</v>
      </c>
      <c r="L16" s="22">
        <f t="shared" si="2"/>
        <v>1.0000000000000009E-2</v>
      </c>
      <c r="M16" s="16">
        <v>0</v>
      </c>
      <c r="N16" s="16">
        <f>Tranches!$C$3</f>
        <v>0.1</v>
      </c>
      <c r="O16">
        <f>H16/Tranches!E91</f>
        <v>8.7759327946971236E-2</v>
      </c>
      <c r="Q16">
        <v>13</v>
      </c>
      <c r="R16" s="16">
        <f t="shared" si="3"/>
        <v>0.1</v>
      </c>
      <c r="S16" s="16">
        <v>0.01</v>
      </c>
      <c r="T16" s="15">
        <f t="shared" si="4"/>
        <v>0.09</v>
      </c>
    </row>
    <row r="17" spans="1:20" x14ac:dyDescent="0.2">
      <c r="A17">
        <v>14</v>
      </c>
      <c r="B17">
        <f>Tranches!Q93</f>
        <v>0</v>
      </c>
      <c r="C17">
        <f>Tranches!W93</f>
        <v>0</v>
      </c>
      <c r="D17">
        <f>Tranches!AC93</f>
        <v>0</v>
      </c>
      <c r="E17">
        <f>Tranches!AL93</f>
        <v>0</v>
      </c>
      <c r="F17">
        <f>Tranches!K93</f>
        <v>29389955.305041421</v>
      </c>
      <c r="G17">
        <f t="shared" si="0"/>
        <v>0</v>
      </c>
      <c r="H17">
        <f t="shared" si="1"/>
        <v>29389955.305041421</v>
      </c>
      <c r="J17">
        <v>14</v>
      </c>
      <c r="K17" s="15" t="e">
        <f>((SUM(B17:E17))/(Tranches!O92+Tranches!U92+Tranches!AA92+IF(E17=0,0,Tranches!AG92)))</f>
        <v>#DIV/0!</v>
      </c>
      <c r="L17" s="22" t="e">
        <f t="shared" si="2"/>
        <v>#DIV/0!</v>
      </c>
      <c r="M17" s="16">
        <v>0</v>
      </c>
      <c r="N17" s="16">
        <f>Tranches!$C$3</f>
        <v>0.1</v>
      </c>
      <c r="O17">
        <f>H17/Tranches!E92</f>
        <v>9.5000000000000001E-2</v>
      </c>
      <c r="Q17">
        <v>14</v>
      </c>
      <c r="R17" s="16">
        <f t="shared" si="3"/>
        <v>0.1</v>
      </c>
      <c r="S17" s="16">
        <v>0.01</v>
      </c>
      <c r="T17" s="15" t="e">
        <f t="shared" si="4"/>
        <v>#DIV/0!</v>
      </c>
    </row>
    <row r="18" spans="1:20" x14ac:dyDescent="0.2">
      <c r="A18">
        <v>15</v>
      </c>
      <c r="B18">
        <f>Tranches!Q94</f>
        <v>0</v>
      </c>
      <c r="C18">
        <f>Tranches!W94</f>
        <v>0</v>
      </c>
      <c r="D18">
        <f>Tranches!AC94</f>
        <v>0</v>
      </c>
      <c r="E18">
        <f>Tranches!AL94</f>
        <v>0</v>
      </c>
      <c r="F18">
        <f>Tranches!K94</f>
        <v>26807040.057814464</v>
      </c>
      <c r="G18">
        <f t="shared" si="0"/>
        <v>0</v>
      </c>
      <c r="H18">
        <f t="shared" si="1"/>
        <v>26807040.057814464</v>
      </c>
      <c r="J18">
        <v>15</v>
      </c>
      <c r="K18" s="15" t="e">
        <f>((SUM(B18:E18))/(Tranches!O93+Tranches!U93+Tranches!AA93+IF(E18=0,0,Tranches!AG93)))</f>
        <v>#DIV/0!</v>
      </c>
      <c r="L18" s="22" t="e">
        <f t="shared" si="2"/>
        <v>#DIV/0!</v>
      </c>
      <c r="M18" s="16">
        <v>0</v>
      </c>
      <c r="N18" s="16">
        <f>Tranches!$C$3</f>
        <v>0.1</v>
      </c>
      <c r="O18">
        <f>H18/Tranches!E93</f>
        <v>9.5000000000000001E-2</v>
      </c>
      <c r="Q18">
        <v>15</v>
      </c>
      <c r="R18" s="16">
        <f t="shared" si="3"/>
        <v>0.1</v>
      </c>
      <c r="S18" s="16">
        <v>0.01</v>
      </c>
      <c r="T18" s="15" t="e">
        <f t="shared" si="4"/>
        <v>#DIV/0!</v>
      </c>
    </row>
    <row r="19" spans="1:20" x14ac:dyDescent="0.2">
      <c r="A19">
        <v>16</v>
      </c>
      <c r="B19">
        <f>Tranches!Q95</f>
        <v>0</v>
      </c>
      <c r="C19">
        <f>Tranches!W95</f>
        <v>0</v>
      </c>
      <c r="D19">
        <f>Tranches!AC95</f>
        <v>0</v>
      </c>
      <c r="E19">
        <f>Tranches!AL95</f>
        <v>0</v>
      </c>
      <c r="F19">
        <f>Tranches!K95</f>
        <v>24371684.176536221</v>
      </c>
      <c r="G19">
        <f t="shared" si="0"/>
        <v>0</v>
      </c>
      <c r="H19">
        <f t="shared" si="1"/>
        <v>24371684.176536221</v>
      </c>
      <c r="J19">
        <v>16</v>
      </c>
      <c r="K19" s="15" t="e">
        <f>((SUM(B19:E19))/(Tranches!O94+Tranches!U94+Tranches!AA94+IF(E19=0,0,Tranches!AG94)))</f>
        <v>#DIV/0!</v>
      </c>
      <c r="L19" s="22" t="e">
        <f t="shared" si="2"/>
        <v>#DIV/0!</v>
      </c>
      <c r="M19" s="16">
        <v>0</v>
      </c>
      <c r="N19" s="16">
        <f>Tranches!$C$3</f>
        <v>0.1</v>
      </c>
      <c r="O19">
        <f>H19/Tranches!E94</f>
        <v>9.5000000000000015E-2</v>
      </c>
      <c r="Q19">
        <v>16</v>
      </c>
      <c r="R19" s="16">
        <f t="shared" si="3"/>
        <v>0.1</v>
      </c>
      <c r="S19" s="16">
        <v>0.01</v>
      </c>
      <c r="T19" s="15" t="e">
        <f t="shared" si="4"/>
        <v>#DIV/0!</v>
      </c>
    </row>
    <row r="20" spans="1:20" x14ac:dyDescent="0.2">
      <c r="A20">
        <v>17</v>
      </c>
      <c r="B20">
        <f>Tranches!Q96</f>
        <v>0</v>
      </c>
      <c r="C20">
        <f>Tranches!W96</f>
        <v>0</v>
      </c>
      <c r="D20">
        <f>Tranches!AC96</f>
        <v>0</v>
      </c>
      <c r="E20">
        <f>Tranches!AL96</f>
        <v>0</v>
      </c>
      <c r="F20">
        <f>Tranches!K96</f>
        <v>22073791.397181034</v>
      </c>
      <c r="G20">
        <f t="shared" si="0"/>
        <v>0</v>
      </c>
      <c r="H20">
        <f t="shared" si="1"/>
        <v>22073791.397181034</v>
      </c>
      <c r="J20">
        <v>17</v>
      </c>
      <c r="K20" s="15" t="e">
        <f>((SUM(B20:E20))/(Tranches!O95+Tranches!U95+Tranches!AA95+IF(E20=0,0,Tranches!AG95)))</f>
        <v>#DIV/0!</v>
      </c>
      <c r="L20" s="22" t="e">
        <f t="shared" si="2"/>
        <v>#DIV/0!</v>
      </c>
      <c r="M20" s="16">
        <v>0</v>
      </c>
      <c r="N20" s="16">
        <f>Tranches!$C$3</f>
        <v>0.1</v>
      </c>
      <c r="O20">
        <f>H20/Tranches!E95</f>
        <v>9.5000000000000015E-2</v>
      </c>
      <c r="Q20">
        <v>17</v>
      </c>
      <c r="R20" s="16">
        <f t="shared" si="3"/>
        <v>0.1</v>
      </c>
      <c r="S20" s="16">
        <v>0.01</v>
      </c>
      <c r="T20" s="15" t="e">
        <f t="shared" si="4"/>
        <v>#DIV/0!</v>
      </c>
    </row>
    <row r="21" spans="1:20" x14ac:dyDescent="0.2">
      <c r="A21">
        <v>18</v>
      </c>
      <c r="B21">
        <f>Tranches!Q97</f>
        <v>0</v>
      </c>
      <c r="C21">
        <f>Tranches!W97</f>
        <v>0</v>
      </c>
      <c r="D21">
        <f>Tranches!AC97</f>
        <v>0</v>
      </c>
      <c r="E21">
        <f>Tranches!AL97</f>
        <v>0</v>
      </c>
      <c r="F21">
        <f>Tranches!K97</f>
        <v>19903905.699443091</v>
      </c>
      <c r="G21">
        <f t="shared" si="0"/>
        <v>0</v>
      </c>
      <c r="H21">
        <f t="shared" si="1"/>
        <v>19903905.699443091</v>
      </c>
      <c r="J21">
        <v>18</v>
      </c>
      <c r="K21" s="15" t="e">
        <f>((SUM(B21:E21))/(Tranches!O96+Tranches!U96+Tranches!AA96+IF(E21=0,0,Tranches!AG96)))</f>
        <v>#DIV/0!</v>
      </c>
      <c r="L21" s="22" t="e">
        <f t="shared" si="2"/>
        <v>#DIV/0!</v>
      </c>
      <c r="M21" s="16">
        <v>0</v>
      </c>
      <c r="N21" s="16">
        <f>Tranches!$C$3</f>
        <v>0.1</v>
      </c>
      <c r="O21">
        <f>H21/Tranches!E96</f>
        <v>9.5000000000000015E-2</v>
      </c>
      <c r="Q21">
        <v>18</v>
      </c>
      <c r="R21" s="16">
        <f t="shared" si="3"/>
        <v>0.1</v>
      </c>
      <c r="S21" s="16">
        <v>0.01</v>
      </c>
      <c r="T21" s="15" t="e">
        <f t="shared" si="4"/>
        <v>#DIV/0!</v>
      </c>
    </row>
    <row r="22" spans="1:20" x14ac:dyDescent="0.2">
      <c r="A22">
        <v>19</v>
      </c>
      <c r="B22">
        <f>Tranches!Q98</f>
        <v>0</v>
      </c>
      <c r="C22">
        <f>Tranches!W98</f>
        <v>0</v>
      </c>
      <c r="D22">
        <f>Tranches!AC98</f>
        <v>0</v>
      </c>
      <c r="E22">
        <f>Tranches!AL98</f>
        <v>0</v>
      </c>
      <c r="F22">
        <f>Tranches!K98</f>
        <v>17853170.222559854</v>
      </c>
      <c r="G22">
        <f t="shared" si="0"/>
        <v>0</v>
      </c>
      <c r="H22">
        <f t="shared" si="1"/>
        <v>17853170.222559854</v>
      </c>
      <c r="J22">
        <v>19</v>
      </c>
      <c r="K22" s="15" t="e">
        <f>((SUM(B22:E22))/(Tranches!O97+Tranches!U97+Tranches!AA97+IF(E22=0,0,Tranches!AG97)))</f>
        <v>#DIV/0!</v>
      </c>
      <c r="L22" s="22" t="e">
        <f t="shared" si="2"/>
        <v>#DIV/0!</v>
      </c>
      <c r="M22" s="16">
        <v>0</v>
      </c>
      <c r="N22" s="16">
        <f>Tranches!$C$3</f>
        <v>0.1</v>
      </c>
      <c r="O22">
        <f>H22/Tranches!E97</f>
        <v>9.5000000000000001E-2</v>
      </c>
      <c r="Q22">
        <v>19</v>
      </c>
      <c r="R22" s="16">
        <f t="shared" si="3"/>
        <v>0.1</v>
      </c>
      <c r="S22" s="16">
        <v>0.01</v>
      </c>
      <c r="T22" s="15" t="e">
        <f t="shared" si="4"/>
        <v>#DIV/0!</v>
      </c>
    </row>
    <row r="23" spans="1:20" x14ac:dyDescent="0.2">
      <c r="A23">
        <v>20</v>
      </c>
      <c r="B23">
        <f>Tranches!Q99</f>
        <v>0</v>
      </c>
      <c r="C23">
        <f>Tranches!W99</f>
        <v>0</v>
      </c>
      <c r="D23">
        <f>Tranches!AC99</f>
        <v>0</v>
      </c>
      <c r="E23">
        <f>Tranches!AL99</f>
        <v>0</v>
      </c>
      <c r="F23">
        <f>Tranches!K99</f>
        <v>15913289.089982998</v>
      </c>
      <c r="G23">
        <f t="shared" si="0"/>
        <v>0</v>
      </c>
      <c r="H23">
        <f t="shared" si="1"/>
        <v>15913289.089982998</v>
      </c>
      <c r="J23">
        <v>20</v>
      </c>
      <c r="K23" s="15" t="e">
        <f>((SUM(B23:E23))/(Tranches!O98+Tranches!U98+Tranches!AA98+IF(E23=0,0,Tranches!AG98)))</f>
        <v>#DIV/0!</v>
      </c>
      <c r="L23" s="22" t="e">
        <f t="shared" si="2"/>
        <v>#DIV/0!</v>
      </c>
      <c r="M23" s="16">
        <v>0</v>
      </c>
      <c r="N23" s="16">
        <f>Tranches!$C$3</f>
        <v>0.1</v>
      </c>
      <c r="O23">
        <f>H23/Tranches!E98</f>
        <v>9.5000000000000015E-2</v>
      </c>
      <c r="Q23">
        <v>20</v>
      </c>
      <c r="R23" s="16">
        <f t="shared" si="3"/>
        <v>0.1</v>
      </c>
      <c r="S23" s="16">
        <v>0.01</v>
      </c>
      <c r="T23" s="15" t="e">
        <f t="shared" si="4"/>
        <v>#DIV/0!</v>
      </c>
    </row>
    <row r="24" spans="1:20" x14ac:dyDescent="0.2">
      <c r="A24">
        <v>21</v>
      </c>
      <c r="B24">
        <f>Tranches!Q100</f>
        <v>0</v>
      </c>
      <c r="C24">
        <f>Tranches!W100</f>
        <v>0</v>
      </c>
      <c r="D24">
        <f>Tranches!AC100</f>
        <v>0</v>
      </c>
      <c r="E24">
        <f>Tranches!AL100</f>
        <v>0</v>
      </c>
      <c r="F24">
        <f>Tranches!K100</f>
        <v>14076492.071374085</v>
      </c>
      <c r="G24">
        <f t="shared" si="0"/>
        <v>0</v>
      </c>
      <c r="H24">
        <f t="shared" si="1"/>
        <v>14076492.071374085</v>
      </c>
      <c r="J24">
        <v>21</v>
      </c>
      <c r="K24" s="15" t="e">
        <f>((SUM(B24:E24))/(Tranches!O99+Tranches!U99+Tranches!AA99+IF(E24=0,0,Tranches!AG99)))</f>
        <v>#DIV/0!</v>
      </c>
      <c r="L24" s="22" t="e">
        <f t="shared" si="2"/>
        <v>#DIV/0!</v>
      </c>
      <c r="M24" s="16">
        <v>0</v>
      </c>
      <c r="N24" s="16">
        <f>Tranches!$C$3</f>
        <v>0.1</v>
      </c>
      <c r="O24">
        <f>H24/Tranches!E99</f>
        <v>9.5000000000000001E-2</v>
      </c>
      <c r="Q24">
        <v>21</v>
      </c>
      <c r="R24" s="16">
        <f t="shared" si="3"/>
        <v>0.1</v>
      </c>
      <c r="S24" s="16">
        <v>0.01</v>
      </c>
      <c r="T24" s="15" t="e">
        <f t="shared" si="4"/>
        <v>#DIV/0!</v>
      </c>
    </row>
    <row r="25" spans="1:20" x14ac:dyDescent="0.2">
      <c r="A25">
        <v>22</v>
      </c>
      <c r="B25">
        <f>Tranches!Q101</f>
        <v>0</v>
      </c>
      <c r="C25">
        <f>Tranches!W101</f>
        <v>0</v>
      </c>
      <c r="D25">
        <f>Tranches!AC101</f>
        <v>0</v>
      </c>
      <c r="E25">
        <f>Tranches!AL101</f>
        <v>0</v>
      </c>
      <c r="F25">
        <f>Tranches!K101</f>
        <v>12335502.083992006</v>
      </c>
      <c r="G25">
        <f t="shared" si="0"/>
        <v>0</v>
      </c>
      <c r="H25">
        <f t="shared" si="1"/>
        <v>12335502.083992006</v>
      </c>
      <c r="J25">
        <v>22</v>
      </c>
      <c r="K25" s="15" t="e">
        <f>((SUM(B25:E25))/(Tranches!O100+Tranches!U100+Tranches!AA100+IF(E25=0,0,Tranches!AG100)))</f>
        <v>#DIV/0!</v>
      </c>
      <c r="L25" s="22" t="e">
        <f t="shared" si="2"/>
        <v>#DIV/0!</v>
      </c>
      <c r="M25" s="16">
        <v>0</v>
      </c>
      <c r="N25" s="16">
        <f>Tranches!$C$3</f>
        <v>0.1</v>
      </c>
      <c r="O25">
        <f>H25/Tranches!E100</f>
        <v>9.5000000000000001E-2</v>
      </c>
      <c r="Q25">
        <v>22</v>
      </c>
      <c r="R25" s="16">
        <f t="shared" si="3"/>
        <v>0.1</v>
      </c>
      <c r="S25" s="16">
        <v>0.01</v>
      </c>
      <c r="T25" s="15" t="e">
        <f t="shared" si="4"/>
        <v>#DIV/0!</v>
      </c>
    </row>
    <row r="26" spans="1:20" x14ac:dyDescent="0.2">
      <c r="A26">
        <v>23</v>
      </c>
      <c r="B26">
        <f>Tranches!Q102</f>
        <v>0</v>
      </c>
      <c r="C26">
        <f>Tranches!W102</f>
        <v>0</v>
      </c>
      <c r="D26">
        <f>Tranches!AC102</f>
        <v>0</v>
      </c>
      <c r="E26">
        <f>Tranches!AL102</f>
        <v>0</v>
      </c>
      <c r="F26">
        <f>Tranches!K102</f>
        <v>10683505.657332934</v>
      </c>
      <c r="G26">
        <f t="shared" si="0"/>
        <v>0</v>
      </c>
      <c r="H26">
        <f t="shared" si="1"/>
        <v>10683505.657332934</v>
      </c>
      <c r="J26">
        <v>23</v>
      </c>
      <c r="K26" s="15" t="e">
        <f>((SUM(B26:E26))/(Tranches!O101+Tranches!U101+Tranches!AA101+IF(E26=0,0,Tranches!AG101)))</f>
        <v>#DIV/0!</v>
      </c>
      <c r="L26" s="22" t="e">
        <f t="shared" si="2"/>
        <v>#DIV/0!</v>
      </c>
      <c r="M26" s="16">
        <v>0</v>
      </c>
      <c r="N26" s="16">
        <f>Tranches!$C$3</f>
        <v>0.1</v>
      </c>
      <c r="O26">
        <f>H26/Tranches!E101</f>
        <v>9.4999999999999987E-2</v>
      </c>
      <c r="Q26">
        <v>23</v>
      </c>
      <c r="R26" s="16">
        <f t="shared" si="3"/>
        <v>0.1</v>
      </c>
      <c r="S26" s="16">
        <v>0.01</v>
      </c>
      <c r="T26" s="15" t="e">
        <f t="shared" si="4"/>
        <v>#DIV/0!</v>
      </c>
    </row>
    <row r="27" spans="1:20" x14ac:dyDescent="0.2">
      <c r="A27">
        <v>24</v>
      </c>
      <c r="B27">
        <f>Tranches!Q103</f>
        <v>0</v>
      </c>
      <c r="C27">
        <f>Tranches!W103</f>
        <v>0</v>
      </c>
      <c r="D27">
        <f>Tranches!AC103</f>
        <v>0</v>
      </c>
      <c r="E27">
        <f>Tranches!AL103</f>
        <v>0</v>
      </c>
      <c r="F27">
        <f>Tranches!K103</f>
        <v>9114126.7042306811</v>
      </c>
      <c r="G27">
        <f t="shared" si="0"/>
        <v>0</v>
      </c>
      <c r="H27">
        <f t="shared" si="1"/>
        <v>9114126.7042306811</v>
      </c>
      <c r="J27">
        <v>24</v>
      </c>
      <c r="K27" s="15" t="e">
        <f>((SUM(B27:E27))/(Tranches!O102+Tranches!U102+Tranches!AA102+IF(E27=0,0,Tranches!AG102)))</f>
        <v>#DIV/0!</v>
      </c>
      <c r="L27" s="22" t="e">
        <f t="shared" si="2"/>
        <v>#DIV/0!</v>
      </c>
      <c r="M27" s="16">
        <v>0</v>
      </c>
      <c r="N27" s="16">
        <f>Tranches!$C$3</f>
        <v>0.1</v>
      </c>
      <c r="O27">
        <f>H27/Tranches!E102</f>
        <v>9.5000000000000001E-2</v>
      </c>
      <c r="Q27">
        <v>24</v>
      </c>
      <c r="R27" s="16">
        <f t="shared" si="3"/>
        <v>0.1</v>
      </c>
      <c r="S27" s="16">
        <v>0.01</v>
      </c>
      <c r="T27" s="15" t="e">
        <f t="shared" si="4"/>
        <v>#DIV/0!</v>
      </c>
    </row>
    <row r="28" spans="1:20" x14ac:dyDescent="0.2">
      <c r="A28">
        <v>25</v>
      </c>
      <c r="B28">
        <f>Tranches!Q104</f>
        <v>0</v>
      </c>
      <c r="C28">
        <f>Tranches!W104</f>
        <v>0</v>
      </c>
      <c r="D28">
        <f>Tranches!AC104</f>
        <v>0</v>
      </c>
      <c r="E28">
        <f>Tranches!AL104</f>
        <v>0</v>
      </c>
      <c r="F28">
        <f>Tranches!K104</f>
        <v>7621404.371648618</v>
      </c>
      <c r="G28">
        <f t="shared" si="0"/>
        <v>0</v>
      </c>
      <c r="H28">
        <f t="shared" si="1"/>
        <v>7621404.371648618</v>
      </c>
      <c r="J28">
        <v>25</v>
      </c>
      <c r="K28" s="15" t="e">
        <f>((SUM(B28:E28))/(Tranches!O103+Tranches!U103+Tranches!AA103+IF(E28=0,0,Tranches!AG103)))</f>
        <v>#DIV/0!</v>
      </c>
      <c r="L28" s="22" t="e">
        <f t="shared" si="2"/>
        <v>#DIV/0!</v>
      </c>
      <c r="M28" s="16">
        <v>0</v>
      </c>
      <c r="N28" s="16">
        <f>Tranches!$C$3</f>
        <v>0.1</v>
      </c>
      <c r="O28">
        <f>H28/Tranches!E103</f>
        <v>9.5000000000000001E-2</v>
      </c>
      <c r="Q28">
        <v>25</v>
      </c>
      <c r="R28" s="16">
        <f t="shared" si="3"/>
        <v>0.1</v>
      </c>
      <c r="S28" s="16">
        <v>0.01</v>
      </c>
      <c r="T28" s="15" t="e">
        <f t="shared" si="4"/>
        <v>#DIV/0!</v>
      </c>
    </row>
    <row r="29" spans="1:20" x14ac:dyDescent="0.2">
      <c r="A29">
        <v>26</v>
      </c>
      <c r="B29">
        <f>Tranches!Q105</f>
        <v>0</v>
      </c>
      <c r="C29">
        <f>Tranches!W105</f>
        <v>0</v>
      </c>
      <c r="D29">
        <f>Tranches!AC105</f>
        <v>0</v>
      </c>
      <c r="E29">
        <f>Tranches!AL105</f>
        <v>0</v>
      </c>
      <c r="F29">
        <f>Tranches!K105</f>
        <v>6199776.6688266313</v>
      </c>
      <c r="G29">
        <f t="shared" si="0"/>
        <v>0</v>
      </c>
      <c r="H29">
        <f t="shared" si="1"/>
        <v>6199776.6688266313</v>
      </c>
      <c r="J29">
        <v>26</v>
      </c>
      <c r="K29" s="15" t="e">
        <f>((SUM(B29:E29))/(Tranches!O104+Tranches!U104+Tranches!AA104+IF(E29=0,0,Tranches!AG104)))</f>
        <v>#DIV/0!</v>
      </c>
      <c r="L29" s="22" t="e">
        <f t="shared" si="2"/>
        <v>#DIV/0!</v>
      </c>
      <c r="M29" s="16">
        <v>0</v>
      </c>
      <c r="N29" s="16">
        <f>Tranches!$C$3</f>
        <v>0.1</v>
      </c>
      <c r="O29">
        <f>H29/Tranches!E104</f>
        <v>9.5000000000000001E-2</v>
      </c>
      <c r="Q29">
        <v>26</v>
      </c>
      <c r="R29" s="16">
        <f t="shared" si="3"/>
        <v>0.1</v>
      </c>
      <c r="S29" s="16">
        <v>0.01</v>
      </c>
      <c r="T29" s="15" t="e">
        <f t="shared" si="4"/>
        <v>#DIV/0!</v>
      </c>
    </row>
    <row r="30" spans="1:20" x14ac:dyDescent="0.2">
      <c r="A30">
        <v>27</v>
      </c>
      <c r="B30">
        <f>Tranches!Q106</f>
        <v>0</v>
      </c>
      <c r="C30">
        <f>Tranches!W106</f>
        <v>0</v>
      </c>
      <c r="D30">
        <f>Tranches!AC106</f>
        <v>0</v>
      </c>
      <c r="E30">
        <f>Tranches!AL106</f>
        <v>0</v>
      </c>
      <c r="F30">
        <f>Tranches!K106</f>
        <v>4844073.7865003394</v>
      </c>
      <c r="G30">
        <f t="shared" si="0"/>
        <v>0</v>
      </c>
      <c r="H30">
        <f t="shared" si="1"/>
        <v>4844073.7865003394</v>
      </c>
      <c r="J30">
        <v>27</v>
      </c>
      <c r="K30" s="15" t="e">
        <f>((SUM(B30:E30))/(Tranches!O105+Tranches!U105+Tranches!AA105+IF(E30=0,0,Tranches!AG105)))</f>
        <v>#DIV/0!</v>
      </c>
      <c r="L30" s="22" t="e">
        <f t="shared" si="2"/>
        <v>#DIV/0!</v>
      </c>
      <c r="M30" s="16">
        <v>0</v>
      </c>
      <c r="N30" s="16">
        <f>Tranches!$C$3</f>
        <v>0.1</v>
      </c>
      <c r="O30">
        <f>H30/Tranches!E105</f>
        <v>9.5000000000000001E-2</v>
      </c>
      <c r="Q30">
        <v>27</v>
      </c>
      <c r="R30" s="16">
        <f t="shared" si="3"/>
        <v>0.1</v>
      </c>
      <c r="S30" s="16">
        <v>0.01</v>
      </c>
      <c r="T30" s="15" t="e">
        <f t="shared" si="4"/>
        <v>#DIV/0!</v>
      </c>
    </row>
    <row r="31" spans="1:20" x14ac:dyDescent="0.2">
      <c r="A31">
        <v>28</v>
      </c>
      <c r="B31">
        <f>Tranches!Q107</f>
        <v>0</v>
      </c>
      <c r="C31">
        <f>Tranches!W107</f>
        <v>0</v>
      </c>
      <c r="D31">
        <f>Tranches!AC107</f>
        <v>0</v>
      </c>
      <c r="E31">
        <f>Tranches!AL107</f>
        <v>0</v>
      </c>
      <c r="F31">
        <f>Tranches!K107</f>
        <v>3549531.1288442318</v>
      </c>
      <c r="G31">
        <f t="shared" si="0"/>
        <v>0</v>
      </c>
      <c r="H31">
        <f t="shared" si="1"/>
        <v>3549531.1288442318</v>
      </c>
      <c r="J31">
        <v>28</v>
      </c>
      <c r="K31" s="15" t="e">
        <f>((SUM(B31:E31))/(Tranches!O106+Tranches!U106+Tranches!AA106+IF(E31=0,0,Tranches!AG106)))</f>
        <v>#DIV/0!</v>
      </c>
      <c r="L31" s="22" t="e">
        <f t="shared" si="2"/>
        <v>#DIV/0!</v>
      </c>
      <c r="M31" s="16">
        <v>0</v>
      </c>
      <c r="N31" s="16">
        <f>Tranches!$C$3</f>
        <v>0.1</v>
      </c>
      <c r="O31">
        <f>H31/Tranches!E106</f>
        <v>9.5000000000000001E-2</v>
      </c>
      <c r="Q31">
        <v>28</v>
      </c>
      <c r="R31" s="16">
        <f t="shared" si="3"/>
        <v>0.1</v>
      </c>
      <c r="S31" s="16">
        <v>0.01</v>
      </c>
      <c r="T31" s="15" t="e">
        <f t="shared" si="4"/>
        <v>#DIV/0!</v>
      </c>
    </row>
    <row r="32" spans="1:20" x14ac:dyDescent="0.2">
      <c r="A32">
        <v>29</v>
      </c>
      <c r="B32">
        <f>Tranches!Q108</f>
        <v>0</v>
      </c>
      <c r="C32">
        <f>Tranches!W108</f>
        <v>0</v>
      </c>
      <c r="D32">
        <f>Tranches!AC108</f>
        <v>0</v>
      </c>
      <c r="E32">
        <f>Tranches!AL108</f>
        <v>0</v>
      </c>
      <c r="F32">
        <f>Tranches!K108</f>
        <v>2311852.5188522465</v>
      </c>
      <c r="G32">
        <f t="shared" si="0"/>
        <v>0</v>
      </c>
      <c r="H32">
        <f t="shared" si="1"/>
        <v>2311852.5188522465</v>
      </c>
      <c r="J32">
        <v>29</v>
      </c>
      <c r="K32" s="15" t="e">
        <f>((SUM(B32:E32))/(Tranches!O107+Tranches!U107+Tranches!AA107+IF(E32=0,0,Tranches!AG107)))</f>
        <v>#DIV/0!</v>
      </c>
      <c r="L32" s="22" t="e">
        <f t="shared" si="2"/>
        <v>#DIV/0!</v>
      </c>
      <c r="M32" s="16">
        <v>0</v>
      </c>
      <c r="N32" s="16">
        <f>Tranches!$C$3</f>
        <v>0.1</v>
      </c>
      <c r="O32">
        <f>H32/Tranches!E107</f>
        <v>9.4999999999999987E-2</v>
      </c>
      <c r="Q32">
        <v>29</v>
      </c>
      <c r="R32" s="16">
        <f t="shared" si="3"/>
        <v>0.1</v>
      </c>
      <c r="S32" s="16">
        <v>0.01</v>
      </c>
      <c r="T32" s="15" t="e">
        <f t="shared" si="4"/>
        <v>#DIV/0!</v>
      </c>
    </row>
    <row r="33" spans="1:20" x14ac:dyDescent="0.2">
      <c r="A33">
        <v>30</v>
      </c>
      <c r="B33">
        <f>Tranches!Q109</f>
        <v>0</v>
      </c>
      <c r="C33">
        <f>Tranches!W109</f>
        <v>0</v>
      </c>
      <c r="D33">
        <f>Tranches!AC109</f>
        <v>0</v>
      </c>
      <c r="E33">
        <f>Tranches!AL109</f>
        <v>0</v>
      </c>
      <c r="F33">
        <f>Tranches!K109</f>
        <v>1127446.4381581682</v>
      </c>
      <c r="G33">
        <f t="shared" si="0"/>
        <v>0</v>
      </c>
      <c r="H33">
        <f t="shared" si="1"/>
        <v>1127446.4381581682</v>
      </c>
      <c r="J33">
        <v>30</v>
      </c>
      <c r="K33" s="15" t="e">
        <f>((SUM(B33:E33))/(Tranches!O108+Tranches!U108+Tranches!AA108+IF(E33=0,0,Tranches!AG108)))</f>
        <v>#DIV/0!</v>
      </c>
      <c r="L33" s="22" t="e">
        <f t="shared" si="2"/>
        <v>#DIV/0!</v>
      </c>
      <c r="M33" s="16">
        <v>0</v>
      </c>
      <c r="N33" s="16">
        <f>Tranches!$C$3</f>
        <v>0.1</v>
      </c>
      <c r="O33">
        <f>H33/Tranches!E108</f>
        <v>9.5000000000000015E-2</v>
      </c>
      <c r="Q33">
        <v>30</v>
      </c>
      <c r="R33" s="16">
        <f t="shared" si="3"/>
        <v>0.1</v>
      </c>
      <c r="S33" s="16">
        <v>0.01</v>
      </c>
      <c r="T33" s="15" t="e">
        <f t="shared" si="4"/>
        <v>#DIV/0!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F61" sqref="F61"/>
    </sheetView>
  </sheetViews>
  <sheetFormatPr defaultRowHeight="12.75" x14ac:dyDescent="0.2"/>
  <cols>
    <col min="2" max="2" width="12.7109375" bestFit="1" customWidth="1"/>
    <col min="3" max="3" width="15.85546875" customWidth="1"/>
    <col min="4" max="4" width="11.7109375" customWidth="1"/>
    <col min="5" max="5" width="15.42578125" customWidth="1"/>
    <col min="6" max="6" width="11.7109375" customWidth="1"/>
    <col min="8" max="8" width="12.28515625" bestFit="1" customWidth="1"/>
    <col min="9" max="9" width="12.5703125" customWidth="1"/>
  </cols>
  <sheetData>
    <row r="1" spans="1:12" x14ac:dyDescent="0.2">
      <c r="A1" t="s">
        <v>71</v>
      </c>
      <c r="B1" s="15">
        <v>9.5000000000000001E-2</v>
      </c>
      <c r="C1" s="15"/>
      <c r="D1" s="15"/>
      <c r="E1" s="15"/>
      <c r="F1" s="15"/>
    </row>
    <row r="2" spans="1:12" x14ac:dyDescent="0.2">
      <c r="B2" s="19">
        <v>104000000</v>
      </c>
      <c r="C2" s="19"/>
      <c r="D2" s="19"/>
      <c r="E2" s="19"/>
      <c r="F2" s="19"/>
    </row>
    <row r="3" spans="1:12" x14ac:dyDescent="0.2">
      <c r="H3" t="s">
        <v>72</v>
      </c>
      <c r="I3" t="s">
        <v>73</v>
      </c>
    </row>
    <row r="4" spans="1:12" x14ac:dyDescent="0.2">
      <c r="B4" t="s">
        <v>70</v>
      </c>
      <c r="C4" t="s">
        <v>76</v>
      </c>
      <c r="E4" t="s">
        <v>77</v>
      </c>
      <c r="H4" s="21">
        <f>-1.5*$B$2</f>
        <v>-156000000</v>
      </c>
      <c r="I4" s="21">
        <f>-0.9*$B$2</f>
        <v>-93600000</v>
      </c>
      <c r="K4" t="s">
        <v>75</v>
      </c>
      <c r="L4" t="s">
        <v>74</v>
      </c>
    </row>
    <row r="5" spans="1:12" x14ac:dyDescent="0.2">
      <c r="A5">
        <v>1</v>
      </c>
      <c r="B5">
        <v>0.05</v>
      </c>
      <c r="C5" s="19">
        <f>B5*B2</f>
        <v>5200000</v>
      </c>
      <c r="D5" s="15">
        <f>$B$1-B5</f>
        <v>4.4999999999999998E-2</v>
      </c>
      <c r="E5" s="19">
        <f>D5*($B$2)</f>
        <v>4680000</v>
      </c>
      <c r="F5" s="19">
        <f>C5+E5-I5</f>
        <v>0</v>
      </c>
      <c r="H5" s="21">
        <f>GNMA!H27+GNMA!G27</f>
        <v>1872654.9164546391</v>
      </c>
      <c r="I5" s="21">
        <f>GNMA!I27-GNMA!J27</f>
        <v>9880000</v>
      </c>
      <c r="J5" s="16">
        <v>5</v>
      </c>
      <c r="K5" s="16">
        <f>IRR(H4:H34,0.1)</f>
        <v>-2.9228084693685465E-2</v>
      </c>
      <c r="L5" s="16">
        <f>IRR(I4:I34,0.1)</f>
        <v>3.4153442318259182E-2</v>
      </c>
    </row>
    <row r="6" spans="1:12" x14ac:dyDescent="0.2">
      <c r="A6">
        <v>2</v>
      </c>
      <c r="B6">
        <v>5.0421876442069989E-2</v>
      </c>
      <c r="C6" s="20">
        <f>B6*($B$2-H5)</f>
        <v>5149452.3751591677</v>
      </c>
      <c r="D6" s="15">
        <f t="shared" ref="D6:D34" si="0">$B$1-B6</f>
        <v>4.4578123557930012E-2</v>
      </c>
      <c r="E6" s="20">
        <f>D6*($B$2-H5)</f>
        <v>4552645.407777641</v>
      </c>
      <c r="F6" s="19">
        <f t="shared" ref="F6:F34" si="1">C6+E6-I6</f>
        <v>0</v>
      </c>
      <c r="H6" s="21">
        <f>GNMA!H28+GNMA!G28</f>
        <v>4338968.496416131</v>
      </c>
      <c r="I6" s="21">
        <f>GNMA!I28-GNMA!J28</f>
        <v>9702097.7829368096</v>
      </c>
      <c r="J6" s="16">
        <f>J5-100%</f>
        <v>4</v>
      </c>
      <c r="K6" s="16">
        <v>0.36046216917929663</v>
      </c>
      <c r="L6" s="16">
        <v>0.23000110635777329</v>
      </c>
    </row>
    <row r="7" spans="1:12" x14ac:dyDescent="0.2">
      <c r="A7">
        <v>3</v>
      </c>
      <c r="B7">
        <v>5.0881741011429553E-2</v>
      </c>
      <c r="C7" s="20">
        <f>B7*($B$2-SUM($H$5:H6))</f>
        <v>4975642.8514344515</v>
      </c>
      <c r="D7" s="15">
        <f t="shared" si="0"/>
        <v>4.4118258988570448E-2</v>
      </c>
      <c r="E7" s="20">
        <f>D7*($B$2-SUM($H$5:H6))</f>
        <v>4314252.924342826</v>
      </c>
      <c r="F7" s="19">
        <f t="shared" si="1"/>
        <v>0</v>
      </c>
      <c r="H7" s="21">
        <f>GNMA!H29+GNMA!G29</f>
        <v>6309558.3418661933</v>
      </c>
      <c r="I7" s="21">
        <f>GNMA!I29-GNMA!J29</f>
        <v>9289895.7757772766</v>
      </c>
      <c r="J7" s="16">
        <f>J6-100%</f>
        <v>3</v>
      </c>
      <c r="K7" s="16">
        <v>0.28320317421989022</v>
      </c>
      <c r="L7" s="16">
        <v>0.27925732070120879</v>
      </c>
    </row>
    <row r="8" spans="1:12" x14ac:dyDescent="0.2">
      <c r="A8">
        <v>4</v>
      </c>
      <c r="B8">
        <v>5.1423003691711863E-2</v>
      </c>
      <c r="C8" s="20">
        <f>B8*($B$2-SUM($H$5:H7))</f>
        <v>4704115.6083396003</v>
      </c>
      <c r="D8" s="15">
        <f t="shared" si="0"/>
        <v>4.3576996308288138E-2</v>
      </c>
      <c r="E8" s="20">
        <f>D8*($B$2-SUM($H$5:H7))</f>
        <v>3986372.124960389</v>
      </c>
      <c r="F8" s="19">
        <f t="shared" si="1"/>
        <v>0</v>
      </c>
      <c r="H8" s="21">
        <f>GNMA!H30+GNMA!G30</f>
        <v>6198804.4902176568</v>
      </c>
      <c r="I8" s="21">
        <f>GNMA!I30-GNMA!J30</f>
        <v>8690487.7332999893</v>
      </c>
      <c r="J8" s="16">
        <f>J7-100%</f>
        <v>2</v>
      </c>
      <c r="K8" s="16">
        <v>0.20217283878706724</v>
      </c>
      <c r="L8" s="16">
        <v>0.32922833332951484</v>
      </c>
    </row>
    <row r="9" spans="1:12" x14ac:dyDescent="0.2">
      <c r="A9">
        <v>5</v>
      </c>
      <c r="B9">
        <v>5.23751137442975E-2</v>
      </c>
      <c r="C9" s="20">
        <f>B9*($B$2-SUM($H$5:H8))</f>
        <v>4466550.4205357572</v>
      </c>
      <c r="D9" s="15">
        <f t="shared" si="0"/>
        <v>4.2624886255702502E-2</v>
      </c>
      <c r="E9" s="20">
        <f>D9*($B$2-SUM($H$5:H8))</f>
        <v>3635050.8861935544</v>
      </c>
      <c r="F9" s="19">
        <f t="shared" si="1"/>
        <v>0</v>
      </c>
      <c r="H9" s="21">
        <f>GNMA!H31+GNMA!G31</f>
        <v>5851018.784251662</v>
      </c>
      <c r="I9" s="21">
        <f>GNMA!I31-GNMA!J31</f>
        <v>8101601.3067293111</v>
      </c>
      <c r="J9" s="16">
        <f>J8-100%</f>
        <v>1</v>
      </c>
      <c r="K9" s="16">
        <v>0.11934359195902325</v>
      </c>
      <c r="L9" s="16">
        <v>0.37984681405375736</v>
      </c>
    </row>
    <row r="10" spans="1:12" x14ac:dyDescent="0.2">
      <c r="A10">
        <v>6</v>
      </c>
      <c r="B10">
        <v>5.3259267187842525E-2</v>
      </c>
      <c r="C10" s="20">
        <f>B10*($B$2-SUM($H$5:H9))</f>
        <v>4230330.0656113029</v>
      </c>
      <c r="D10" s="15">
        <f t="shared" si="0"/>
        <v>4.1740732812157476E-2</v>
      </c>
      <c r="E10" s="20">
        <f>D10*($B$2-SUM($H$5:H9))</f>
        <v>3315424.4566141008</v>
      </c>
      <c r="F10" s="19">
        <f t="shared" si="1"/>
        <v>0</v>
      </c>
      <c r="H10" s="21">
        <f>GNMA!H32+GNMA!G32</f>
        <v>5524921.0678008264</v>
      </c>
      <c r="I10" s="21">
        <f>GNMA!I32-GNMA!J32</f>
        <v>7545754.5222254042</v>
      </c>
      <c r="J10" s="16">
        <f>J9-100%</f>
        <v>0</v>
      </c>
      <c r="K10" s="16">
        <v>5.1333827147738632E-2</v>
      </c>
      <c r="L10" s="16">
        <v>0.43105050174745885</v>
      </c>
    </row>
    <row r="11" spans="1:12" x14ac:dyDescent="0.2">
      <c r="A11">
        <v>7</v>
      </c>
      <c r="B11">
        <v>5.3741563243508053E-2</v>
      </c>
      <c r="C11" s="20">
        <f>B11*($B$2-SUM($H$5:H10))</f>
        <v>3971720.4616105855</v>
      </c>
      <c r="D11" s="15">
        <f t="shared" si="0"/>
        <v>4.1258436756491948E-2</v>
      </c>
      <c r="E11" s="20">
        <f>D11*($B$2-SUM($H$5:H10))</f>
        <v>3049166.559173739</v>
      </c>
      <c r="F11" s="19">
        <f t="shared" si="1"/>
        <v>0</v>
      </c>
      <c r="H11" s="21">
        <f>GNMA!H33+GNMA!G33</f>
        <v>5219237.9702975843</v>
      </c>
      <c r="I11" s="21">
        <f>GNMA!I33-GNMA!J33</f>
        <v>7020887.0207843259</v>
      </c>
    </row>
    <row r="12" spans="1:12" x14ac:dyDescent="0.2">
      <c r="A12">
        <v>8</v>
      </c>
      <c r="B12">
        <v>5.4582452934676208E-2</v>
      </c>
      <c r="C12" s="20">
        <f>B12*($B$2-SUM($H$5:H11))</f>
        <v>3748986.8246222986</v>
      </c>
      <c r="D12" s="15">
        <f t="shared" si="0"/>
        <v>4.0417547065323793E-2</v>
      </c>
      <c r="E12" s="20">
        <f>D12*($B$2-SUM($H$5:H11))</f>
        <v>2776072.5889837551</v>
      </c>
      <c r="F12" s="19">
        <f t="shared" si="1"/>
        <v>0</v>
      </c>
      <c r="H12" s="21">
        <f>GNMA!H34+GNMA!G34</f>
        <v>4932773.4723077416</v>
      </c>
      <c r="I12" s="21">
        <f>GNMA!I34-GNMA!J34</f>
        <v>6525059.4136060551</v>
      </c>
    </row>
    <row r="13" spans="1:12" x14ac:dyDescent="0.2">
      <c r="A13">
        <v>9</v>
      </c>
      <c r="B13">
        <v>5.5171436897156298E-2</v>
      </c>
      <c r="C13" s="20">
        <f>B13*($B$2-SUM($H$5:H12))</f>
        <v>3517292.8910968392</v>
      </c>
      <c r="D13" s="15">
        <f t="shared" si="0"/>
        <v>3.9828563102843703E-2</v>
      </c>
      <c r="E13" s="20">
        <f>D13*($B$2-SUM($H$5:H12))</f>
        <v>2539153.0426399792</v>
      </c>
      <c r="F13" s="19">
        <f t="shared" si="1"/>
        <v>0</v>
      </c>
      <c r="H13" s="21">
        <f>GNMA!H35+GNMA!G35</f>
        <v>4664404.2967250431</v>
      </c>
      <c r="I13" s="21">
        <f>GNMA!I35-GNMA!J35</f>
        <v>6056445.9337368198</v>
      </c>
    </row>
    <row r="14" spans="1:12" x14ac:dyDescent="0.2">
      <c r="A14">
        <v>10</v>
      </c>
      <c r="B14">
        <v>5.5794259414103785E-2</v>
      </c>
      <c r="C14" s="20">
        <f>B14*($B$2-SUM($H$5:H13))</f>
        <v>3296752.1277552741</v>
      </c>
      <c r="D14" s="15">
        <f t="shared" si="0"/>
        <v>3.9205740585896216E-2</v>
      </c>
      <c r="E14" s="20">
        <f>D14*($B$2-SUM($H$5:H13))</f>
        <v>2316575.3977926658</v>
      </c>
      <c r="F14" s="19">
        <f t="shared" si="1"/>
        <v>0</v>
      </c>
      <c r="H14" s="21">
        <f>GNMA!H36+GNMA!G36</f>
        <v>4413075.5775910011</v>
      </c>
      <c r="I14" s="21">
        <f>GNMA!I36-GNMA!J36</f>
        <v>5613327.5255479403</v>
      </c>
    </row>
    <row r="15" spans="1:12" x14ac:dyDescent="0.2">
      <c r="A15">
        <v>11</v>
      </c>
      <c r="B15">
        <v>5.6745525355389133E-2</v>
      </c>
      <c r="C15" s="20">
        <f>B15*($B$2-SUM($H$5:H14))</f>
        <v>3102537.9124332387</v>
      </c>
      <c r="D15" s="15">
        <f t="shared" si="0"/>
        <v>3.8254474644610868E-2</v>
      </c>
      <c r="E15" s="20">
        <f>D15*($B$2-SUM($H$5:H14))</f>
        <v>2091547.4332435559</v>
      </c>
      <c r="F15" s="19">
        <f t="shared" si="1"/>
        <v>0</v>
      </c>
      <c r="H15" s="21">
        <f>GNMA!H37+GNMA!G37</f>
        <v>4177796.7899197615</v>
      </c>
      <c r="I15" s="21">
        <f>GNMA!I37-GNMA!J37</f>
        <v>5194085.3456767956</v>
      </c>
    </row>
    <row r="16" spans="1:12" x14ac:dyDescent="0.2">
      <c r="A16">
        <v>12</v>
      </c>
      <c r="B16">
        <v>5.7339661718780112E-2</v>
      </c>
      <c r="C16" s="20">
        <f>B16*($B$2-SUM($H$5:H15))</f>
        <v>2895468.6154370424</v>
      </c>
      <c r="D16" s="15">
        <f t="shared" si="0"/>
        <v>3.7660338281219889E-2</v>
      </c>
      <c r="E16" s="20">
        <f>D16*($B$2-SUM($H$5:H15))</f>
        <v>1901726.0351973749</v>
      </c>
      <c r="F16" s="19">
        <f t="shared" si="1"/>
        <v>0</v>
      </c>
      <c r="H16" s="21">
        <f>GNMA!H38+GNMA!G38</f>
        <v>3957637.9249062627</v>
      </c>
      <c r="I16" s="21">
        <f>GNMA!I38-GNMA!J38</f>
        <v>4797194.6506344173</v>
      </c>
    </row>
    <row r="17" spans="1:9" x14ac:dyDescent="0.2">
      <c r="A17">
        <v>13</v>
      </c>
      <c r="B17">
        <v>5.7564213581561698E-2</v>
      </c>
      <c r="C17" s="20">
        <f>B17*($B$2-SUM($H$5:H16))</f>
        <v>2678989.447964258</v>
      </c>
      <c r="D17" s="15">
        <f t="shared" si="0"/>
        <v>3.7435786418438304E-2</v>
      </c>
      <c r="E17" s="20">
        <f>D17*($B$2-SUM($H$5:H16))</f>
        <v>1742229.599804064</v>
      </c>
      <c r="F17" s="19">
        <f t="shared" si="1"/>
        <v>0</v>
      </c>
      <c r="H17" s="21">
        <f>GNMA!H39+GNMA!G39</f>
        <v>3751725.8958345507</v>
      </c>
      <c r="I17" s="21">
        <f>GNMA!I39-GNMA!J39</f>
        <v>4421219.0477683228</v>
      </c>
    </row>
    <row r="18" spans="1:9" x14ac:dyDescent="0.2">
      <c r="A18">
        <v>14</v>
      </c>
      <c r="B18">
        <v>5.8099384959532069E-2</v>
      </c>
      <c r="C18" s="20">
        <f>B18*($B$2-SUM($H$5:H17))</f>
        <v>2485922.9007753427</v>
      </c>
      <c r="D18" s="15">
        <f t="shared" si="0"/>
        <v>3.6900615040467932E-2</v>
      </c>
      <c r="E18" s="20">
        <f>D18*($B$2-SUM($H$5:H17))</f>
        <v>1578882.1868886973</v>
      </c>
      <c r="F18" s="19">
        <f t="shared" si="1"/>
        <v>0</v>
      </c>
      <c r="H18" s="21">
        <f>GNMA!H40+GNMA!G40</f>
        <v>3559241.160885511</v>
      </c>
      <c r="I18" s="21">
        <f>GNMA!I40-GNMA!J40</f>
        <v>4064805.0876640398</v>
      </c>
    </row>
    <row r="19" spans="1:9" x14ac:dyDescent="0.2">
      <c r="A19">
        <v>15</v>
      </c>
      <c r="B19">
        <v>5.8228815006535393E-2</v>
      </c>
      <c r="C19" s="20">
        <f>B19*($B$2-SUM($H$5:H18))</f>
        <v>2284210.4836919224</v>
      </c>
      <c r="D19" s="15">
        <f t="shared" si="0"/>
        <v>3.6771184993464608E-2</v>
      </c>
      <c r="E19" s="20">
        <f>D19*($B$2-SUM($H$5:H18))</f>
        <v>1442466.6936879938</v>
      </c>
      <c r="F19" s="19">
        <f t="shared" si="1"/>
        <v>0</v>
      </c>
      <c r="H19" s="21">
        <f>GNMA!H41+GNMA!G41</f>
        <v>3379414.5498726494</v>
      </c>
      <c r="I19" s="21">
        <f>GNMA!I41-GNMA!J41</f>
        <v>3726677.1773799164</v>
      </c>
    </row>
    <row r="20" spans="1:9" x14ac:dyDescent="0.2">
      <c r="A20">
        <v>16</v>
      </c>
      <c r="B20">
        <v>5.8572633626189669E-2</v>
      </c>
      <c r="C20" s="20">
        <f>B20*($B$2-SUM($H$5:H19))</f>
        <v>2099756.6523704156</v>
      </c>
      <c r="D20" s="15">
        <f t="shared" si="0"/>
        <v>3.6427366373810333E-2</v>
      </c>
      <c r="E20" s="20">
        <f>D20*($B$2-SUM($H$5:H19))</f>
        <v>1305876.1427715993</v>
      </c>
      <c r="F20" s="19">
        <f t="shared" si="1"/>
        <v>0</v>
      </c>
      <c r="H20" s="21">
        <f>GNMA!H42+GNMA!G42</f>
        <v>3211524.2827143297</v>
      </c>
      <c r="I20" s="21">
        <f>GNMA!I42-GNMA!J42</f>
        <v>3405632.7951420145</v>
      </c>
    </row>
    <row r="21" spans="1:9" x14ac:dyDescent="0.2">
      <c r="A21">
        <v>17</v>
      </c>
      <c r="B21">
        <v>5.9426624250819682E-2</v>
      </c>
      <c r="C21" s="20">
        <f>B21*($B$2-SUM($H$5:H20))</f>
        <v>1939521.1158437338</v>
      </c>
      <c r="D21" s="15">
        <f t="shared" si="0"/>
        <v>3.5573375749180319E-2</v>
      </c>
      <c r="E21" s="20">
        <f>D21*($B$2-SUM($H$5:H20))</f>
        <v>1161016.8724404192</v>
      </c>
      <c r="F21" s="19">
        <f t="shared" si="1"/>
        <v>0</v>
      </c>
      <c r="H21" s="21">
        <f>GNMA!H43+GNMA!G43</f>
        <v>3054893.168183865</v>
      </c>
      <c r="I21" s="21">
        <f>GNMA!I43-GNMA!J43</f>
        <v>3100537.9882841534</v>
      </c>
    </row>
    <row r="22" spans="1:9" x14ac:dyDescent="0.2">
      <c r="A22">
        <v>18</v>
      </c>
      <c r="B22">
        <v>5.9679875742208607E-2</v>
      </c>
      <c r="C22" s="20">
        <f>B22*($B$2-SUM($H$5:H21))</f>
        <v>1765470.9013675461</v>
      </c>
      <c r="D22" s="15">
        <f t="shared" si="0"/>
        <v>3.5320124257791394E-2</v>
      </c>
      <c r="E22" s="20">
        <f>D22*($B$2-SUM($H$5:H21))</f>
        <v>1044852.2359391398</v>
      </c>
      <c r="F22" s="19">
        <f t="shared" si="1"/>
        <v>0</v>
      </c>
      <c r="H22" s="21">
        <f>GNMA!H44+GNMA!G44</f>
        <v>2908885.9721679296</v>
      </c>
      <c r="I22" s="21">
        <f>GNMA!I44-GNMA!J44</f>
        <v>2810323.1373066865</v>
      </c>
    </row>
    <row r="23" spans="1:9" x14ac:dyDescent="0.2">
      <c r="A23">
        <v>19</v>
      </c>
      <c r="B23">
        <v>6.0074099672812672E-2</v>
      </c>
      <c r="C23" s="20">
        <f>B23*($B$2-SUM($H$5:H22))</f>
        <v>1602384.2653645424</v>
      </c>
      <c r="D23" s="15">
        <f t="shared" si="0"/>
        <v>3.4925900327187329E-2</v>
      </c>
      <c r="E23" s="20">
        <f>D23*($B$2-SUM($H$5:H22))</f>
        <v>931594.70458619075</v>
      </c>
      <c r="F23" s="19">
        <f t="shared" si="1"/>
        <v>0</v>
      </c>
      <c r="H23" s="21">
        <f>GNMA!H45+GNMA!G45</f>
        <v>2772906.9453115053</v>
      </c>
      <c r="I23" s="21">
        <f>GNMA!I45-GNMA!J45</f>
        <v>2533978.9699507328</v>
      </c>
    </row>
    <row r="24" spans="1:9" x14ac:dyDescent="0.2">
      <c r="A24">
        <v>20</v>
      </c>
      <c r="B24">
        <v>6.0958649135303619E-2</v>
      </c>
      <c r="C24" s="20">
        <f>B24*($B$2-SUM($H$5:H23))</f>
        <v>1456945.6010197497</v>
      </c>
      <c r="D24" s="15">
        <f t="shared" si="0"/>
        <v>3.4041350864696382E-2</v>
      </c>
      <c r="E24" s="20">
        <f>D24*($B$2-SUM($H$5:H23))</f>
        <v>813607.20912639075</v>
      </c>
      <c r="F24" s="19">
        <f t="shared" si="1"/>
        <v>0</v>
      </c>
      <c r="H24" s="21">
        <f>GNMA!H46+GNMA!G46</f>
        <v>2646397.5005365699</v>
      </c>
      <c r="I24" s="21">
        <f>GNMA!I46-GNMA!J46</f>
        <v>2270552.8101461399</v>
      </c>
    </row>
    <row r="25" spans="1:9" x14ac:dyDescent="0.2">
      <c r="A25">
        <v>21</v>
      </c>
      <c r="B25">
        <v>6.1330247258877889E-2</v>
      </c>
      <c r="C25" s="20">
        <f>B25*($B$2-SUM($H$5:H24))</f>
        <v>1303522.789690003</v>
      </c>
      <c r="D25" s="15">
        <f t="shared" si="0"/>
        <v>3.3669752741122112E-2</v>
      </c>
      <c r="E25" s="20">
        <f>D25*($B$2-SUM($H$5:H24))</f>
        <v>715622.25790516287</v>
      </c>
      <c r="F25" s="19">
        <f t="shared" si="1"/>
        <v>0</v>
      </c>
      <c r="H25" s="21">
        <f>GNMA!H47+GNMA!G47</f>
        <v>2528834.031494217</v>
      </c>
      <c r="I25" s="21">
        <f>GNMA!I47-GNMA!J47</f>
        <v>2019145.0475951654</v>
      </c>
    </row>
    <row r="26" spans="1:9" x14ac:dyDescent="0.2">
      <c r="A26">
        <v>22</v>
      </c>
      <c r="B26">
        <v>6.2006745881753256E-2</v>
      </c>
      <c r="C26" s="20">
        <f>B26*($B$2-SUM($H$5:H25))</f>
        <v>1161096.4294071037</v>
      </c>
      <c r="D26" s="15">
        <f t="shared" si="0"/>
        <v>3.2993254118246745E-2</v>
      </c>
      <c r="E26" s="20">
        <f>D26*($B$2-SUM($H$5:H25))</f>
        <v>617809.38519611175</v>
      </c>
      <c r="F26" s="19">
        <f t="shared" si="1"/>
        <v>0</v>
      </c>
      <c r="H26" s="21">
        <f>GNMA!H48+GNMA!G48</f>
        <v>2419725.8635480609</v>
      </c>
      <c r="I26" s="21">
        <f>GNMA!I48-GNMA!J48</f>
        <v>1778905.8146032146</v>
      </c>
    </row>
    <row r="27" spans="1:9" x14ac:dyDescent="0.2">
      <c r="A27">
        <v>23</v>
      </c>
      <c r="B27">
        <v>6.2111048140707434E-2</v>
      </c>
      <c r="C27" s="20">
        <f>B27*($B$2-SUM($H$5:H26))</f>
        <v>1012757.8134397959</v>
      </c>
      <c r="D27" s="15">
        <f t="shared" si="0"/>
        <v>3.2888951859292567E-2</v>
      </c>
      <c r="E27" s="20">
        <f>D27*($B$2-SUM($H$5:H26))</f>
        <v>536274.04412635416</v>
      </c>
      <c r="F27" s="19">
        <f t="shared" si="1"/>
        <v>0</v>
      </c>
      <c r="H27" s="21">
        <f>GNMA!H49+GNMA!G49</f>
        <v>2318613.3293927517</v>
      </c>
      <c r="I27" s="21">
        <f>GNMA!I49-GNMA!J49</f>
        <v>1549031.8575661487</v>
      </c>
    </row>
    <row r="28" spans="1:9" x14ac:dyDescent="0.2">
      <c r="A28">
        <v>24</v>
      </c>
      <c r="B28">
        <v>6.267486032970479E-2</v>
      </c>
      <c r="C28" s="20">
        <f>B28*($B$2-SUM($H$5:H27))</f>
        <v>876632.34204510332</v>
      </c>
      <c r="D28" s="15">
        <f t="shared" si="0"/>
        <v>3.2325139670295211E-2</v>
      </c>
      <c r="E28" s="20">
        <f>D28*($B$2-SUM($H$5:H27))</f>
        <v>452131.24922873592</v>
      </c>
      <c r="F28" s="19">
        <f t="shared" si="1"/>
        <v>1.862645149230957E-9</v>
      </c>
      <c r="H28" s="21">
        <f>GNMA!H50+GNMA!G50</f>
        <v>2225065.9618871207</v>
      </c>
      <c r="I28" s="21">
        <f>GNMA!I50-GNMA!J50</f>
        <v>1328763.5912738373</v>
      </c>
    </row>
    <row r="29" spans="1:9" x14ac:dyDescent="0.2">
      <c r="A29">
        <v>25</v>
      </c>
      <c r="B29">
        <v>6.3085695472757372E-2</v>
      </c>
      <c r="C29" s="20">
        <f>B29*($B$2-SUM($H$5:H28))</f>
        <v>742008.85342042125</v>
      </c>
      <c r="D29" s="15">
        <f t="shared" si="0"/>
        <v>3.1914304527242629E-2</v>
      </c>
      <c r="E29" s="20">
        <f>D29*($B$2-SUM($H$5:H28))</f>
        <v>375373.47147414141</v>
      </c>
      <c r="F29" s="19">
        <f t="shared" si="1"/>
        <v>1.862645149230957E-9</v>
      </c>
      <c r="H29" s="21">
        <f>GNMA!H51+GNMA!G51</f>
        <v>2138680.7971285963</v>
      </c>
      <c r="I29" s="21">
        <f>GNMA!I51-GNMA!J51</f>
        <v>1117382.3248945607</v>
      </c>
    </row>
    <row r="30" spans="1:9" x14ac:dyDescent="0.2">
      <c r="A30">
        <v>26</v>
      </c>
      <c r="B30">
        <v>6.3108962392172355E-2</v>
      </c>
      <c r="C30" s="20">
        <f>B30*($B$2-SUM($H$5:H29))</f>
        <v>607312.59105198213</v>
      </c>
      <c r="D30" s="15">
        <f t="shared" si="0"/>
        <v>3.1891037607827646E-2</v>
      </c>
      <c r="E30" s="20">
        <f>D30*($B$2-SUM($H$5:H29))</f>
        <v>306895.0581153633</v>
      </c>
      <c r="F30" s="19">
        <f t="shared" si="1"/>
        <v>1.1641532182693481E-9</v>
      </c>
      <c r="H30" s="21">
        <f>GNMA!H52+GNMA!G52</f>
        <v>2059080.781216043</v>
      </c>
      <c r="I30" s="21">
        <f>GNMA!I52-GNMA!J52</f>
        <v>914207.64916734421</v>
      </c>
    </row>
    <row r="31" spans="1:9" x14ac:dyDescent="0.2">
      <c r="A31">
        <v>27</v>
      </c>
      <c r="B31">
        <v>6.3824704966773171E-2</v>
      </c>
      <c r="C31" s="20">
        <f>B31*($B$2-SUM($H$5:H30))</f>
        <v>482780.1291253239</v>
      </c>
      <c r="D31" s="15">
        <f t="shared" si="0"/>
        <v>3.117529503322683E-2</v>
      </c>
      <c r="E31" s="20">
        <f>D31*($B$2-SUM($H$5:H30))</f>
        <v>235814.84582649768</v>
      </c>
      <c r="F31" s="19">
        <f t="shared" si="1"/>
        <v>1.5133991837501526E-9</v>
      </c>
      <c r="H31" s="21">
        <f>GNMA!H53+GNMA!G53</f>
        <v>1985913.2745433585</v>
      </c>
      <c r="I31" s="21">
        <f>GNMA!I53-GNMA!J53</f>
        <v>718594.9749518201</v>
      </c>
    </row>
    <row r="32" spans="1:9" x14ac:dyDescent="0.2">
      <c r="A32">
        <v>28</v>
      </c>
      <c r="B32">
        <v>6.4343857121438627E-2</v>
      </c>
      <c r="C32" s="20">
        <f>B32*($B$2-SUM($H$5:H31))</f>
        <v>358925.75786493771</v>
      </c>
      <c r="D32" s="15">
        <f t="shared" si="0"/>
        <v>3.0656142878561374E-2</v>
      </c>
      <c r="E32" s="20">
        <f>D32*($B$2-SUM($H$5:H31))</f>
        <v>171007.45600526468</v>
      </c>
      <c r="F32" s="19">
        <f t="shared" si="1"/>
        <v>1.3969838619232178E-9</v>
      </c>
      <c r="H32" s="21">
        <f>GNMA!H54+GNMA!G54</f>
        <v>1918848.6478378461</v>
      </c>
      <c r="I32" s="21">
        <f>GNMA!I54-GNMA!J54</f>
        <v>529933.21387020103</v>
      </c>
    </row>
    <row r="33" spans="1:9" x14ac:dyDescent="0.2">
      <c r="A33">
        <v>29</v>
      </c>
      <c r="B33">
        <v>6.514849509092617E-2</v>
      </c>
      <c r="C33" s="20">
        <f>B33*($B$2-SUM($H$5:H32))</f>
        <v>238404.12336338576</v>
      </c>
      <c r="D33" s="15">
        <f t="shared" si="0"/>
        <v>2.9851504909073831E-2</v>
      </c>
      <c r="E33" s="20">
        <f>D33*($B$2-SUM($H$5:H32))</f>
        <v>109238.46896222112</v>
      </c>
      <c r="F33" s="19">
        <f t="shared" si="1"/>
        <v>1.1641532182693481E-9</v>
      </c>
      <c r="H33" s="21">
        <f>GNMA!H55+GNMA!G55</f>
        <v>1857578.9645067439</v>
      </c>
      <c r="I33" s="21">
        <f>GNMA!I55-GNMA!J55</f>
        <v>347642.59232560568</v>
      </c>
    </row>
    <row r="34" spans="1:9" x14ac:dyDescent="0.2">
      <c r="A34">
        <v>30</v>
      </c>
      <c r="B34">
        <v>6.5709320428048501E-2</v>
      </c>
      <c r="C34" s="20">
        <f>B34*($B$2-SUM($H$5:H33))</f>
        <v>118396.15379619991</v>
      </c>
      <c r="D34" s="15">
        <f t="shared" si="0"/>
        <v>2.92906795719515E-2</v>
      </c>
      <c r="E34" s="20">
        <f>D34*($B$2-SUM($H$5:H33))</f>
        <v>52776.436901266155</v>
      </c>
      <c r="F34" s="19">
        <f t="shared" si="1"/>
        <v>1.076841726899147E-9</v>
      </c>
      <c r="H34" s="21">
        <f>GNMA!H56+GNMA!G56</f>
        <v>1801816.7441838414</v>
      </c>
      <c r="I34" s="21">
        <f>GNMA!I56-GNMA!J56</f>
        <v>171172.590697465</v>
      </c>
    </row>
  </sheetData>
  <phoneticPr fontId="0" type="noConversion"/>
  <pageMargins left="0.75" right="0.75" top="1" bottom="1" header="0.5" footer="0.5"/>
  <pageSetup orientation="portrait" horizontalDpi="300" verticalDpi="300" copies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09"/>
  <sheetViews>
    <sheetView tabSelected="1" topLeftCell="A7" workbookViewId="0">
      <selection activeCell="A20" sqref="A20"/>
    </sheetView>
  </sheetViews>
  <sheetFormatPr defaultColWidth="17.7109375" defaultRowHeight="12.75" x14ac:dyDescent="0.2"/>
  <cols>
    <col min="5" max="5" width="21.5703125" customWidth="1"/>
    <col min="6" max="6" width="19" customWidth="1"/>
    <col min="12" max="12" width="20.28515625" customWidth="1"/>
    <col min="36" max="36" width="20.28515625" customWidth="1"/>
  </cols>
  <sheetData>
    <row r="1" spans="1:105" x14ac:dyDescent="0.2">
      <c r="A1" s="3" t="s">
        <v>1</v>
      </c>
    </row>
    <row r="3" spans="1:105" x14ac:dyDescent="0.2">
      <c r="A3" s="3" t="s">
        <v>2</v>
      </c>
      <c r="C3" s="2">
        <v>0.1</v>
      </c>
    </row>
    <row r="4" spans="1:105" x14ac:dyDescent="0.2">
      <c r="A4" s="3" t="s">
        <v>3</v>
      </c>
      <c r="C4" s="2">
        <v>1</v>
      </c>
    </row>
    <row r="5" spans="1:105" x14ac:dyDescent="0.2">
      <c r="A5" s="3" t="s">
        <v>28</v>
      </c>
      <c r="C5" s="2">
        <v>5.0000000000000001E-3</v>
      </c>
    </row>
    <row r="6" spans="1:105" x14ac:dyDescent="0.2">
      <c r="A6" s="3" t="s">
        <v>4</v>
      </c>
      <c r="C6" s="4">
        <f>1.0353*D6</f>
        <v>799243777.27320004</v>
      </c>
      <c r="D6">
        <v>771992444</v>
      </c>
    </row>
    <row r="7" spans="1:105" x14ac:dyDescent="0.2">
      <c r="A7" s="3" t="s">
        <v>59</v>
      </c>
      <c r="C7" s="4">
        <v>4000000</v>
      </c>
    </row>
    <row r="8" spans="1:105" x14ac:dyDescent="0.2">
      <c r="C8" s="4"/>
    </row>
    <row r="9" spans="1:105" x14ac:dyDescent="0.2">
      <c r="A9" s="3" t="s">
        <v>88</v>
      </c>
      <c r="C9" s="4">
        <v>153230577</v>
      </c>
    </row>
    <row r="10" spans="1:105" x14ac:dyDescent="0.2">
      <c r="A10" s="3" t="s">
        <v>89</v>
      </c>
      <c r="C10" s="2">
        <v>7.109E-2</v>
      </c>
    </row>
    <row r="11" spans="1:105" x14ac:dyDescent="0.2">
      <c r="E11" s="3" t="s">
        <v>8</v>
      </c>
      <c r="BM11" s="1">
        <v>0.2</v>
      </c>
      <c r="BN11" s="1">
        <f t="shared" ref="BN11:CP11" si="0">0.2+BM11</f>
        <v>0.4</v>
      </c>
      <c r="BO11" s="1">
        <f t="shared" si="0"/>
        <v>0.60000000000000009</v>
      </c>
      <c r="BP11" s="1">
        <f t="shared" si="0"/>
        <v>0.8</v>
      </c>
      <c r="BQ11" s="1">
        <f t="shared" si="0"/>
        <v>1</v>
      </c>
      <c r="BR11" s="1">
        <f t="shared" si="0"/>
        <v>1.2</v>
      </c>
      <c r="BS11" s="1">
        <f t="shared" si="0"/>
        <v>1.4</v>
      </c>
      <c r="BT11" s="1">
        <f t="shared" si="0"/>
        <v>1.5999999999999999</v>
      </c>
      <c r="BU11" s="1">
        <f t="shared" si="0"/>
        <v>1.7999999999999998</v>
      </c>
      <c r="BV11" s="1">
        <f t="shared" si="0"/>
        <v>1.9999999999999998</v>
      </c>
      <c r="BW11" s="1">
        <f t="shared" si="0"/>
        <v>2.1999999999999997</v>
      </c>
      <c r="BX11" s="1">
        <f t="shared" si="0"/>
        <v>2.4</v>
      </c>
      <c r="BY11" s="1">
        <f t="shared" si="0"/>
        <v>2.6</v>
      </c>
      <c r="BZ11" s="1">
        <f t="shared" si="0"/>
        <v>2.8000000000000003</v>
      </c>
      <c r="CA11" s="1">
        <f t="shared" si="0"/>
        <v>3.0000000000000004</v>
      </c>
      <c r="CB11" s="1">
        <f t="shared" si="0"/>
        <v>3.2000000000000006</v>
      </c>
      <c r="CC11" s="1">
        <f t="shared" si="0"/>
        <v>3.4000000000000008</v>
      </c>
      <c r="CD11" s="1">
        <f t="shared" si="0"/>
        <v>3.600000000000001</v>
      </c>
      <c r="CE11" s="1">
        <f t="shared" si="0"/>
        <v>3.8000000000000012</v>
      </c>
      <c r="CF11" s="1">
        <f t="shared" si="0"/>
        <v>4.0000000000000009</v>
      </c>
      <c r="CG11" s="1">
        <f t="shared" si="0"/>
        <v>4.2000000000000011</v>
      </c>
      <c r="CH11" s="1">
        <f t="shared" si="0"/>
        <v>4.4000000000000012</v>
      </c>
      <c r="CI11" s="1">
        <f t="shared" si="0"/>
        <v>4.6000000000000014</v>
      </c>
      <c r="CJ11" s="1">
        <f t="shared" si="0"/>
        <v>4.8000000000000016</v>
      </c>
      <c r="CK11" s="1">
        <f t="shared" si="0"/>
        <v>5.0000000000000018</v>
      </c>
      <c r="CL11" s="1">
        <f t="shared" si="0"/>
        <v>5.200000000000002</v>
      </c>
      <c r="CM11" s="1">
        <f t="shared" si="0"/>
        <v>5.4000000000000021</v>
      </c>
      <c r="CN11" s="1">
        <f t="shared" si="0"/>
        <v>5.6000000000000023</v>
      </c>
      <c r="CO11" s="1">
        <f t="shared" si="0"/>
        <v>5.8000000000000025</v>
      </c>
      <c r="CP11" s="1">
        <f t="shared" si="0"/>
        <v>6.0000000000000027</v>
      </c>
      <c r="CQ11" s="1">
        <v>6</v>
      </c>
      <c r="CR11" s="1">
        <v>6</v>
      </c>
      <c r="CS11" s="1">
        <v>6</v>
      </c>
      <c r="CT11" s="1">
        <v>6</v>
      </c>
      <c r="CU11" s="1">
        <v>6</v>
      </c>
      <c r="CV11" s="1">
        <v>6</v>
      </c>
      <c r="CW11" s="1">
        <f>0.2+CV11</f>
        <v>6.2</v>
      </c>
      <c r="CX11" s="1">
        <f>0.2+CW11</f>
        <v>6.4</v>
      </c>
      <c r="CY11" s="1">
        <f>0.2+CX11</f>
        <v>6.6000000000000005</v>
      </c>
      <c r="CZ11" s="1">
        <f>0.2+CY11</f>
        <v>6.8000000000000007</v>
      </c>
      <c r="DA11" s="1">
        <f>0.2+CZ11</f>
        <v>7.0000000000000009</v>
      </c>
    </row>
    <row r="12" spans="1:105" x14ac:dyDescent="0.2">
      <c r="A12" s="3" t="s">
        <v>92</v>
      </c>
      <c r="C12" s="4">
        <v>299000640</v>
      </c>
      <c r="BM12" s="1">
        <v>1</v>
      </c>
      <c r="BN12" s="1">
        <f t="shared" ref="BN12:CV12" si="1">BM12+1</f>
        <v>2</v>
      </c>
      <c r="BO12" s="1">
        <f t="shared" si="1"/>
        <v>3</v>
      </c>
      <c r="BP12" s="1">
        <f t="shared" si="1"/>
        <v>4</v>
      </c>
      <c r="BQ12" s="1">
        <f t="shared" si="1"/>
        <v>5</v>
      </c>
      <c r="BR12" s="1">
        <f t="shared" si="1"/>
        <v>6</v>
      </c>
      <c r="BS12" s="1">
        <f t="shared" si="1"/>
        <v>7</v>
      </c>
      <c r="BT12" s="1">
        <f t="shared" si="1"/>
        <v>8</v>
      </c>
      <c r="BU12" s="1">
        <f t="shared" si="1"/>
        <v>9</v>
      </c>
      <c r="BV12" s="1">
        <f t="shared" si="1"/>
        <v>10</v>
      </c>
      <c r="BW12" s="1">
        <f t="shared" si="1"/>
        <v>11</v>
      </c>
      <c r="BX12" s="1">
        <f t="shared" si="1"/>
        <v>12</v>
      </c>
      <c r="BY12" s="1">
        <f t="shared" si="1"/>
        <v>13</v>
      </c>
      <c r="BZ12" s="1">
        <f t="shared" si="1"/>
        <v>14</v>
      </c>
      <c r="CA12" s="1">
        <f t="shared" si="1"/>
        <v>15</v>
      </c>
      <c r="CB12" s="1">
        <f t="shared" si="1"/>
        <v>16</v>
      </c>
      <c r="CC12" s="1">
        <f t="shared" si="1"/>
        <v>17</v>
      </c>
      <c r="CD12" s="1">
        <f t="shared" si="1"/>
        <v>18</v>
      </c>
      <c r="CE12" s="1">
        <f t="shared" si="1"/>
        <v>19</v>
      </c>
      <c r="CF12" s="1">
        <f t="shared" si="1"/>
        <v>20</v>
      </c>
      <c r="CG12" s="1">
        <f t="shared" si="1"/>
        <v>21</v>
      </c>
      <c r="CH12" s="1">
        <f t="shared" si="1"/>
        <v>22</v>
      </c>
      <c r="CI12" s="1">
        <f t="shared" si="1"/>
        <v>23</v>
      </c>
      <c r="CJ12" s="1">
        <f t="shared" si="1"/>
        <v>24</v>
      </c>
      <c r="CK12" s="1">
        <f t="shared" si="1"/>
        <v>25</v>
      </c>
      <c r="CL12" s="1">
        <f t="shared" si="1"/>
        <v>26</v>
      </c>
      <c r="CM12" s="1">
        <f t="shared" si="1"/>
        <v>27</v>
      </c>
      <c r="CN12" s="1">
        <f t="shared" si="1"/>
        <v>28</v>
      </c>
      <c r="CO12" s="1">
        <f t="shared" si="1"/>
        <v>29</v>
      </c>
      <c r="CP12" s="1">
        <f t="shared" si="1"/>
        <v>30</v>
      </c>
      <c r="CQ12" s="1">
        <f t="shared" si="1"/>
        <v>31</v>
      </c>
      <c r="CR12" s="1">
        <f t="shared" si="1"/>
        <v>32</v>
      </c>
      <c r="CS12" s="1">
        <f t="shared" si="1"/>
        <v>33</v>
      </c>
      <c r="CT12" s="1">
        <f t="shared" si="1"/>
        <v>34</v>
      </c>
      <c r="CU12" s="1">
        <f t="shared" si="1"/>
        <v>35</v>
      </c>
      <c r="CV12" s="1">
        <f t="shared" si="1"/>
        <v>36</v>
      </c>
    </row>
    <row r="13" spans="1:105" x14ac:dyDescent="0.2">
      <c r="A13" s="3" t="s">
        <v>93</v>
      </c>
      <c r="C13" s="2">
        <v>7.3330000000000006E-2</v>
      </c>
      <c r="BM13" s="1">
        <f>SUM(BM1:BX11)/12</f>
        <v>1.3</v>
      </c>
      <c r="BY13" s="1">
        <f>SUM(BY11:CJ11)/12</f>
        <v>3.7000000000000006</v>
      </c>
      <c r="CK13" s="1">
        <f>SUM(CK11:CV11)/12</f>
        <v>5.75</v>
      </c>
    </row>
    <row r="15" spans="1:105" x14ac:dyDescent="0.2">
      <c r="A15" s="3" t="s">
        <v>94</v>
      </c>
      <c r="C15" s="4">
        <v>25000000</v>
      </c>
    </row>
    <row r="16" spans="1:105" x14ac:dyDescent="0.2">
      <c r="A16" s="3" t="s">
        <v>95</v>
      </c>
      <c r="C16" s="2">
        <v>8.5000000000000006E-2</v>
      </c>
    </row>
    <row r="18" spans="1:3" x14ac:dyDescent="0.2">
      <c r="A18" s="3" t="s">
        <v>91</v>
      </c>
      <c r="C18" s="4">
        <v>15000000</v>
      </c>
    </row>
    <row r="19" spans="1:3" x14ac:dyDescent="0.2">
      <c r="A19" s="3" t="s">
        <v>90</v>
      </c>
      <c r="C19" s="2">
        <v>0.09</v>
      </c>
    </row>
    <row r="21" spans="1:3" x14ac:dyDescent="0.2">
      <c r="A21" s="3" t="s">
        <v>96</v>
      </c>
      <c r="C21" s="4">
        <v>15000000</v>
      </c>
    </row>
    <row r="22" spans="1:3" x14ac:dyDescent="0.2">
      <c r="A22" s="3" t="s">
        <v>97</v>
      </c>
      <c r="C22" s="2">
        <v>0.09</v>
      </c>
    </row>
    <row r="24" spans="1:3" x14ac:dyDescent="0.2">
      <c r="A24" s="25" t="s">
        <v>98</v>
      </c>
    </row>
    <row r="25" spans="1:3" x14ac:dyDescent="0.2">
      <c r="A25" s="24" t="s">
        <v>99</v>
      </c>
    </row>
    <row r="27" spans="1:3" x14ac:dyDescent="0.2">
      <c r="A27" t="s">
        <v>9</v>
      </c>
    </row>
    <row r="75" spans="1:41" x14ac:dyDescent="0.2">
      <c r="B75" s="3" t="s">
        <v>15</v>
      </c>
      <c r="M75" s="3" t="s">
        <v>30</v>
      </c>
      <c r="S75" s="3" t="s">
        <v>31</v>
      </c>
      <c r="Y75" s="3" t="s">
        <v>32</v>
      </c>
      <c r="AE75" s="3" t="s">
        <v>33</v>
      </c>
      <c r="AN75" s="3" t="s">
        <v>34</v>
      </c>
    </row>
    <row r="76" spans="1:41" x14ac:dyDescent="0.2">
      <c r="H76" s="5" t="s">
        <v>35</v>
      </c>
      <c r="I76" s="5"/>
      <c r="J76" s="5"/>
      <c r="L76" s="3" t="s">
        <v>16</v>
      </c>
      <c r="AH76" s="5" t="s">
        <v>36</v>
      </c>
      <c r="AJ76" s="5" t="s">
        <v>37</v>
      </c>
      <c r="AL76" s="5" t="s">
        <v>36</v>
      </c>
      <c r="AM76" s="5" t="s">
        <v>38</v>
      </c>
      <c r="AN76" s="5" t="s">
        <v>39</v>
      </c>
    </row>
    <row r="77" spans="1:41" x14ac:dyDescent="0.2">
      <c r="A77" s="5" t="s">
        <v>17</v>
      </c>
      <c r="B77" s="5" t="s">
        <v>18</v>
      </c>
      <c r="C77" s="5" t="s">
        <v>19</v>
      </c>
      <c r="D77" s="5" t="s">
        <v>20</v>
      </c>
      <c r="E77" s="5" t="s">
        <v>40</v>
      </c>
      <c r="F77" s="5" t="s">
        <v>41</v>
      </c>
      <c r="G77" s="5" t="s">
        <v>42</v>
      </c>
      <c r="H77" s="5" t="s">
        <v>43</v>
      </c>
      <c r="I77" s="5" t="s">
        <v>28</v>
      </c>
      <c r="J77" s="5" t="s">
        <v>50</v>
      </c>
      <c r="K77" s="5" t="s">
        <v>29</v>
      </c>
      <c r="L77" s="3" t="s">
        <v>21</v>
      </c>
      <c r="M77" s="5" t="s">
        <v>18</v>
      </c>
      <c r="N77" s="5" t="s">
        <v>19</v>
      </c>
      <c r="O77" s="3" t="s">
        <v>44</v>
      </c>
      <c r="P77" s="3" t="s">
        <v>45</v>
      </c>
      <c r="R77" s="3" t="s">
        <v>38</v>
      </c>
      <c r="S77" s="5" t="s">
        <v>18</v>
      </c>
      <c r="T77" s="5" t="s">
        <v>19</v>
      </c>
      <c r="U77" s="3" t="s">
        <v>44</v>
      </c>
      <c r="V77" s="3" t="s">
        <v>45</v>
      </c>
      <c r="X77" s="3" t="s">
        <v>38</v>
      </c>
      <c r="Y77" s="5" t="s">
        <v>18</v>
      </c>
      <c r="Z77" s="5" t="s">
        <v>19</v>
      </c>
      <c r="AA77" s="3" t="s">
        <v>44</v>
      </c>
      <c r="AB77" s="3" t="s">
        <v>45</v>
      </c>
      <c r="AD77" s="3" t="s">
        <v>38</v>
      </c>
      <c r="AE77" s="5" t="s">
        <v>18</v>
      </c>
      <c r="AF77" s="5" t="s">
        <v>19</v>
      </c>
      <c r="AG77" s="5" t="s">
        <v>44</v>
      </c>
      <c r="AH77" s="5" t="s">
        <v>46</v>
      </c>
      <c r="AI77" s="3" t="s">
        <v>47</v>
      </c>
      <c r="AJ77" s="5" t="s">
        <v>47</v>
      </c>
      <c r="AK77" s="5" t="s">
        <v>42</v>
      </c>
      <c r="AL77" s="5" t="s">
        <v>48</v>
      </c>
      <c r="AM77" s="5" t="s">
        <v>49</v>
      </c>
      <c r="AN77" s="5" t="s">
        <v>41</v>
      </c>
      <c r="AO77" s="5" t="s">
        <v>38</v>
      </c>
    </row>
    <row r="78" spans="1:41" x14ac:dyDescent="0.2">
      <c r="P78" s="3" t="s">
        <v>41</v>
      </c>
      <c r="Q78" s="3" t="s">
        <v>50</v>
      </c>
      <c r="R78" s="3" t="s">
        <v>41</v>
      </c>
      <c r="V78" s="3" t="s">
        <v>41</v>
      </c>
      <c r="W78" s="3" t="s">
        <v>50</v>
      </c>
      <c r="X78" s="3" t="s">
        <v>41</v>
      </c>
      <c r="AB78" s="3" t="s">
        <v>41</v>
      </c>
      <c r="AC78" s="3" t="s">
        <v>50</v>
      </c>
      <c r="AD78" s="3" t="s">
        <v>41</v>
      </c>
    </row>
    <row r="79" spans="1:41" x14ac:dyDescent="0.2">
      <c r="A79" s="6">
        <v>0</v>
      </c>
      <c r="B79" s="7">
        <f t="shared" ref="B79:B108" si="2">1/(1+$C$3)*B80</f>
        <v>5.7308553301168033E-2</v>
      </c>
      <c r="C79" s="7">
        <f t="shared" ref="C79:C109" si="3">1/$C$3*(1-B79)</f>
        <v>9.42691446698832</v>
      </c>
      <c r="D79" s="8">
        <v>0</v>
      </c>
      <c r="E79" s="9">
        <f>C6+C7</f>
        <v>803243777.27320004</v>
      </c>
      <c r="F79" s="9"/>
      <c r="G79" s="9"/>
      <c r="H79" s="9"/>
      <c r="I79" s="9"/>
      <c r="J79" s="9"/>
      <c r="K79" s="9"/>
      <c r="L79" s="9">
        <f t="shared" ref="L79:L109" si="4">MAXA(0,+E79-$C$7)</f>
        <v>799243777.27320004</v>
      </c>
      <c r="M79" s="7">
        <f t="shared" ref="M79:M108" si="5">1/(1+$C$10)*M80</f>
        <v>0.12741514740884749</v>
      </c>
      <c r="N79" s="7">
        <f t="shared" ref="N79:N109" si="6">1/$C$10*(1-M79)</f>
        <v>12.274368442694508</v>
      </c>
      <c r="O79" s="9">
        <f>C9</f>
        <v>153230577</v>
      </c>
      <c r="P79" s="9"/>
      <c r="Q79" s="9"/>
      <c r="R79" s="9"/>
      <c r="S79" s="7">
        <f t="shared" ref="S79:S108" si="7">1/(1+$C$13)*S80</f>
        <v>0.11967459129907002</v>
      </c>
      <c r="T79" s="7">
        <f t="shared" ref="T79:T109" si="8">1/$C$13*(1-S79)</f>
        <v>12.004983072425064</v>
      </c>
      <c r="U79" s="9">
        <f>C12</f>
        <v>299000640</v>
      </c>
      <c r="V79" s="9"/>
      <c r="W79" s="9"/>
      <c r="X79" s="9"/>
      <c r="Y79" s="7">
        <f t="shared" ref="Y79:Y108" si="9">1/(1+$C$16)*Y80</f>
        <v>8.6518275511325987E-2</v>
      </c>
      <c r="Z79" s="7">
        <f t="shared" ref="Z79:Z109" si="10">1/$C$16*(1-Y79)</f>
        <v>10.746843817513811</v>
      </c>
      <c r="AA79" s="9">
        <f>C15</f>
        <v>25000000</v>
      </c>
      <c r="AB79" s="9"/>
      <c r="AC79" s="9"/>
      <c r="AD79" s="9"/>
      <c r="AE79" s="7">
        <f t="shared" ref="AE79:AE108" si="11">1/(1+$C$19)*AE80</f>
        <v>7.5371136128043165E-2</v>
      </c>
      <c r="AF79" s="7">
        <f t="shared" ref="AF79:AF109" si="12">1/$C$19*(1-AE79)</f>
        <v>10.273654043021743</v>
      </c>
      <c r="AG79" s="9">
        <f>C18</f>
        <v>15000000</v>
      </c>
      <c r="AH79" s="9"/>
      <c r="AI79" s="9"/>
      <c r="AJ79" s="9"/>
      <c r="AK79" s="9"/>
      <c r="AL79" s="9">
        <v>0</v>
      </c>
      <c r="AM79" s="9"/>
      <c r="AN79" s="9">
        <f>-C7</f>
        <v>-4000000</v>
      </c>
      <c r="AO79" s="9"/>
    </row>
    <row r="80" spans="1:41" x14ac:dyDescent="0.2">
      <c r="A80" s="6">
        <f t="shared" ref="A80:A109" si="13">A79+1</f>
        <v>1</v>
      </c>
      <c r="B80" s="7">
        <f t="shared" si="2"/>
        <v>6.3039408631284835E-2</v>
      </c>
      <c r="C80" s="7">
        <f t="shared" si="3"/>
        <v>9.3696059136871508</v>
      </c>
      <c r="D80" s="8">
        <f>0.012*C4</f>
        <v>1.2E-2</v>
      </c>
      <c r="E80" s="9">
        <f t="shared" ref="E80:E109" si="14">E79-H80-G80</f>
        <v>784812306.77671802</v>
      </c>
      <c r="F80" s="9">
        <f t="shared" ref="F80:F109" si="15">E79/C79</f>
        <v>85207496.056747153</v>
      </c>
      <c r="G80" s="9">
        <f t="shared" ref="G80:G109" si="16">(E79-H80)*D80</f>
        <v>9532133.2806888837</v>
      </c>
      <c r="H80" s="9">
        <f t="shared" ref="H80:H109" si="17">F80-K80</f>
        <v>8899337.2157931477</v>
      </c>
      <c r="I80" s="9">
        <f>E79*$C$5</f>
        <v>4016218.8863660004</v>
      </c>
      <c r="J80" s="9">
        <f t="shared" ref="J80:J109" si="18">E79*C$3</f>
        <v>80324377.727320001</v>
      </c>
      <c r="K80" s="9">
        <f>J80-I80</f>
        <v>76308158.840954006</v>
      </c>
      <c r="L80" s="9">
        <f t="shared" si="4"/>
        <v>780812306.77671802</v>
      </c>
      <c r="M80" s="7">
        <f t="shared" si="5"/>
        <v>0.13647309023814247</v>
      </c>
      <c r="N80" s="7">
        <f t="shared" si="6"/>
        <v>12.146953295285659</v>
      </c>
      <c r="O80" s="9">
        <f t="shared" ref="O80:O109" si="19">O79-P80</f>
        <v>133449106.50351797</v>
      </c>
      <c r="P80" s="9">
        <f t="shared" ref="P80:P109" si="20">MAXA(0,MINA(G80+H80+AH80,O79))</f>
        <v>19781470.49648203</v>
      </c>
      <c r="Q80" s="9">
        <f t="shared" ref="Q80:Q109" si="21">O79*$C$10</f>
        <v>10893161.71893</v>
      </c>
      <c r="R80" s="9">
        <f t="shared" ref="R80:R109" si="22">P80+Q80</f>
        <v>30674632.215412028</v>
      </c>
      <c r="S80" s="7">
        <f t="shared" si="7"/>
        <v>0.12845032907903081</v>
      </c>
      <c r="T80" s="7">
        <f t="shared" si="8"/>
        <v>11.885308481125993</v>
      </c>
      <c r="U80" s="9">
        <f t="shared" ref="U80:U109" si="23">U79-V80</f>
        <v>299000640</v>
      </c>
      <c r="V80" s="9">
        <f t="shared" ref="V80:V109" si="24">MAXA(0,MINA(G80+H80+AH80-P80,U79))</f>
        <v>0</v>
      </c>
      <c r="W80" s="9">
        <f t="shared" ref="W80:W109" si="25">U79*$C$13</f>
        <v>21925716.931200001</v>
      </c>
      <c r="X80" s="9">
        <f t="shared" ref="X80:X109" si="26">V80+W80</f>
        <v>21925716.931200001</v>
      </c>
      <c r="Y80" s="7">
        <f t="shared" si="9"/>
        <v>9.3872328929788695E-2</v>
      </c>
      <c r="Z80" s="7">
        <f t="shared" si="10"/>
        <v>10.660325542002486</v>
      </c>
      <c r="AA80" s="9">
        <f t="shared" ref="AA80:AA109" si="27">AA79-AB80</f>
        <v>25000000</v>
      </c>
      <c r="AB80" s="9">
        <f t="shared" ref="AB80:AB109" si="28">MAXA(0,MINA(+G80+H80+AH80-P80-V80,AA79))</f>
        <v>0</v>
      </c>
      <c r="AC80" s="9">
        <f t="shared" ref="AC80:AC109" si="29">AA79*$C$16</f>
        <v>2125000</v>
      </c>
      <c r="AD80" s="9">
        <f t="shared" ref="AD80:AD109" si="30">AB80+AC80</f>
        <v>2125000</v>
      </c>
      <c r="AE80" s="7">
        <f t="shared" si="11"/>
        <v>8.2154538379567058E-2</v>
      </c>
      <c r="AF80" s="7">
        <f t="shared" si="12"/>
        <v>10.198282906893699</v>
      </c>
      <c r="AG80" s="9">
        <f t="shared" ref="AG80:AG109" si="31">AG79+AI80</f>
        <v>16350000</v>
      </c>
      <c r="AH80" s="9">
        <f t="shared" ref="AH80:AH109" si="32">AG79*$C$19</f>
        <v>1350000</v>
      </c>
      <c r="AI80" s="9">
        <f t="shared" ref="AI80:AI109" si="33">AG79*$C$19-AL80-AK80+AN80-AN80</f>
        <v>1350000</v>
      </c>
      <c r="AJ80" s="9">
        <f t="shared" ref="AJ80:AJ109" si="34">AI80+AJ79</f>
        <v>1350000</v>
      </c>
      <c r="AK80" s="9">
        <f t="shared" ref="AK80:AK109" si="35">IF(AA80&gt;0,0,MINA(G80+H80-AB80,AG79))</f>
        <v>0</v>
      </c>
      <c r="AL80" s="9">
        <f t="shared" ref="AL80:AL109" si="36">IF(AA80&gt;0,0,+AG79*$C$19)</f>
        <v>0</v>
      </c>
      <c r="AM80" s="9">
        <f t="shared" ref="AM80:AM109" si="37">AK80+AL80</f>
        <v>0</v>
      </c>
      <c r="AN80" s="9"/>
      <c r="AO80" s="9">
        <f>G80+H80+K80-R80-X80-AD80-AM80</f>
        <v>40014280.190824002</v>
      </c>
    </row>
    <row r="81" spans="1:41" x14ac:dyDescent="0.2">
      <c r="A81" s="6">
        <f t="shared" si="13"/>
        <v>2</v>
      </c>
      <c r="B81" s="7">
        <f t="shared" si="2"/>
        <v>6.9343349494413314E-2</v>
      </c>
      <c r="C81" s="7">
        <f t="shared" si="3"/>
        <v>9.3065665050558657</v>
      </c>
      <c r="D81" s="8">
        <f>0.036*C4</f>
        <v>3.5999999999999997E-2</v>
      </c>
      <c r="E81" s="9">
        <f t="shared" si="14"/>
        <v>747686082.5074811</v>
      </c>
      <c r="F81" s="9">
        <f t="shared" si="15"/>
        <v>83761506.514405444</v>
      </c>
      <c r="G81" s="9">
        <f t="shared" si="16"/>
        <v>27921886.898619626</v>
      </c>
      <c r="H81" s="9">
        <f t="shared" si="17"/>
        <v>9204337.3706172258</v>
      </c>
      <c r="I81" s="9">
        <f t="shared" ref="I81:I109" si="38">E80*$C$5</f>
        <v>3924061.5338835903</v>
      </c>
      <c r="J81" s="9">
        <f t="shared" si="18"/>
        <v>78481230.677671805</v>
      </c>
      <c r="K81" s="9">
        <f t="shared" ref="K81:K109" si="39">J81-I81</f>
        <v>74557169.143788218</v>
      </c>
      <c r="L81" s="9">
        <f t="shared" si="4"/>
        <v>743686082.5074811</v>
      </c>
      <c r="M81" s="7">
        <f t="shared" si="5"/>
        <v>0.14617496222317203</v>
      </c>
      <c r="N81" s="7">
        <f t="shared" si="6"/>
        <v>12.010480205047516</v>
      </c>
      <c r="O81" s="9">
        <f t="shared" si="19"/>
        <v>94851382.234281123</v>
      </c>
      <c r="P81" s="9">
        <f t="shared" si="20"/>
        <v>38597724.269236848</v>
      </c>
      <c r="Q81" s="9">
        <f t="shared" si="21"/>
        <v>9486896.9813350923</v>
      </c>
      <c r="R81" s="9">
        <f t="shared" si="22"/>
        <v>48084621.250571936</v>
      </c>
      <c r="S81" s="7">
        <f t="shared" si="7"/>
        <v>0.13786959171039614</v>
      </c>
      <c r="T81" s="7">
        <f t="shared" si="8"/>
        <v>11.756858152046963</v>
      </c>
      <c r="U81" s="9">
        <f t="shared" si="23"/>
        <v>299000640</v>
      </c>
      <c r="V81" s="9">
        <f t="shared" si="24"/>
        <v>0</v>
      </c>
      <c r="W81" s="9">
        <f t="shared" si="25"/>
        <v>21925716.931200001</v>
      </c>
      <c r="X81" s="9">
        <f t="shared" si="26"/>
        <v>21925716.931200001</v>
      </c>
      <c r="Y81" s="7">
        <f t="shared" si="9"/>
        <v>0.10185147688882074</v>
      </c>
      <c r="Z81" s="7">
        <f t="shared" si="10"/>
        <v>10.566453213072696</v>
      </c>
      <c r="AA81" s="9">
        <f t="shared" si="27"/>
        <v>25000000</v>
      </c>
      <c r="AB81" s="9">
        <f t="shared" si="28"/>
        <v>0</v>
      </c>
      <c r="AC81" s="9">
        <f t="shared" si="29"/>
        <v>2125000</v>
      </c>
      <c r="AD81" s="9">
        <f t="shared" si="30"/>
        <v>2125000</v>
      </c>
      <c r="AE81" s="7">
        <f t="shared" si="11"/>
        <v>8.9548446833728104E-2</v>
      </c>
      <c r="AF81" s="7">
        <f t="shared" si="12"/>
        <v>10.116128368514133</v>
      </c>
      <c r="AG81" s="9">
        <f t="shared" si="31"/>
        <v>17821500</v>
      </c>
      <c r="AH81" s="9">
        <f t="shared" si="32"/>
        <v>1471500</v>
      </c>
      <c r="AI81" s="9">
        <f t="shared" si="33"/>
        <v>1471500</v>
      </c>
      <c r="AJ81" s="9">
        <f t="shared" si="34"/>
        <v>2821500</v>
      </c>
      <c r="AK81" s="9">
        <f t="shared" si="35"/>
        <v>0</v>
      </c>
      <c r="AL81" s="9">
        <f t="shared" si="36"/>
        <v>0</v>
      </c>
      <c r="AM81" s="9">
        <f t="shared" si="37"/>
        <v>0</v>
      </c>
      <c r="AN81" s="9"/>
      <c r="AO81" s="9">
        <f t="shared" ref="AO81:AO109" si="40">G81+H81+K81-R81-X81-AD81-AM81</f>
        <v>39548055.231253132</v>
      </c>
    </row>
    <row r="82" spans="1:41" x14ac:dyDescent="0.2">
      <c r="A82" s="6">
        <f t="shared" si="13"/>
        <v>3</v>
      </c>
      <c r="B82" s="7">
        <f t="shared" si="2"/>
        <v>7.6277684443854646E-2</v>
      </c>
      <c r="C82" s="7">
        <f t="shared" si="3"/>
        <v>9.2372231555614537</v>
      </c>
      <c r="D82" s="8">
        <f>0.0575*C4</f>
        <v>5.7500000000000002E-2</v>
      </c>
      <c r="E82" s="9">
        <f t="shared" si="14"/>
        <v>695919976.84318495</v>
      </c>
      <c r="F82" s="9">
        <f t="shared" si="15"/>
        <v>80339627.09032324</v>
      </c>
      <c r="G82" s="9">
        <f t="shared" si="16"/>
        <v>42456656.412183695</v>
      </c>
      <c r="H82" s="9">
        <f t="shared" si="17"/>
        <v>9309449.2521125376</v>
      </c>
      <c r="I82" s="9">
        <f t="shared" si="38"/>
        <v>3738430.4125374057</v>
      </c>
      <c r="J82" s="9">
        <f t="shared" si="18"/>
        <v>74768608.250748113</v>
      </c>
      <c r="K82" s="9">
        <f t="shared" si="39"/>
        <v>71030177.838210702</v>
      </c>
      <c r="L82" s="9">
        <f t="shared" si="4"/>
        <v>691919976.84318495</v>
      </c>
      <c r="M82" s="7">
        <f t="shared" si="5"/>
        <v>0.15656654028761735</v>
      </c>
      <c r="N82" s="7">
        <f t="shared" si="6"/>
        <v>11.864305242824345</v>
      </c>
      <c r="O82" s="9">
        <f t="shared" si="19"/>
        <v>41481341.569984891</v>
      </c>
      <c r="P82" s="9">
        <f t="shared" si="20"/>
        <v>53370040.664296232</v>
      </c>
      <c r="Q82" s="9">
        <f t="shared" si="21"/>
        <v>6742984.763035045</v>
      </c>
      <c r="R82" s="9">
        <f t="shared" si="22"/>
        <v>60113025.427331276</v>
      </c>
      <c r="S82" s="7">
        <f t="shared" si="7"/>
        <v>0.1479795688705195</v>
      </c>
      <c r="T82" s="7">
        <f t="shared" si="8"/>
        <v>11.618988560336568</v>
      </c>
      <c r="U82" s="9">
        <f t="shared" si="23"/>
        <v>299000640</v>
      </c>
      <c r="V82" s="9">
        <f t="shared" si="24"/>
        <v>0</v>
      </c>
      <c r="W82" s="9">
        <f t="shared" si="25"/>
        <v>21925716.931200001</v>
      </c>
      <c r="X82" s="9">
        <f t="shared" si="26"/>
        <v>21925716.931200001</v>
      </c>
      <c r="Y82" s="7">
        <f t="shared" si="9"/>
        <v>0.1105088524243705</v>
      </c>
      <c r="Z82" s="7">
        <f t="shared" si="10"/>
        <v>10.464601736183877</v>
      </c>
      <c r="AA82" s="9">
        <f t="shared" si="27"/>
        <v>25000000</v>
      </c>
      <c r="AB82" s="9">
        <f t="shared" si="28"/>
        <v>0</v>
      </c>
      <c r="AC82" s="9">
        <f t="shared" si="29"/>
        <v>2125000</v>
      </c>
      <c r="AD82" s="9">
        <f t="shared" si="30"/>
        <v>2125000</v>
      </c>
      <c r="AE82" s="7">
        <f t="shared" si="11"/>
        <v>9.7607807048763637E-2</v>
      </c>
      <c r="AF82" s="7">
        <f t="shared" si="12"/>
        <v>10.026579921680405</v>
      </c>
      <c r="AG82" s="9">
        <f t="shared" si="31"/>
        <v>19425435</v>
      </c>
      <c r="AH82" s="9">
        <f t="shared" si="32"/>
        <v>1603935</v>
      </c>
      <c r="AI82" s="9">
        <f t="shared" si="33"/>
        <v>1603935</v>
      </c>
      <c r="AJ82" s="9">
        <f t="shared" si="34"/>
        <v>4425435</v>
      </c>
      <c r="AK82" s="9">
        <f t="shared" si="35"/>
        <v>0</v>
      </c>
      <c r="AL82" s="9">
        <f t="shared" si="36"/>
        <v>0</v>
      </c>
      <c r="AM82" s="9">
        <f t="shared" si="37"/>
        <v>0</v>
      </c>
      <c r="AN82" s="9"/>
      <c r="AO82" s="9">
        <f t="shared" si="40"/>
        <v>38632541.14397566</v>
      </c>
    </row>
    <row r="83" spans="1:41" x14ac:dyDescent="0.2">
      <c r="A83" s="6">
        <f t="shared" si="13"/>
        <v>4</v>
      </c>
      <c r="B83" s="7">
        <f t="shared" si="2"/>
        <v>8.3905452888240112E-2</v>
      </c>
      <c r="C83" s="7">
        <f t="shared" si="3"/>
        <v>9.1609454711175982</v>
      </c>
      <c r="D83" s="8">
        <f>0.06*C4</f>
        <v>0.06</v>
      </c>
      <c r="E83" s="9">
        <f t="shared" si="14"/>
        <v>645492095.61311078</v>
      </c>
      <c r="F83" s="9">
        <f t="shared" si="15"/>
        <v>75338655.9059356</v>
      </c>
      <c r="G83" s="9">
        <f t="shared" si="16"/>
        <v>41201623.124241114</v>
      </c>
      <c r="H83" s="9">
        <f t="shared" si="17"/>
        <v>9226258.1058330238</v>
      </c>
      <c r="I83" s="9">
        <f t="shared" si="38"/>
        <v>3479599.8842159249</v>
      </c>
      <c r="J83" s="9">
        <f t="shared" si="18"/>
        <v>69591997.684318498</v>
      </c>
      <c r="K83" s="9">
        <f t="shared" si="39"/>
        <v>66112397.800102577</v>
      </c>
      <c r="L83" s="9">
        <f t="shared" si="4"/>
        <v>641492095.61311078</v>
      </c>
      <c r="M83" s="7">
        <f t="shared" si="5"/>
        <v>0.16769685563666409</v>
      </c>
      <c r="N83" s="7">
        <f t="shared" si="6"/>
        <v>11.707738702536728</v>
      </c>
      <c r="O83" s="9">
        <f t="shared" si="19"/>
        <v>0</v>
      </c>
      <c r="P83" s="9">
        <f t="shared" si="20"/>
        <v>41481341.569984891</v>
      </c>
      <c r="Q83" s="9">
        <f t="shared" si="21"/>
        <v>2948908.5722102257</v>
      </c>
      <c r="R83" s="9">
        <f t="shared" si="22"/>
        <v>44430250.142195113</v>
      </c>
      <c r="S83" s="7">
        <f t="shared" si="7"/>
        <v>0.15883091065579469</v>
      </c>
      <c r="T83" s="7">
        <f t="shared" si="8"/>
        <v>11.471008991466046</v>
      </c>
      <c r="U83" s="9">
        <f t="shared" si="23"/>
        <v>288305811.18991077</v>
      </c>
      <c r="V83" s="9">
        <f t="shared" si="24"/>
        <v>10694828.810089245</v>
      </c>
      <c r="W83" s="9">
        <f t="shared" si="25"/>
        <v>21925716.931200001</v>
      </c>
      <c r="X83" s="9">
        <f t="shared" si="26"/>
        <v>32620545.741289247</v>
      </c>
      <c r="Y83" s="7">
        <f t="shared" si="9"/>
        <v>0.11990210488044199</v>
      </c>
      <c r="Z83" s="7">
        <f t="shared" si="10"/>
        <v>10.354092883759506</v>
      </c>
      <c r="AA83" s="9">
        <f t="shared" si="27"/>
        <v>25000000</v>
      </c>
      <c r="AB83" s="9">
        <f t="shared" si="28"/>
        <v>0</v>
      </c>
      <c r="AC83" s="9">
        <f t="shared" si="29"/>
        <v>2125000</v>
      </c>
      <c r="AD83" s="9">
        <f t="shared" si="30"/>
        <v>2125000</v>
      </c>
      <c r="AE83" s="7">
        <f t="shared" si="11"/>
        <v>0.10639250968315236</v>
      </c>
      <c r="AF83" s="7">
        <f t="shared" si="12"/>
        <v>9.9289721146316392</v>
      </c>
      <c r="AG83" s="9">
        <f t="shared" si="31"/>
        <v>21173724.149999999</v>
      </c>
      <c r="AH83" s="9">
        <f t="shared" si="32"/>
        <v>1748289.15</v>
      </c>
      <c r="AI83" s="9">
        <f t="shared" si="33"/>
        <v>1748289.15</v>
      </c>
      <c r="AJ83" s="9">
        <f t="shared" si="34"/>
        <v>6173724.1500000004</v>
      </c>
      <c r="AK83" s="9">
        <f t="shared" si="35"/>
        <v>0</v>
      </c>
      <c r="AL83" s="9">
        <f t="shared" si="36"/>
        <v>0</v>
      </c>
      <c r="AM83" s="9">
        <f t="shared" si="37"/>
        <v>0</v>
      </c>
      <c r="AN83" s="9"/>
      <c r="AO83" s="9">
        <f t="shared" si="40"/>
        <v>37364483.146692351</v>
      </c>
    </row>
    <row r="84" spans="1:41" x14ac:dyDescent="0.2">
      <c r="A84" s="6">
        <f t="shared" si="13"/>
        <v>5</v>
      </c>
      <c r="B84" s="7">
        <f t="shared" si="2"/>
        <v>9.2295998177064131E-2</v>
      </c>
      <c r="C84" s="7">
        <f t="shared" si="3"/>
        <v>9.0770400182293578</v>
      </c>
      <c r="D84" s="8">
        <f t="shared" ref="D84:D109" si="41">D83</f>
        <v>0.06</v>
      </c>
      <c r="E84" s="9">
        <f t="shared" si="14"/>
        <v>598171395.24789739</v>
      </c>
      <c r="F84" s="9">
        <f t="shared" si="15"/>
        <v>70461296.560295254</v>
      </c>
      <c r="G84" s="9">
        <f t="shared" si="16"/>
        <v>38181152.888163663</v>
      </c>
      <c r="H84" s="9">
        <f t="shared" si="17"/>
        <v>9139547.4770497233</v>
      </c>
      <c r="I84" s="9">
        <f t="shared" si="38"/>
        <v>3227460.4780655541</v>
      </c>
      <c r="J84" s="9">
        <f t="shared" si="18"/>
        <v>64549209.561311081</v>
      </c>
      <c r="K84" s="9">
        <f t="shared" si="39"/>
        <v>61321749.083245531</v>
      </c>
      <c r="L84" s="9">
        <f t="shared" si="4"/>
        <v>594171395.24789739</v>
      </c>
      <c r="M84" s="7">
        <f t="shared" si="5"/>
        <v>0.17961842510387455</v>
      </c>
      <c r="N84" s="7">
        <f t="shared" si="6"/>
        <v>11.540041846900062</v>
      </c>
      <c r="O84" s="9">
        <f t="shared" si="19"/>
        <v>0</v>
      </c>
      <c r="P84" s="9">
        <f t="shared" si="20"/>
        <v>0</v>
      </c>
      <c r="Q84" s="9">
        <f t="shared" si="21"/>
        <v>0</v>
      </c>
      <c r="R84" s="9">
        <f t="shared" si="22"/>
        <v>0</v>
      </c>
      <c r="S84" s="7">
        <f t="shared" si="7"/>
        <v>0.1704779813341841</v>
      </c>
      <c r="T84" s="7">
        <f t="shared" si="8"/>
        <v>11.312178080810252</v>
      </c>
      <c r="U84" s="9">
        <f t="shared" si="23"/>
        <v>239079475.65119737</v>
      </c>
      <c r="V84" s="9">
        <f t="shared" si="24"/>
        <v>49226335.538713388</v>
      </c>
      <c r="W84" s="9">
        <f t="shared" si="25"/>
        <v>21141465.134556159</v>
      </c>
      <c r="X84" s="9">
        <f t="shared" si="26"/>
        <v>70367800.67326954</v>
      </c>
      <c r="Y84" s="7">
        <f t="shared" si="9"/>
        <v>0.13009378379527956</v>
      </c>
      <c r="Z84" s="7">
        <f t="shared" si="10"/>
        <v>10.234190778879062</v>
      </c>
      <c r="AA84" s="9">
        <f t="shared" si="27"/>
        <v>25000000</v>
      </c>
      <c r="AB84" s="9">
        <f t="shared" si="28"/>
        <v>0</v>
      </c>
      <c r="AC84" s="9">
        <f t="shared" si="29"/>
        <v>2125000</v>
      </c>
      <c r="AD84" s="9">
        <f t="shared" si="30"/>
        <v>2125000</v>
      </c>
      <c r="AE84" s="7">
        <f t="shared" si="11"/>
        <v>0.11596783555463608</v>
      </c>
      <c r="AF84" s="7">
        <f t="shared" si="12"/>
        <v>9.822579604948487</v>
      </c>
      <c r="AG84" s="9">
        <f t="shared" si="31"/>
        <v>23079359.3235</v>
      </c>
      <c r="AH84" s="9">
        <f t="shared" si="32"/>
        <v>1905635.1734999998</v>
      </c>
      <c r="AI84" s="9">
        <f t="shared" si="33"/>
        <v>1905635.1734999998</v>
      </c>
      <c r="AJ84" s="9">
        <f t="shared" si="34"/>
        <v>8079359.3234999999</v>
      </c>
      <c r="AK84" s="9">
        <f t="shared" si="35"/>
        <v>0</v>
      </c>
      <c r="AL84" s="9">
        <f t="shared" si="36"/>
        <v>0</v>
      </c>
      <c r="AM84" s="9">
        <f t="shared" si="37"/>
        <v>0</v>
      </c>
      <c r="AN84" s="9"/>
      <c r="AO84" s="9">
        <f t="shared" si="40"/>
        <v>36149648.77518937</v>
      </c>
    </row>
    <row r="85" spans="1:41" x14ac:dyDescent="0.2">
      <c r="A85" s="6">
        <f t="shared" si="13"/>
        <v>6</v>
      </c>
      <c r="B85" s="7">
        <f t="shared" si="2"/>
        <v>0.10152559799477055</v>
      </c>
      <c r="C85" s="7">
        <f t="shared" si="3"/>
        <v>8.984744020052295</v>
      </c>
      <c r="D85" s="8">
        <f t="shared" si="41"/>
        <v>0.06</v>
      </c>
      <c r="E85" s="9">
        <f t="shared" si="14"/>
        <v>553752391.04220545</v>
      </c>
      <c r="F85" s="9">
        <f t="shared" si="15"/>
        <v>65899389.453675851</v>
      </c>
      <c r="G85" s="9">
        <f t="shared" si="16"/>
        <v>35345897.300566308</v>
      </c>
      <c r="H85" s="9">
        <f t="shared" si="17"/>
        <v>9073106.9051255956</v>
      </c>
      <c r="I85" s="9">
        <f t="shared" si="38"/>
        <v>2990856.9762394871</v>
      </c>
      <c r="J85" s="9">
        <f t="shared" si="18"/>
        <v>59817139.524789743</v>
      </c>
      <c r="K85" s="9">
        <f t="shared" si="39"/>
        <v>56826282.548550256</v>
      </c>
      <c r="L85" s="9">
        <f t="shared" si="4"/>
        <v>549752391.04220545</v>
      </c>
      <c r="M85" s="7">
        <f t="shared" si="5"/>
        <v>0.19238749894450899</v>
      </c>
      <c r="N85" s="7">
        <f t="shared" si="6"/>
        <v>11.360423421796188</v>
      </c>
      <c r="O85" s="9">
        <f t="shared" si="19"/>
        <v>0</v>
      </c>
      <c r="P85" s="9">
        <f t="shared" si="20"/>
        <v>0</v>
      </c>
      <c r="Q85" s="9">
        <f t="shared" si="21"/>
        <v>0</v>
      </c>
      <c r="R85" s="9">
        <f t="shared" si="22"/>
        <v>0</v>
      </c>
      <c r="S85" s="7">
        <f t="shared" si="7"/>
        <v>0.1829791317054198</v>
      </c>
      <c r="T85" s="7">
        <f t="shared" si="8"/>
        <v>11.141700099476068</v>
      </c>
      <c r="U85" s="9">
        <f t="shared" si="23"/>
        <v>192583329.10639048</v>
      </c>
      <c r="V85" s="9">
        <f t="shared" si="24"/>
        <v>46496146.544806905</v>
      </c>
      <c r="W85" s="9">
        <f t="shared" si="25"/>
        <v>17531697.949502304</v>
      </c>
      <c r="X85" s="9">
        <f t="shared" si="26"/>
        <v>64027844.494309209</v>
      </c>
      <c r="Y85" s="7">
        <f t="shared" si="9"/>
        <v>0.14115175541787831</v>
      </c>
      <c r="Z85" s="7">
        <f t="shared" si="10"/>
        <v>10.104096995083784</v>
      </c>
      <c r="AA85" s="9">
        <f t="shared" si="27"/>
        <v>25000000</v>
      </c>
      <c r="AB85" s="9">
        <f t="shared" si="28"/>
        <v>0</v>
      </c>
      <c r="AC85" s="9">
        <f t="shared" si="29"/>
        <v>2125000</v>
      </c>
      <c r="AD85" s="9">
        <f t="shared" si="30"/>
        <v>2125000</v>
      </c>
      <c r="AE85" s="7">
        <f t="shared" si="11"/>
        <v>0.12640494075455333</v>
      </c>
      <c r="AF85" s="7">
        <f t="shared" si="12"/>
        <v>9.7066117693938523</v>
      </c>
      <c r="AG85" s="9">
        <f t="shared" si="31"/>
        <v>25156501.662615001</v>
      </c>
      <c r="AH85" s="9">
        <f t="shared" si="32"/>
        <v>2077142.3391149999</v>
      </c>
      <c r="AI85" s="9">
        <f t="shared" si="33"/>
        <v>2077142.3391149999</v>
      </c>
      <c r="AJ85" s="9">
        <f t="shared" si="34"/>
        <v>10156501.662614999</v>
      </c>
      <c r="AK85" s="9">
        <f t="shared" si="35"/>
        <v>0</v>
      </c>
      <c r="AL85" s="9">
        <f t="shared" si="36"/>
        <v>0</v>
      </c>
      <c r="AM85" s="9">
        <f t="shared" si="37"/>
        <v>0</v>
      </c>
      <c r="AN85" s="9"/>
      <c r="AO85" s="9">
        <f t="shared" si="40"/>
        <v>35092442.259932943</v>
      </c>
    </row>
    <row r="86" spans="1:41" x14ac:dyDescent="0.2">
      <c r="A86" s="6">
        <f t="shared" si="13"/>
        <v>7</v>
      </c>
      <c r="B86" s="7">
        <f t="shared" si="2"/>
        <v>0.11167815779424761</v>
      </c>
      <c r="C86" s="7">
        <f t="shared" si="3"/>
        <v>8.8832184220575243</v>
      </c>
      <c r="D86" s="8">
        <f t="shared" si="41"/>
        <v>0.06</v>
      </c>
      <c r="E86" s="9">
        <f t="shared" si="14"/>
        <v>512042769.85968536</v>
      </c>
      <c r="F86" s="9">
        <f t="shared" si="15"/>
        <v>61632517.276656076</v>
      </c>
      <c r="G86" s="9">
        <f t="shared" si="16"/>
        <v>32683581.054873534</v>
      </c>
      <c r="H86" s="9">
        <f t="shared" si="17"/>
        <v>9026040.127646558</v>
      </c>
      <c r="I86" s="9">
        <f t="shared" si="38"/>
        <v>2768761.9552110275</v>
      </c>
      <c r="J86" s="9">
        <f t="shared" si="18"/>
        <v>55375239.104220547</v>
      </c>
      <c r="K86" s="9">
        <f t="shared" si="39"/>
        <v>52606477.149009518</v>
      </c>
      <c r="L86" s="9">
        <f t="shared" si="4"/>
        <v>508042769.85968536</v>
      </c>
      <c r="M86" s="7">
        <f t="shared" si="5"/>
        <v>0.20606432624447416</v>
      </c>
      <c r="N86" s="7">
        <f t="shared" si="6"/>
        <v>11.168035922851679</v>
      </c>
      <c r="O86" s="9">
        <f t="shared" si="19"/>
        <v>0</v>
      </c>
      <c r="P86" s="9">
        <f t="shared" si="20"/>
        <v>0</v>
      </c>
      <c r="Q86" s="9">
        <f t="shared" si="21"/>
        <v>0</v>
      </c>
      <c r="R86" s="9">
        <f t="shared" si="22"/>
        <v>0</v>
      </c>
      <c r="S86" s="7">
        <f t="shared" si="7"/>
        <v>0.19639699143337822</v>
      </c>
      <c r="T86" s="7">
        <f t="shared" si="8"/>
        <v>10.958720967770649</v>
      </c>
      <c r="U86" s="9">
        <f t="shared" si="23"/>
        <v>148609622.77423504</v>
      </c>
      <c r="V86" s="9">
        <f t="shared" si="24"/>
        <v>43973706.332155444</v>
      </c>
      <c r="W86" s="9">
        <f t="shared" si="25"/>
        <v>14122135.523371615</v>
      </c>
      <c r="X86" s="9">
        <f t="shared" si="26"/>
        <v>58095841.855527058</v>
      </c>
      <c r="Y86" s="7">
        <f t="shared" si="9"/>
        <v>0.15314965462839797</v>
      </c>
      <c r="Z86" s="7">
        <f t="shared" si="10"/>
        <v>9.9629452396659062</v>
      </c>
      <c r="AA86" s="9">
        <f t="shared" si="27"/>
        <v>25000000</v>
      </c>
      <c r="AB86" s="9">
        <f t="shared" si="28"/>
        <v>0</v>
      </c>
      <c r="AC86" s="9">
        <f t="shared" si="29"/>
        <v>2125000</v>
      </c>
      <c r="AD86" s="9">
        <f t="shared" si="30"/>
        <v>2125000</v>
      </c>
      <c r="AE86" s="7">
        <f t="shared" si="11"/>
        <v>0.13778138542246313</v>
      </c>
      <c r="AF86" s="7">
        <f t="shared" si="12"/>
        <v>9.5802068286392981</v>
      </c>
      <c r="AG86" s="9">
        <f t="shared" si="31"/>
        <v>27420586.81225035</v>
      </c>
      <c r="AH86" s="9">
        <f t="shared" si="32"/>
        <v>2264085.1496353499</v>
      </c>
      <c r="AI86" s="9">
        <f t="shared" si="33"/>
        <v>2264085.1496353499</v>
      </c>
      <c r="AJ86" s="9">
        <f t="shared" si="34"/>
        <v>12420586.81225035</v>
      </c>
      <c r="AK86" s="9">
        <f t="shared" si="35"/>
        <v>0</v>
      </c>
      <c r="AL86" s="9">
        <f t="shared" si="36"/>
        <v>0</v>
      </c>
      <c r="AM86" s="9">
        <f t="shared" si="37"/>
        <v>0</v>
      </c>
      <c r="AN86" s="9"/>
      <c r="AO86" s="9">
        <f t="shared" si="40"/>
        <v>34095256.476002559</v>
      </c>
    </row>
    <row r="87" spans="1:41" x14ac:dyDescent="0.2">
      <c r="A87" s="6">
        <f t="shared" si="13"/>
        <v>8</v>
      </c>
      <c r="B87" s="7">
        <f t="shared" si="2"/>
        <v>0.12284597357367237</v>
      </c>
      <c r="C87" s="7">
        <f t="shared" si="3"/>
        <v>8.771540264263276</v>
      </c>
      <c r="D87" s="8">
        <f t="shared" si="41"/>
        <v>0.06</v>
      </c>
      <c r="E87" s="9">
        <f t="shared" si="14"/>
        <v>472862535.22116888</v>
      </c>
      <c r="F87" s="9">
        <f t="shared" si="15"/>
        <v>57641582.761069424</v>
      </c>
      <c r="G87" s="9">
        <f t="shared" si="16"/>
        <v>30182715.014117163</v>
      </c>
      <c r="H87" s="9">
        <f t="shared" si="17"/>
        <v>8997519.6243993118</v>
      </c>
      <c r="I87" s="9">
        <f t="shared" si="38"/>
        <v>2560213.8492984269</v>
      </c>
      <c r="J87" s="9">
        <f t="shared" si="18"/>
        <v>51204276.985968538</v>
      </c>
      <c r="K87" s="9">
        <f t="shared" si="39"/>
        <v>48644063.136670113</v>
      </c>
      <c r="L87" s="9">
        <f t="shared" si="4"/>
        <v>468862535.22116888</v>
      </c>
      <c r="M87" s="7">
        <f t="shared" si="5"/>
        <v>0.22071343919719383</v>
      </c>
      <c r="N87" s="7">
        <f t="shared" si="6"/>
        <v>10.961971596607205</v>
      </c>
      <c r="O87" s="9">
        <f t="shared" si="19"/>
        <v>0</v>
      </c>
      <c r="P87" s="9">
        <f t="shared" si="20"/>
        <v>0</v>
      </c>
      <c r="Q87" s="9">
        <f t="shared" si="21"/>
        <v>0</v>
      </c>
      <c r="R87" s="9">
        <f t="shared" si="22"/>
        <v>0</v>
      </c>
      <c r="S87" s="7">
        <f t="shared" si="7"/>
        <v>0.21079878281518782</v>
      </c>
      <c r="T87" s="7">
        <f t="shared" si="8"/>
        <v>10.762323976337271</v>
      </c>
      <c r="U87" s="9">
        <f t="shared" si="23"/>
        <v>106961535.32261604</v>
      </c>
      <c r="V87" s="9">
        <f t="shared" si="24"/>
        <v>41648087.451618999</v>
      </c>
      <c r="W87" s="9">
        <f t="shared" si="25"/>
        <v>10897543.638034657</v>
      </c>
      <c r="X87" s="9">
        <f t="shared" si="26"/>
        <v>52545631.089653656</v>
      </c>
      <c r="Y87" s="7">
        <f t="shared" si="9"/>
        <v>0.1661673752718118</v>
      </c>
      <c r="Z87" s="7">
        <f t="shared" si="10"/>
        <v>9.8097955850375076</v>
      </c>
      <c r="AA87" s="9">
        <f t="shared" si="27"/>
        <v>25000000</v>
      </c>
      <c r="AB87" s="9">
        <f t="shared" si="28"/>
        <v>0</v>
      </c>
      <c r="AC87" s="9">
        <f t="shared" si="29"/>
        <v>2125000</v>
      </c>
      <c r="AD87" s="9">
        <f t="shared" si="30"/>
        <v>2125000</v>
      </c>
      <c r="AE87" s="7">
        <f t="shared" si="11"/>
        <v>0.15018171011048481</v>
      </c>
      <c r="AF87" s="7">
        <f t="shared" si="12"/>
        <v>9.4424254432168357</v>
      </c>
      <c r="AG87" s="9">
        <f t="shared" si="31"/>
        <v>29888439.625352882</v>
      </c>
      <c r="AH87" s="9">
        <f t="shared" si="32"/>
        <v>2467852.8131025312</v>
      </c>
      <c r="AI87" s="9">
        <f t="shared" si="33"/>
        <v>2467852.8131025312</v>
      </c>
      <c r="AJ87" s="9">
        <f t="shared" si="34"/>
        <v>14888439.625352882</v>
      </c>
      <c r="AK87" s="9">
        <f t="shared" si="35"/>
        <v>0</v>
      </c>
      <c r="AL87" s="9">
        <f t="shared" si="36"/>
        <v>0</v>
      </c>
      <c r="AM87" s="9">
        <f t="shared" si="37"/>
        <v>0</v>
      </c>
      <c r="AN87" s="9"/>
      <c r="AO87" s="9">
        <f t="shared" si="40"/>
        <v>33153666.685532928</v>
      </c>
    </row>
    <row r="88" spans="1:41" x14ac:dyDescent="0.2">
      <c r="A88" s="6">
        <f t="shared" si="13"/>
        <v>9</v>
      </c>
      <c r="B88" s="7">
        <f t="shared" si="2"/>
        <v>0.13513057093103961</v>
      </c>
      <c r="C88" s="7">
        <f t="shared" si="3"/>
        <v>8.6486942906896029</v>
      </c>
      <c r="D88" s="8">
        <f t="shared" si="41"/>
        <v>0.06</v>
      </c>
      <c r="E88" s="9">
        <f t="shared" si="14"/>
        <v>436043207.79402524</v>
      </c>
      <c r="F88" s="9">
        <f t="shared" si="15"/>
        <v>53908723.094812669</v>
      </c>
      <c r="G88" s="9">
        <f t="shared" si="16"/>
        <v>27832545.178342037</v>
      </c>
      <c r="H88" s="9">
        <f t="shared" si="17"/>
        <v>8986782.2488016188</v>
      </c>
      <c r="I88" s="9">
        <f t="shared" si="38"/>
        <v>2364312.6761058443</v>
      </c>
      <c r="J88" s="9">
        <f t="shared" si="18"/>
        <v>47286253.522116892</v>
      </c>
      <c r="K88" s="9">
        <f t="shared" si="39"/>
        <v>44921940.84601105</v>
      </c>
      <c r="L88" s="9">
        <f t="shared" si="4"/>
        <v>432043207.79402524</v>
      </c>
      <c r="M88" s="7">
        <f t="shared" si="5"/>
        <v>0.23640395758972235</v>
      </c>
      <c r="N88" s="7">
        <f t="shared" si="6"/>
        <v>10.741258157410011</v>
      </c>
      <c r="O88" s="9">
        <f t="shared" si="19"/>
        <v>0</v>
      </c>
      <c r="P88" s="9">
        <f t="shared" si="20"/>
        <v>0</v>
      </c>
      <c r="Q88" s="9">
        <f t="shared" si="21"/>
        <v>0</v>
      </c>
      <c r="R88" s="9">
        <f t="shared" si="22"/>
        <v>0</v>
      </c>
      <c r="S88" s="7">
        <f t="shared" si="7"/>
        <v>0.22625665755902552</v>
      </c>
      <c r="T88" s="7">
        <f t="shared" si="8"/>
        <v>10.551525193522085</v>
      </c>
      <c r="U88" s="9">
        <f t="shared" si="23"/>
        <v>67452248.329190627</v>
      </c>
      <c r="V88" s="9">
        <f t="shared" si="24"/>
        <v>39509286.993425414</v>
      </c>
      <c r="W88" s="9">
        <f t="shared" si="25"/>
        <v>7843489.3852074351</v>
      </c>
      <c r="X88" s="9">
        <f t="shared" si="26"/>
        <v>47352776.378632851</v>
      </c>
      <c r="Y88" s="7">
        <f t="shared" si="9"/>
        <v>0.1802916021699158</v>
      </c>
      <c r="Z88" s="7">
        <f t="shared" si="10"/>
        <v>9.643628209765696</v>
      </c>
      <c r="AA88" s="9">
        <f t="shared" si="27"/>
        <v>25000000</v>
      </c>
      <c r="AB88" s="9">
        <f t="shared" si="28"/>
        <v>0</v>
      </c>
      <c r="AC88" s="9">
        <f t="shared" si="29"/>
        <v>2125000</v>
      </c>
      <c r="AD88" s="9">
        <f t="shared" si="30"/>
        <v>2125000</v>
      </c>
      <c r="AE88" s="7">
        <f t="shared" si="11"/>
        <v>0.16369806402042844</v>
      </c>
      <c r="AF88" s="7">
        <f t="shared" si="12"/>
        <v>9.2922437331063499</v>
      </c>
      <c r="AG88" s="9">
        <f t="shared" si="31"/>
        <v>32578399.19163464</v>
      </c>
      <c r="AH88" s="9">
        <f t="shared" si="32"/>
        <v>2689959.5662817592</v>
      </c>
      <c r="AI88" s="9">
        <f t="shared" si="33"/>
        <v>2689959.5662817592</v>
      </c>
      <c r="AJ88" s="9">
        <f t="shared" si="34"/>
        <v>17578399.19163464</v>
      </c>
      <c r="AK88" s="9">
        <f t="shared" si="35"/>
        <v>0</v>
      </c>
      <c r="AL88" s="9">
        <f t="shared" si="36"/>
        <v>0</v>
      </c>
      <c r="AM88" s="9">
        <f t="shared" si="37"/>
        <v>0</v>
      </c>
      <c r="AN88" s="9"/>
      <c r="AO88" s="9">
        <f t="shared" si="40"/>
        <v>32263491.894521855</v>
      </c>
    </row>
    <row r="89" spans="1:41" x14ac:dyDescent="0.2">
      <c r="A89" s="6">
        <f t="shared" si="13"/>
        <v>10</v>
      </c>
      <c r="B89" s="7">
        <f t="shared" si="2"/>
        <v>0.14864362802414358</v>
      </c>
      <c r="C89" s="7">
        <f t="shared" si="3"/>
        <v>8.5135637197585652</v>
      </c>
      <c r="D89" s="8">
        <f t="shared" si="41"/>
        <v>0.06</v>
      </c>
      <c r="E89" s="9">
        <f t="shared" si="14"/>
        <v>401427077.74100345</v>
      </c>
      <c r="F89" s="9">
        <f t="shared" si="15"/>
        <v>50417229.831262469</v>
      </c>
      <c r="G89" s="9">
        <f t="shared" si="16"/>
        <v>25623004.962191708</v>
      </c>
      <c r="H89" s="9">
        <f t="shared" si="17"/>
        <v>8993125.0908300728</v>
      </c>
      <c r="I89" s="9">
        <f t="shared" si="38"/>
        <v>2180216.0389701263</v>
      </c>
      <c r="J89" s="9">
        <f t="shared" si="18"/>
        <v>43604320.779402524</v>
      </c>
      <c r="K89" s="9">
        <f t="shared" si="39"/>
        <v>41424104.740432397</v>
      </c>
      <c r="L89" s="9">
        <f t="shared" si="4"/>
        <v>397427077.74100345</v>
      </c>
      <c r="M89" s="7">
        <f t="shared" si="5"/>
        <v>0.25320991493477574</v>
      </c>
      <c r="N89" s="7">
        <f t="shared" si="6"/>
        <v>10.504854199820288</v>
      </c>
      <c r="O89" s="9">
        <f t="shared" si="19"/>
        <v>0</v>
      </c>
      <c r="P89" s="9">
        <f t="shared" si="20"/>
        <v>0</v>
      </c>
      <c r="Q89" s="9">
        <f t="shared" si="21"/>
        <v>0</v>
      </c>
      <c r="R89" s="9">
        <f t="shared" si="22"/>
        <v>0</v>
      </c>
      <c r="S89" s="7">
        <f t="shared" si="7"/>
        <v>0.24284805825782885</v>
      </c>
      <c r="T89" s="7">
        <f t="shared" si="8"/>
        <v>10.325268535963058</v>
      </c>
      <c r="U89" s="9">
        <f t="shared" si="23"/>
        <v>29904062.348921731</v>
      </c>
      <c r="V89" s="9">
        <f t="shared" si="24"/>
        <v>37548185.980268896</v>
      </c>
      <c r="W89" s="9">
        <f t="shared" si="25"/>
        <v>4946273.3699795492</v>
      </c>
      <c r="X89" s="9">
        <f t="shared" si="26"/>
        <v>42494459.350248441</v>
      </c>
      <c r="Y89" s="7">
        <f t="shared" si="9"/>
        <v>0.19561638835435863</v>
      </c>
      <c r="Z89" s="7">
        <f t="shared" si="10"/>
        <v>9.4633366075957799</v>
      </c>
      <c r="AA89" s="9">
        <f t="shared" si="27"/>
        <v>25000000</v>
      </c>
      <c r="AB89" s="9">
        <f t="shared" si="28"/>
        <v>0</v>
      </c>
      <c r="AC89" s="9">
        <f t="shared" si="29"/>
        <v>2125000</v>
      </c>
      <c r="AD89" s="9">
        <f t="shared" si="30"/>
        <v>2125000</v>
      </c>
      <c r="AE89" s="7">
        <f t="shared" si="11"/>
        <v>0.17843088978226701</v>
      </c>
      <c r="AF89" s="7">
        <f t="shared" si="12"/>
        <v>9.1285456690859217</v>
      </c>
      <c r="AG89" s="9">
        <f t="shared" si="31"/>
        <v>35510455.118881755</v>
      </c>
      <c r="AH89" s="9">
        <f t="shared" si="32"/>
        <v>2932055.9272471173</v>
      </c>
      <c r="AI89" s="9">
        <f t="shared" si="33"/>
        <v>2932055.9272471173</v>
      </c>
      <c r="AJ89" s="9">
        <f t="shared" si="34"/>
        <v>20510455.118881758</v>
      </c>
      <c r="AK89" s="9">
        <f t="shared" si="35"/>
        <v>0</v>
      </c>
      <c r="AL89" s="9">
        <f t="shared" si="36"/>
        <v>0</v>
      </c>
      <c r="AM89" s="9">
        <f t="shared" si="37"/>
        <v>0</v>
      </c>
      <c r="AN89" s="9"/>
      <c r="AO89" s="9">
        <f t="shared" si="40"/>
        <v>31420775.443205729</v>
      </c>
    </row>
    <row r="90" spans="1:41" x14ac:dyDescent="0.2">
      <c r="A90" s="6">
        <f t="shared" si="13"/>
        <v>11</v>
      </c>
      <c r="B90" s="7">
        <f t="shared" si="2"/>
        <v>0.16350799082655793</v>
      </c>
      <c r="C90" s="7">
        <f t="shared" si="3"/>
        <v>8.3649200917344206</v>
      </c>
      <c r="D90" s="8">
        <f t="shared" si="41"/>
        <v>0.06</v>
      </c>
      <c r="E90" s="9">
        <f t="shared" si="14"/>
        <v>368866505.62931693</v>
      </c>
      <c r="F90" s="9">
        <f t="shared" si="15"/>
        <v>47151473.924997821</v>
      </c>
      <c r="G90" s="9">
        <f t="shared" si="16"/>
        <v>23544670.572084058</v>
      </c>
      <c r="H90" s="9">
        <f t="shared" si="17"/>
        <v>9015901.5396024883</v>
      </c>
      <c r="I90" s="9">
        <f t="shared" si="38"/>
        <v>2007135.3887050173</v>
      </c>
      <c r="J90" s="9">
        <f t="shared" si="18"/>
        <v>40142707.774100348</v>
      </c>
      <c r="K90" s="9">
        <f t="shared" si="39"/>
        <v>38135572.385395333</v>
      </c>
      <c r="L90" s="9">
        <f t="shared" si="4"/>
        <v>364866505.62931693</v>
      </c>
      <c r="M90" s="7">
        <f t="shared" si="5"/>
        <v>0.27121060778748896</v>
      </c>
      <c r="N90" s="7">
        <f t="shared" si="6"/>
        <v>10.251644284885511</v>
      </c>
      <c r="O90" s="9">
        <f t="shared" si="19"/>
        <v>0</v>
      </c>
      <c r="P90" s="9">
        <f t="shared" si="20"/>
        <v>0</v>
      </c>
      <c r="Q90" s="9">
        <f t="shared" si="21"/>
        <v>0</v>
      </c>
      <c r="R90" s="9">
        <f t="shared" si="22"/>
        <v>0</v>
      </c>
      <c r="S90" s="7">
        <f t="shared" si="7"/>
        <v>0.26065610636987541</v>
      </c>
      <c r="T90" s="7">
        <f t="shared" si="8"/>
        <v>10.082420477705231</v>
      </c>
      <c r="U90" s="9">
        <f t="shared" si="23"/>
        <v>0</v>
      </c>
      <c r="V90" s="9">
        <f t="shared" si="24"/>
        <v>29904062.348921731</v>
      </c>
      <c r="W90" s="9">
        <f t="shared" si="25"/>
        <v>2192864.8920464306</v>
      </c>
      <c r="X90" s="9">
        <f t="shared" si="26"/>
        <v>32096927.24096816</v>
      </c>
      <c r="Y90" s="7">
        <f t="shared" si="9"/>
        <v>0.21224378136447911</v>
      </c>
      <c r="Z90" s="7">
        <f t="shared" si="10"/>
        <v>9.2677202192414221</v>
      </c>
      <c r="AA90" s="9">
        <f t="shared" si="27"/>
        <v>19147549.276535824</v>
      </c>
      <c r="AB90" s="9">
        <f t="shared" si="28"/>
        <v>5852450.7234641761</v>
      </c>
      <c r="AC90" s="9">
        <f t="shared" si="29"/>
        <v>2125000</v>
      </c>
      <c r="AD90" s="9">
        <f t="shared" si="30"/>
        <v>7977450.7234641761</v>
      </c>
      <c r="AE90" s="7">
        <f t="shared" si="11"/>
        <v>0.19448966986267105</v>
      </c>
      <c r="AF90" s="7">
        <f t="shared" si="12"/>
        <v>8.9501147793036555</v>
      </c>
      <c r="AG90" s="9">
        <f t="shared" si="31"/>
        <v>38706396.079581112</v>
      </c>
      <c r="AH90" s="9">
        <f t="shared" si="32"/>
        <v>3195940.960699358</v>
      </c>
      <c r="AI90" s="9">
        <f t="shared" si="33"/>
        <v>3195940.960699358</v>
      </c>
      <c r="AJ90" s="9">
        <f t="shared" si="34"/>
        <v>23706396.079581115</v>
      </c>
      <c r="AK90" s="9">
        <f t="shared" si="35"/>
        <v>0</v>
      </c>
      <c r="AL90" s="9">
        <f t="shared" si="36"/>
        <v>0</v>
      </c>
      <c r="AM90" s="9">
        <f t="shared" si="37"/>
        <v>0</v>
      </c>
      <c r="AN90" s="9"/>
      <c r="AO90" s="9">
        <f t="shared" si="40"/>
        <v>30621766.532649539</v>
      </c>
    </row>
    <row r="91" spans="1:41" x14ac:dyDescent="0.2">
      <c r="A91" s="6">
        <f t="shared" si="13"/>
        <v>12</v>
      </c>
      <c r="B91" s="7">
        <f t="shared" si="2"/>
        <v>0.17985878990921372</v>
      </c>
      <c r="C91" s="7">
        <f t="shared" si="3"/>
        <v>8.2014121009078629</v>
      </c>
      <c r="D91" s="8">
        <f t="shared" si="41"/>
        <v>0.06</v>
      </c>
      <c r="E91" s="9">
        <f t="shared" si="14"/>
        <v>338223268.8322888</v>
      </c>
      <c r="F91" s="9">
        <f t="shared" si="15"/>
        <v>44096835.544645883</v>
      </c>
      <c r="G91" s="9">
        <f t="shared" si="16"/>
        <v>21588719.28716737</v>
      </c>
      <c r="H91" s="9">
        <f t="shared" si="17"/>
        <v>9054517.5098607764</v>
      </c>
      <c r="I91" s="9">
        <f t="shared" si="38"/>
        <v>1844332.5281465848</v>
      </c>
      <c r="J91" s="9">
        <f t="shared" si="18"/>
        <v>36886650.562931694</v>
      </c>
      <c r="K91" s="9">
        <f t="shared" si="39"/>
        <v>35042318.034785107</v>
      </c>
      <c r="L91" s="9">
        <f t="shared" si="4"/>
        <v>334223268.8322888</v>
      </c>
      <c r="M91" s="7">
        <f t="shared" si="5"/>
        <v>0.29049096989510159</v>
      </c>
      <c r="N91" s="7">
        <f t="shared" si="6"/>
        <v>9.9804336770980218</v>
      </c>
      <c r="O91" s="9">
        <f t="shared" si="19"/>
        <v>0</v>
      </c>
      <c r="P91" s="9">
        <f t="shared" si="20"/>
        <v>0</v>
      </c>
      <c r="Q91" s="9">
        <f t="shared" si="21"/>
        <v>0</v>
      </c>
      <c r="R91" s="9">
        <f t="shared" si="22"/>
        <v>0</v>
      </c>
      <c r="S91" s="7">
        <f t="shared" si="7"/>
        <v>0.27977001864997836</v>
      </c>
      <c r="T91" s="7">
        <f t="shared" si="8"/>
        <v>9.8217643713353553</v>
      </c>
      <c r="U91" s="9">
        <f t="shared" si="23"/>
        <v>0</v>
      </c>
      <c r="V91" s="9">
        <f t="shared" si="24"/>
        <v>0</v>
      </c>
      <c r="W91" s="9">
        <f t="shared" si="25"/>
        <v>0</v>
      </c>
      <c r="X91" s="9">
        <f t="shared" si="26"/>
        <v>0</v>
      </c>
      <c r="Y91" s="7">
        <f t="shared" si="9"/>
        <v>0.23028450278045984</v>
      </c>
      <c r="Z91" s="7">
        <f t="shared" si="10"/>
        <v>9.0554764378769423</v>
      </c>
      <c r="AA91" s="9">
        <f t="shared" si="27"/>
        <v>0</v>
      </c>
      <c r="AB91" s="9">
        <f t="shared" si="28"/>
        <v>19147549.276535824</v>
      </c>
      <c r="AC91" s="9">
        <f t="shared" si="29"/>
        <v>1627541.6885055453</v>
      </c>
      <c r="AD91" s="9">
        <f t="shared" si="30"/>
        <v>20775090.965041369</v>
      </c>
      <c r="AE91" s="7">
        <f t="shared" si="11"/>
        <v>0.21199374015031147</v>
      </c>
      <c r="AF91" s="7">
        <f t="shared" si="12"/>
        <v>8.7556251094409827</v>
      </c>
      <c r="AG91" s="9">
        <f t="shared" si="31"/>
        <v>27210708.559088789</v>
      </c>
      <c r="AH91" s="9">
        <f t="shared" si="32"/>
        <v>3483575.6471623001</v>
      </c>
      <c r="AI91" s="9">
        <f t="shared" si="33"/>
        <v>-11495687.520492323</v>
      </c>
      <c r="AJ91" s="9">
        <f t="shared" si="34"/>
        <v>12210708.559088793</v>
      </c>
      <c r="AK91" s="9">
        <f t="shared" si="35"/>
        <v>11495687.520492323</v>
      </c>
      <c r="AL91" s="9">
        <f t="shared" si="36"/>
        <v>3483575.6471623001</v>
      </c>
      <c r="AM91" s="9">
        <f t="shared" si="37"/>
        <v>14979263.167654622</v>
      </c>
      <c r="AN91" s="9"/>
      <c r="AO91" s="9">
        <f t="shared" si="40"/>
        <v>29931200.699117262</v>
      </c>
    </row>
    <row r="92" spans="1:41" x14ac:dyDescent="0.2">
      <c r="A92" s="6">
        <f t="shared" si="13"/>
        <v>13</v>
      </c>
      <c r="B92" s="7">
        <f t="shared" si="2"/>
        <v>0.19784466890013511</v>
      </c>
      <c r="C92" s="7">
        <f t="shared" si="3"/>
        <v>8.0215533109986499</v>
      </c>
      <c r="D92" s="8">
        <f t="shared" si="41"/>
        <v>0.06</v>
      </c>
      <c r="E92" s="9">
        <f t="shared" si="14"/>
        <v>309367950.57938337</v>
      </c>
      <c r="F92" s="9">
        <f t="shared" si="15"/>
        <v>41239638.329459004</v>
      </c>
      <c r="G92" s="9">
        <f t="shared" si="16"/>
        <v>19746890.462513834</v>
      </c>
      <c r="H92" s="9">
        <f t="shared" si="17"/>
        <v>9108427.7903915644</v>
      </c>
      <c r="I92" s="9">
        <f t="shared" si="38"/>
        <v>1691116.3441614441</v>
      </c>
      <c r="J92" s="9">
        <f t="shared" si="18"/>
        <v>33822326.883228883</v>
      </c>
      <c r="K92" s="9">
        <f t="shared" si="39"/>
        <v>32131210.53906744</v>
      </c>
      <c r="L92" s="9">
        <f t="shared" si="4"/>
        <v>305367950.57938337</v>
      </c>
      <c r="M92" s="7">
        <f t="shared" si="5"/>
        <v>0.31114197294494439</v>
      </c>
      <c r="N92" s="7">
        <f t="shared" si="6"/>
        <v>9.6899427072029205</v>
      </c>
      <c r="O92" s="9">
        <f t="shared" si="19"/>
        <v>0</v>
      </c>
      <c r="P92" s="9">
        <f t="shared" si="20"/>
        <v>0</v>
      </c>
      <c r="Q92" s="9">
        <f t="shared" si="21"/>
        <v>0</v>
      </c>
      <c r="R92" s="9">
        <f t="shared" si="22"/>
        <v>0</v>
      </c>
      <c r="S92" s="7">
        <f t="shared" si="7"/>
        <v>0.30028555411758123</v>
      </c>
      <c r="T92" s="7">
        <f t="shared" si="8"/>
        <v>9.5419943526853768</v>
      </c>
      <c r="U92" s="9">
        <f t="shared" si="23"/>
        <v>0</v>
      </c>
      <c r="V92" s="9">
        <f t="shared" si="24"/>
        <v>0</v>
      </c>
      <c r="W92" s="9">
        <f t="shared" si="25"/>
        <v>0</v>
      </c>
      <c r="X92" s="9">
        <f t="shared" si="26"/>
        <v>0</v>
      </c>
      <c r="Y92" s="7">
        <f t="shared" si="9"/>
        <v>0.24985868551679893</v>
      </c>
      <c r="Z92" s="7">
        <f t="shared" si="10"/>
        <v>8.8251919350964823</v>
      </c>
      <c r="AA92" s="9">
        <f t="shared" si="27"/>
        <v>0</v>
      </c>
      <c r="AB92" s="9">
        <f t="shared" si="28"/>
        <v>0</v>
      </c>
      <c r="AC92" s="9">
        <f t="shared" si="29"/>
        <v>0</v>
      </c>
      <c r="AD92" s="9">
        <f t="shared" si="30"/>
        <v>0</v>
      </c>
      <c r="AE92" s="7">
        <f t="shared" si="11"/>
        <v>0.23107317676383951</v>
      </c>
      <c r="AF92" s="7">
        <f t="shared" si="12"/>
        <v>8.5436313692906722</v>
      </c>
      <c r="AG92" s="9">
        <f t="shared" si="31"/>
        <v>0</v>
      </c>
      <c r="AH92" s="9">
        <f t="shared" si="32"/>
        <v>2448963.7703179908</v>
      </c>
      <c r="AI92" s="9">
        <f t="shared" si="33"/>
        <v>-27210708.559088789</v>
      </c>
      <c r="AJ92" s="9">
        <f t="shared" si="34"/>
        <v>-14999999.999999996</v>
      </c>
      <c r="AK92" s="9">
        <f t="shared" si="35"/>
        <v>27210708.559088789</v>
      </c>
      <c r="AL92" s="9">
        <f t="shared" si="36"/>
        <v>2448963.7703179908</v>
      </c>
      <c r="AM92" s="9">
        <f t="shared" si="37"/>
        <v>29659672.329406779</v>
      </c>
      <c r="AN92" s="9"/>
      <c r="AO92" s="9">
        <f t="shared" si="40"/>
        <v>31326856.462566059</v>
      </c>
    </row>
    <row r="93" spans="1:41" x14ac:dyDescent="0.2">
      <c r="A93" s="6">
        <f t="shared" si="13"/>
        <v>14</v>
      </c>
      <c r="B93" s="7">
        <f t="shared" si="2"/>
        <v>0.21762913579014861</v>
      </c>
      <c r="C93" s="7">
        <f t="shared" si="3"/>
        <v>7.8237086420985138</v>
      </c>
      <c r="D93" s="8">
        <f t="shared" si="41"/>
        <v>0.06</v>
      </c>
      <c r="E93" s="9">
        <f t="shared" si="14"/>
        <v>282179369.02962595</v>
      </c>
      <c r="F93" s="9">
        <f t="shared" si="15"/>
        <v>38567087.767801464</v>
      </c>
      <c r="G93" s="9">
        <f t="shared" si="16"/>
        <v>18011449.086997401</v>
      </c>
      <c r="H93" s="9">
        <f t="shared" si="17"/>
        <v>9177132.4627600424</v>
      </c>
      <c r="I93" s="9">
        <f t="shared" si="38"/>
        <v>1546839.7528969168</v>
      </c>
      <c r="J93" s="9">
        <f t="shared" si="18"/>
        <v>30936795.057938337</v>
      </c>
      <c r="K93" s="9">
        <f t="shared" si="39"/>
        <v>29389955.305041421</v>
      </c>
      <c r="L93" s="9">
        <f t="shared" si="4"/>
        <v>278179369.02962595</v>
      </c>
      <c r="M93" s="7">
        <f t="shared" si="5"/>
        <v>0.33326105580160054</v>
      </c>
      <c r="N93" s="7">
        <f t="shared" si="6"/>
        <v>9.3788007342579771</v>
      </c>
      <c r="O93" s="9">
        <f t="shared" si="19"/>
        <v>0</v>
      </c>
      <c r="P93" s="9">
        <f t="shared" si="20"/>
        <v>0</v>
      </c>
      <c r="Q93" s="9">
        <f t="shared" si="21"/>
        <v>0</v>
      </c>
      <c r="R93" s="9">
        <f t="shared" si="22"/>
        <v>0</v>
      </c>
      <c r="S93" s="7">
        <f t="shared" si="7"/>
        <v>0.32230549380102347</v>
      </c>
      <c r="T93" s="7">
        <f t="shared" si="8"/>
        <v>9.2417087985677959</v>
      </c>
      <c r="U93" s="9">
        <f t="shared" si="23"/>
        <v>0</v>
      </c>
      <c r="V93" s="9">
        <f t="shared" si="24"/>
        <v>0</v>
      </c>
      <c r="W93" s="9">
        <f t="shared" si="25"/>
        <v>0</v>
      </c>
      <c r="X93" s="9">
        <f t="shared" si="26"/>
        <v>0</v>
      </c>
      <c r="Y93" s="7">
        <f t="shared" si="9"/>
        <v>0.27109667378572683</v>
      </c>
      <c r="Z93" s="7">
        <f t="shared" si="10"/>
        <v>8.5753332495796837</v>
      </c>
      <c r="AA93" s="9">
        <f t="shared" si="27"/>
        <v>0</v>
      </c>
      <c r="AB93" s="9">
        <f t="shared" si="28"/>
        <v>0</v>
      </c>
      <c r="AC93" s="9">
        <f t="shared" si="29"/>
        <v>0</v>
      </c>
      <c r="AD93" s="9">
        <f t="shared" si="30"/>
        <v>0</v>
      </c>
      <c r="AE93" s="7">
        <f t="shared" si="11"/>
        <v>0.2518697626725851</v>
      </c>
      <c r="AF93" s="7">
        <f t="shared" si="12"/>
        <v>8.3125581925268328</v>
      </c>
      <c r="AG93" s="9">
        <f t="shared" si="31"/>
        <v>0</v>
      </c>
      <c r="AH93" s="9">
        <f t="shared" si="32"/>
        <v>0</v>
      </c>
      <c r="AI93" s="9">
        <f t="shared" si="33"/>
        <v>0</v>
      </c>
      <c r="AJ93" s="9">
        <f t="shared" si="34"/>
        <v>-14999999.999999996</v>
      </c>
      <c r="AK93" s="9">
        <f t="shared" si="35"/>
        <v>0</v>
      </c>
      <c r="AL93" s="9">
        <f t="shared" si="36"/>
        <v>0</v>
      </c>
      <c r="AM93" s="9">
        <f t="shared" si="37"/>
        <v>0</v>
      </c>
      <c r="AN93" s="9"/>
      <c r="AO93" s="9">
        <f t="shared" si="40"/>
        <v>56578536.854798868</v>
      </c>
    </row>
    <row r="94" spans="1:41" x14ac:dyDescent="0.2">
      <c r="A94" s="6">
        <f t="shared" si="13"/>
        <v>15</v>
      </c>
      <c r="B94" s="7">
        <f t="shared" si="2"/>
        <v>0.23939204936916347</v>
      </c>
      <c r="C94" s="7">
        <f t="shared" si="3"/>
        <v>7.6060795063083653</v>
      </c>
      <c r="D94" s="8">
        <f t="shared" si="41"/>
        <v>0.06</v>
      </c>
      <c r="E94" s="9">
        <f t="shared" si="14"/>
        <v>256544043.96353912</v>
      </c>
      <c r="F94" s="9">
        <f t="shared" si="15"/>
        <v>36067213.381547704</v>
      </c>
      <c r="G94" s="9">
        <f t="shared" si="16"/>
        <v>16375151.74235356</v>
      </c>
      <c r="H94" s="9">
        <f t="shared" si="17"/>
        <v>9260173.3237332404</v>
      </c>
      <c r="I94" s="9">
        <f t="shared" si="38"/>
        <v>1410896.8451481299</v>
      </c>
      <c r="J94" s="9">
        <f t="shared" si="18"/>
        <v>28217936.902962595</v>
      </c>
      <c r="K94" s="9">
        <f t="shared" si="39"/>
        <v>26807040.057814464</v>
      </c>
      <c r="L94" s="9">
        <f t="shared" si="4"/>
        <v>252544043.96353912</v>
      </c>
      <c r="M94" s="7">
        <f t="shared" si="5"/>
        <v>0.35695258425853632</v>
      </c>
      <c r="N94" s="7">
        <f t="shared" si="6"/>
        <v>9.0455396784563735</v>
      </c>
      <c r="O94" s="9">
        <f t="shared" si="19"/>
        <v>0</v>
      </c>
      <c r="P94" s="9">
        <f t="shared" si="20"/>
        <v>0</v>
      </c>
      <c r="Q94" s="9">
        <f t="shared" si="21"/>
        <v>0</v>
      </c>
      <c r="R94" s="9">
        <f t="shared" si="22"/>
        <v>0</v>
      </c>
      <c r="S94" s="7">
        <f t="shared" si="7"/>
        <v>0.34594015566145248</v>
      </c>
      <c r="T94" s="7">
        <f t="shared" si="8"/>
        <v>8.9194033047667727</v>
      </c>
      <c r="U94" s="9">
        <f t="shared" si="23"/>
        <v>0</v>
      </c>
      <c r="V94" s="9">
        <f t="shared" si="24"/>
        <v>0</v>
      </c>
      <c r="W94" s="9">
        <f t="shared" si="25"/>
        <v>0</v>
      </c>
      <c r="X94" s="9">
        <f t="shared" si="26"/>
        <v>0</v>
      </c>
      <c r="Y94" s="7">
        <f t="shared" si="9"/>
        <v>0.29413989105751359</v>
      </c>
      <c r="Z94" s="7">
        <f t="shared" si="10"/>
        <v>8.3042365757939578</v>
      </c>
      <c r="AA94" s="9">
        <f t="shared" si="27"/>
        <v>0</v>
      </c>
      <c r="AB94" s="9">
        <f t="shared" si="28"/>
        <v>0</v>
      </c>
      <c r="AC94" s="9">
        <f t="shared" si="29"/>
        <v>0</v>
      </c>
      <c r="AD94" s="9">
        <f t="shared" si="30"/>
        <v>0</v>
      </c>
      <c r="AE94" s="7">
        <f t="shared" si="11"/>
        <v>0.27453804131311776</v>
      </c>
      <c r="AF94" s="7">
        <f t="shared" si="12"/>
        <v>8.0606884298542472</v>
      </c>
      <c r="AG94" s="9">
        <f t="shared" si="31"/>
        <v>0</v>
      </c>
      <c r="AH94" s="9">
        <f t="shared" si="32"/>
        <v>0</v>
      </c>
      <c r="AI94" s="9">
        <f t="shared" si="33"/>
        <v>0</v>
      </c>
      <c r="AJ94" s="9">
        <f t="shared" si="34"/>
        <v>-14999999.999999996</v>
      </c>
      <c r="AK94" s="9">
        <f t="shared" si="35"/>
        <v>0</v>
      </c>
      <c r="AL94" s="9">
        <f t="shared" si="36"/>
        <v>0</v>
      </c>
      <c r="AM94" s="9">
        <f t="shared" si="37"/>
        <v>0</v>
      </c>
      <c r="AN94" s="9"/>
      <c r="AO94" s="9">
        <f t="shared" si="40"/>
        <v>52442365.123901263</v>
      </c>
    </row>
    <row r="95" spans="1:41" x14ac:dyDescent="0.2">
      <c r="A95" s="6">
        <f t="shared" si="13"/>
        <v>16</v>
      </c>
      <c r="B95" s="7">
        <f t="shared" si="2"/>
        <v>0.26333125430607984</v>
      </c>
      <c r="C95" s="7">
        <f t="shared" si="3"/>
        <v>7.3666874569392018</v>
      </c>
      <c r="D95" s="8">
        <f t="shared" si="41"/>
        <v>0.06</v>
      </c>
      <c r="E95" s="9">
        <f t="shared" si="14"/>
        <v>232355698.91769508</v>
      </c>
      <c r="F95" s="9">
        <f t="shared" si="15"/>
        <v>33728814.397846542</v>
      </c>
      <c r="G95" s="9">
        <f t="shared" si="16"/>
        <v>14831214.824533727</v>
      </c>
      <c r="H95" s="9">
        <f t="shared" si="17"/>
        <v>9357130.2213103212</v>
      </c>
      <c r="I95" s="9">
        <f t="shared" si="38"/>
        <v>1282720.2198176957</v>
      </c>
      <c r="J95" s="9">
        <f t="shared" si="18"/>
        <v>25654404.396353915</v>
      </c>
      <c r="K95" s="9">
        <f t="shared" si="39"/>
        <v>24371684.176536221</v>
      </c>
      <c r="L95" s="9">
        <f t="shared" si="4"/>
        <v>228355698.91769508</v>
      </c>
      <c r="M95" s="7">
        <f t="shared" si="5"/>
        <v>0.38232834347347572</v>
      </c>
      <c r="N95" s="7">
        <f t="shared" si="6"/>
        <v>8.6885870941978389</v>
      </c>
      <c r="O95" s="9">
        <f t="shared" si="19"/>
        <v>0</v>
      </c>
      <c r="P95" s="9">
        <f t="shared" si="20"/>
        <v>0</v>
      </c>
      <c r="Q95" s="9">
        <f t="shared" si="21"/>
        <v>0</v>
      </c>
      <c r="R95" s="9">
        <f t="shared" si="22"/>
        <v>0</v>
      </c>
      <c r="S95" s="7">
        <f t="shared" si="7"/>
        <v>0.37130794727610678</v>
      </c>
      <c r="T95" s="7">
        <f t="shared" si="8"/>
        <v>8.5734631491053221</v>
      </c>
      <c r="U95" s="9">
        <f t="shared" si="23"/>
        <v>0</v>
      </c>
      <c r="V95" s="9">
        <f t="shared" si="24"/>
        <v>0</v>
      </c>
      <c r="W95" s="9">
        <f t="shared" si="25"/>
        <v>0</v>
      </c>
      <c r="X95" s="9">
        <f t="shared" si="26"/>
        <v>0</v>
      </c>
      <c r="Y95" s="7">
        <f t="shared" si="9"/>
        <v>0.31914178179740227</v>
      </c>
      <c r="Z95" s="7">
        <f t="shared" si="10"/>
        <v>8.0100966847364425</v>
      </c>
      <c r="AA95" s="9">
        <f t="shared" si="27"/>
        <v>0</v>
      </c>
      <c r="AB95" s="9">
        <f t="shared" si="28"/>
        <v>0</v>
      </c>
      <c r="AC95" s="9">
        <f t="shared" si="29"/>
        <v>0</v>
      </c>
      <c r="AD95" s="9">
        <f t="shared" si="30"/>
        <v>0</v>
      </c>
      <c r="AE95" s="7">
        <f t="shared" si="11"/>
        <v>0.29924646503129837</v>
      </c>
      <c r="AF95" s="7">
        <f t="shared" si="12"/>
        <v>7.7861503885411292</v>
      </c>
      <c r="AG95" s="9">
        <f t="shared" si="31"/>
        <v>0</v>
      </c>
      <c r="AH95" s="9">
        <f t="shared" si="32"/>
        <v>0</v>
      </c>
      <c r="AI95" s="9">
        <f t="shared" si="33"/>
        <v>0</v>
      </c>
      <c r="AJ95" s="9">
        <f t="shared" si="34"/>
        <v>-14999999.999999996</v>
      </c>
      <c r="AK95" s="9">
        <f t="shared" si="35"/>
        <v>0</v>
      </c>
      <c r="AL95" s="9">
        <f t="shared" si="36"/>
        <v>0</v>
      </c>
      <c r="AM95" s="9">
        <f t="shared" si="37"/>
        <v>0</v>
      </c>
      <c r="AN95" s="9"/>
      <c r="AO95" s="9">
        <f t="shared" si="40"/>
        <v>48560029.222380266</v>
      </c>
    </row>
    <row r="96" spans="1:41" x14ac:dyDescent="0.2">
      <c r="A96" s="6">
        <f t="shared" si="13"/>
        <v>17</v>
      </c>
      <c r="B96" s="7">
        <f t="shared" si="2"/>
        <v>0.28966437973668785</v>
      </c>
      <c r="C96" s="7">
        <f t="shared" si="3"/>
        <v>7.1033562026331225</v>
      </c>
      <c r="D96" s="8">
        <f t="shared" si="41"/>
        <v>0.06</v>
      </c>
      <c r="E96" s="9">
        <f t="shared" si="14"/>
        <v>209514796.83624303</v>
      </c>
      <c r="F96" s="9">
        <f t="shared" si="15"/>
        <v>31541408.574192036</v>
      </c>
      <c r="G96" s="9">
        <f t="shared" si="16"/>
        <v>13373284.904441044</v>
      </c>
      <c r="H96" s="9">
        <f t="shared" si="17"/>
        <v>9467617.1770110019</v>
      </c>
      <c r="I96" s="9">
        <f t="shared" si="38"/>
        <v>1161778.4945884754</v>
      </c>
      <c r="J96" s="9">
        <f t="shared" si="18"/>
        <v>23235569.89176951</v>
      </c>
      <c r="K96" s="9">
        <f t="shared" si="39"/>
        <v>22073791.397181034</v>
      </c>
      <c r="L96" s="9">
        <f t="shared" si="4"/>
        <v>205514796.83624303</v>
      </c>
      <c r="M96" s="7">
        <f t="shared" si="5"/>
        <v>0.40950806541100515</v>
      </c>
      <c r="N96" s="7">
        <f t="shared" si="6"/>
        <v>8.3062587507243624</v>
      </c>
      <c r="O96" s="9">
        <f t="shared" si="19"/>
        <v>0</v>
      </c>
      <c r="P96" s="9">
        <f t="shared" si="20"/>
        <v>0</v>
      </c>
      <c r="Q96" s="9">
        <f t="shared" si="21"/>
        <v>0</v>
      </c>
      <c r="R96" s="9">
        <f t="shared" si="22"/>
        <v>0</v>
      </c>
      <c r="S96" s="7">
        <f t="shared" si="7"/>
        <v>0.39853595904986366</v>
      </c>
      <c r="T96" s="7">
        <f t="shared" si="8"/>
        <v>8.2021552018292159</v>
      </c>
      <c r="U96" s="9">
        <f t="shared" si="23"/>
        <v>0</v>
      </c>
      <c r="V96" s="9">
        <f t="shared" si="24"/>
        <v>0</v>
      </c>
      <c r="W96" s="9">
        <f t="shared" si="25"/>
        <v>0</v>
      </c>
      <c r="X96" s="9">
        <f t="shared" si="26"/>
        <v>0</v>
      </c>
      <c r="Y96" s="7">
        <f t="shared" si="9"/>
        <v>0.34626883325018148</v>
      </c>
      <c r="Z96" s="7">
        <f t="shared" si="10"/>
        <v>7.6909549029390405</v>
      </c>
      <c r="AA96" s="9">
        <f t="shared" si="27"/>
        <v>0</v>
      </c>
      <c r="AB96" s="9">
        <f t="shared" si="28"/>
        <v>0</v>
      </c>
      <c r="AC96" s="9">
        <f t="shared" si="29"/>
        <v>0</v>
      </c>
      <c r="AD96" s="9">
        <f t="shared" si="30"/>
        <v>0</v>
      </c>
      <c r="AE96" s="7">
        <f t="shared" si="11"/>
        <v>0.32617864688411524</v>
      </c>
      <c r="AF96" s="7">
        <f t="shared" si="12"/>
        <v>7.4869039235098302</v>
      </c>
      <c r="AG96" s="9">
        <f t="shared" si="31"/>
        <v>0</v>
      </c>
      <c r="AH96" s="9">
        <f t="shared" si="32"/>
        <v>0</v>
      </c>
      <c r="AI96" s="9">
        <f t="shared" si="33"/>
        <v>0</v>
      </c>
      <c r="AJ96" s="9">
        <f t="shared" si="34"/>
        <v>-14999999.999999996</v>
      </c>
      <c r="AK96" s="9">
        <f t="shared" si="35"/>
        <v>0</v>
      </c>
      <c r="AL96" s="9">
        <f t="shared" si="36"/>
        <v>0</v>
      </c>
      <c r="AM96" s="9">
        <f t="shared" si="37"/>
        <v>0</v>
      </c>
      <c r="AN96" s="9"/>
      <c r="AO96" s="9">
        <f t="shared" si="40"/>
        <v>44914693.478633076</v>
      </c>
    </row>
    <row r="97" spans="1:41" x14ac:dyDescent="0.2">
      <c r="A97" s="6">
        <f t="shared" si="13"/>
        <v>18</v>
      </c>
      <c r="B97" s="7">
        <f t="shared" si="2"/>
        <v>0.31863081771035667</v>
      </c>
      <c r="C97" s="7">
        <f t="shared" si="3"/>
        <v>6.8136918228964323</v>
      </c>
      <c r="D97" s="8">
        <f t="shared" si="41"/>
        <v>0.06</v>
      </c>
      <c r="E97" s="9">
        <f t="shared" si="14"/>
        <v>187928107.60589319</v>
      </c>
      <c r="F97" s="9">
        <f t="shared" si="15"/>
        <v>29495183.806012515</v>
      </c>
      <c r="G97" s="9">
        <f t="shared" si="16"/>
        <v>11995411.123780416</v>
      </c>
      <c r="H97" s="9">
        <f t="shared" si="17"/>
        <v>9591278.1065694243</v>
      </c>
      <c r="I97" s="9">
        <f t="shared" si="38"/>
        <v>1047573.9841812152</v>
      </c>
      <c r="J97" s="9">
        <f t="shared" si="18"/>
        <v>20951479.683624305</v>
      </c>
      <c r="K97" s="9">
        <f t="shared" si="39"/>
        <v>19903905.699443091</v>
      </c>
      <c r="L97" s="9">
        <f t="shared" si="4"/>
        <v>183928107.60589319</v>
      </c>
      <c r="M97" s="7">
        <f t="shared" si="5"/>
        <v>0.43861999378107352</v>
      </c>
      <c r="N97" s="7">
        <f t="shared" si="6"/>
        <v>7.8967506853133562</v>
      </c>
      <c r="O97" s="9">
        <f t="shared" si="19"/>
        <v>0</v>
      </c>
      <c r="P97" s="9">
        <f t="shared" si="20"/>
        <v>0</v>
      </c>
      <c r="Q97" s="9">
        <f t="shared" si="21"/>
        <v>0</v>
      </c>
      <c r="R97" s="9">
        <f t="shared" si="22"/>
        <v>0</v>
      </c>
      <c r="S97" s="7">
        <f t="shared" si="7"/>
        <v>0.42776060092699014</v>
      </c>
      <c r="T97" s="7">
        <f t="shared" si="8"/>
        <v>7.8036192427793516</v>
      </c>
      <c r="U97" s="9">
        <f t="shared" si="23"/>
        <v>0</v>
      </c>
      <c r="V97" s="9">
        <f t="shared" si="24"/>
        <v>0</v>
      </c>
      <c r="W97" s="9">
        <f t="shared" si="25"/>
        <v>0</v>
      </c>
      <c r="X97" s="9">
        <f t="shared" si="26"/>
        <v>0</v>
      </c>
      <c r="Y97" s="7">
        <f t="shared" si="9"/>
        <v>0.37570168407644688</v>
      </c>
      <c r="Z97" s="7">
        <f t="shared" si="10"/>
        <v>7.3446860696888594</v>
      </c>
      <c r="AA97" s="9">
        <f t="shared" si="27"/>
        <v>0</v>
      </c>
      <c r="AB97" s="9">
        <f t="shared" si="28"/>
        <v>0</v>
      </c>
      <c r="AC97" s="9">
        <f t="shared" si="29"/>
        <v>0</v>
      </c>
      <c r="AD97" s="9">
        <f t="shared" si="30"/>
        <v>0</v>
      </c>
      <c r="AE97" s="7">
        <f t="shared" si="11"/>
        <v>0.35553472510368561</v>
      </c>
      <c r="AF97" s="7">
        <f t="shared" si="12"/>
        <v>7.1607252766257155</v>
      </c>
      <c r="AG97" s="9">
        <f t="shared" si="31"/>
        <v>0</v>
      </c>
      <c r="AH97" s="9">
        <f t="shared" si="32"/>
        <v>0</v>
      </c>
      <c r="AI97" s="9">
        <f t="shared" si="33"/>
        <v>0</v>
      </c>
      <c r="AJ97" s="9">
        <f t="shared" si="34"/>
        <v>-14999999.999999996</v>
      </c>
      <c r="AK97" s="9">
        <f t="shared" si="35"/>
        <v>0</v>
      </c>
      <c r="AL97" s="9">
        <f t="shared" si="36"/>
        <v>0</v>
      </c>
      <c r="AM97" s="9">
        <f t="shared" si="37"/>
        <v>0</v>
      </c>
      <c r="AN97" s="9"/>
      <c r="AO97" s="9">
        <f t="shared" si="40"/>
        <v>41490594.929792926</v>
      </c>
    </row>
    <row r="98" spans="1:41" x14ac:dyDescent="0.2">
      <c r="A98" s="6">
        <f t="shared" si="13"/>
        <v>19</v>
      </c>
      <c r="B98" s="7">
        <f t="shared" si="2"/>
        <v>0.35049389948139237</v>
      </c>
      <c r="C98" s="7">
        <f t="shared" si="3"/>
        <v>6.4950610051860753</v>
      </c>
      <c r="D98" s="8">
        <f t="shared" si="41"/>
        <v>0.06</v>
      </c>
      <c r="E98" s="9">
        <f t="shared" si="14"/>
        <v>167508306.21034732</v>
      </c>
      <c r="F98" s="9">
        <f t="shared" si="15"/>
        <v>27580952.0727644</v>
      </c>
      <c r="G98" s="9">
        <f t="shared" si="16"/>
        <v>10692019.545341318</v>
      </c>
      <c r="H98" s="9">
        <f t="shared" si="17"/>
        <v>9727781.850204546</v>
      </c>
      <c r="I98" s="9">
        <f t="shared" si="38"/>
        <v>939640.53802946594</v>
      </c>
      <c r="J98" s="9">
        <f t="shared" si="18"/>
        <v>18792810.76058932</v>
      </c>
      <c r="K98" s="9">
        <f t="shared" si="39"/>
        <v>17853170.222559854</v>
      </c>
      <c r="L98" s="9">
        <f t="shared" si="4"/>
        <v>163508306.21034732</v>
      </c>
      <c r="M98" s="7">
        <f t="shared" si="5"/>
        <v>0.46980148913897007</v>
      </c>
      <c r="N98" s="7">
        <f t="shared" si="6"/>
        <v>7.4581306915322818</v>
      </c>
      <c r="O98" s="9">
        <f t="shared" si="19"/>
        <v>0</v>
      </c>
      <c r="P98" s="9">
        <f t="shared" si="20"/>
        <v>0</v>
      </c>
      <c r="Q98" s="9">
        <f t="shared" si="21"/>
        <v>0</v>
      </c>
      <c r="R98" s="9">
        <f t="shared" si="22"/>
        <v>0</v>
      </c>
      <c r="S98" s="7">
        <f t="shared" si="7"/>
        <v>0.45912828579296633</v>
      </c>
      <c r="T98" s="7">
        <f t="shared" si="8"/>
        <v>7.3758586418523597</v>
      </c>
      <c r="U98" s="9">
        <f t="shared" si="23"/>
        <v>0</v>
      </c>
      <c r="V98" s="9">
        <f t="shared" si="24"/>
        <v>0</v>
      </c>
      <c r="W98" s="9">
        <f t="shared" si="25"/>
        <v>0</v>
      </c>
      <c r="X98" s="9">
        <f t="shared" si="26"/>
        <v>0</v>
      </c>
      <c r="Y98" s="7">
        <f t="shared" si="9"/>
        <v>0.40763632722294485</v>
      </c>
      <c r="Z98" s="7">
        <f t="shared" si="10"/>
        <v>6.968984385612413</v>
      </c>
      <c r="AA98" s="9">
        <f t="shared" si="27"/>
        <v>0</v>
      </c>
      <c r="AB98" s="9">
        <f t="shared" si="28"/>
        <v>0</v>
      </c>
      <c r="AC98" s="9">
        <f t="shared" si="29"/>
        <v>0</v>
      </c>
      <c r="AD98" s="9">
        <f t="shared" si="30"/>
        <v>0</v>
      </c>
      <c r="AE98" s="7">
        <f t="shared" si="11"/>
        <v>0.38753285036301732</v>
      </c>
      <c r="AF98" s="7">
        <f t="shared" si="12"/>
        <v>6.8051905515220295</v>
      </c>
      <c r="AG98" s="9">
        <f t="shared" si="31"/>
        <v>0</v>
      </c>
      <c r="AH98" s="9">
        <f t="shared" si="32"/>
        <v>0</v>
      </c>
      <c r="AI98" s="9">
        <f t="shared" si="33"/>
        <v>0</v>
      </c>
      <c r="AJ98" s="9">
        <f t="shared" si="34"/>
        <v>-14999999.999999996</v>
      </c>
      <c r="AK98" s="9">
        <f t="shared" si="35"/>
        <v>0</v>
      </c>
      <c r="AL98" s="9">
        <f t="shared" si="36"/>
        <v>0</v>
      </c>
      <c r="AM98" s="9">
        <f t="shared" si="37"/>
        <v>0</v>
      </c>
      <c r="AN98" s="9"/>
      <c r="AO98" s="9">
        <f t="shared" si="40"/>
        <v>38272971.618105717</v>
      </c>
    </row>
    <row r="99" spans="1:41" x14ac:dyDescent="0.2">
      <c r="A99" s="6">
        <f t="shared" si="13"/>
        <v>20</v>
      </c>
      <c r="B99" s="7">
        <f t="shared" si="2"/>
        <v>0.38554328942953164</v>
      </c>
      <c r="C99" s="7">
        <f t="shared" si="3"/>
        <v>6.1445671057046836</v>
      </c>
      <c r="D99" s="8">
        <f t="shared" si="41"/>
        <v>0.06</v>
      </c>
      <c r="E99" s="9">
        <f t="shared" si="14"/>
        <v>148173600.75130615</v>
      </c>
      <c r="F99" s="9">
        <f t="shared" si="15"/>
        <v>25790105.139366344</v>
      </c>
      <c r="G99" s="9">
        <f t="shared" si="16"/>
        <v>9457889.4096578378</v>
      </c>
      <c r="H99" s="9">
        <f t="shared" si="17"/>
        <v>9876816.049383346</v>
      </c>
      <c r="I99" s="9">
        <f t="shared" si="38"/>
        <v>837541.53105173667</v>
      </c>
      <c r="J99" s="9">
        <f t="shared" si="18"/>
        <v>16750830.621034734</v>
      </c>
      <c r="K99" s="9">
        <f t="shared" si="39"/>
        <v>15913289.089982998</v>
      </c>
      <c r="L99" s="9">
        <f t="shared" si="4"/>
        <v>144173600.75130615</v>
      </c>
      <c r="M99" s="7">
        <f t="shared" si="5"/>
        <v>0.50319967700185952</v>
      </c>
      <c r="N99" s="7">
        <f t="shared" si="6"/>
        <v>6.9883292023933112</v>
      </c>
      <c r="O99" s="9">
        <f t="shared" si="19"/>
        <v>0</v>
      </c>
      <c r="P99" s="9">
        <f t="shared" si="20"/>
        <v>0</v>
      </c>
      <c r="Q99" s="9">
        <f t="shared" si="21"/>
        <v>0</v>
      </c>
      <c r="R99" s="9">
        <f t="shared" si="22"/>
        <v>0</v>
      </c>
      <c r="S99" s="7">
        <f t="shared" si="7"/>
        <v>0.49279616299016454</v>
      </c>
      <c r="T99" s="7">
        <f t="shared" si="8"/>
        <v>6.9167303560593956</v>
      </c>
      <c r="U99" s="9">
        <f t="shared" si="23"/>
        <v>0</v>
      </c>
      <c r="V99" s="9">
        <f t="shared" si="24"/>
        <v>0</v>
      </c>
      <c r="W99" s="9">
        <f t="shared" si="25"/>
        <v>0</v>
      </c>
      <c r="X99" s="9">
        <f t="shared" si="26"/>
        <v>0</v>
      </c>
      <c r="Y99" s="7">
        <f t="shared" si="9"/>
        <v>0.44228541503689517</v>
      </c>
      <c r="Z99" s="7">
        <f t="shared" si="10"/>
        <v>6.561348058389469</v>
      </c>
      <c r="AA99" s="9">
        <f t="shared" si="27"/>
        <v>0</v>
      </c>
      <c r="AB99" s="9">
        <f t="shared" si="28"/>
        <v>0</v>
      </c>
      <c r="AC99" s="9">
        <f t="shared" si="29"/>
        <v>0</v>
      </c>
      <c r="AD99" s="9">
        <f t="shared" si="30"/>
        <v>0</v>
      </c>
      <c r="AE99" s="7">
        <f t="shared" si="11"/>
        <v>0.42241080689568894</v>
      </c>
      <c r="AF99" s="7">
        <f t="shared" si="12"/>
        <v>6.4176577011590119</v>
      </c>
      <c r="AG99" s="9">
        <f t="shared" si="31"/>
        <v>0</v>
      </c>
      <c r="AH99" s="9">
        <f t="shared" si="32"/>
        <v>0</v>
      </c>
      <c r="AI99" s="9">
        <f t="shared" si="33"/>
        <v>0</v>
      </c>
      <c r="AJ99" s="9">
        <f t="shared" si="34"/>
        <v>-14999999.999999996</v>
      </c>
      <c r="AK99" s="9">
        <f t="shared" si="35"/>
        <v>0</v>
      </c>
      <c r="AL99" s="9">
        <f t="shared" si="36"/>
        <v>0</v>
      </c>
      <c r="AM99" s="9">
        <f t="shared" si="37"/>
        <v>0</v>
      </c>
      <c r="AN99" s="9"/>
      <c r="AO99" s="9">
        <f t="shared" si="40"/>
        <v>35247994.54902418</v>
      </c>
    </row>
    <row r="100" spans="1:41" x14ac:dyDescent="0.2">
      <c r="A100" s="6">
        <f t="shared" si="13"/>
        <v>21</v>
      </c>
      <c r="B100" s="7">
        <f t="shared" si="2"/>
        <v>0.42409761837248483</v>
      </c>
      <c r="C100" s="7">
        <f t="shared" si="3"/>
        <v>5.7590238162751515</v>
      </c>
      <c r="D100" s="8">
        <f t="shared" si="41"/>
        <v>0.06</v>
      </c>
      <c r="E100" s="9">
        <f t="shared" si="14"/>
        <v>129847390.35781059</v>
      </c>
      <c r="F100" s="9">
        <f t="shared" si="15"/>
        <v>24114571.165434934</v>
      </c>
      <c r="G100" s="9">
        <f t="shared" si="16"/>
        <v>8288131.2994347177</v>
      </c>
      <c r="H100" s="9">
        <f t="shared" si="17"/>
        <v>10038079.094060849</v>
      </c>
      <c r="I100" s="9">
        <f t="shared" si="38"/>
        <v>740868.0037565307</v>
      </c>
      <c r="J100" s="9">
        <f t="shared" si="18"/>
        <v>14817360.075130615</v>
      </c>
      <c r="K100" s="9">
        <f t="shared" si="39"/>
        <v>14076492.071374085</v>
      </c>
      <c r="L100" s="9">
        <f t="shared" si="4"/>
        <v>125847390.35781059</v>
      </c>
      <c r="M100" s="7">
        <f t="shared" si="5"/>
        <v>0.53897214203992172</v>
      </c>
      <c r="N100" s="7">
        <f t="shared" si="6"/>
        <v>6.4851295253914518</v>
      </c>
      <c r="O100" s="9">
        <f t="shared" si="19"/>
        <v>0</v>
      </c>
      <c r="P100" s="9">
        <f t="shared" si="20"/>
        <v>0</v>
      </c>
      <c r="Q100" s="9">
        <f t="shared" si="21"/>
        <v>0</v>
      </c>
      <c r="R100" s="9">
        <f t="shared" si="22"/>
        <v>0</v>
      </c>
      <c r="S100" s="7">
        <f t="shared" si="7"/>
        <v>0.52893290562223327</v>
      </c>
      <c r="T100" s="7">
        <f t="shared" si="8"/>
        <v>6.4239341930692309</v>
      </c>
      <c r="U100" s="9">
        <f t="shared" si="23"/>
        <v>0</v>
      </c>
      <c r="V100" s="9">
        <f t="shared" si="24"/>
        <v>0</v>
      </c>
      <c r="W100" s="9">
        <f t="shared" si="25"/>
        <v>0</v>
      </c>
      <c r="X100" s="9">
        <f t="shared" si="26"/>
        <v>0</v>
      </c>
      <c r="Y100" s="7">
        <f t="shared" si="9"/>
        <v>0.47987967531503123</v>
      </c>
      <c r="Z100" s="7">
        <f t="shared" si="10"/>
        <v>6.1190626433525743</v>
      </c>
      <c r="AA100" s="9">
        <f t="shared" si="27"/>
        <v>0</v>
      </c>
      <c r="AB100" s="9">
        <f t="shared" si="28"/>
        <v>0</v>
      </c>
      <c r="AC100" s="9">
        <f t="shared" si="29"/>
        <v>0</v>
      </c>
      <c r="AD100" s="9">
        <f t="shared" si="30"/>
        <v>0</v>
      </c>
      <c r="AE100" s="7">
        <f t="shared" si="11"/>
        <v>0.46042777951630098</v>
      </c>
      <c r="AF100" s="7">
        <f t="shared" si="12"/>
        <v>5.9952468942633219</v>
      </c>
      <c r="AG100" s="9">
        <f t="shared" si="31"/>
        <v>0</v>
      </c>
      <c r="AH100" s="9">
        <f t="shared" si="32"/>
        <v>0</v>
      </c>
      <c r="AI100" s="9">
        <f t="shared" si="33"/>
        <v>0</v>
      </c>
      <c r="AJ100" s="9">
        <f t="shared" si="34"/>
        <v>-14999999.999999996</v>
      </c>
      <c r="AK100" s="9">
        <f t="shared" si="35"/>
        <v>0</v>
      </c>
      <c r="AL100" s="9">
        <f t="shared" si="36"/>
        <v>0</v>
      </c>
      <c r="AM100" s="9">
        <f t="shared" si="37"/>
        <v>0</v>
      </c>
      <c r="AN100" s="9"/>
      <c r="AO100" s="9">
        <f t="shared" si="40"/>
        <v>32402702.464869652</v>
      </c>
    </row>
    <row r="101" spans="1:41" x14ac:dyDescent="0.2">
      <c r="A101" s="6">
        <f t="shared" si="13"/>
        <v>22</v>
      </c>
      <c r="B101" s="7">
        <f t="shared" si="2"/>
        <v>0.46650738020973331</v>
      </c>
      <c r="C101" s="7">
        <f t="shared" si="3"/>
        <v>5.3349261979026679</v>
      </c>
      <c r="D101" s="8">
        <f t="shared" si="41"/>
        <v>0.06</v>
      </c>
      <c r="E101" s="9">
        <f t="shared" si="14"/>
        <v>112457954.28771511</v>
      </c>
      <c r="F101" s="9">
        <f t="shared" si="15"/>
        <v>22546770.859126937</v>
      </c>
      <c r="G101" s="9">
        <f t="shared" si="16"/>
        <v>7178167.2949605389</v>
      </c>
      <c r="H101" s="9">
        <f t="shared" si="17"/>
        <v>10211268.77513493</v>
      </c>
      <c r="I101" s="9">
        <f t="shared" si="38"/>
        <v>649236.95178905292</v>
      </c>
      <c r="J101" s="9">
        <f t="shared" si="18"/>
        <v>12984739.035781059</v>
      </c>
      <c r="K101" s="9">
        <f t="shared" si="39"/>
        <v>12335502.083992006</v>
      </c>
      <c r="L101" s="9">
        <f t="shared" si="4"/>
        <v>108457954.28771511</v>
      </c>
      <c r="M101" s="7">
        <f t="shared" si="5"/>
        <v>0.5772876716175398</v>
      </c>
      <c r="N101" s="7">
        <f t="shared" si="6"/>
        <v>5.9461573833515295</v>
      </c>
      <c r="O101" s="9">
        <f t="shared" si="19"/>
        <v>0</v>
      </c>
      <c r="P101" s="9">
        <f t="shared" si="20"/>
        <v>0</v>
      </c>
      <c r="Q101" s="9">
        <f t="shared" si="21"/>
        <v>0</v>
      </c>
      <c r="R101" s="9">
        <f t="shared" si="22"/>
        <v>0</v>
      </c>
      <c r="S101" s="7">
        <f t="shared" si="7"/>
        <v>0.56771955559151166</v>
      </c>
      <c r="T101" s="7">
        <f t="shared" si="8"/>
        <v>5.8950012874469975</v>
      </c>
      <c r="U101" s="9">
        <f t="shared" si="23"/>
        <v>0</v>
      </c>
      <c r="V101" s="9">
        <f t="shared" si="24"/>
        <v>0</v>
      </c>
      <c r="W101" s="9">
        <f t="shared" si="25"/>
        <v>0</v>
      </c>
      <c r="X101" s="9">
        <f t="shared" si="26"/>
        <v>0</v>
      </c>
      <c r="Y101" s="7">
        <f t="shared" si="9"/>
        <v>0.5206694477168089</v>
      </c>
      <c r="Z101" s="7">
        <f t="shared" si="10"/>
        <v>5.6391829680375416</v>
      </c>
      <c r="AA101" s="9">
        <f t="shared" si="27"/>
        <v>0</v>
      </c>
      <c r="AB101" s="9">
        <f t="shared" si="28"/>
        <v>0</v>
      </c>
      <c r="AC101" s="9">
        <f t="shared" si="29"/>
        <v>0</v>
      </c>
      <c r="AD101" s="9">
        <f t="shared" si="30"/>
        <v>0</v>
      </c>
      <c r="AE101" s="7">
        <f t="shared" si="11"/>
        <v>0.50186627967276809</v>
      </c>
      <c r="AF101" s="7">
        <f t="shared" si="12"/>
        <v>5.5348191147470214</v>
      </c>
      <c r="AG101" s="9">
        <f t="shared" si="31"/>
        <v>0</v>
      </c>
      <c r="AH101" s="9">
        <f t="shared" si="32"/>
        <v>0</v>
      </c>
      <c r="AI101" s="9">
        <f t="shared" si="33"/>
        <v>0</v>
      </c>
      <c r="AJ101" s="9">
        <f t="shared" si="34"/>
        <v>-14999999.999999996</v>
      </c>
      <c r="AK101" s="9">
        <f t="shared" si="35"/>
        <v>0</v>
      </c>
      <c r="AL101" s="9">
        <f t="shared" si="36"/>
        <v>0</v>
      </c>
      <c r="AM101" s="9">
        <f t="shared" si="37"/>
        <v>0</v>
      </c>
      <c r="AN101" s="9"/>
      <c r="AO101" s="9">
        <f t="shared" si="40"/>
        <v>29724938.154087476</v>
      </c>
    </row>
    <row r="102" spans="1:41" x14ac:dyDescent="0.2">
      <c r="A102" s="6">
        <f t="shared" si="13"/>
        <v>23</v>
      </c>
      <c r="B102" s="7">
        <f t="shared" si="2"/>
        <v>0.51315811823070667</v>
      </c>
      <c r="C102" s="7">
        <f t="shared" si="3"/>
        <v>4.8684188176929331</v>
      </c>
      <c r="D102" s="8">
        <f t="shared" si="41"/>
        <v>0.06</v>
      </c>
      <c r="E102" s="9">
        <f t="shared" si="14"/>
        <v>95938175.834007174</v>
      </c>
      <c r="F102" s="9">
        <f t="shared" si="15"/>
        <v>21079570.75993403</v>
      </c>
      <c r="G102" s="9">
        <f t="shared" si="16"/>
        <v>6123713.3511068402</v>
      </c>
      <c r="H102" s="9">
        <f t="shared" si="17"/>
        <v>10396065.102601096</v>
      </c>
      <c r="I102" s="9">
        <f t="shared" si="38"/>
        <v>562289.77143857558</v>
      </c>
      <c r="J102" s="9">
        <f t="shared" si="18"/>
        <v>11245795.428771511</v>
      </c>
      <c r="K102" s="9">
        <f t="shared" si="39"/>
        <v>10683505.657332934</v>
      </c>
      <c r="L102" s="9">
        <f t="shared" si="4"/>
        <v>91938175.834007174</v>
      </c>
      <c r="M102" s="7">
        <f t="shared" si="5"/>
        <v>0.6183270521928308</v>
      </c>
      <c r="N102" s="7">
        <f t="shared" si="6"/>
        <v>5.3688697117339883</v>
      </c>
      <c r="O102" s="9">
        <f t="shared" si="19"/>
        <v>0</v>
      </c>
      <c r="P102" s="9">
        <f t="shared" si="20"/>
        <v>0</v>
      </c>
      <c r="Q102" s="9">
        <f t="shared" si="21"/>
        <v>0</v>
      </c>
      <c r="R102" s="9">
        <f t="shared" si="22"/>
        <v>0</v>
      </c>
      <c r="S102" s="7">
        <f t="shared" si="7"/>
        <v>0.60935043060303717</v>
      </c>
      <c r="T102" s="7">
        <f t="shared" si="8"/>
        <v>5.3272817318554857</v>
      </c>
      <c r="U102" s="9">
        <f t="shared" si="23"/>
        <v>0</v>
      </c>
      <c r="V102" s="9">
        <f t="shared" si="24"/>
        <v>0</v>
      </c>
      <c r="W102" s="9">
        <f t="shared" si="25"/>
        <v>0</v>
      </c>
      <c r="X102" s="9">
        <f t="shared" si="26"/>
        <v>0</v>
      </c>
      <c r="Y102" s="7">
        <f t="shared" si="9"/>
        <v>0.56492635077273767</v>
      </c>
      <c r="Z102" s="7">
        <f t="shared" si="10"/>
        <v>5.1185135203207333</v>
      </c>
      <c r="AA102" s="9">
        <f t="shared" si="27"/>
        <v>0</v>
      </c>
      <c r="AB102" s="9">
        <f t="shared" si="28"/>
        <v>0</v>
      </c>
      <c r="AC102" s="9">
        <f t="shared" si="29"/>
        <v>0</v>
      </c>
      <c r="AD102" s="9">
        <f t="shared" si="30"/>
        <v>0</v>
      </c>
      <c r="AE102" s="7">
        <f t="shared" si="11"/>
        <v>0.5470342448433172</v>
      </c>
      <c r="AF102" s="7">
        <f t="shared" si="12"/>
        <v>5.0329528350742532</v>
      </c>
      <c r="AG102" s="9">
        <f t="shared" si="31"/>
        <v>0</v>
      </c>
      <c r="AH102" s="9">
        <f t="shared" si="32"/>
        <v>0</v>
      </c>
      <c r="AI102" s="9">
        <f t="shared" si="33"/>
        <v>0</v>
      </c>
      <c r="AJ102" s="9">
        <f t="shared" si="34"/>
        <v>-14999999.999999996</v>
      </c>
      <c r="AK102" s="9">
        <f t="shared" si="35"/>
        <v>0</v>
      </c>
      <c r="AL102" s="9">
        <f t="shared" si="36"/>
        <v>0</v>
      </c>
      <c r="AM102" s="9">
        <f t="shared" si="37"/>
        <v>0</v>
      </c>
      <c r="AN102" s="9"/>
      <c r="AO102" s="9">
        <f t="shared" si="40"/>
        <v>27203284.111040872</v>
      </c>
    </row>
    <row r="103" spans="1:41" x14ac:dyDescent="0.2">
      <c r="A103" s="6">
        <f t="shared" si="13"/>
        <v>24</v>
      </c>
      <c r="B103" s="7">
        <f t="shared" si="2"/>
        <v>0.56447393005377733</v>
      </c>
      <c r="C103" s="7">
        <f t="shared" si="3"/>
        <v>4.3552606994622263</v>
      </c>
      <c r="D103" s="8">
        <f t="shared" si="41"/>
        <v>0.06</v>
      </c>
      <c r="E103" s="9">
        <f t="shared" si="14"/>
        <v>80225309.175248608</v>
      </c>
      <c r="F103" s="9">
        <f t="shared" si="15"/>
        <v>19706228.947547853</v>
      </c>
      <c r="G103" s="9">
        <f t="shared" si="16"/>
        <v>5120764.4154414004</v>
      </c>
      <c r="H103" s="9">
        <f t="shared" si="17"/>
        <v>10592102.243317172</v>
      </c>
      <c r="I103" s="9">
        <f t="shared" si="38"/>
        <v>479690.87917003589</v>
      </c>
      <c r="J103" s="9">
        <f t="shared" si="18"/>
        <v>9593817.583400717</v>
      </c>
      <c r="K103" s="9">
        <f t="shared" si="39"/>
        <v>9114126.7042306811</v>
      </c>
      <c r="L103" s="9">
        <f t="shared" si="4"/>
        <v>76225309.175248608</v>
      </c>
      <c r="M103" s="7">
        <f t="shared" si="5"/>
        <v>0.6622839223332192</v>
      </c>
      <c r="N103" s="7">
        <f t="shared" si="6"/>
        <v>4.7505426595411562</v>
      </c>
      <c r="O103" s="9">
        <f t="shared" si="19"/>
        <v>0</v>
      </c>
      <c r="P103" s="9">
        <f t="shared" si="20"/>
        <v>0</v>
      </c>
      <c r="Q103" s="9">
        <f t="shared" si="21"/>
        <v>0</v>
      </c>
      <c r="R103" s="9">
        <f t="shared" si="22"/>
        <v>0</v>
      </c>
      <c r="S103" s="7">
        <f t="shared" si="7"/>
        <v>0.65403409767915788</v>
      </c>
      <c r="T103" s="7">
        <f t="shared" si="8"/>
        <v>4.7179313012524489</v>
      </c>
      <c r="U103" s="9">
        <f t="shared" si="23"/>
        <v>0</v>
      </c>
      <c r="V103" s="9">
        <f t="shared" si="24"/>
        <v>0</v>
      </c>
      <c r="W103" s="9">
        <f t="shared" si="25"/>
        <v>0</v>
      </c>
      <c r="X103" s="9">
        <f t="shared" si="26"/>
        <v>0</v>
      </c>
      <c r="Y103" s="7">
        <f t="shared" si="9"/>
        <v>0.61294509058842039</v>
      </c>
      <c r="Z103" s="7">
        <f t="shared" si="10"/>
        <v>4.5535871695479946</v>
      </c>
      <c r="AA103" s="9">
        <f t="shared" si="27"/>
        <v>0</v>
      </c>
      <c r="AB103" s="9">
        <f t="shared" si="28"/>
        <v>0</v>
      </c>
      <c r="AC103" s="9">
        <f t="shared" si="29"/>
        <v>0</v>
      </c>
      <c r="AD103" s="9">
        <f t="shared" si="30"/>
        <v>0</v>
      </c>
      <c r="AE103" s="7">
        <f t="shared" si="11"/>
        <v>0.5962673268792158</v>
      </c>
      <c r="AF103" s="7">
        <f t="shared" si="12"/>
        <v>4.4859185902309351</v>
      </c>
      <c r="AG103" s="9">
        <f t="shared" si="31"/>
        <v>0</v>
      </c>
      <c r="AH103" s="9">
        <f t="shared" si="32"/>
        <v>0</v>
      </c>
      <c r="AI103" s="9">
        <f t="shared" si="33"/>
        <v>0</v>
      </c>
      <c r="AJ103" s="9">
        <f t="shared" si="34"/>
        <v>-14999999.999999996</v>
      </c>
      <c r="AK103" s="9">
        <f t="shared" si="35"/>
        <v>0</v>
      </c>
      <c r="AL103" s="9">
        <f t="shared" si="36"/>
        <v>0</v>
      </c>
      <c r="AM103" s="9">
        <f t="shared" si="37"/>
        <v>0</v>
      </c>
      <c r="AN103" s="9"/>
      <c r="AO103" s="9">
        <f t="shared" si="40"/>
        <v>24826993.362989254</v>
      </c>
    </row>
    <row r="104" spans="1:41" x14ac:dyDescent="0.2">
      <c r="A104" s="6">
        <f t="shared" si="13"/>
        <v>25</v>
      </c>
      <c r="B104" s="7">
        <f t="shared" si="2"/>
        <v>0.62092132305915504</v>
      </c>
      <c r="C104" s="7">
        <f t="shared" si="3"/>
        <v>3.7907867694084496</v>
      </c>
      <c r="D104" s="8">
        <f t="shared" si="41"/>
        <v>0.06</v>
      </c>
      <c r="E104" s="9">
        <f t="shared" si="14"/>
        <v>65260807.040280327</v>
      </c>
      <c r="F104" s="9">
        <f t="shared" si="15"/>
        <v>18420323.078513894</v>
      </c>
      <c r="G104" s="9">
        <f t="shared" si="16"/>
        <v>4165583.4281029995</v>
      </c>
      <c r="H104" s="9">
        <f t="shared" si="17"/>
        <v>10798918.706865277</v>
      </c>
      <c r="I104" s="9">
        <f t="shared" si="38"/>
        <v>401126.54587624304</v>
      </c>
      <c r="J104" s="9">
        <f t="shared" si="18"/>
        <v>8022530.9175248612</v>
      </c>
      <c r="K104" s="9">
        <f t="shared" si="39"/>
        <v>7621404.371648618</v>
      </c>
      <c r="L104" s="9">
        <f t="shared" si="4"/>
        <v>61260807.040280327</v>
      </c>
      <c r="M104" s="7">
        <f t="shared" si="5"/>
        <v>0.70936568637188779</v>
      </c>
      <c r="N104" s="7">
        <f t="shared" si="6"/>
        <v>4.0882587372079362</v>
      </c>
      <c r="O104" s="9">
        <f t="shared" si="19"/>
        <v>0</v>
      </c>
      <c r="P104" s="9">
        <f t="shared" si="20"/>
        <v>0</v>
      </c>
      <c r="Q104" s="9">
        <f t="shared" si="21"/>
        <v>0</v>
      </c>
      <c r="R104" s="9">
        <f t="shared" si="22"/>
        <v>0</v>
      </c>
      <c r="S104" s="7">
        <f t="shared" si="7"/>
        <v>0.70199441806197049</v>
      </c>
      <c r="T104" s="7">
        <f t="shared" si="8"/>
        <v>4.0638972035732914</v>
      </c>
      <c r="U104" s="9">
        <f t="shared" si="23"/>
        <v>0</v>
      </c>
      <c r="V104" s="9">
        <f t="shared" si="24"/>
        <v>0</v>
      </c>
      <c r="W104" s="9">
        <f t="shared" si="25"/>
        <v>0</v>
      </c>
      <c r="X104" s="9">
        <f t="shared" si="26"/>
        <v>0</v>
      </c>
      <c r="Y104" s="7">
        <f t="shared" si="9"/>
        <v>0.66504542328843608</v>
      </c>
      <c r="Z104" s="7">
        <f t="shared" si="10"/>
        <v>3.9406420789595753</v>
      </c>
      <c r="AA104" s="9">
        <f t="shared" si="27"/>
        <v>0</v>
      </c>
      <c r="AB104" s="9">
        <f t="shared" si="28"/>
        <v>0</v>
      </c>
      <c r="AC104" s="9">
        <f t="shared" si="29"/>
        <v>0</v>
      </c>
      <c r="AD104" s="9">
        <f t="shared" si="30"/>
        <v>0</v>
      </c>
      <c r="AE104" s="7">
        <f t="shared" si="11"/>
        <v>0.64993138629834524</v>
      </c>
      <c r="AF104" s="7">
        <f t="shared" si="12"/>
        <v>3.8896512633517193</v>
      </c>
      <c r="AG104" s="9">
        <f t="shared" si="31"/>
        <v>0</v>
      </c>
      <c r="AH104" s="9">
        <f t="shared" si="32"/>
        <v>0</v>
      </c>
      <c r="AI104" s="9">
        <f t="shared" si="33"/>
        <v>0</v>
      </c>
      <c r="AJ104" s="9">
        <f t="shared" si="34"/>
        <v>-14999999.999999996</v>
      </c>
      <c r="AK104" s="9">
        <f t="shared" si="35"/>
        <v>0</v>
      </c>
      <c r="AL104" s="9">
        <f t="shared" si="36"/>
        <v>0</v>
      </c>
      <c r="AM104" s="9">
        <f t="shared" si="37"/>
        <v>0</v>
      </c>
      <c r="AN104" s="9"/>
      <c r="AO104" s="9">
        <f t="shared" si="40"/>
        <v>22585906.506616894</v>
      </c>
    </row>
    <row r="105" spans="1:41" x14ac:dyDescent="0.2">
      <c r="A105" s="6">
        <f t="shared" si="13"/>
        <v>26</v>
      </c>
      <c r="B105" s="7">
        <f t="shared" si="2"/>
        <v>0.68301345536507052</v>
      </c>
      <c r="C105" s="7">
        <f t="shared" si="3"/>
        <v>3.169865446349295</v>
      </c>
      <c r="D105" s="8">
        <f t="shared" si="41"/>
        <v>0.06</v>
      </c>
      <c r="E105" s="9">
        <f t="shared" si="14"/>
        <v>50990250.384214096</v>
      </c>
      <c r="F105" s="9">
        <f t="shared" si="15"/>
        <v>17215636.491857927</v>
      </c>
      <c r="G105" s="9">
        <f t="shared" si="16"/>
        <v>3254696.8330349419</v>
      </c>
      <c r="H105" s="9">
        <f t="shared" si="17"/>
        <v>11015859.823031295</v>
      </c>
      <c r="I105" s="9">
        <f t="shared" si="38"/>
        <v>326304.03520140162</v>
      </c>
      <c r="J105" s="9">
        <f t="shared" si="18"/>
        <v>6526080.7040280327</v>
      </c>
      <c r="K105" s="9">
        <f t="shared" si="39"/>
        <v>6199776.6688266313</v>
      </c>
      <c r="L105" s="9">
        <f t="shared" si="4"/>
        <v>46990250.384214096</v>
      </c>
      <c r="M105" s="7">
        <f t="shared" si="5"/>
        <v>0.75979449301606539</v>
      </c>
      <c r="N105" s="7">
        <f t="shared" si="6"/>
        <v>3.3788930508360475</v>
      </c>
      <c r="O105" s="9">
        <f t="shared" si="19"/>
        <v>0</v>
      </c>
      <c r="P105" s="9">
        <f t="shared" si="20"/>
        <v>0</v>
      </c>
      <c r="Q105" s="9">
        <f t="shared" si="21"/>
        <v>0</v>
      </c>
      <c r="R105" s="9">
        <f t="shared" si="22"/>
        <v>0</v>
      </c>
      <c r="S105" s="7">
        <f t="shared" si="7"/>
        <v>0.75347166873845473</v>
      </c>
      <c r="T105" s="7">
        <f t="shared" si="8"/>
        <v>3.3619027855113224</v>
      </c>
      <c r="U105" s="9">
        <f t="shared" si="23"/>
        <v>0</v>
      </c>
      <c r="V105" s="9">
        <f t="shared" si="24"/>
        <v>0</v>
      </c>
      <c r="W105" s="9">
        <f t="shared" si="25"/>
        <v>0</v>
      </c>
      <c r="X105" s="9">
        <f t="shared" si="26"/>
        <v>0</v>
      </c>
      <c r="Y105" s="7">
        <f t="shared" si="9"/>
        <v>0.72157428426795311</v>
      </c>
      <c r="Z105" s="7">
        <f t="shared" si="10"/>
        <v>3.2755966556711398</v>
      </c>
      <c r="AA105" s="9">
        <f t="shared" si="27"/>
        <v>0</v>
      </c>
      <c r="AB105" s="9">
        <f t="shared" si="28"/>
        <v>0</v>
      </c>
      <c r="AC105" s="9">
        <f t="shared" si="29"/>
        <v>0</v>
      </c>
      <c r="AD105" s="9">
        <f t="shared" si="30"/>
        <v>0</v>
      </c>
      <c r="AE105" s="7">
        <f t="shared" si="11"/>
        <v>0.7084252110651964</v>
      </c>
      <c r="AF105" s="7">
        <f t="shared" si="12"/>
        <v>3.2397198770533731</v>
      </c>
      <c r="AG105" s="9">
        <f t="shared" si="31"/>
        <v>0</v>
      </c>
      <c r="AH105" s="9">
        <f t="shared" si="32"/>
        <v>0</v>
      </c>
      <c r="AI105" s="9">
        <f t="shared" si="33"/>
        <v>0</v>
      </c>
      <c r="AJ105" s="9">
        <f t="shared" si="34"/>
        <v>-14999999.999999996</v>
      </c>
      <c r="AK105" s="9">
        <f t="shared" si="35"/>
        <v>0</v>
      </c>
      <c r="AL105" s="9">
        <f t="shared" si="36"/>
        <v>0</v>
      </c>
      <c r="AM105" s="9">
        <f t="shared" si="37"/>
        <v>0</v>
      </c>
      <c r="AN105" s="9"/>
      <c r="AO105" s="9">
        <f t="shared" si="40"/>
        <v>20470333.324892867</v>
      </c>
    </row>
    <row r="106" spans="1:41" x14ac:dyDescent="0.2">
      <c r="A106" s="6">
        <f t="shared" si="13"/>
        <v>27</v>
      </c>
      <c r="B106" s="7">
        <f t="shared" si="2"/>
        <v>0.75131480090157765</v>
      </c>
      <c r="C106" s="7">
        <f t="shared" si="3"/>
        <v>2.4868519909842233</v>
      </c>
      <c r="D106" s="8">
        <f t="shared" si="41"/>
        <v>0.06</v>
      </c>
      <c r="E106" s="9">
        <f t="shared" si="14"/>
        <v>37363485.566781387</v>
      </c>
      <c r="F106" s="9">
        <f t="shared" si="15"/>
        <v>16085935.269883174</v>
      </c>
      <c r="G106" s="9">
        <f t="shared" si="16"/>
        <v>2384903.3340498754</v>
      </c>
      <c r="H106" s="9">
        <f t="shared" si="17"/>
        <v>11241861.483382836</v>
      </c>
      <c r="I106" s="9">
        <f t="shared" si="38"/>
        <v>254951.25192107048</v>
      </c>
      <c r="J106" s="9">
        <f t="shared" si="18"/>
        <v>5099025.0384214101</v>
      </c>
      <c r="K106" s="9">
        <f t="shared" si="39"/>
        <v>4844073.7865003394</v>
      </c>
      <c r="L106" s="9">
        <f t="shared" si="4"/>
        <v>33363485.566781387</v>
      </c>
      <c r="M106" s="7">
        <f t="shared" si="5"/>
        <v>0.81380828352457757</v>
      </c>
      <c r="N106" s="7">
        <f t="shared" si="6"/>
        <v>2.619098557819981</v>
      </c>
      <c r="O106" s="9">
        <f t="shared" si="19"/>
        <v>0</v>
      </c>
      <c r="P106" s="9">
        <f t="shared" si="20"/>
        <v>0</v>
      </c>
      <c r="Q106" s="9">
        <f t="shared" si="21"/>
        <v>0</v>
      </c>
      <c r="R106" s="9">
        <f t="shared" si="22"/>
        <v>0</v>
      </c>
      <c r="S106" s="7">
        <f t="shared" si="7"/>
        <v>0.80872374620704557</v>
      </c>
      <c r="T106" s="7">
        <f t="shared" si="8"/>
        <v>2.6084311167728682</v>
      </c>
      <c r="U106" s="9">
        <f t="shared" si="23"/>
        <v>0</v>
      </c>
      <c r="V106" s="9">
        <f t="shared" si="24"/>
        <v>0</v>
      </c>
      <c r="W106" s="9">
        <f t="shared" si="25"/>
        <v>0</v>
      </c>
      <c r="X106" s="9">
        <f t="shared" si="26"/>
        <v>0</v>
      </c>
      <c r="Y106" s="7">
        <f t="shared" si="9"/>
        <v>0.78290809843072917</v>
      </c>
      <c r="Z106" s="7">
        <f t="shared" si="10"/>
        <v>2.5540223714031862</v>
      </c>
      <c r="AA106" s="9">
        <f t="shared" si="27"/>
        <v>0</v>
      </c>
      <c r="AB106" s="9">
        <f t="shared" si="28"/>
        <v>0</v>
      </c>
      <c r="AC106" s="9">
        <f t="shared" si="29"/>
        <v>0</v>
      </c>
      <c r="AD106" s="9">
        <f t="shared" si="30"/>
        <v>0</v>
      </c>
      <c r="AE106" s="7">
        <f t="shared" si="11"/>
        <v>0.77218348006106408</v>
      </c>
      <c r="AF106" s="7">
        <f t="shared" si="12"/>
        <v>2.531294665988177</v>
      </c>
      <c r="AG106" s="9">
        <f t="shared" si="31"/>
        <v>0</v>
      </c>
      <c r="AH106" s="9">
        <f t="shared" si="32"/>
        <v>0</v>
      </c>
      <c r="AI106" s="9">
        <f t="shared" si="33"/>
        <v>0</v>
      </c>
      <c r="AJ106" s="9">
        <f t="shared" si="34"/>
        <v>-14999999.999999996</v>
      </c>
      <c r="AK106" s="9">
        <f t="shared" si="35"/>
        <v>0</v>
      </c>
      <c r="AL106" s="9">
        <f t="shared" si="36"/>
        <v>0</v>
      </c>
      <c r="AM106" s="9">
        <f t="shared" si="37"/>
        <v>0</v>
      </c>
      <c r="AN106" s="9"/>
      <c r="AO106" s="9">
        <f t="shared" si="40"/>
        <v>18470838.603933051</v>
      </c>
    </row>
    <row r="107" spans="1:41" x14ac:dyDescent="0.2">
      <c r="A107" s="6">
        <f t="shared" si="13"/>
        <v>28</v>
      </c>
      <c r="B107" s="7">
        <f t="shared" si="2"/>
        <v>0.82644628099173545</v>
      </c>
      <c r="C107" s="7">
        <f t="shared" si="3"/>
        <v>1.7355371900826455</v>
      </c>
      <c r="D107" s="8">
        <f t="shared" si="41"/>
        <v>0.06</v>
      </c>
      <c r="E107" s="9">
        <f t="shared" si="14"/>
        <v>24335289.672128912</v>
      </c>
      <c r="F107" s="9">
        <f t="shared" si="15"/>
        <v>15024410.661445923</v>
      </c>
      <c r="G107" s="9">
        <f t="shared" si="16"/>
        <v>1553316.3620507817</v>
      </c>
      <c r="H107" s="9">
        <f t="shared" si="17"/>
        <v>11474879.532601692</v>
      </c>
      <c r="I107" s="9">
        <f t="shared" si="38"/>
        <v>186817.42783390693</v>
      </c>
      <c r="J107" s="9">
        <f t="shared" si="18"/>
        <v>3736348.5566781387</v>
      </c>
      <c r="K107" s="9">
        <f t="shared" si="39"/>
        <v>3549531.1288442318</v>
      </c>
      <c r="L107" s="9">
        <f t="shared" si="4"/>
        <v>20335289.672128912</v>
      </c>
      <c r="M107" s="7">
        <f t="shared" si="5"/>
        <v>0.87166191440033991</v>
      </c>
      <c r="N107" s="7">
        <f t="shared" si="6"/>
        <v>1.8052902742954016</v>
      </c>
      <c r="O107" s="9">
        <f t="shared" si="19"/>
        <v>0</v>
      </c>
      <c r="P107" s="9">
        <f t="shared" si="20"/>
        <v>0</v>
      </c>
      <c r="Q107" s="9">
        <f t="shared" si="21"/>
        <v>0</v>
      </c>
      <c r="R107" s="9">
        <f t="shared" si="22"/>
        <v>0</v>
      </c>
      <c r="S107" s="7">
        <f t="shared" si="7"/>
        <v>0.86802745851640817</v>
      </c>
      <c r="T107" s="7">
        <f t="shared" si="8"/>
        <v>1.7997073705658233</v>
      </c>
      <c r="U107" s="9">
        <f t="shared" si="23"/>
        <v>0</v>
      </c>
      <c r="V107" s="9">
        <f t="shared" si="24"/>
        <v>0</v>
      </c>
      <c r="W107" s="9">
        <f t="shared" si="25"/>
        <v>0</v>
      </c>
      <c r="X107" s="9">
        <f t="shared" si="26"/>
        <v>0</v>
      </c>
      <c r="Y107" s="7">
        <f t="shared" si="9"/>
        <v>0.84945528679734117</v>
      </c>
      <c r="Z107" s="7">
        <f t="shared" si="10"/>
        <v>1.7711142729724567</v>
      </c>
      <c r="AA107" s="9">
        <f t="shared" si="27"/>
        <v>0</v>
      </c>
      <c r="AB107" s="9">
        <f t="shared" si="28"/>
        <v>0</v>
      </c>
      <c r="AC107" s="9">
        <f t="shared" si="29"/>
        <v>0</v>
      </c>
      <c r="AD107" s="9">
        <f t="shared" si="30"/>
        <v>0</v>
      </c>
      <c r="AE107" s="7">
        <f t="shared" si="11"/>
        <v>0.84167999326655996</v>
      </c>
      <c r="AF107" s="7">
        <f t="shared" si="12"/>
        <v>1.7591111859271116</v>
      </c>
      <c r="AG107" s="9">
        <f t="shared" si="31"/>
        <v>0</v>
      </c>
      <c r="AH107" s="9">
        <f t="shared" si="32"/>
        <v>0</v>
      </c>
      <c r="AI107" s="9">
        <f t="shared" si="33"/>
        <v>0</v>
      </c>
      <c r="AJ107" s="9">
        <f t="shared" si="34"/>
        <v>-14999999.999999996</v>
      </c>
      <c r="AK107" s="9">
        <f t="shared" si="35"/>
        <v>0</v>
      </c>
      <c r="AL107" s="9">
        <f t="shared" si="36"/>
        <v>0</v>
      </c>
      <c r="AM107" s="9">
        <f t="shared" si="37"/>
        <v>0</v>
      </c>
      <c r="AN107" s="9"/>
      <c r="AO107" s="9">
        <f t="shared" si="40"/>
        <v>16577727.023496704</v>
      </c>
    </row>
    <row r="108" spans="1:41" x14ac:dyDescent="0.2">
      <c r="A108" s="6">
        <f t="shared" si="13"/>
        <v>29</v>
      </c>
      <c r="B108" s="7">
        <f t="shared" si="2"/>
        <v>0.90909090909090906</v>
      </c>
      <c r="C108" s="7">
        <f t="shared" si="3"/>
        <v>0.90909090909090939</v>
      </c>
      <c r="D108" s="8">
        <f t="shared" si="41"/>
        <v>0.06</v>
      </c>
      <c r="E108" s="9">
        <f t="shared" si="14"/>
        <v>11867857.24377019</v>
      </c>
      <c r="F108" s="9">
        <f t="shared" si="15"/>
        <v>14021762.144417128</v>
      </c>
      <c r="G108" s="9">
        <f t="shared" si="16"/>
        <v>757522.80279384181</v>
      </c>
      <c r="H108" s="9">
        <f t="shared" si="17"/>
        <v>11709909.625564881</v>
      </c>
      <c r="I108" s="9">
        <f t="shared" si="38"/>
        <v>121676.44836064456</v>
      </c>
      <c r="J108" s="9">
        <f t="shared" si="18"/>
        <v>2433528.9672128912</v>
      </c>
      <c r="K108" s="9">
        <f t="shared" si="39"/>
        <v>2311852.5188522465</v>
      </c>
      <c r="L108" s="9">
        <f t="shared" si="4"/>
        <v>7867857.2437701896</v>
      </c>
      <c r="M108" s="7">
        <f t="shared" si="5"/>
        <v>0.9336283598950601</v>
      </c>
      <c r="N108" s="7">
        <f t="shared" si="6"/>
        <v>0.93362835989506121</v>
      </c>
      <c r="O108" s="9">
        <f t="shared" si="19"/>
        <v>0</v>
      </c>
      <c r="P108" s="9">
        <f t="shared" si="20"/>
        <v>0</v>
      </c>
      <c r="Q108" s="9">
        <f t="shared" si="21"/>
        <v>0</v>
      </c>
      <c r="R108" s="9">
        <f t="shared" si="22"/>
        <v>0</v>
      </c>
      <c r="S108" s="7">
        <f t="shared" si="7"/>
        <v>0.93167991204941636</v>
      </c>
      <c r="T108" s="7">
        <f t="shared" si="8"/>
        <v>0.93167991204941547</v>
      </c>
      <c r="U108" s="9">
        <f t="shared" si="23"/>
        <v>0</v>
      </c>
      <c r="V108" s="9">
        <f t="shared" si="24"/>
        <v>0</v>
      </c>
      <c r="W108" s="9">
        <f t="shared" si="25"/>
        <v>0</v>
      </c>
      <c r="X108" s="9">
        <f t="shared" si="26"/>
        <v>0</v>
      </c>
      <c r="Y108" s="7">
        <f t="shared" si="9"/>
        <v>0.92165898617511521</v>
      </c>
      <c r="Z108" s="7">
        <f t="shared" si="10"/>
        <v>0.9216589861751151</v>
      </c>
      <c r="AA108" s="9">
        <f t="shared" si="27"/>
        <v>0</v>
      </c>
      <c r="AB108" s="9">
        <f t="shared" si="28"/>
        <v>0</v>
      </c>
      <c r="AC108" s="9">
        <f t="shared" si="29"/>
        <v>0</v>
      </c>
      <c r="AD108" s="9">
        <f t="shared" si="30"/>
        <v>0</v>
      </c>
      <c r="AE108" s="7">
        <f t="shared" si="11"/>
        <v>0.9174311926605504</v>
      </c>
      <c r="AF108" s="7">
        <f t="shared" si="12"/>
        <v>0.91743119266055106</v>
      </c>
      <c r="AG108" s="9">
        <f t="shared" si="31"/>
        <v>0</v>
      </c>
      <c r="AH108" s="9">
        <f t="shared" si="32"/>
        <v>0</v>
      </c>
      <c r="AI108" s="9">
        <f t="shared" si="33"/>
        <v>0</v>
      </c>
      <c r="AJ108" s="9">
        <f t="shared" si="34"/>
        <v>-14999999.999999996</v>
      </c>
      <c r="AK108" s="9">
        <f t="shared" si="35"/>
        <v>0</v>
      </c>
      <c r="AL108" s="9">
        <f t="shared" si="36"/>
        <v>0</v>
      </c>
      <c r="AM108" s="9">
        <f t="shared" si="37"/>
        <v>0</v>
      </c>
      <c r="AN108" s="9"/>
      <c r="AO108" s="9">
        <f t="shared" si="40"/>
        <v>14779284.947210969</v>
      </c>
    </row>
    <row r="109" spans="1:41" x14ac:dyDescent="0.2">
      <c r="A109" s="6">
        <f t="shared" si="13"/>
        <v>30</v>
      </c>
      <c r="B109" s="7">
        <v>1</v>
      </c>
      <c r="C109" s="7">
        <f t="shared" si="3"/>
        <v>0</v>
      </c>
      <c r="D109" s="8">
        <f t="shared" si="41"/>
        <v>0.06</v>
      </c>
      <c r="E109" s="9">
        <f t="shared" si="14"/>
        <v>-55778.929045715442</v>
      </c>
      <c r="F109" s="9">
        <f t="shared" si="15"/>
        <v>13054642.968147203</v>
      </c>
      <c r="G109" s="9">
        <f t="shared" si="16"/>
        <v>-3560.3571731307729</v>
      </c>
      <c r="H109" s="9">
        <f t="shared" si="17"/>
        <v>11927196.529989036</v>
      </c>
      <c r="I109" s="9">
        <f t="shared" si="38"/>
        <v>59339.286218850946</v>
      </c>
      <c r="J109" s="9">
        <f t="shared" si="18"/>
        <v>1186785.7243770191</v>
      </c>
      <c r="K109" s="9">
        <f t="shared" si="39"/>
        <v>1127446.4381581682</v>
      </c>
      <c r="L109" s="9">
        <f t="shared" si="4"/>
        <v>0</v>
      </c>
      <c r="M109" s="7">
        <v>1</v>
      </c>
      <c r="N109" s="7">
        <f t="shared" si="6"/>
        <v>0</v>
      </c>
      <c r="O109" s="9">
        <f t="shared" si="19"/>
        <v>0</v>
      </c>
      <c r="P109" s="9">
        <f t="shared" si="20"/>
        <v>0</v>
      </c>
      <c r="Q109" s="9">
        <f t="shared" si="21"/>
        <v>0</v>
      </c>
      <c r="R109" s="9">
        <f t="shared" si="22"/>
        <v>0</v>
      </c>
      <c r="S109" s="7">
        <v>1</v>
      </c>
      <c r="T109" s="7">
        <f t="shared" si="8"/>
        <v>0</v>
      </c>
      <c r="U109" s="9">
        <f t="shared" si="23"/>
        <v>0</v>
      </c>
      <c r="V109" s="9">
        <f t="shared" si="24"/>
        <v>0</v>
      </c>
      <c r="W109" s="9">
        <f t="shared" si="25"/>
        <v>0</v>
      </c>
      <c r="X109" s="9">
        <f t="shared" si="26"/>
        <v>0</v>
      </c>
      <c r="Y109" s="7">
        <v>1</v>
      </c>
      <c r="Z109" s="7">
        <f t="shared" si="10"/>
        <v>0</v>
      </c>
      <c r="AA109" s="9">
        <f t="shared" si="27"/>
        <v>0</v>
      </c>
      <c r="AB109" s="9">
        <f t="shared" si="28"/>
        <v>0</v>
      </c>
      <c r="AC109" s="9">
        <f t="shared" si="29"/>
        <v>0</v>
      </c>
      <c r="AD109" s="9">
        <f t="shared" si="30"/>
        <v>0</v>
      </c>
      <c r="AE109" s="7">
        <v>1</v>
      </c>
      <c r="AF109" s="7">
        <f t="shared" si="12"/>
        <v>0</v>
      </c>
      <c r="AG109" s="9">
        <f t="shared" si="31"/>
        <v>0</v>
      </c>
      <c r="AH109" s="9">
        <f t="shared" si="32"/>
        <v>0</v>
      </c>
      <c r="AI109" s="9">
        <f t="shared" si="33"/>
        <v>0</v>
      </c>
      <c r="AJ109" s="9">
        <f t="shared" si="34"/>
        <v>-14999999.999999996</v>
      </c>
      <c r="AK109" s="9">
        <f t="shared" si="35"/>
        <v>0</v>
      </c>
      <c r="AL109" s="9">
        <f t="shared" si="36"/>
        <v>0</v>
      </c>
      <c r="AM109" s="9">
        <f t="shared" si="37"/>
        <v>0</v>
      </c>
      <c r="AN109" s="9">
        <f>-AN79</f>
        <v>4000000</v>
      </c>
      <c r="AO109" s="9">
        <f t="shared" si="40"/>
        <v>13051082.610974073</v>
      </c>
    </row>
  </sheetData>
  <phoneticPr fontId="0" type="noConversion"/>
  <pageMargins left="0.75" right="0.75" top="1" bottom="1" header="0.5" footer="0.5"/>
  <pageSetup orientation="portrait" horizontalDpi="300" verticalDpi="300" copies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opLeftCell="AE24" workbookViewId="0">
      <selection activeCell="AP8" sqref="AP8"/>
    </sheetView>
  </sheetViews>
  <sheetFormatPr defaultRowHeight="12.75" x14ac:dyDescent="0.2"/>
  <cols>
    <col min="3" max="3" width="11.7109375" bestFit="1" customWidth="1"/>
    <col min="4" max="4" width="14.28515625" bestFit="1" customWidth="1"/>
    <col min="5" max="5" width="11.7109375" bestFit="1" customWidth="1"/>
    <col min="9" max="29" width="12.28515625" bestFit="1" customWidth="1"/>
  </cols>
  <sheetData>
    <row r="1" spans="1:29" x14ac:dyDescent="0.2">
      <c r="I1" s="10"/>
    </row>
    <row r="2" spans="1:29" x14ac:dyDescent="0.2">
      <c r="A2" t="s">
        <v>65</v>
      </c>
      <c r="D2" s="15">
        <v>1.4</v>
      </c>
      <c r="E2" s="16">
        <v>0.8</v>
      </c>
      <c r="F2" s="16">
        <v>1</v>
      </c>
      <c r="I2" s="16">
        <v>0</v>
      </c>
      <c r="J2" s="16">
        <v>0.25</v>
      </c>
      <c r="K2" s="16">
        <v>0.5</v>
      </c>
      <c r="L2" s="16">
        <v>0.75</v>
      </c>
      <c r="M2" s="16">
        <v>1</v>
      </c>
      <c r="N2" s="16">
        <v>1.25</v>
      </c>
      <c r="O2" s="16">
        <v>1.5</v>
      </c>
      <c r="P2" s="16">
        <v>1.75</v>
      </c>
      <c r="Q2" s="16">
        <v>2</v>
      </c>
      <c r="R2" s="16">
        <v>2.25</v>
      </c>
      <c r="S2" s="16">
        <v>2.5</v>
      </c>
      <c r="T2" s="16">
        <v>2.75</v>
      </c>
      <c r="U2" s="16">
        <v>3</v>
      </c>
      <c r="V2" s="16">
        <v>3.25</v>
      </c>
      <c r="W2" s="16">
        <v>3.5</v>
      </c>
      <c r="X2" s="16">
        <v>3.75</v>
      </c>
      <c r="Y2" s="16">
        <v>4</v>
      </c>
      <c r="Z2" s="16">
        <v>4.25</v>
      </c>
      <c r="AA2" s="16">
        <v>4.5</v>
      </c>
      <c r="AB2" s="16">
        <v>4.75</v>
      </c>
      <c r="AC2" s="16">
        <v>5</v>
      </c>
    </row>
    <row r="3" spans="1:29" x14ac:dyDescent="0.2">
      <c r="A3" t="s">
        <v>87</v>
      </c>
      <c r="C3" s="19">
        <f>Tranches!C15</f>
        <v>25000000</v>
      </c>
      <c r="D3" s="20">
        <f>C3*D2</f>
        <v>35000000</v>
      </c>
      <c r="E3" s="19">
        <f>C3*E2</f>
        <v>20000000</v>
      </c>
      <c r="F3">
        <f>+C3*F2</f>
        <v>25000000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S3">
        <v>11</v>
      </c>
      <c r="T3">
        <v>12</v>
      </c>
      <c r="U3">
        <v>13</v>
      </c>
      <c r="V3">
        <v>14</v>
      </c>
      <c r="W3">
        <v>15</v>
      </c>
      <c r="X3">
        <v>16</v>
      </c>
      <c r="Y3">
        <v>17</v>
      </c>
      <c r="Z3">
        <v>18</v>
      </c>
      <c r="AA3">
        <v>19</v>
      </c>
      <c r="AB3">
        <v>20</v>
      </c>
      <c r="AC3">
        <v>21</v>
      </c>
    </row>
    <row r="4" spans="1:29" x14ac:dyDescent="0.2">
      <c r="B4" t="s">
        <v>67</v>
      </c>
      <c r="D4" t="s">
        <v>68</v>
      </c>
      <c r="E4" t="s">
        <v>69</v>
      </c>
      <c r="F4" t="s">
        <v>64</v>
      </c>
      <c r="I4" s="19">
        <f>-$F$3</f>
        <v>-25000000</v>
      </c>
      <c r="J4" s="19">
        <f t="shared" ref="J4:AC4" si="0">-$F$3</f>
        <v>-25000000</v>
      </c>
      <c r="K4" s="19">
        <f t="shared" si="0"/>
        <v>-25000000</v>
      </c>
      <c r="L4" s="19">
        <f t="shared" si="0"/>
        <v>-25000000</v>
      </c>
      <c r="M4" s="19">
        <f t="shared" si="0"/>
        <v>-25000000</v>
      </c>
      <c r="N4" s="19">
        <f t="shared" si="0"/>
        <v>-25000000</v>
      </c>
      <c r="O4" s="19">
        <f t="shared" si="0"/>
        <v>-25000000</v>
      </c>
      <c r="P4" s="19">
        <f t="shared" si="0"/>
        <v>-25000000</v>
      </c>
      <c r="Q4" s="19">
        <f t="shared" si="0"/>
        <v>-25000000</v>
      </c>
      <c r="R4" s="19">
        <f t="shared" si="0"/>
        <v>-25000000</v>
      </c>
      <c r="S4" s="19">
        <f t="shared" si="0"/>
        <v>-25000000</v>
      </c>
      <c r="T4" s="19">
        <f t="shared" si="0"/>
        <v>-25000000</v>
      </c>
      <c r="U4" s="19">
        <f t="shared" si="0"/>
        <v>-25000000</v>
      </c>
      <c r="V4" s="19">
        <f t="shared" si="0"/>
        <v>-25000000</v>
      </c>
      <c r="W4" s="19">
        <f t="shared" si="0"/>
        <v>-25000000</v>
      </c>
      <c r="X4" s="19">
        <f t="shared" si="0"/>
        <v>-25000000</v>
      </c>
      <c r="Y4" s="19">
        <f t="shared" si="0"/>
        <v>-25000000</v>
      </c>
      <c r="Z4" s="19">
        <f t="shared" si="0"/>
        <v>-25000000</v>
      </c>
      <c r="AA4" s="19">
        <f t="shared" si="0"/>
        <v>-25000000</v>
      </c>
      <c r="AB4" s="19">
        <f t="shared" si="0"/>
        <v>-25000000</v>
      </c>
      <c r="AC4" s="19">
        <f t="shared" si="0"/>
        <v>-25000000</v>
      </c>
    </row>
    <row r="5" spans="1:29" x14ac:dyDescent="0.2">
      <c r="A5">
        <v>1</v>
      </c>
      <c r="B5" s="16">
        <v>0</v>
      </c>
      <c r="C5" s="15">
        <f>$I$36</f>
        <v>8.5000000000000048E-2</v>
      </c>
      <c r="D5" s="15">
        <v>4.7937613990335103E-2</v>
      </c>
      <c r="E5" s="15">
        <v>0.11287033688489297</v>
      </c>
      <c r="F5" s="15">
        <v>8.5000000000000048E-2</v>
      </c>
      <c r="H5">
        <v>1</v>
      </c>
      <c r="I5">
        <v>2125000</v>
      </c>
      <c r="J5">
        <v>2125000</v>
      </c>
      <c r="K5">
        <v>2125000</v>
      </c>
      <c r="L5">
        <v>2125000</v>
      </c>
      <c r="M5">
        <v>2125000</v>
      </c>
      <c r="N5">
        <v>2125000</v>
      </c>
      <c r="O5">
        <v>2125000</v>
      </c>
      <c r="P5">
        <v>2125000</v>
      </c>
      <c r="Q5">
        <v>2125000</v>
      </c>
      <c r="R5">
        <v>2125000</v>
      </c>
      <c r="S5">
        <v>2125000</v>
      </c>
      <c r="T5">
        <v>2125000</v>
      </c>
      <c r="U5">
        <v>2125000</v>
      </c>
      <c r="V5">
        <v>2125000</v>
      </c>
      <c r="W5">
        <v>2125000</v>
      </c>
      <c r="X5">
        <v>2125000</v>
      </c>
      <c r="Y5">
        <v>2125000</v>
      </c>
      <c r="Z5">
        <v>2125000</v>
      </c>
      <c r="AA5">
        <v>2125000</v>
      </c>
      <c r="AB5">
        <v>2125000</v>
      </c>
      <c r="AC5">
        <v>2125000</v>
      </c>
    </row>
    <row r="6" spans="1:29" x14ac:dyDescent="0.2">
      <c r="A6">
        <v>2</v>
      </c>
      <c r="B6" s="16">
        <f>B5+0.25</f>
        <v>0.25</v>
      </c>
      <c r="C6" s="15">
        <f>$J$36</f>
        <v>8.5000000000000062E-2</v>
      </c>
      <c r="D6" s="15">
        <v>4.528974295064285E-2</v>
      </c>
      <c r="E6" s="15">
        <v>0.11460149426555466</v>
      </c>
      <c r="F6" s="15">
        <v>8.5000000000000062E-2</v>
      </c>
      <c r="H6">
        <v>2</v>
      </c>
      <c r="I6">
        <v>2125000</v>
      </c>
      <c r="J6">
        <v>2125000</v>
      </c>
      <c r="K6">
        <v>2125000</v>
      </c>
      <c r="L6">
        <v>2125000</v>
      </c>
      <c r="M6">
        <v>2125000</v>
      </c>
      <c r="N6">
        <v>2125000</v>
      </c>
      <c r="O6">
        <v>2125000</v>
      </c>
      <c r="P6">
        <v>2125000</v>
      </c>
      <c r="Q6">
        <v>2125000</v>
      </c>
      <c r="R6">
        <v>2125000</v>
      </c>
      <c r="S6">
        <v>2125000</v>
      </c>
      <c r="T6">
        <v>2125000</v>
      </c>
      <c r="U6">
        <v>2125000</v>
      </c>
      <c r="V6">
        <v>2125000</v>
      </c>
      <c r="W6">
        <v>2125000</v>
      </c>
      <c r="X6">
        <v>2125000</v>
      </c>
      <c r="Y6">
        <v>2125000</v>
      </c>
      <c r="Z6">
        <v>2125000</v>
      </c>
      <c r="AA6">
        <v>2125000</v>
      </c>
      <c r="AB6">
        <v>2125000</v>
      </c>
      <c r="AC6">
        <v>2125000</v>
      </c>
    </row>
    <row r="7" spans="1:29" x14ac:dyDescent="0.2">
      <c r="A7">
        <v>3</v>
      </c>
      <c r="B7" s="16">
        <f t="shared" ref="B7:B25" si="1">B6+0.25</f>
        <v>0.5</v>
      </c>
      <c r="C7" s="15">
        <f>$K$36</f>
        <v>8.500000000000052E-2</v>
      </c>
      <c r="D7" s="15">
        <v>4.2665909303594554E-2</v>
      </c>
      <c r="E7" s="15">
        <v>0.11635480239687217</v>
      </c>
      <c r="F7" s="15">
        <v>8.500000000000052E-2</v>
      </c>
      <c r="H7">
        <v>3</v>
      </c>
      <c r="I7">
        <v>2125000</v>
      </c>
      <c r="J7">
        <v>2125000</v>
      </c>
      <c r="K7">
        <v>2125000</v>
      </c>
      <c r="L7">
        <v>2125000</v>
      </c>
      <c r="M7">
        <v>2125000</v>
      </c>
      <c r="N7">
        <v>2125000</v>
      </c>
      <c r="O7">
        <v>2125000</v>
      </c>
      <c r="P7">
        <v>2125000</v>
      </c>
      <c r="Q7">
        <v>2125000</v>
      </c>
      <c r="R7">
        <v>2125000</v>
      </c>
      <c r="S7">
        <v>2125000</v>
      </c>
      <c r="T7">
        <v>2125000</v>
      </c>
      <c r="U7">
        <v>2125000</v>
      </c>
      <c r="V7">
        <v>2125000</v>
      </c>
      <c r="W7">
        <v>2125000</v>
      </c>
      <c r="X7">
        <v>2125000</v>
      </c>
      <c r="Y7">
        <v>2125000</v>
      </c>
      <c r="Z7">
        <v>2125000</v>
      </c>
      <c r="AA7">
        <v>2125000</v>
      </c>
      <c r="AB7">
        <v>2125000</v>
      </c>
      <c r="AC7">
        <v>2125000</v>
      </c>
    </row>
    <row r="8" spans="1:29" x14ac:dyDescent="0.2">
      <c r="A8">
        <v>4</v>
      </c>
      <c r="B8" s="16">
        <f t="shared" si="1"/>
        <v>0.75</v>
      </c>
      <c r="C8" s="15">
        <f>$L$36</f>
        <v>8.5000000000000284E-2</v>
      </c>
      <c r="D8" s="15">
        <v>3.9856784035845881E-2</v>
      </c>
      <c r="E8" s="15">
        <v>0.11826252435333147</v>
      </c>
      <c r="F8" s="15">
        <v>8.5000000000000284E-2</v>
      </c>
      <c r="H8">
        <v>4</v>
      </c>
      <c r="I8">
        <v>2125000</v>
      </c>
      <c r="J8">
        <v>2125000</v>
      </c>
      <c r="K8">
        <v>2125000</v>
      </c>
      <c r="L8">
        <v>2125000</v>
      </c>
      <c r="M8">
        <v>2125000</v>
      </c>
      <c r="N8">
        <v>2125000</v>
      </c>
      <c r="O8">
        <v>2125000</v>
      </c>
      <c r="P8">
        <v>2125000</v>
      </c>
      <c r="Q8">
        <v>2125000</v>
      </c>
      <c r="R8">
        <v>2125000</v>
      </c>
      <c r="S8">
        <v>2125000</v>
      </c>
      <c r="T8">
        <v>2125000</v>
      </c>
      <c r="U8">
        <v>2125000</v>
      </c>
      <c r="V8">
        <v>2125000</v>
      </c>
      <c r="W8">
        <v>2125000</v>
      </c>
      <c r="X8">
        <v>3561166.1596370377</v>
      </c>
      <c r="Y8">
        <v>6014405.940851029</v>
      </c>
      <c r="Z8">
        <v>8381887.1157543808</v>
      </c>
      <c r="AA8">
        <v>10665354.570762038</v>
      </c>
      <c r="AB8">
        <v>12866539.631250113</v>
      </c>
      <c r="AC8">
        <v>14987160.061556008</v>
      </c>
    </row>
    <row r="9" spans="1:29" x14ac:dyDescent="0.2">
      <c r="A9">
        <v>5</v>
      </c>
      <c r="B9" s="16">
        <f t="shared" si="1"/>
        <v>1</v>
      </c>
      <c r="C9" s="15">
        <f>$M$36</f>
        <v>8.5000000000000006E-2</v>
      </c>
      <c r="D9" s="15">
        <v>3.7059285648285832E-2</v>
      </c>
      <c r="E9" s="15">
        <v>0.12018183875208964</v>
      </c>
      <c r="F9" s="15">
        <v>8.5000000000000006E-2</v>
      </c>
      <c r="H9">
        <v>5</v>
      </c>
      <c r="I9">
        <v>2125000</v>
      </c>
      <c r="J9">
        <v>2125000</v>
      </c>
      <c r="K9">
        <v>2125000</v>
      </c>
      <c r="L9">
        <v>2125000</v>
      </c>
      <c r="M9">
        <v>2125000</v>
      </c>
      <c r="N9">
        <v>2125000</v>
      </c>
      <c r="O9">
        <v>2125000</v>
      </c>
      <c r="P9">
        <v>2125000</v>
      </c>
      <c r="Q9">
        <v>2125000</v>
      </c>
      <c r="R9">
        <v>2125000</v>
      </c>
      <c r="S9">
        <v>2220442.7404693589</v>
      </c>
      <c r="T9">
        <v>5520021.9119583592</v>
      </c>
      <c r="U9">
        <v>8657857.1577983312</v>
      </c>
      <c r="V9">
        <v>11639558.993409056</v>
      </c>
      <c r="W9">
        <v>14470620.74851381</v>
      </c>
      <c r="X9">
        <v>15598179.281524917</v>
      </c>
      <c r="Y9">
        <v>15482211.947342934</v>
      </c>
      <c r="Z9">
        <v>15324439.471409826</v>
      </c>
      <c r="AA9">
        <v>15128003.214819543</v>
      </c>
      <c r="AB9">
        <v>14895947.054655032</v>
      </c>
      <c r="AC9">
        <v>13169556.333211731</v>
      </c>
    </row>
    <row r="10" spans="1:29" x14ac:dyDescent="0.2">
      <c r="A10">
        <v>6</v>
      </c>
      <c r="B10" s="16">
        <f t="shared" si="1"/>
        <v>1.25</v>
      </c>
      <c r="C10" s="15">
        <f>$N$36</f>
        <v>8.4999999999999951E-2</v>
      </c>
      <c r="D10" s="15">
        <v>3.4151182523673905E-2</v>
      </c>
      <c r="E10" s="15">
        <v>0.12221083173325743</v>
      </c>
      <c r="F10" s="15">
        <v>8.4999999999999951E-2</v>
      </c>
      <c r="H10">
        <v>6</v>
      </c>
      <c r="I10">
        <v>2125000</v>
      </c>
      <c r="J10">
        <v>2125000</v>
      </c>
      <c r="K10">
        <v>2125000</v>
      </c>
      <c r="L10">
        <v>2125000</v>
      </c>
      <c r="M10">
        <v>2125000</v>
      </c>
      <c r="N10">
        <v>2125000</v>
      </c>
      <c r="O10">
        <v>2125000</v>
      </c>
      <c r="P10">
        <v>2125000</v>
      </c>
      <c r="Q10">
        <v>5329869.2790468391</v>
      </c>
      <c r="R10">
        <v>9283777.3651668243</v>
      </c>
      <c r="S10">
        <v>12882770.268641295</v>
      </c>
      <c r="T10">
        <v>12766341.957754727</v>
      </c>
      <c r="U10">
        <v>12598459.688346704</v>
      </c>
      <c r="V10">
        <v>12384593.111520898</v>
      </c>
      <c r="W10">
        <v>12129918.473526618</v>
      </c>
      <c r="X10">
        <v>10815909.772266753</v>
      </c>
      <c r="Y10">
        <v>8053719.1284145648</v>
      </c>
      <c r="Z10">
        <v>5437844.2386763878</v>
      </c>
      <c r="AA10">
        <v>2962822.6023554546</v>
      </c>
      <c r="AB10">
        <v>623313.45330087608</v>
      </c>
      <c r="AC10">
        <v>0</v>
      </c>
    </row>
    <row r="11" spans="1:29" x14ac:dyDescent="0.2">
      <c r="A11">
        <v>7</v>
      </c>
      <c r="B11" s="16">
        <f t="shared" si="1"/>
        <v>1.5</v>
      </c>
      <c r="C11" s="15">
        <f>$O$36</f>
        <v>8.4999999999999964E-2</v>
      </c>
      <c r="D11" s="15">
        <v>3.1266122806231429E-2</v>
      </c>
      <c r="E11" s="15">
        <v>0.12423910058806593</v>
      </c>
      <c r="F11" s="15">
        <v>8.5000000000000006E-2</v>
      </c>
      <c r="H11">
        <v>7</v>
      </c>
      <c r="I11">
        <v>2125000</v>
      </c>
      <c r="J11">
        <v>2125000</v>
      </c>
      <c r="K11">
        <v>2125000</v>
      </c>
      <c r="L11">
        <v>2125000</v>
      </c>
      <c r="M11">
        <v>2125000</v>
      </c>
      <c r="N11">
        <v>2125000</v>
      </c>
      <c r="O11">
        <v>5406474.8470521457</v>
      </c>
      <c r="P11">
        <v>10220355.196592541</v>
      </c>
      <c r="Q11">
        <v>11185894.516480314</v>
      </c>
      <c r="R11">
        <v>10991182.33304747</v>
      </c>
      <c r="S11">
        <v>10743999.804502152</v>
      </c>
      <c r="T11">
        <v>10452089.5294053</v>
      </c>
      <c r="U11">
        <v>8070653.4705546852</v>
      </c>
      <c r="V11">
        <v>4792564.7629838511</v>
      </c>
      <c r="W11">
        <v>1736090.0705544502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">
      <c r="A12">
        <v>8</v>
      </c>
      <c r="B12" s="16">
        <f t="shared" si="1"/>
        <v>1.75</v>
      </c>
      <c r="C12" s="15">
        <f>$P$36</f>
        <v>8.5000000000000062E-2</v>
      </c>
      <c r="D12" s="15">
        <v>2.8481352972438284E-2</v>
      </c>
      <c r="E12" s="15">
        <v>0.12618306101149851</v>
      </c>
      <c r="F12" s="15">
        <v>8.5000000000000062E-2</v>
      </c>
      <c r="H12">
        <v>8</v>
      </c>
      <c r="I12">
        <v>2125000</v>
      </c>
      <c r="J12">
        <v>2125000</v>
      </c>
      <c r="K12">
        <v>2125000</v>
      </c>
      <c r="L12">
        <v>2125000</v>
      </c>
      <c r="M12">
        <v>2229569.7154863654</v>
      </c>
      <c r="N12">
        <v>8259086.1538588507</v>
      </c>
      <c r="O12">
        <v>10187943.460810393</v>
      </c>
      <c r="P12">
        <v>9955152.2678388711</v>
      </c>
      <c r="Q12">
        <v>9664641.6609482747</v>
      </c>
      <c r="R12">
        <v>9077700.48493498</v>
      </c>
      <c r="S12">
        <v>4987161.1331522083</v>
      </c>
      <c r="T12">
        <v>1226429.5070963211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">
      <c r="A13">
        <v>9</v>
      </c>
      <c r="B13" s="16">
        <f t="shared" si="1"/>
        <v>2</v>
      </c>
      <c r="C13" s="15">
        <f>$Q$36</f>
        <v>8.5000000000000048E-2</v>
      </c>
      <c r="D13" s="15">
        <v>2.5766925061299854E-2</v>
      </c>
      <c r="E13" s="15">
        <v>0.12814812479370433</v>
      </c>
      <c r="F13" s="15">
        <v>8.5000000000000048E-2</v>
      </c>
      <c r="H13">
        <v>9</v>
      </c>
      <c r="I13">
        <v>2125000</v>
      </c>
      <c r="J13">
        <v>2125000</v>
      </c>
      <c r="K13">
        <v>2125000</v>
      </c>
      <c r="L13">
        <v>2747875.7205660287</v>
      </c>
      <c r="M13">
        <v>9659547.2028570008</v>
      </c>
      <c r="N13">
        <v>9421532.4613612369</v>
      </c>
      <c r="O13">
        <v>9113321.4497702029</v>
      </c>
      <c r="P13">
        <v>8749914.1672186758</v>
      </c>
      <c r="Q13">
        <v>4184232.5735344649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">
      <c r="A14">
        <v>10</v>
      </c>
      <c r="B14" s="16">
        <f t="shared" si="1"/>
        <v>2.25</v>
      </c>
      <c r="C14" s="15">
        <f>$R$36</f>
        <v>8.4999999999999923E-2</v>
      </c>
      <c r="D14" s="15">
        <v>2.2853833440475244E-2</v>
      </c>
      <c r="E14" s="15">
        <v>0.13020925988998522</v>
      </c>
      <c r="F14" s="15">
        <v>8.4999999999999923E-2</v>
      </c>
      <c r="H14">
        <v>10</v>
      </c>
      <c r="I14">
        <v>2125000</v>
      </c>
      <c r="J14">
        <v>2125000</v>
      </c>
      <c r="K14">
        <v>2125000</v>
      </c>
      <c r="L14">
        <v>9238770.4773443844</v>
      </c>
      <c r="M14">
        <v>8941816.5322399605</v>
      </c>
      <c r="N14">
        <v>8571980.5504142623</v>
      </c>
      <c r="O14">
        <v>5859380.4752460727</v>
      </c>
      <c r="P14">
        <v>379007.96944123303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">
      <c r="A15">
        <v>11</v>
      </c>
      <c r="B15" s="16">
        <f t="shared" si="1"/>
        <v>2.5</v>
      </c>
      <c r="C15" s="15">
        <f>$S$36</f>
        <v>8.4999999999999923E-2</v>
      </c>
      <c r="D15" s="15">
        <v>2.078359013222416E-2</v>
      </c>
      <c r="E15" s="15">
        <v>0.13169450013081208</v>
      </c>
      <c r="F15" s="15">
        <v>8.4999999999999923E-2</v>
      </c>
      <c r="H15">
        <v>11</v>
      </c>
      <c r="I15">
        <v>2125000</v>
      </c>
      <c r="J15">
        <v>2125000</v>
      </c>
      <c r="K15">
        <v>8513399.655690236</v>
      </c>
      <c r="L15">
        <v>8698709.299634723</v>
      </c>
      <c r="M15">
        <v>8274907.7741849413</v>
      </c>
      <c r="N15">
        <v>3705364.1398375551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">
      <c r="A16">
        <v>12</v>
      </c>
      <c r="B16" s="16">
        <f t="shared" si="1"/>
        <v>2.75</v>
      </c>
      <c r="C16" s="15">
        <f>$T$36</f>
        <v>8.4999999999999895E-2</v>
      </c>
      <c r="D16" s="15">
        <v>1.766666070646257E-2</v>
      </c>
      <c r="E16" s="15">
        <v>0.13397867901627256</v>
      </c>
      <c r="F16" s="15">
        <v>8.4999999999999895E-2</v>
      </c>
      <c r="H16">
        <v>12</v>
      </c>
      <c r="I16">
        <v>2125000</v>
      </c>
      <c r="J16">
        <v>5243311.724601795</v>
      </c>
      <c r="K16">
        <v>8662503.6870726626</v>
      </c>
      <c r="L16">
        <v>8188572.3950988455</v>
      </c>
      <c r="M16">
        <v>2658709.1688060756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">
      <c r="A17">
        <v>13</v>
      </c>
      <c r="B17" s="16">
        <f t="shared" si="1"/>
        <v>3</v>
      </c>
      <c r="C17" s="15">
        <f>$U$36</f>
        <v>8.5000000000000089E-2</v>
      </c>
      <c r="D17" s="15">
        <v>1.5118167224203217E-2</v>
      </c>
      <c r="E17" s="15">
        <v>0.13584356638255826</v>
      </c>
      <c r="F17" s="15">
        <v>8.5000000000000089E-2</v>
      </c>
      <c r="H17">
        <v>13</v>
      </c>
      <c r="I17">
        <v>2125000</v>
      </c>
      <c r="J17">
        <v>8819055.9412905611</v>
      </c>
      <c r="K17">
        <v>8296625.8276455011</v>
      </c>
      <c r="L17">
        <v>2857729.6158427331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>
        <v>14</v>
      </c>
      <c r="B18" s="16">
        <f t="shared" si="1"/>
        <v>3.25</v>
      </c>
      <c r="C18" s="15">
        <f>$V$36</f>
        <v>8.4999999999999978E-2</v>
      </c>
      <c r="D18" s="15">
        <v>1.28938952857231E-2</v>
      </c>
      <c r="E18" s="15">
        <v>0.13746904343029753</v>
      </c>
      <c r="F18" s="15">
        <v>8.5000000000000006E-2</v>
      </c>
      <c r="H18">
        <v>14</v>
      </c>
      <c r="I18">
        <v>6408997.9432797302</v>
      </c>
      <c r="J18">
        <v>8597185.9563421216</v>
      </c>
      <c r="K18">
        <v>4572839.7926236307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">
      <c r="A19">
        <v>15</v>
      </c>
      <c r="B19" s="16">
        <f t="shared" si="1"/>
        <v>3.5</v>
      </c>
      <c r="C19" s="15">
        <f>$W$36</f>
        <v>8.5000000000000089E-2</v>
      </c>
      <c r="D19" s="15">
        <v>1.0634516910507742E-2</v>
      </c>
      <c r="E19" s="15">
        <v>0.13908152900895535</v>
      </c>
      <c r="F19" s="15">
        <v>8.5000000000000089E-2</v>
      </c>
      <c r="H19">
        <v>15</v>
      </c>
      <c r="I19">
        <v>9102459.688913282</v>
      </c>
      <c r="J19">
        <v>8239282.5776891513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">
      <c r="A20">
        <v>16</v>
      </c>
      <c r="B20" s="16">
        <f t="shared" si="1"/>
        <v>3.75</v>
      </c>
      <c r="C20" s="15">
        <f>$X$36</f>
        <v>8.500000000000002E-2</v>
      </c>
      <c r="D20" s="15">
        <v>8.1466714539870002E-3</v>
      </c>
      <c r="E20" s="15">
        <v>0.14091936787253054</v>
      </c>
      <c r="F20" s="15">
        <v>8.5000000000000006E-2</v>
      </c>
      <c r="H20">
        <v>16</v>
      </c>
      <c r="I20">
        <v>9040770.2040446047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">
      <c r="A21">
        <v>17</v>
      </c>
      <c r="B21" s="16">
        <f t="shared" si="1"/>
        <v>4</v>
      </c>
      <c r="C21" s="15">
        <f>$Y$36</f>
        <v>8.4999999999999937E-2</v>
      </c>
      <c r="D21" s="15">
        <v>5.7912029068286595E-3</v>
      </c>
      <c r="E21" s="15">
        <v>0.14273441957289676</v>
      </c>
      <c r="F21" s="15">
        <v>8.4999999999999937E-2</v>
      </c>
      <c r="H21">
        <v>17</v>
      </c>
      <c r="I21">
        <v>5935445.3618571023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">
      <c r="A22">
        <v>18</v>
      </c>
      <c r="B22" s="16">
        <f t="shared" si="1"/>
        <v>4.25</v>
      </c>
      <c r="C22" s="15">
        <f>$Z$36</f>
        <v>8.5000000000000089E-2</v>
      </c>
      <c r="D22" s="15">
        <v>3.3706991781055282E-3</v>
      </c>
      <c r="E22" s="15">
        <v>0.14456857613817806</v>
      </c>
      <c r="F22" s="15">
        <v>8.5000000000000089E-2</v>
      </c>
      <c r="H22">
        <v>18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>
        <v>19</v>
      </c>
      <c r="B23" s="16">
        <f t="shared" si="1"/>
        <v>4.5</v>
      </c>
      <c r="C23" s="15">
        <f>$AA$36</f>
        <v>8.4999999999999867E-2</v>
      </c>
      <c r="D23" s="15">
        <v>8.8360403977350726E-4</v>
      </c>
      <c r="E23" s="15">
        <v>0.14641777764411609</v>
      </c>
      <c r="F23" s="15">
        <v>8.4999999999999867E-2</v>
      </c>
      <c r="H23">
        <v>19</v>
      </c>
      <c r="I23">
        <v>0</v>
      </c>
      <c r="J23">
        <f>'Tranche Payments'!$D23</f>
        <v>0</v>
      </c>
      <c r="K23">
        <f>'Tranche Payments'!$D23</f>
        <v>0</v>
      </c>
      <c r="L23">
        <f>'Tranche Payments'!$D23</f>
        <v>0</v>
      </c>
      <c r="M23">
        <f>'Tranche Payments'!$D23</f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>
        <v>20</v>
      </c>
      <c r="B24" s="16">
        <f t="shared" si="1"/>
        <v>4.75</v>
      </c>
      <c r="C24" s="15">
        <f>$AB$36</f>
        <v>8.4999999999999923E-2</v>
      </c>
      <c r="D24" s="15">
        <v>-1.6717421926557771E-3</v>
      </c>
      <c r="E24" s="15">
        <v>0.14827772816190199</v>
      </c>
      <c r="F24" s="15">
        <v>8.4999999999999923E-2</v>
      </c>
      <c r="H24">
        <v>20</v>
      </c>
      <c r="I24">
        <v>0</v>
      </c>
      <c r="J24">
        <f>'Tranche Payments'!$D24</f>
        <v>0</v>
      </c>
      <c r="K24">
        <f>'Tranche Payments'!$D24</f>
        <v>0</v>
      </c>
      <c r="L24">
        <f>'Tranche Payments'!$D24</f>
        <v>0</v>
      </c>
      <c r="M24">
        <f>'Tranche Payments'!$D24</f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">
      <c r="A25">
        <v>21</v>
      </c>
      <c r="B25" s="16">
        <f t="shared" si="1"/>
        <v>5</v>
      </c>
      <c r="C25" s="15">
        <f>$AC$36</f>
        <v>8.4999999999999895E-2</v>
      </c>
      <c r="D25" s="15">
        <v>-3.3498990685120922E-3</v>
      </c>
      <c r="E25" s="15">
        <v>0.14952414733220407</v>
      </c>
      <c r="F25" s="15">
        <v>8.4999999999999895E-2</v>
      </c>
      <c r="H25">
        <v>21</v>
      </c>
      <c r="I25">
        <v>0</v>
      </c>
      <c r="J25">
        <f>'Tranche Payments'!$D25</f>
        <v>0</v>
      </c>
      <c r="K25">
        <f>'Tranche Payments'!$D25</f>
        <v>0</v>
      </c>
      <c r="L25">
        <f>'Tranche Payments'!$D25</f>
        <v>0</v>
      </c>
      <c r="M25">
        <f>'Tranche Payments'!$D25</f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">
      <c r="H26">
        <v>22</v>
      </c>
      <c r="I26">
        <v>0</v>
      </c>
      <c r="J26">
        <f>'Tranche Payments'!$D26</f>
        <v>0</v>
      </c>
      <c r="K26">
        <f>'Tranche Payments'!$D26</f>
        <v>0</v>
      </c>
      <c r="L26">
        <f>'Tranche Payments'!$D26</f>
        <v>0</v>
      </c>
      <c r="M26">
        <f>'Tranche Payments'!$D26</f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">
      <c r="H27">
        <v>23</v>
      </c>
      <c r="I27">
        <v>0</v>
      </c>
      <c r="J27">
        <f>'Tranche Payments'!$D27</f>
        <v>0</v>
      </c>
      <c r="K27">
        <f>'Tranche Payments'!$D27</f>
        <v>0</v>
      </c>
      <c r="L27">
        <f>'Tranche Payments'!$D27</f>
        <v>0</v>
      </c>
      <c r="M27">
        <f>'Tranche Payments'!$D27</f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">
      <c r="H28">
        <v>24</v>
      </c>
      <c r="I28">
        <v>0</v>
      </c>
      <c r="J28">
        <f>'Tranche Payments'!$D28</f>
        <v>0</v>
      </c>
      <c r="K28">
        <f>'Tranche Payments'!$D28</f>
        <v>0</v>
      </c>
      <c r="L28">
        <f>'Tranche Payments'!$D28</f>
        <v>0</v>
      </c>
      <c r="M28">
        <f>'Tranche Payments'!$D28</f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">
      <c r="H29">
        <v>25</v>
      </c>
      <c r="I29">
        <v>0</v>
      </c>
      <c r="J29">
        <f>'Tranche Payments'!$D29</f>
        <v>0</v>
      </c>
      <c r="K29">
        <f>'Tranche Payments'!$D29</f>
        <v>0</v>
      </c>
      <c r="L29">
        <f>'Tranche Payments'!$D29</f>
        <v>0</v>
      </c>
      <c r="M29">
        <f>'Tranche Payments'!$D29</f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">
      <c r="H30">
        <v>26</v>
      </c>
      <c r="I30">
        <v>0</v>
      </c>
      <c r="J30">
        <f>'Tranche Payments'!$D30</f>
        <v>0</v>
      </c>
      <c r="K30">
        <f>'Tranche Payments'!$D30</f>
        <v>0</v>
      </c>
      <c r="L30">
        <f>'Tranche Payments'!$D30</f>
        <v>0</v>
      </c>
      <c r="M30">
        <f>'Tranche Payments'!$D30</f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">
      <c r="H31">
        <v>27</v>
      </c>
      <c r="I31">
        <v>0</v>
      </c>
      <c r="J31">
        <f>'Tranche Payments'!$D31</f>
        <v>0</v>
      </c>
      <c r="K31">
        <f>'Tranche Payments'!$D31</f>
        <v>0</v>
      </c>
      <c r="L31">
        <f>'Tranche Payments'!$D31</f>
        <v>0</v>
      </c>
      <c r="M31">
        <f>'Tranche Payments'!$D31</f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">
      <c r="H32">
        <v>28</v>
      </c>
      <c r="I32">
        <v>0</v>
      </c>
      <c r="J32">
        <f>'Tranche Payments'!$D32</f>
        <v>0</v>
      </c>
      <c r="K32">
        <f>'Tranche Payments'!$D32</f>
        <v>0</v>
      </c>
      <c r="L32">
        <f>'Tranche Payments'!$D32</f>
        <v>0</v>
      </c>
      <c r="M32">
        <f>'Tranche Payments'!$D32</f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8:29" x14ac:dyDescent="0.2">
      <c r="H33">
        <v>29</v>
      </c>
      <c r="I33">
        <v>0</v>
      </c>
      <c r="J33">
        <f>'Tranche Payments'!$D33</f>
        <v>0</v>
      </c>
      <c r="K33">
        <f>'Tranche Payments'!$D33</f>
        <v>0</v>
      </c>
      <c r="L33">
        <f>'Tranche Payments'!$D33</f>
        <v>0</v>
      </c>
      <c r="M33">
        <f>'Tranche Payments'!$D33</f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8:29" x14ac:dyDescent="0.2">
      <c r="H34">
        <v>30</v>
      </c>
      <c r="I34">
        <v>0</v>
      </c>
      <c r="J34">
        <f>'Tranche Payments'!$D34</f>
        <v>0</v>
      </c>
      <c r="K34">
        <f>'Tranche Payments'!$D34</f>
        <v>0</v>
      </c>
      <c r="L34">
        <f>'Tranche Payments'!$D34</f>
        <v>0</v>
      </c>
      <c r="M34">
        <f>'Tranche Payments'!$D34</f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6" spans="8:29" x14ac:dyDescent="0.2">
      <c r="H36" s="10" t="s">
        <v>66</v>
      </c>
      <c r="I36" s="23">
        <f>IRR(I4:I34,0.1)</f>
        <v>8.5000000000000048E-2</v>
      </c>
      <c r="J36" s="23">
        <f t="shared" ref="J36:AC36" si="2">IRR(J4:J34,0.1)</f>
        <v>8.5000000000000062E-2</v>
      </c>
      <c r="K36" s="23">
        <f t="shared" si="2"/>
        <v>8.500000000000052E-2</v>
      </c>
      <c r="L36" s="23">
        <f t="shared" si="2"/>
        <v>8.5000000000000284E-2</v>
      </c>
      <c r="M36" s="23">
        <f t="shared" si="2"/>
        <v>8.5000000000000006E-2</v>
      </c>
      <c r="N36" s="23">
        <f t="shared" si="2"/>
        <v>8.4999999999999951E-2</v>
      </c>
      <c r="O36" s="23">
        <f t="shared" si="2"/>
        <v>8.4999999999999964E-2</v>
      </c>
      <c r="P36" s="23">
        <f t="shared" si="2"/>
        <v>8.5000000000000062E-2</v>
      </c>
      <c r="Q36" s="23">
        <f t="shared" si="2"/>
        <v>8.5000000000000048E-2</v>
      </c>
      <c r="R36" s="23">
        <f t="shared" si="2"/>
        <v>8.4999999999999923E-2</v>
      </c>
      <c r="S36" s="23">
        <f t="shared" si="2"/>
        <v>8.4999999999999923E-2</v>
      </c>
      <c r="T36" s="23">
        <f t="shared" si="2"/>
        <v>8.4999999999999895E-2</v>
      </c>
      <c r="U36" s="23">
        <f t="shared" si="2"/>
        <v>8.5000000000000089E-2</v>
      </c>
      <c r="V36" s="23">
        <f t="shared" si="2"/>
        <v>8.4999999999999978E-2</v>
      </c>
      <c r="W36" s="23">
        <f t="shared" si="2"/>
        <v>8.5000000000000089E-2</v>
      </c>
      <c r="X36" s="23">
        <f t="shared" si="2"/>
        <v>8.500000000000002E-2</v>
      </c>
      <c r="Y36" s="23">
        <f t="shared" si="2"/>
        <v>8.4999999999999937E-2</v>
      </c>
      <c r="Z36" s="23">
        <f t="shared" si="2"/>
        <v>8.5000000000000089E-2</v>
      </c>
      <c r="AA36" s="23">
        <f t="shared" si="2"/>
        <v>8.4999999999999867E-2</v>
      </c>
      <c r="AB36" s="23">
        <f t="shared" si="2"/>
        <v>8.4999999999999923E-2</v>
      </c>
      <c r="AC36" s="23">
        <f t="shared" si="2"/>
        <v>8.4999999999999895E-2</v>
      </c>
    </row>
    <row r="39" spans="8:29" x14ac:dyDescent="0.2">
      <c r="I39" s="10"/>
    </row>
    <row r="40" spans="8:29" x14ac:dyDescent="0.2"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2" spans="8:29" x14ac:dyDescent="0.2"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74" spans="8:29" x14ac:dyDescent="0.2">
      <c r="H74" s="10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8" spans="8:29" x14ac:dyDescent="0.2">
      <c r="I78" s="10"/>
    </row>
    <row r="79" spans="8:29" x14ac:dyDescent="0.2"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1" spans="9:29" x14ac:dyDescent="0.2"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113" spans="8:29" x14ac:dyDescent="0.2">
      <c r="H113" s="10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PSA</vt:lpstr>
      <vt:lpstr>PrepayBOND</vt:lpstr>
      <vt:lpstr>Sheet1</vt:lpstr>
      <vt:lpstr>GNMA graph</vt:lpstr>
      <vt:lpstr>GNMA</vt:lpstr>
      <vt:lpstr>Total Coupon</vt:lpstr>
      <vt:lpstr>IOPO</vt:lpstr>
      <vt:lpstr>Tranches</vt:lpstr>
      <vt:lpstr>PrepayCTranche</vt:lpstr>
      <vt:lpstr>Tranche Payments</vt:lpstr>
      <vt:lpstr>Tranche Balances</vt:lpstr>
      <vt:lpstr>Sheet4</vt:lpstr>
    </vt:vector>
  </TitlesOfParts>
  <Company>Micron Electronics,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E. Wallace</dc:creator>
  <cp:lastModifiedBy>Jan Havlíček</cp:lastModifiedBy>
  <cp:lastPrinted>1999-08-16T17:37:48Z</cp:lastPrinted>
  <dcterms:created xsi:type="dcterms:W3CDTF">1999-08-11T06:17:48Z</dcterms:created>
  <dcterms:modified xsi:type="dcterms:W3CDTF">2023-09-19T16:13:40Z</dcterms:modified>
</cp:coreProperties>
</file>